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sen Driver" sheetId="1" r:id="rId4"/>
    <sheet state="visible" name="tbl user" sheetId="2" r:id="rId5"/>
    <sheet state="hidden" name="tbl project" sheetId="3" r:id="rId6"/>
    <sheet state="hidden" name="tbl equipment" sheetId="4" r:id="rId7"/>
    <sheet state="hidden" name="tbl driver 1" sheetId="5" r:id="rId8"/>
    <sheet state="visible" name="tbl driver 2" sheetId="6" r:id="rId9"/>
  </sheets>
  <definedNames>
    <definedName hidden="1" localSheetId="0" name="_xlnm._FilterDatabase">'Absen Driver'!$B$1:$L$4884</definedName>
  </definedNames>
  <calcPr/>
</workbook>
</file>

<file path=xl/sharedStrings.xml><?xml version="1.0" encoding="utf-8"?>
<sst xmlns="http://schemas.openxmlformats.org/spreadsheetml/2006/main" count="33072" uniqueCount="4443">
  <si>
    <t>timestamps</t>
  </si>
  <si>
    <t>NAMA DRIVER</t>
  </si>
  <si>
    <t>ID UNIT</t>
  </si>
  <si>
    <t>Project</t>
  </si>
  <si>
    <t>DATE</t>
  </si>
  <si>
    <t>JAM KELUAR</t>
  </si>
  <si>
    <t>JAM MASUK</t>
  </si>
  <si>
    <t>TOTAL JAM KERJA</t>
  </si>
  <si>
    <t>RETASE</t>
  </si>
  <si>
    <t>KETERANGAN</t>
  </si>
  <si>
    <t>CODE USER</t>
  </si>
  <si>
    <t>USER</t>
  </si>
  <si>
    <r>
      <rPr>
        <rFont val="Arial"/>
        <i/>
        <color theme="1"/>
        <sz val="9.0"/>
      </rPr>
      <t xml:space="preserve">Note : Double klik untuk menampilkan semua </t>
    </r>
    <r>
      <rPr>
        <rFont val="Arial"/>
        <b/>
        <i/>
        <color theme="1"/>
        <sz val="9.0"/>
      </rPr>
      <t>Nama Terdaftar</t>
    </r>
  </si>
  <si>
    <r>
      <rPr>
        <rFont val="Arial"/>
        <i/>
        <color theme="1"/>
        <sz val="9.0"/>
      </rPr>
      <t xml:space="preserve">Note : Double klik untuk menampilkan semua </t>
    </r>
    <r>
      <rPr>
        <rFont val="Arial"/>
        <b/>
        <i/>
        <color theme="1"/>
        <sz val="9.0"/>
      </rPr>
      <t>ID Unit</t>
    </r>
  </si>
  <si>
    <r>
      <rPr>
        <rFont val="Arial"/>
        <i/>
        <color theme="1"/>
        <sz val="9.0"/>
      </rPr>
      <t xml:space="preserve">Note : Double klik untuk menampilkan </t>
    </r>
    <r>
      <rPr>
        <rFont val="Arial"/>
        <b/>
        <i/>
        <color theme="1"/>
        <sz val="9.0"/>
      </rPr>
      <t>UI Date</t>
    </r>
  </si>
  <si>
    <r>
      <rPr>
        <rFont val="Arial"/>
        <i/>
        <color theme="1"/>
        <sz val="9.0"/>
      </rPr>
      <t xml:space="preserve">Note : Waktu dalam </t>
    </r>
    <r>
      <rPr>
        <rFont val="Arial"/>
        <b/>
        <i/>
        <color theme="1"/>
        <sz val="9.0"/>
      </rPr>
      <t>1x24</t>
    </r>
    <r>
      <rPr>
        <rFont val="Arial"/>
        <i/>
        <color theme="1"/>
        <sz val="9.0"/>
      </rPr>
      <t xml:space="preserve"> berformat jam </t>
    </r>
    <r>
      <rPr>
        <rFont val="Arial"/>
        <b/>
        <i/>
        <color theme="1"/>
        <sz val="9.0"/>
      </rPr>
      <t>HH:MM</t>
    </r>
  </si>
  <si>
    <t>Note : Automatis teroperasi</t>
  </si>
  <si>
    <r>
      <rPr>
        <rFont val="Arial"/>
        <i/>
        <color theme="1"/>
        <sz val="9.0"/>
      </rPr>
      <t xml:space="preserve">Note : Input berformat </t>
    </r>
    <r>
      <rPr>
        <rFont val="Arial"/>
        <b/>
        <i/>
        <color theme="1"/>
        <sz val="9.0"/>
      </rPr>
      <t>Angka</t>
    </r>
  </si>
  <si>
    <t>Note : Penjelasan mengenai tidak tercapainya target retase</t>
  </si>
  <si>
    <t>Note : User terisi automatis sesuai email terdaftar</t>
  </si>
  <si>
    <t>DT-327</t>
  </si>
  <si>
    <t>Rental BDM</t>
  </si>
  <si>
    <t>ANGIN HABIS TEKOR (PENURUNAN ARJUNA), MELEDAK BAN NO 7</t>
  </si>
  <si>
    <t>ANEPy/s1rYy0RvFsTFsB1ENuSJZaXFDOKTjFse0VQMLjpXXTwf1eq3vYvtFMIE5ICSDF9fYKdC+V</t>
  </si>
  <si>
    <t>[0204231749] MICHAEL JONAS THOMPSON FREDHYK KARUNDENG</t>
  </si>
  <si>
    <t>DT-342</t>
  </si>
  <si>
    <t>PATAH BAUT RODA TROMOL NO. 5 (CBB);</t>
  </si>
  <si>
    <t>DT-337</t>
  </si>
  <si>
    <t>CHAMBER NO 6 BOCOR, ANGIN KELUAR TERUS (YUDISTIRA)</t>
  </si>
  <si>
    <t>BOCOR BAN NO 6 (CBB), PATAH BAUT RODA, GANTI BAN NO 7 (REST AREA BLOK 5)</t>
  </si>
  <si>
    <t>[0212201312] I WAYAN RUDI YASTAWA</t>
  </si>
  <si>
    <t>DT-520</t>
  </si>
  <si>
    <t>Mining KBM</t>
  </si>
  <si>
    <t>BOCOR HOSE ANGIN (KBM C)</t>
  </si>
  <si>
    <t>[0201221570] AMAL RAIS</t>
  </si>
  <si>
    <t>DT-318</t>
  </si>
  <si>
    <t>BOCOR BAN NO 9 DAN 10 (JEMBATAN KUNING)</t>
  </si>
  <si>
    <t>[0211221701] YOHANIS PAMINNAKAN</t>
  </si>
  <si>
    <t>DT-326</t>
  </si>
  <si>
    <t>PECAH VELG NO 6 (PUNCAK ARJUNA)</t>
  </si>
  <si>
    <t>[0108201196] SURIYADI</t>
  </si>
  <si>
    <t>DT-521</t>
  </si>
  <si>
    <t>BOCOR BAN NO 10 (JEMBATAN KUNING)</t>
  </si>
  <si>
    <t>[0108201187] ARAFNAL</t>
  </si>
  <si>
    <t>DT-344</t>
  </si>
  <si>
    <t>BOCOR RADIATOR (POS 2 BELAKANG WS HMSI)</t>
  </si>
  <si>
    <t>[0107221659] ANDI B.</t>
  </si>
  <si>
    <t>DT-505</t>
  </si>
  <si>
    <t>BOCOR BAN NO3 (BELAKANG WS HINO)</t>
  </si>
  <si>
    <t>LOW POWER (ARJUNA KOSONGAN);</t>
  </si>
  <si>
    <t>GANTI BAN NO 12 (POS 2 BELAKANG WS HMSI</t>
  </si>
  <si>
    <t>[0212211546] M. NASIR YALE</t>
  </si>
  <si>
    <t>BOCOR BAN NO 4 (BLOK 8, LOADING POINT)</t>
  </si>
  <si>
    <t>[0107211454] RAFLIN AHMAD</t>
  </si>
  <si>
    <t>DT-369</t>
  </si>
  <si>
    <t>TARGET</t>
  </si>
  <si>
    <t>[0203190787] ALYMUDDIN TAMBA</t>
  </si>
  <si>
    <t>DT-384</t>
  </si>
  <si>
    <t>Mining BDM</t>
  </si>
  <si>
    <t>ENGINE MOUNTING PUTUS (PIT NAKULA)</t>
  </si>
  <si>
    <t>CENTER PEN PATAH (KM 8)</t>
  </si>
  <si>
    <t>[0212211549] ABDUL RAHMAN</t>
  </si>
  <si>
    <t>DT-333</t>
  </si>
  <si>
    <t>PATAH BAUT TORQUEROD NO 3 (WORKSHOP BDM)</t>
  </si>
  <si>
    <t>[0203221605] ALBERT PALABURU</t>
  </si>
  <si>
    <t>DT-336</t>
  </si>
  <si>
    <t>PATAH BAUT TORQUEROD KIRI BELAKANG (SEBELUM WS BDM);
  PATAH BAUT RODA TROMOL NO 5</t>
  </si>
  <si>
    <t>[0212211558] SYABIR</t>
  </si>
  <si>
    <t>DT-310</t>
  </si>
  <si>
    <t>HUJAN JALAN LICIN, LOADING POINT CUMA 1</t>
  </si>
  <si>
    <t>LEPAS BAUT TORQUEROD BELAKANG BAWAH KIRI (LOADING POINT BLOK 8, ARWANA)</t>
  </si>
  <si>
    <t>CEK MOUNTING ENGING;
  INTERCOOLER BERMASALAH (LOADING POINT, ARAWANA 1)</t>
  </si>
  <si>
    <t>[0108201192] RUSLI HULOPI</t>
  </si>
  <si>
    <t>DT-514</t>
  </si>
  <si>
    <t>PATAH SPRING DEPAN KANAN NO 2&amp;3 (KM 19, KBM)</t>
  </si>
  <si>
    <t>[0104211367] AWALUDIN</t>
  </si>
  <si>
    <t>DT-509</t>
  </si>
  <si>
    <t>MEREMBES OLI HUB BELAKANG (KM 10)</t>
  </si>
  <si>
    <t>[0109160076] EVERSON LONTOE</t>
  </si>
  <si>
    <t>DT-530</t>
  </si>
  <si>
    <t>LEPAS SELANG RADIATOR (GUNUNG MENANGIS)</t>
  </si>
  <si>
    <t>[0110231842] MUCHLIS</t>
  </si>
  <si>
    <t>DT-385</t>
  </si>
  <si>
    <t>BAUT MUFFLER LEPAS DEKAT TURBO (ARJUNA)</t>
  </si>
  <si>
    <t>[0106190909] STEVANUS RAMEGAU</t>
  </si>
  <si>
    <t>DT-516</t>
  </si>
  <si>
    <t>NAIK PANAS (KM 29)</t>
  </si>
  <si>
    <t>[0210201250] PARAHAN</t>
  </si>
  <si>
    <t>DT-368</t>
  </si>
  <si>
    <t>PATAH SENSOR ANGIN (KM 2);</t>
  </si>
  <si>
    <t>DT-513</t>
  </si>
  <si>
    <t>TEST UNIT (PROPELLER LEPAS, DEKAT CBB)</t>
  </si>
  <si>
    <t>[0209201234] KAMARUDDIN</t>
  </si>
  <si>
    <t>DT-378</t>
  </si>
  <si>
    <t>NAN</t>
  </si>
  <si>
    <t>[0203231734] BAKRI</t>
  </si>
  <si>
    <t>DT-523</t>
  </si>
  <si>
    <t>SEAL HUB DAN TROMOL NO. 8 BERMASALAH (KM 22)</t>
  </si>
  <si>
    <t>[0202231721] SIDANG</t>
  </si>
  <si>
    <t>DT-331</t>
  </si>
  <si>
    <t>MELEDAK BAN NO. 9 (KM 10)</t>
  </si>
  <si>
    <t>[0209231838] HARDIAN AKANGKUNG</t>
  </si>
  <si>
    <t>DT-348</t>
  </si>
  <si>
    <t>LEPAS TORQUEROD BAWAH (LOADING POINT)</t>
  </si>
  <si>
    <t>[0107201158] ANSHAR</t>
  </si>
  <si>
    <t>DT-395</t>
  </si>
  <si>
    <t>#BOCOR BAN [NO 1] (LOADING POINT)</t>
  </si>
  <si>
    <t>PECAH VELG (ARJUNA)</t>
  </si>
  <si>
    <t>BOCOR HOSE COOLANT DEKAT INTARDER (KM 22)</t>
  </si>
  <si>
    <t>UNIT ACCIDENT (REBAH DI KBM)</t>
  </si>
  <si>
    <t>[0108201209] PAHARUDDIN DG NGALLE</t>
  </si>
  <si>
    <t>DT-502</t>
  </si>
  <si>
    <t>Rental KBM</t>
  </si>
  <si>
    <t>[0204190812] WENI PASAMBAKA</t>
  </si>
  <si>
    <t>DT-503</t>
  </si>
  <si>
    <t>[0110191090] NUR YASIN SIDENG</t>
  </si>
  <si>
    <t>DT-504</t>
  </si>
  <si>
    <t>DIFFLOCK BERMASALAH (ULANG)</t>
  </si>
  <si>
    <t>[0108191056] MARIONO</t>
  </si>
  <si>
    <t>DT-506</t>
  </si>
  <si>
    <t>[0203221602] JAMALUDDIN</t>
  </si>
  <si>
    <t>DT-507</t>
  </si>
  <si>
    <t>TAMBAH OLI RETARDER;
 CEK RETARDER;
 TAMBAH AIR RADIATOR</t>
  </si>
  <si>
    <t>[0108191041] ISMAIL</t>
  </si>
  <si>
    <t>DT-510</t>
  </si>
  <si>
    <t>[0108201211] ISRUN AKANGKUNG</t>
  </si>
  <si>
    <t>DT-511</t>
  </si>
  <si>
    <t>[0203221604] RUSLAN KALLA</t>
  </si>
  <si>
    <t>DT-512</t>
  </si>
  <si>
    <t>PERBAIKAN TAILGATE MANUAL</t>
  </si>
  <si>
    <t>LONGGAR U BOLT DEPAN KANAN;
 CEK KAMPAS REM GENERAL;
 STEL REM GENERAL</t>
  </si>
  <si>
    <t>[0201221568] MUH IQRAM NUR</t>
  </si>
  <si>
    <t>DT-517</t>
  </si>
  <si>
    <t>[0101211334] YATMAN F PANGANDE</t>
  </si>
  <si>
    <t>DT-518</t>
  </si>
  <si>
    <t>[0208201175] SUPRIYADI DG NAKKU</t>
  </si>
  <si>
    <t>DT-519</t>
  </si>
  <si>
    <t>[0209211480] HAMDAN ALI</t>
  </si>
  <si>
    <t>DT-522</t>
  </si>
  <si>
    <t>[0207221660] FRANGKI STENLY LADAEE</t>
  </si>
  <si>
    <t>HOSE RADIATOR LONGGAR (KM 18, CONTAINER 4)</t>
  </si>
  <si>
    <t>[0104211379] SUBRI KURNIAWAN</t>
  </si>
  <si>
    <t>DT-529</t>
  </si>
  <si>
    <t>STEL REM GENERAL;
 INDIKATOR ENGINE NYALA;
 TAMBAH OLI RETARDER;</t>
  </si>
  <si>
    <t>[0105190864] EKELESIA BALIGOMBO</t>
  </si>
  <si>
    <t>DT-531</t>
  </si>
  <si>
    <t>[0107211451] SURIANTO</t>
  </si>
  <si>
    <t>DT-532</t>
  </si>
  <si>
    <t>BOCOR BAN NO. 12 (KM 16)</t>
  </si>
  <si>
    <t>[0105221626] JAMALUDDIN. A</t>
  </si>
  <si>
    <t>DT-533</t>
  </si>
  <si>
    <t>[0108211459] BOBBY TUMBOL</t>
  </si>
  <si>
    <t>DT-535</t>
  </si>
  <si>
    <t>[0204231751] MUSAKKAR</t>
  </si>
  <si>
    <t>DT-315</t>
  </si>
  <si>
    <t>#ISI FREON,
 #PERBAIKAN RADIO</t>
  </si>
  <si>
    <t>[0212221713] ISKARI</t>
  </si>
  <si>
    <t>DT-316</t>
  </si>
  <si>
    <t>#JOK SUSPENSI CABIN BERMASALAH, #ISI FREON</t>
  </si>
  <si>
    <t>[0209231832] HENDRIK</t>
  </si>
  <si>
    <t>DT-317</t>
  </si>
  <si>
    <t>#KARET TORQUEROD ATAS DAN BAWAH,
 #BEARING KINGPIN NO 3,
 #SEAT SPRING BELAKANG KANAN,
 #ADA KEBOCORAN ANGIN DI TABUNG DAN CABIN</t>
  </si>
  <si>
    <t>[0209201227] MUKSIN</t>
  </si>
  <si>
    <t>DT-329</t>
  </si>
  <si>
    <t>REPAIR MUFFLER (PATAH);
 PATAH KONEKTOR ANGIN;
 AC BERMASALAH</t>
  </si>
  <si>
    <t>DT-332</t>
  </si>
  <si>
    <t>#TAMBAH FREON, #PERBAIKAN RADIO, # BOCOR BAN NO 1 ( SEC 2 )</t>
  </si>
  <si>
    <t>[0211211543] SUSILO AFRIYANTO PETA'A</t>
  </si>
  <si>
    <t>DT-347</t>
  </si>
  <si>
    <t>BOCOR BAN NO, 8 (KM 13)</t>
  </si>
  <si>
    <t>DT-365</t>
  </si>
  <si>
    <t>HUJAN JALAN LICIN</t>
  </si>
  <si>
    <t>[0109231837] MAYKEL JULSINTO DEKE</t>
  </si>
  <si>
    <t>DT-379</t>
  </si>
  <si>
    <t>ADA KEBOCORAN FILTER SOLAR (CABI N DEPAN KIRI)</t>
  </si>
  <si>
    <t>[0209231840] RAHMAT</t>
  </si>
  <si>
    <t>DT-382</t>
  </si>
  <si>
    <t>BOCOR BAN NO 7</t>
  </si>
  <si>
    <t>[0204231754] REZKY TIKU PASANG</t>
  </si>
  <si>
    <t>#BOCOR GARDAN,
 #CEK GEARBOX STEARING,
 #GANTI BEARING KINGPIN F1 F2</t>
  </si>
  <si>
    <t>[0205221631] ILHAM</t>
  </si>
  <si>
    <t>DT-386</t>
  </si>
  <si>
    <t>[0209150698] BUSTAN</t>
  </si>
  <si>
    <t>DT-387</t>
  </si>
  <si>
    <t>[0107180499] IBRAHIM</t>
  </si>
  <si>
    <t>DT-388</t>
  </si>
  <si>
    <t>SPRING PATAH NO. 4 RR RH</t>
  </si>
  <si>
    <t>[0106221652] FERIYANTO</t>
  </si>
  <si>
    <t>DT-389</t>
  </si>
  <si>
    <t>[0206221654] JUSMAIL</t>
  </si>
  <si>
    <t>DT-390</t>
  </si>
  <si>
    <t>[0107190982] MUH. BASRI</t>
  </si>
  <si>
    <t>DT-391</t>
  </si>
  <si>
    <t>#DOUBLE BERAT BERMASALAH,
 #TAMBAH OLI HUB</t>
  </si>
  <si>
    <t>[0112120067] DONI ARDIYANSAH</t>
  </si>
  <si>
    <t>DT-392</t>
  </si>
  <si>
    <t>#PATAH BAUT RODA TROMOL NO 6,
 #DRYER BERMASALAH,
 #CEK KAMPAS REM NO 7,</t>
  </si>
  <si>
    <t>[0104211372] FORAL Z MAMARASI</t>
  </si>
  <si>
    <t>DT-393</t>
  </si>
  <si>
    <t>#REM KURANG MENAHAN,
 #REM NO 2,3,4,5, DAN 6,
 #GANTI KARET STOPPER</t>
  </si>
  <si>
    <t>[0105211388] RONAL TODING</t>
  </si>
  <si>
    <t>DT-394</t>
  </si>
  <si>
    <t>[0110191100] AKMAL</t>
  </si>
  <si>
    <t>DT-396</t>
  </si>
  <si>
    <t>PATAH PER NO. 9.10 BELAKANG KANAN;
 SERVICE HM (RUSAK)</t>
  </si>
  <si>
    <t>[0206221653] UJANG SETIAWAN</t>
  </si>
  <si>
    <t>DT-398</t>
  </si>
  <si>
    <t>TAMBAH OLI RETRADER;
 STEL REM GENERAL;
 CEK KAMPAS GENERAL;
 GANTI KARET STOPPER DEPAN;
 KLEM HOSE RADIATOR LONGGAR;</t>
  </si>
  <si>
    <t>DT-399</t>
  </si>
  <si>
    <t>[0208231826] BAHRI</t>
  </si>
  <si>
    <t>LONNGGAR TAILGATE MANUAL</t>
  </si>
  <si>
    <t>DT-330</t>
  </si>
  <si>
    <t>KELINCI TIDAK BERFUNGSI (GUNUNG BATU);</t>
  </si>
  <si>
    <t>ANTRI/MACET DI PABRIK</t>
  </si>
  <si>
    <t>[0211221702] SANDI</t>
  </si>
  <si>
    <t>[0202221591] YOHANES BAHARI</t>
  </si>
  <si>
    <t>[0102201135] NOLDI POHU</t>
  </si>
  <si>
    <t>PATAH BAUT RODA TROMOL NO. 8;</t>
  </si>
  <si>
    <t>BOCOR BAN NO 11</t>
  </si>
  <si>
    <t>[0203221603] ROY BARAU</t>
  </si>
  <si>
    <t>[0204231752] ROFIK</t>
  </si>
  <si>
    <t>PATAH BAUT RODA TROMOL NO 6;
  RETARDER BERMASALAH;</t>
  </si>
  <si>
    <t>TELINGA PINTU VESSEL BERMASALAH;</t>
  </si>
  <si>
    <t>TAMBAH OLI RETARDER;
  EXHAUST BRAKE BERMASALAH</t>
  </si>
  <si>
    <t>[0207221661] ANDI ARIFIN</t>
  </si>
  <si>
    <t>[0203231742] HARIYANTO</t>
  </si>
  <si>
    <t>SERVICE HM;
  CEK ELEKTRIKAL;
  BUSING TORQUE ROD BAWAH KIRI KANAN;
  INTARDER HILANG" (KERUSAKAN BERULANG MOHON DI PERHATIAKN);</t>
  </si>
  <si>
    <t>[0211221698] SIMON LENGKONG</t>
  </si>
  <si>
    <t>RETARDER TIDAK MENAHAN;</t>
  </si>
  <si>
    <t>[0205231763] AMBO ULENG</t>
  </si>
  <si>
    <t>PATAH BAUT RODA TROMOL NO. 5 ;
  KENCANGKAN BAUT RODA TROMOL NO. 12;</t>
  </si>
  <si>
    <t>[0204231747] FIRMAN</t>
  </si>
  <si>
    <t>DT-346</t>
  </si>
  <si>
    <t>RADIATOR BERMASALAH (KERUSAKAN BERULANG);
  LAMPU KANAN MATI;
  KLAKSON MATI;</t>
  </si>
  <si>
    <t>DT-349</t>
  </si>
  <si>
    <t>STEL REM GENERAL;
  GANTI KAMPAS REM NO 6 DAN 8;
  TAMBAH OLI HUB</t>
  </si>
  <si>
    <t>DT-354</t>
  </si>
  <si>
    <t>SOLAR TIDAK CUKUP</t>
  </si>
  <si>
    <t>[0212211551] ASSE</t>
  </si>
  <si>
    <t>DT-324</t>
  </si>
  <si>
    <t>[0205231765] RICHARD VALDO SADURI</t>
  </si>
  <si>
    <t>DT-328</t>
  </si>
  <si>
    <t>CEK PLAT FLANGE R1 RR BAGIAN BELAKANG</t>
  </si>
  <si>
    <t>[0212211548] MOH. RAMADHAN</t>
  </si>
  <si>
    <t>DT-338</t>
  </si>
  <si>
    <t>PATAH BAUT RODA TROMOL NO 5</t>
  </si>
  <si>
    <t>[0211211542] AIDIL L. SARANANI</t>
  </si>
  <si>
    <t>DT-340</t>
  </si>
  <si>
    <t>INDIKATOR ANGIN BERMASALAH;
  AC BERMASALAH;</t>
  </si>
  <si>
    <t>CEK AJDUSTER NO 5,6,7, DAN 8;
  STEL REM GENERAL;
  TAMBAH AIR COOLANT</t>
  </si>
  <si>
    <t>[0112201318] MIDUN HULOPI</t>
  </si>
  <si>
    <t>DT-343</t>
  </si>
  <si>
    <t>BOCOR BAN NO 4 (DEKAT TIMBANGAN TENGKORAK)</t>
  </si>
  <si>
    <t>[0206221646] YOHANES BONGGA</t>
  </si>
  <si>
    <t>PATAH BAUT RODA TROMOL NO, 6;
  RAPIKAN SPIRNG F2;</t>
  </si>
  <si>
    <t>[0202231722] RISFAL</t>
  </si>
  <si>
    <t>DT-353</t>
  </si>
  <si>
    <t>BOCOR BAN NO 10 (SIMPANG NAKULA)</t>
  </si>
  <si>
    <t>[0211201297] BARTOLOMEUS</t>
  </si>
  <si>
    <t>DT-360</t>
  </si>
  <si>
    <t>[0211201268] SATRULLAH</t>
  </si>
  <si>
    <t>DT-376</t>
  </si>
  <si>
    <t>EXHAUST BOCOR;
  CEK OLI RETARDER;
  BERISHKAN SARINGAN UDARA;</t>
  </si>
  <si>
    <t>[0211201271] MARDI</t>
  </si>
  <si>
    <t>DT-508</t>
  </si>
  <si>
    <t>KEPALA AKI BERMASALAH;</t>
  </si>
  <si>
    <t>STEL REM GENERAL;
  REM BERMASALAH (LARI KE KANAN);</t>
  </si>
  <si>
    <t>[0104211369] SAID PETAA</t>
  </si>
  <si>
    <t>DT-524</t>
  </si>
  <si>
    <t>[0112191115] BUSMAN</t>
  </si>
  <si>
    <t>DT-525</t>
  </si>
  <si>
    <t>TAMBAH OLI RETARDER;
  CEK KAMPAS REM GENERAL;
  STEL REM GENERAL</t>
  </si>
  <si>
    <t>STEL REM GENERAL;
  CEK KAMPAS GENERAL;
  SEMPROT AIR CLINER;
  TAMBAH OLI RETARDER;</t>
  </si>
  <si>
    <t>SERVICE KM 5.000, STEL REM GENERAL</t>
  </si>
  <si>
    <t>[0108201173] MAING</t>
  </si>
  <si>
    <t>DT-534</t>
  </si>
  <si>
    <t>[0111201282] JUMADI</t>
  </si>
  <si>
    <t>[0111211529] YANIS OTOLUWA</t>
  </si>
  <si>
    <t>DT-526</t>
  </si>
  <si>
    <t>[0203190797] MURFA</t>
  </si>
  <si>
    <t>DT-528</t>
  </si>
  <si>
    <t>[0212221712] ASRIANTO</t>
  </si>
  <si>
    <t>DT-334</t>
  </si>
  <si>
    <t>ANTRI/MACET LOADING POINT</t>
  </si>
  <si>
    <t>[0203231741] HERI ISWANTO</t>
  </si>
  <si>
    <t>DT-339</t>
  </si>
  <si>
    <t>[0204190824] AMIRUDDIN</t>
  </si>
  <si>
    <t>DT-355</t>
  </si>
  <si>
    <t>PATAH KONEKTOR ANGIN (KM 19)</t>
  </si>
  <si>
    <t>[0112201320] SALDI</t>
  </si>
  <si>
    <t>DT-335</t>
  </si>
  <si>
    <t>PERBAIKAN TAILGATE, STEL REM GENERAL;
  CEK KAMPAS REM GENERAL;
  SERVICE KM 35.000</t>
  </si>
  <si>
    <t>BOCOR BAN NO. 9 (JALAN COR WS 6);</t>
  </si>
  <si>
    <t>[0202231728] ASMAR</t>
  </si>
  <si>
    <t>TAMBAH OLI ENGINE;
  PATAH BAUT SEFTY TABUNG ANGIN;</t>
  </si>
  <si>
    <t>STEL REM GENERAL</t>
  </si>
  <si>
    <t>BOCOR BAN NO, 10 (BLOK 5);</t>
  </si>
  <si>
    <t>[0109201236] ABDUL</t>
  </si>
  <si>
    <t>PATAH CENTER PEN BELAKANG KANAN (BLOK 5);</t>
  </si>
  <si>
    <t>REPAIR MUFFLER</t>
  </si>
  <si>
    <t>STEL REM GENERAL;</t>
  </si>
  <si>
    <t>PATAH BAUT RODA TROMOL NO. 5;</t>
  </si>
  <si>
    <t>SPRING TENGAH KANAN NO 1;
  STEL REM GENERAL</t>
  </si>
  <si>
    <t>[0209221682] HABIBI</t>
  </si>
  <si>
    <t>PATAH BAUT RODA TROMOL NO 6, GANTI BAN NO 7 DAN 11</t>
  </si>
  <si>
    <t>[0201221580] SUTRIYANTO ARMAN S.</t>
  </si>
  <si>
    <t>DT-352</t>
  </si>
  <si>
    <t>PATAH BAUT RODA TROMOL NO 5; 
  KLAKSON MATI</t>
  </si>
  <si>
    <t>RAPIKAN PER NO, DEPAN KIRI;
  PATAH BAUT RODA TROMOL NO. 6;</t>
  </si>
  <si>
    <t>BOCOR BAN NO 6</t>
  </si>
  <si>
    <t>GANTI KARET STOPPER KIRI KANAN;
  ADJUST REM GENERAL;
  CEK KAMPAS REM NO 1 DAN 2;
  SPOORING BAN NO 6 ;
  TAMBAH OLI HUB;
  BERSIHKAN AIR CLEANER</t>
  </si>
  <si>
    <t>GANTI KAMPAS REM TROMOL NO 3 DAN 4;
  BAUT GANTUNGAN MUFFLER PATAH SEBELAH KANAN;
  STEL REM GENERAL</t>
  </si>
  <si>
    <t>[0104211382] THAMRIN LAIDA</t>
  </si>
  <si>
    <t>DT-527</t>
  </si>
  <si>
    <t>DRIVER SAKIT (UNIT TIDAK BISA DIGANTI KARENA ALOKASI UNIT SUDAH TERPENUHI)</t>
  </si>
  <si>
    <t>DT-501</t>
  </si>
  <si>
    <t>DT-362</t>
  </si>
  <si>
    <t>ADJUSTER BERMASALAH;
  TAMBAH OLI PTO;</t>
  </si>
  <si>
    <t>KOPLENG BERMASALAH (QMB);</t>
  </si>
  <si>
    <t>[0209201233] HENDRIK SUBIA</t>
  </si>
  <si>
    <t>DT-370</t>
  </si>
  <si>
    <t>CEK VESSEL; PERBAIKAN TAILGATE</t>
  </si>
  <si>
    <t>[0102190932] ALTON JALAKI</t>
  </si>
  <si>
    <t>DT-375</t>
  </si>
  <si>
    <t>BEHEL DEPAN KIRI PUTUS;
  TAMBAH OLI HUB NO. 3;
  STEL REM GENERAL;</t>
  </si>
  <si>
    <t>[0208201180] PURNOMO</t>
  </si>
  <si>
    <t>DT-371</t>
  </si>
  <si>
    <t>CEK GATE-GATE MANUAL</t>
  </si>
  <si>
    <t>[0208201174] HEIRUDDIN CHAIRIL</t>
  </si>
  <si>
    <t>DT-367</t>
  </si>
  <si>
    <t>DT-373</t>
  </si>
  <si>
    <t>[0203231733] DARMAN</t>
  </si>
  <si>
    <t>DT-358</t>
  </si>
  <si>
    <t>[0206221649] IDRUS</t>
  </si>
  <si>
    <t>DT-359</t>
  </si>
  <si>
    <t>[0201221569] BUNASE</t>
  </si>
  <si>
    <t>DT-361</t>
  </si>
  <si>
    <t>[0208201202] HENDRA GUNAWAN DEWANTO</t>
  </si>
  <si>
    <t>DT-374</t>
  </si>
  <si>
    <t>DT-357</t>
  </si>
  <si>
    <t>DT-363</t>
  </si>
  <si>
    <t>ANGIN TEKOR;
  GANTI BUSHING TORQUEROD ATAS;
  REM TROMOL NO 5 DAN 7 TIDAK MENAHAN</t>
  </si>
  <si>
    <t>DRIVER ASLI ALFA (DIGANTI DRIVER SPARE)</t>
  </si>
  <si>
    <t>PEN PINTU VESSEL BERMASALAH</t>
  </si>
  <si>
    <t>GANTI KAMPAS REM NO. 8;</t>
  </si>
  <si>
    <t>HUB FR NO 2,3 DAN 4</t>
  </si>
  <si>
    <t>[0110211511] MUCHLIS JAMALUDDIN</t>
  </si>
  <si>
    <t>MELEDAK BAN NO. 3.4;</t>
  </si>
  <si>
    <t>DT-397</t>
  </si>
  <si>
    <t>BOCOR BAN NO. 9;</t>
  </si>
  <si>
    <t>LAMPU REM BELAKANG PECAH (KANAN);
  GANTI VAMBEL MESIN</t>
  </si>
  <si>
    <t>BOCOR BAN NO. 10.12;</t>
  </si>
  <si>
    <t>ANTRI/MACET DI LOADING POINT</t>
  </si>
  <si>
    <t>PATAH BAUT RODA TROMOL NO. 7;</t>
  </si>
  <si>
    <t>PATAH BAUT RODA TROMOL NO 6
  SETEL REM GENERAL</t>
  </si>
  <si>
    <t>CEK KEBOCORAN TANKI FUEL</t>
  </si>
  <si>
    <t>LAMPU UTAMA KIRI KANAN MATI;
  BUSING TORQUE ROD BAWAH RH LH;
  STOPER BUMPER R2 RH LH;</t>
  </si>
  <si>
    <t>BRAKET STABLIZER BELAKANG LEPAS;</t>
  </si>
  <si>
    <t>BOCOR BAN NO. 1 (PENCUCIAN SA); PATAH BAUT RODA TROMOL NO. 5, 6
  KLAKSON MATI</t>
  </si>
  <si>
    <t>UNIT AMBLAS DI KM 16</t>
  </si>
  <si>
    <t>PATAH BAUT RODA TROMOL NO. 6;BOCOR BAN NO. 7;</t>
  </si>
  <si>
    <t>TAMBAH OLI RETARDER; CEK REM GENERAL</t>
  </si>
  <si>
    <t>PATAH SPRING NO 2 &amp; 3 PADA RODA NO 1
  EXAUST BRAKE KURANG MENAHAN
  SETEL REM GENERAL</t>
  </si>
  <si>
    <t>[0107180487] FRETS BADU</t>
  </si>
  <si>
    <t>NIAK PANAS;
  TAMBAH OLI RETARDER;
  CEK KAMPAS REM GENERAL;</t>
  </si>
  <si>
    <t>BOCOR BAN NO. 7 (KBMD);</t>
  </si>
  <si>
    <t>EXHAUST BRAKE BERMASALAH;</t>
  </si>
  <si>
    <t>PATAH BAUT RODA TROMOL NO. 6.7;
  LAMPU BELAKANG KIRI KANAN</t>
  </si>
  <si>
    <t>PATAH PER NO. 4 BELAKANG KIRI;
  TAMBAH AIR RADIATOR;
  SEMPROT AIR CLINER;</t>
  </si>
  <si>
    <t>CENTER BOLT RR LH</t>
  </si>
  <si>
    <t>PECAH BAN NO 6
  TAMBAH ANGIN BAN NO 3</t>
  </si>
  <si>
    <t>MASTER KOPLING BERMASALAH</t>
  </si>
  <si>
    <t>[0203231736] ORLAN SENA MENDILA</t>
  </si>
  <si>
    <t>BOCOR BAN NO. 11 (KM 19);</t>
  </si>
  <si>
    <t>V-BELT LONGGAR ;
  AC BERMASALAH;</t>
  </si>
  <si>
    <t>PERBAIKAN PINTU VESEL;
  PERBAIKAN BANCIAN;</t>
  </si>
  <si>
    <t>BOCOR BAN NO. 6 (KM 18);</t>
  </si>
  <si>
    <t>LEPAS BAUT TORQUE ROD KIRI BELAKANG;
  TAMBAH OLI RETARDER;
  STEL REM GENERAL;</t>
  </si>
  <si>
    <t>GANTI BAN NO. 11.12; LAS SPAKBOARD DEPAN KANAN;</t>
  </si>
  <si>
    <t>BOCOR SELANG ANGIN;
  CEK EXHAUST BRAKE;</t>
  </si>
  <si>
    <t>LAS SPAKBOARD; GANTI BAN NO. 7.8;</t>
  </si>
  <si>
    <t>BOCOR BAN NO. 5(GUNUNG MENANGIS);</t>
  </si>
  <si>
    <t>BOCOR BAN NO. 3 (KBM D);</t>
  </si>
  <si>
    <t>BOCOR SELANG ANGIN;
  TAMBAH OLI RETARDER;</t>
  </si>
  <si>
    <t>PERBAIKAN TAILGATE MANUAL;
  LAS VESEL;
  STEL TAILGATE OTOMATIS;</t>
  </si>
  <si>
    <t>BANCIAN BERMASALAH</t>
  </si>
  <si>
    <t>TANKI FUEL BOCOR;
  TIEROD PANJANG BENGKOK NO 3 DAN 4;
  SAFETY MUFFLER BERMASALAH;
  TAMBAH OLI HUB NO 1,3,DAN 4</t>
  </si>
  <si>
    <t>STEL REM GENERAL;
  CEK KEBOCORAN ANGIN;</t>
  </si>
  <si>
    <t>INTARDER TIDAK MENAHAN;
  GANTI KARET TORQUE ROD BAWAH;</t>
  </si>
  <si>
    <t>TANKI FUEL BOCOR</t>
  </si>
  <si>
    <t>PATAH SPRING NO 10 KIRI BELAKANG;
  TAMBAH OLI RETARDER;
  STOPLAMP KANAN MATI;</t>
  </si>
  <si>
    <t>BOCOR BAN NO 10 (KM 19)</t>
  </si>
  <si>
    <t>DRIVER ASLI CUTI (DIGANTI DRIVER SPARE), ISTIRAHAT SHOLAT JUMAT (SAMPLE TIMBANGAN TUTUP JAM 11:00 BUKA JAM 13:00)</t>
  </si>
  <si>
    <t>PINTU VESSEL BERMASALAH</t>
  </si>
  <si>
    <t>TAMBA FREON</t>
  </si>
  <si>
    <t>LAS DUDUKAN PER KIRI BELAKANG (PATAH)</t>
  </si>
  <si>
    <t>PATAH BAUT U BOLT ;
  BAUT MUFFLER PATAH</t>
  </si>
  <si>
    <t>BOCOR BAN NO. 11;</t>
  </si>
  <si>
    <t>CEK TRUNNION;
  CEK STOPPER SPRING 
  LAMPU KIRI DEPAN MATI;
  STOPLAMP KIRI MAU COPOT;
  STOPLAMP KANAN MATI;
  ALARM ATRET MATI;
  PINTU KIRI BERMASALAH</t>
  </si>
  <si>
    <t>ISTIRAHAT SHOLAT JUMAT (SAMPLE TIMBANGAN TUTUP JAM 11:00 BUKA JAM 13:00)</t>
  </si>
  <si>
    <t>SPRING NO 3 F2 LH</t>
  </si>
  <si>
    <t>PATAH BAUT RODA TROMOL 5,7;</t>
  </si>
  <si>
    <t>PATAH BAUT RODA TROMOL NO. 6;</t>
  </si>
  <si>
    <t>LAMPU UTAMA MATI SEBELAH KIRI</t>
  </si>
  <si>
    <t>PTO BERMASALAH;
  PERSENELAN KERAS;</t>
  </si>
  <si>
    <t>AC BERMASALAH TIDAK DINGIN;
  TAMBAH OLI HUB NO 3 DAN 4;
  STEL REM TROMOL NO 1,2,3, DAN 4</t>
  </si>
  <si>
    <t>PANAS NAIK (OVERHEAD)</t>
  </si>
  <si>
    <t>REM TROMOL NO. 7 BERMASALAH;</t>
  </si>
  <si>
    <t>UNIT BERMASALAH DI PABRIK (SPION TERSENGGOL UNIT DT PERUSAHAAN LAIN)</t>
  </si>
  <si>
    <t>LOW POWER;
  TEMPERATUR DINGIN NAIK;
  LAMPU REATARDER BERKEDIP;
  TAMBAH OLI RETARDER;</t>
  </si>
  <si>
    <t>GANTI BAN NO. 7;</t>
  </si>
  <si>
    <t>BOCOR BAN NO. 3 (KBMD);</t>
  </si>
  <si>
    <t>[0105190112] ICCANG</t>
  </si>
  <si>
    <t>DT-500</t>
  </si>
  <si>
    <t>RANTAI TAILGATE OTOMATIS LONGGAR;</t>
  </si>
  <si>
    <t>GANTI KAMPAS NO. 7.8;</t>
  </si>
  <si>
    <t>PATAH SPRING NO 4 (BAN NO 1);
  CEK KAMPAS REM GENERAL;
  STEL REM GENERA;
  TAMBAH OLI RETARDER</t>
  </si>
  <si>
    <t>BOCOR BAN NO 7 (JL COR-CORAN)</t>
  </si>
  <si>
    <t>DRIVER ASLI SAKIT (DIGANTI DRIVER SPARE)</t>
  </si>
  <si>
    <t>PATAH BAUT RODA TROMOL NO 7, BOCOR BAN NO. 10;</t>
  </si>
  <si>
    <t>PATAH BAUT RODA TROMOL NO 7</t>
  </si>
  <si>
    <t>KARET STABILIZER BELAKANG KIRI;
  STEL REM GENERAL</t>
  </si>
  <si>
    <t>GANTI BAN NO 12</t>
  </si>
  <si>
    <t>[0210201254] RENDY OK WIDIA KELANA</t>
  </si>
  <si>
    <t>PATAH BAUT RODA TROMOL NO 6</t>
  </si>
  <si>
    <t>CEK BAN NO 8
  PECAH VELEK BAN NO 5</t>
  </si>
  <si>
    <t>BAUT RODA KANAN BELAKANG NO 6 BERMASALAH;
  CEK KAMPAS REM GENERAL</t>
  </si>
  <si>
    <t>LAS PINTU VESEL;
  TAILGATE MANUAL KANAN;</t>
  </si>
  <si>
    <t>BOCOR BAN NO. 8;</t>
  </si>
  <si>
    <t>GANTI KAMPAS NO. 5.7;
  TAMBAH AIR RADIATOR;
  STEL REM GENERAL;</t>
  </si>
  <si>
    <t>ANTRI MACET DI LOADING POINT</t>
  </si>
  <si>
    <t>REPAIR MUFFLER;</t>
  </si>
  <si>
    <t>SERVICE KM;
  CEK OLI HUB;</t>
  </si>
  <si>
    <t>TAMBAH OLI HUB (OLI HUB BERKURANG TERUS);</t>
  </si>
  <si>
    <t>DOBLE TIDAK BERFUNGSI;
  PINTU KIRI BERMASALAH;</t>
  </si>
  <si>
    <t>PATAH BAUT TORQUE ROD BAWAH KIRI;
  LAMP STOP KANAN MATI;</t>
  </si>
  <si>
    <t>TIEROD PANJANG BENGKOK;
  REM NO 7 RENGGANG;
  KLAKSON BERMASALAH</t>
  </si>
  <si>
    <t>DOL BAUT RODA TROMOL NOMOR 6
  LAMPU DEPAN KIRI KANAN BURAM
  TAMBAH AIR RADIATOR</t>
  </si>
  <si>
    <t>SERVICE HM 5000;
  DOL BAUT RODA TROMOL NO 7;
  TAMBAH AIR RADIATOR;
  GANTI KAMPAS REM TROMOL NO 8</t>
  </si>
  <si>
    <t>PATAH SPRING NO 1 TENGAH KANAN;
  STEL REM GENERAL</t>
  </si>
  <si>
    <t>BOCOR BAN NO. 3 (KM 15);</t>
  </si>
  <si>
    <t>CEK BOCORAN ANGIN;
  PASANG DUDUKAN SPRING KANAN;
  CENTER PEN KANAN;
  KENCANGKAN TORQUEROD ATAS;
  TAMBAH OLI POWER STEARING;
  BOCOR CHAMBER R2 RH</t>
  </si>
  <si>
    <t>GANTI OLI PTO;</t>
  </si>
  <si>
    <t>POWER STEARING BERMASALAH</t>
  </si>
  <si>
    <t>GANTI KARET STOPPER KIRI DAN KANAN BELAKANG</t>
  </si>
  <si>
    <t>CENTER PEN PUTUS;
  ADJUST BRAKE ALL;
  TAMBAH OLI HUB;
  BERSIHKAN AIR CLEANER</t>
  </si>
  <si>
    <t>CEK REM;
  STEL REM GENERAL;
  CEK HEKSOUS BREAK.</t>
  </si>
  <si>
    <t>BOCOR BAN NO. 5;</t>
  </si>
  <si>
    <t>GANTI KAMPAS REM</t>
  </si>
  <si>
    <t>PATAH BAUT RODA TROMOL NO 8</t>
  </si>
  <si>
    <t>DRIVER ASLI CUTI (DIGANTI DRIVER SPARE)</t>
  </si>
  <si>
    <t>SAFETY RADIATOR</t>
  </si>
  <si>
    <t>PATAH U BOLT;
  GANTI KARET STOPER DEPAN BELAKANG;
  STEL REM GENERAL;
  LAM UTAMA DEPAN KIRI;</t>
  </si>
  <si>
    <t>GANTI BAN NO. 2;</t>
  </si>
  <si>
    <t>TAMBAH OLI HUB NO. 3.4;
  TAMBAH AIR RADIATOR;</t>
  </si>
  <si>
    <t>TAMBAH AIR RADIATOR;
  ADJUSTER NO 2, DAN 4 KURANG MENAHAN;
  CEK KAMPAS NO 2;
  STOPLAMP KANAN MATI</t>
  </si>
  <si>
    <t>PATAH BAUT RODA TROMOL NO. 8;
  LOW POWER;</t>
  </si>
  <si>
    <t>PUTUS U-BOLT KANAN DEPAN
  DIFERENCIAL LOCK TIDAK BERFUNGSI</t>
  </si>
  <si>
    <t>BOCOR BAN NO. 9 (KM 26);</t>
  </si>
  <si>
    <t>STEL REM GENERAL;
  TAMBAH OLI RETARDER;</t>
  </si>
  <si>
    <t>U BOLT F1 LH PUTUS</t>
  </si>
  <si>
    <t>PATAH BAUT RODA TROMOL NO; 7;
  CEK KAMPAS GENERAL;
  CEK TORQUE ROD;</t>
  </si>
  <si>
    <t>LAS VESEL;
  PERBAIKAN TAILGATE MANUAL;</t>
  </si>
  <si>
    <t>GANTI KARET TORQUEROD GENERAL</t>
  </si>
  <si>
    <t>SEIN MATI SEMUA;
  DIFFLOCK BERMASALAH (DOUBLE BERAT MATI:
  GANTI KAMPAS REM TROMOL NO 5;
  GANTI TROMOL NO 5;</t>
  </si>
  <si>
    <t>HUJAN JALAN LICIN, ANTRI/MACET DI PABRIK</t>
  </si>
  <si>
    <t>BOCOR BAN NO. 8 (KM 10);</t>
  </si>
  <si>
    <t>RAPIHKAN SPRING KIRI TENGAH
  LAMPU UTAMA MATI KANAN MATI</t>
  </si>
  <si>
    <t>HUJAN JALAN LICIN,</t>
  </si>
  <si>
    <t>PATAH BAUT RODA TROMOL NO 7;
  STEL REM GENERAL</t>
  </si>
  <si>
    <t>PERBAIKAN PINTU VESSEL</t>
  </si>
  <si>
    <t>RAPIKAN SPRING TENGAH KIRI;
  KOPLENG BERMASALAH;
  GANTI SHOCKBREKER KIRI;</t>
  </si>
  <si>
    <t>DRIVER IZIN, SAMPLE TUTUP (15:00)</t>
  </si>
  <si>
    <t>SAMPLE TUTUP (15:00)</t>
  </si>
  <si>
    <t>BOCOR BAN NO. 10 (BLOK 5);</t>
  </si>
  <si>
    <t>CEK ADJUSRTER GENERAL;
  DIFLOK DOBLE BERAT RINGAN BERMASALAH;
  LAMPU UTAMA KIRI BURAM;
  PINTU KIRI BERMASALAH;
  SERVICE HM;</t>
  </si>
  <si>
    <t>REM NO. 1.3.7.8 BERMASALAH;
  TAMBAH OLI HUB;
  LAMP SEIN BELAKANG MATI;</t>
  </si>
  <si>
    <t>GANTI BAN NO. 11.12;</t>
  </si>
  <si>
    <t>REPLACE U BOLT DEPAN;
  ADJUST BRAKE ALL;
  CEK REM GENERAL;
  ADD OIL RETARDER;
  ADD WATER COOLANT</t>
  </si>
  <si>
    <t>PATAH SPRING NO. 8 BELAKANG KANAN;
  STEL REM GENERAL;</t>
  </si>
  <si>
    <t>SEIN KIRI BERMASLAAH;</t>
  </si>
  <si>
    <t>RETARDER BERMASALAH (KERUSAKAN BERULANG);</t>
  </si>
  <si>
    <t>LAS PINTU VESSEL;
  PERBAIKAN TAILGATE OTOMATIS (KERUSAKAN BERULANG)</t>
  </si>
  <si>
    <t>CEK TRUNION KIRI KANAN;
  CEK U BOLT DEPAN KIRI;
  RAPIKAN SPAKBOARD DEPAN KANAN;</t>
  </si>
  <si>
    <t>PATAH BAUT RODA TROMOL NPO. 7;
  CEK BAUT STABLIZER BAWAH KIRI KANAN;</t>
  </si>
  <si>
    <t>GANTI KAMPAS REM NO. 1;
  RAPIKAN SPRING F2 F4;
  STEL REM GENERAL;</t>
  </si>
  <si>
    <t>LONGGAR BAUT RODA TROMOL NO. 7 (RES AREA);</t>
  </si>
  <si>
    <t>BOCOR BAN NO. 6 (TIMBANGAN TENGKORAK);</t>
  </si>
  <si>
    <t>LAS PINTU VESEL;
  STEL VESEL AUTOMATIS</t>
  </si>
  <si>
    <t>BOCOR BAN NO 3 (BELAKANG HMSI)</t>
  </si>
  <si>
    <t>DIFFLOCK BERMASALAH;
  TAMBAH OLI POWER STEARING;
  LOW POWER</t>
  </si>
  <si>
    <t>SERVICE HM;
  STEL REM GENERAL;
  LAMPU UTAMA KIRI MATI;</t>
  </si>
  <si>
    <t>BOCOR BAN NO. 10 (KBM);</t>
  </si>
  <si>
    <t>BOCOR BAN NO, 11;
  GANTI VLEG NO,12;</t>
  </si>
  <si>
    <t>BOCOR BAN NO 1</t>
  </si>
  <si>
    <t>CEK REM NO. 1.2.3.4;
  STEL REM GENERAL;</t>
  </si>
  <si>
    <t>BOCOR BAN NO. 3 ;</t>
  </si>
  <si>
    <t>PATAH BAUT RODA TROMOL NO, 6;</t>
  </si>
  <si>
    <t>ANGIN BAGIAN BELAKANG BERMASALAH(TIBA-TIBA HABIS);
  -PERBAIKAN SUSPENSI KABIN (TERASA SAKIT SAAT ADA JALAN KERITING/GELOMBANG)</t>
  </si>
  <si>
    <t>LAMPU BELAKANG MATI;
  REM KURANG MENAHAN;
  TAMBAH OLI HUB;
  INTARDER KURANG MENAHAN;</t>
  </si>
  <si>
    <t>PECAH VLEG NO. 9;</t>
  </si>
  <si>
    <t>DRIVER MENGAHADAP HRD (TERKAIT MASALAH KEHADIRAN)</t>
  </si>
  <si>
    <t>PATAH SPRING NO. 7;
  PATAH BAUT RODA TROMOL NO, 5;
  STEL REM GENERAL;</t>
  </si>
  <si>
    <t>PATAH CENTER BOLT KANAN BELAKANG
  KNALPOT PATAH
  PINTU CABIN BERMASALAH (TIDAK TERBUKA)</t>
  </si>
  <si>
    <t>HEADLAMP KANAN BERMASALAH;
  AC BERMASALAH (TIDAK DINGIN)</t>
  </si>
  <si>
    <t>CEK ADJUSTER NO. 5,7,8;
  STEL REM GENERAL;</t>
  </si>
  <si>
    <t>RAPIKAN SPRING F2 LH;
  PATAH SPRING NO. 6.7 RR RH;
  RAPIKAN HOSE ANGIN;
  ANGI TKOR;</t>
  </si>
  <si>
    <t>BOCOR BAN NO 5 (KM 19)</t>
  </si>
  <si>
    <t>CEK VESSEL</t>
  </si>
  <si>
    <t>PATAH SPRING KANAN BELAKANG 8 DAN 9;
  PATAH SPRING KIRI BELAKANG NO 5</t>
  </si>
  <si>
    <t>BOCOR BAN NO 12(JL BARU)</t>
  </si>
  <si>
    <t>GANTI KAMPAS NO. 8;</t>
  </si>
  <si>
    <t>PATAH CENTER BOLT BELAKANG KANAN;
  PATAH U BOLT DEPAN KIRI;</t>
  </si>
  <si>
    <t>PATAH BAUT RODA TROMOL NO 5, BOCOR BAN NO 6</t>
  </si>
  <si>
    <t>BOCOR BAN NO 2 (KM 16)</t>
  </si>
  <si>
    <t>BAR ANGIN BERMASALAH (BLOK 5 SAMPLE)</t>
  </si>
  <si>
    <t>GANTI TOKRUT ATAS
  CEK KAMPAS REM GENERAL
  TAMBAH OLI HAP
  KARET STOPPER</t>
  </si>
  <si>
    <t>RETARDER BERMASALAH</t>
  </si>
  <si>
    <t>BOCOR BAN NO 3 (STOCKPILE KM 7)</t>
  </si>
  <si>
    <t>BOCOR BAN NO 3 (SEPUTARARAN CBB)</t>
  </si>
  <si>
    <t>CEK KAMPAS GENERAL;
  TAMBAH OLI RETARDER;</t>
  </si>
  <si>
    <t>SERVICE KM; STEL REM GENERAL</t>
  </si>
  <si>
    <t>U BOLT DEPAN KIRI PATAH;
  RAPIHKAN SPRING KANAN TENGAH;</t>
  </si>
  <si>
    <t>LAS VESSEL;
  PERBAIKAN TAILGATE OTOMATIS</t>
  </si>
  <si>
    <t>GANTI KAMPAS TROMOL NO 3</t>
  </si>
  <si>
    <t>ANTRI/MACET DI LOADING POINT DAN PABRIK</t>
  </si>
  <si>
    <t>PATAH KONEKTOR ANGIN TENGAH DI ATAS PROPELLER (SIMPANG NAKULA)</t>
  </si>
  <si>
    <t>BOCOR BAN NO. 12;
  TAMBAH ANGIN 5,6;</t>
  </si>
  <si>
    <t>PATAH BAUT RODA TROMOL NO 5;
  PATAH SPRING F2 KIRI DEPAN NO 1;
  PATAH SPRING F2 KANAN DEPAN NO 11;
  GANTI KAMPAS REM NO 3;
  CEK KAMPAS REM GENERAL;
  TAMBAH AIR RADIATOR</t>
  </si>
  <si>
    <t>CEK PINTU VESSEL DAN TAILGATE MANUAL</t>
  </si>
  <si>
    <t>STEL REM GENERAL;
  KENALPOT PUTUS;
  PUTUS BAUT RODA TROMOL NO 7;</t>
  </si>
  <si>
    <t>LOW POWER;
  STEL TIEROD PANJANG</t>
  </si>
  <si>
    <t>PATAH CENTER BOLT KANAN BELAKANG;
  CEK REM GENERAL;
  DUDUKAN LAMPU BERMASALAH;
  KENCANG BOLT HUB TROMOL NO 5</t>
  </si>
  <si>
    <t>LAS TAIL GATE MANUAL</t>
  </si>
  <si>
    <t>PATAH BAUT RODA TROMOL NO. 6;
  KACA LAMPU RETING DEPAN KANAN;
  PATAH CORONG SARINGAN UDARA;</t>
  </si>
  <si>
    <t>PATAH TORQUEROD ATAS;
  BAUT SEAT SPRING;</t>
  </si>
  <si>
    <t>DRIVER ASLI ALFA (DIGANTI DRIVER SPARE), KLAKSON MATI, CEK ALARM MUNDUR</t>
  </si>
  <si>
    <t>CEK KAMPAS REM GENERAL; STEL REM GENERAL;</t>
  </si>
  <si>
    <t>BOCOR BAN NO 6 (NAKULA);</t>
  </si>
  <si>
    <t>BOCOR BAN NO 9 (NAKULA);</t>
  </si>
  <si>
    <t>GANTI BAN NO. 5.6.7.8;</t>
  </si>
  <si>
    <t>PATAH PER NO 1 BELAKANG KANAN</t>
  </si>
  <si>
    <t>ANGIN HABIS TEKOR (PENURUNAN ARJUNA)</t>
  </si>
  <si>
    <t>GANTI BAN NO 3,9 DAN 10</t>
  </si>
  <si>
    <t>VELG NO 9 RETAKK</t>
  </si>
  <si>
    <t>ANTRI/MACET DI STOCKPILE DAN PABRIK</t>
  </si>
  <si>
    <t>LAMPU UTAMA KANAN MATI;
  STEL REM GENERAL;</t>
  </si>
  <si>
    <t>BOCOR BAN NO 4 (DEKAT PENCUCIAN MASUK PABRIK)</t>
  </si>
  <si>
    <t>JATUH SPRING SEBELAH KIRI;
  CHAMBER PALING BEALAKANG PUTUS;
  GANTI KARET STOPPER KANAN DAN KIRI</t>
  </si>
  <si>
    <t>PERBAIKAN TAILGATE MANUAL;</t>
  </si>
  <si>
    <t>LAS KUPU-KUPU DUMP;
  LAS BANCIAN;</t>
  </si>
  <si>
    <t>DRIVER ASLI IBADAH (DIGANTI DRIVER SPARE)</t>
  </si>
  <si>
    <t>SENSOR ANGIN BERMASALAH;</t>
  </si>
  <si>
    <t>DUDUKAN TRUNNION PATAH (SEBELUM TANJAKAN MES CHINA)</t>
  </si>
  <si>
    <t>LAS VESSEL</t>
  </si>
  <si>
    <t>TAILGATE MANUAL BERMASALAH</t>
  </si>
  <si>
    <t>PATAH PER NO. 4.5;
  CEK CENTER PENBELAKANG KIRI;
  ANGIN BERMASALAH;</t>
  </si>
  <si>
    <t>PANAS NAIK (KERUSAKAN BERULANG)</t>
  </si>
  <si>
    <t>HOSE RADIATOR PECAH</t>
  </si>
  <si>
    <t>BOCOR BAN NO 1 (JEMBATAN KUNING, KM 10)</t>
  </si>
  <si>
    <t>UNIT PENGGANTI, JALAN LICIN DI LOADING POINT</t>
  </si>
  <si>
    <t>JALAN LICIN DI LOADING POINT</t>
  </si>
  <si>
    <t>SENSOR ANGIN BERMASAALH (BLOK 5)</t>
  </si>
  <si>
    <t>U BOLT BELAKANG KIRI PATAH;
  TAMBAH OLI HUB;
  BERSIHKAN AIR CLINER;</t>
  </si>
  <si>
    <t>PECAH OLI COOLER</t>
  </si>
  <si>
    <t>ANTRI/MACET DI LOADING POINT, TAMBAH AIR RADIATOR,</t>
  </si>
  <si>
    <t>TAMBAH OLI RETARDER; CEK KAMPAS REM</t>
  </si>
  <si>
    <t>DOL BAUT RODA TROMOL NO. 6,7; GANTI BAN NO. 7.8;</t>
  </si>
  <si>
    <t>PORSENELEN KERAS
  FILTER SOLAR BOCOR</t>
  </si>
  <si>
    <t>SPORING/CEK OLI STRING;
  STEL REM GENERAL';
  INTARDER KURANG MENAHAN;
  CEK KAMPAS REM GENERAL;
  KARET STOPER BELAKANG KIRI;</t>
  </si>
  <si>
    <t>CEK OLI HUB NO 1-4;
  GANTI KAMPAS REM NO 5 DAN 6;
  STEL REM GENERAL;
  KARET STOPPER BELAKANG;
  CEK LAMPU BELAKANG;
  RAPIHKAN SPRING TENGAH KIRI</t>
  </si>
  <si>
    <t>PATAH BAUT RODA TROMOL NO. 6;
  STEL REM GENERAL;</t>
  </si>
  <si>
    <t>CEK TAILGATE MANUAL DAN PINTU VESSEL</t>
  </si>
  <si>
    <t>SERVICE HM;
  CEK KONEKTOR ANGIN;</t>
  </si>
  <si>
    <t>ANTRI/MACET LOADING POINT, DAN PABRIK</t>
  </si>
  <si>
    <t>CEK SPRING DEPAN KIRI;</t>
  </si>
  <si>
    <t>KOMPRESSOR AC BOCOR</t>
  </si>
  <si>
    <t>[0208201204] BAHARUDDIN</t>
  </si>
  <si>
    <t>PECAH VELG NO 10 (BELAKANG WS HMSI), DOL BAUT RODA TROMOL NO. 7;</t>
  </si>
  <si>
    <t>TARGET, DRIVER ASLI SAKIT DIGANTI DRIVER SPARE</t>
  </si>
  <si>
    <t>PERSNELAN BERMASALAH</t>
  </si>
  <si>
    <t>BOCOR TANKI HIDROLIK
  TAMBAH OLI RETARDER</t>
  </si>
  <si>
    <t>HOSE AC BOCOR;
  TAMBAH OLI RETARDER;
  CEK REM GENERAL;</t>
  </si>
  <si>
    <t>TAMBAH OLI RETARDER;
  STEL REM GENERAL;
  CEK KAMPAS REM GENERAL;
  SEMPROT SARINGAN UDARA</t>
  </si>
  <si>
    <t>INDIKATOR FUEL BERMASALAH</t>
  </si>
  <si>
    <t>BOCOR BAN NO 10</t>
  </si>
  <si>
    <t>RAPIKAN SPRING DEPAN KANAN;
  RAPIKAN SPRING BAGIAN TENGAN KANAN;
  CEK COVER HUB NO. 1;</t>
  </si>
  <si>
    <t>KENCANGKAN BAUT RODA;</t>
  </si>
  <si>
    <t>DOL BAUT RODA TROMOL NO 7</t>
  </si>
  <si>
    <t>LOW POWER;
  ANGIN CEPAT HABIS;</t>
  </si>
  <si>
    <t>LOW POWER (TANJAKAN ARJUNA)</t>
  </si>
  <si>
    <t>INDIKATOR ANGIN BERMASALAH (JL.BARU SESUDAH PENCUCIAN)</t>
  </si>
  <si>
    <t>PATAH BAUT RODA TROMOL NO, 8;
  HANDLE PINTU KANAN BERMASALAH;</t>
  </si>
  <si>
    <t>[0209231831] ANGGI SIR HERYANTO</t>
  </si>
  <si>
    <t>BOCOR BAN NO 10, DAN 12 (JL BETON DEKAT PENCUCIAN)</t>
  </si>
  <si>
    <t>REPAIR MUFFLER KNALPOT</t>
  </si>
  <si>
    <t>PATAH BAUT RODA TROMOL NO. 6.7;
  PERBAIKAN ALARAM MUNDUR;</t>
  </si>
  <si>
    <t>BOCOR BAN NO 4, PATAH BAUT RODA TROMOL NO 6; DOL BAUT RODA TROMOL NO 5; STOPLAMP KANAN MATI;</t>
  </si>
  <si>
    <t>BOCOR BAN NO 9</t>
  </si>
  <si>
    <t>HUB DEPAN TROMOL NO. 1,2 BOCOR;
  ADJUSTER REM BERASAMALAH NO,8;
  CLIP SPRING F2 LH;
  LAMPU UTAMA UTAMA KIRI MATI;</t>
  </si>
  <si>
    <t>ISI FREON;</t>
  </si>
  <si>
    <t>[0106190914] FALDI HULOPI</t>
  </si>
  <si>
    <t>PATAH SPRING NO 2 BELAKANG KANAN
  AC BERMASALAH
  LAMPU SEIN KIRI BELAKANG MATI
  ADJUSTER 5 &amp; 7 BERMASALAH</t>
  </si>
  <si>
    <t>BRAKET STABILIZER DEPAN KANAN;
  CENTER PEN BELAKANG KIRI BELAKANG</t>
  </si>
  <si>
    <t>PERBAIKAN PINTU VESEL;
  PERBAIKAN TAILGATE MANUAL;</t>
  </si>
  <si>
    <t>TEMPERATUR NAIK (KERUSAKAN BERULANG)</t>
  </si>
  <si>
    <t>BOCOR HOSE ANGIN (GUNUNG MENANGIS)</t>
  </si>
  <si>
    <t>LOW POWER ENGINE</t>
  </si>
  <si>
    <t>BOCOR BAN NO 6 (KM 10)</t>
  </si>
  <si>
    <t>MELEDAK BAN NO 6 (STOCK PILE)</t>
  </si>
  <si>
    <t>TARGET, UNIT PENGGANTI</t>
  </si>
  <si>
    <t>RAPIKAN SPRING DEPAN KANAN; RAPIKAN SPRING BAGIAN TENGAN KANAN; CEK COVER HUB NO. 1</t>
  </si>
  <si>
    <t>ANTRI/MACET HUJAN JALAN BANJIR</t>
  </si>
  <si>
    <t>PATAH BAUT RODA TROMOL NO 7; GANTI BAN NO. 9,10;</t>
  </si>
  <si>
    <t>REM NO. 1 BERMASALAH;
  LAMPU UTAMA KIRI MATI;
  LAMPU STOP KIRI KANAN MATI;
  STEL REM GENERAL;</t>
  </si>
  <si>
    <t>BOCOR BAN NO 5 DAN 6 (KM 11)</t>
  </si>
  <si>
    <t>SPAKBOARD KANAN BELAKANG (MAU JATUH), BOCOR BAN NO 11 (PENGISIAN FUEL, BLOK 5), BOCOR BAN NO. 11;
  GANTI VLEG NO. 12;</t>
  </si>
  <si>
    <t>PATAH BAUT RODA TROMOL NO 7;
  AJASTER REM TROMOL 5 6 7 8;
  TAMBAH OLI HUP TROMOL 1 2 3 4;
  KONEKTOR ANGIN BERMASALAH SEBELAH KANAN</t>
  </si>
  <si>
    <t>LOW POWER</t>
  </si>
  <si>
    <t>PERBAIKAN BANCIAN</t>
  </si>
  <si>
    <t>PATAH BAUT RODA TROMOL NO 6
  RETARDER BERMASALAH</t>
  </si>
  <si>
    <t>ANGIN BERMASALAH</t>
  </si>
  <si>
    <t>GANTI KAMPAS NO. 6.8;</t>
  </si>
  <si>
    <t>PERBAIKAN TAILGATE OTOMATIS;
  PERBAIKAN TUTUP VESSEL</t>
  </si>
  <si>
    <t>BOCOR BAN NO 11 (SIMPANG NAKULA BLOK 8)</t>
  </si>
  <si>
    <t>GANTI KAMPAS REM TROMOL NO 1,2,3 DAN 4;
  GANTI KARET TORQUEROD (GENERAL)</t>
  </si>
  <si>
    <t>PATAH BAUT RODA TROMOL NO. 7;
  LAMPU DEPAN KIRI;</t>
  </si>
  <si>
    <t>PATAH BAUT RODA TROMOL NO. 5;
  CEK OLI HUB 1.2.3.4;</t>
  </si>
  <si>
    <t>BOCOR BAN NO 2 (TIMBANGAN TENGKORAK)</t>
  </si>
  <si>
    <t>UNIT PENGGANTI</t>
  </si>
  <si>
    <t>BOCOR BAN NO. 6;</t>
  </si>
  <si>
    <t>LAS PINTU VESSEL, STEL REM GENERAL;CEK KAMPAS REM GENERAL</t>
  </si>
  <si>
    <t>TAMBAH AIR COOLER;
  PATAH U BOLT DEPAN KIRI;
  DIFFLOCK BERMASALAH;
  CEK KAMPAS REM NO 2</t>
  </si>
  <si>
    <t>CEK KAMPAS REM GENERAL;
  STEL REM GENERAL;
  SENSOR OIL TEMPERATURE LEPAS;</t>
  </si>
  <si>
    <t>POWER STEARIING KELUAR OLI;
  MASTER KOPLING BERMASALAH;
  PATAH BAUT RODA TROMOL NO 6</t>
  </si>
  <si>
    <t>CEK KAMPAS REM GENERAL;
  BERSIHKAN SARINGAN UDARA</t>
  </si>
  <si>
    <t>TAMBAH OLI HUB;
  GANTI KAMPAS REM NO. 5.6.7;
  KARET STOPPER TENGAH;</t>
  </si>
  <si>
    <t>PATAH U BOLT DEPAN KIRI;
  GANTI KAMPAS NO. 7.8;
  TAMBAH OLI HUB;</t>
  </si>
  <si>
    <t>TAMBAH OLI RETARDER';
  STEL REM GENERAL;</t>
  </si>
  <si>
    <t>TAMBAH OLI RETARDER;</t>
  </si>
  <si>
    <t>REM BERMASALAH; CEK ADJUSTER GENERAL</t>
  </si>
  <si>
    <t>KAMPAS REM NO. 8;
  KLAKSON BESAR MATI;
  VALEP BOCOR;
  INDIKATOR ANGIN EROR;</t>
  </si>
  <si>
    <t>ATRI/MACET DI LOADING POINT DAN PABRIK</t>
  </si>
  <si>
    <t>LAS VESEL;</t>
  </si>
  <si>
    <t>PATAH BAU RODA TROMOL NO. 7;
  CEK OLI HUB;</t>
  </si>
  <si>
    <t>GANTI KEPALA AKI;</t>
  </si>
  <si>
    <t>BOCOR BAN NO 6 (COR-CORAN)</t>
  </si>
  <si>
    <t>TORQUEROD BAN SEBELAH KANAN LEPAS (MESS CHINA)</t>
  </si>
  <si>
    <t>LOCK PINTU KABIN BERMASALAH;
  LAMPU UTAMA KANAN MATI;</t>
  </si>
  <si>
    <t>BOCOR BAN NO 4</t>
  </si>
  <si>
    <t>RAPIKAN PER TENGAH KIRI KANAN;
  CEK ENGINE (NAIK PANAS)</t>
  </si>
  <si>
    <t>LAMPU SEIN DEPAN KIRI JATUH;</t>
  </si>
  <si>
    <t>PATAH BAUT RODA TRMOL NO. 7;
  CEK RADIATOR;
  KOPLENG BERMASALAH;</t>
  </si>
  <si>
    <t>ANTRI/MACET DI PABRIK, ISTIRAHAT SHOLAT JUMAT (SAMPLE TIMBANGAN TUTUP JAM 11:00 BUKA JAM 13:00)</t>
  </si>
  <si>
    <t>U BOLT DEPAN KANAN;
  KAMPAS REM NO 3 LIMIT</t>
  </si>
  <si>
    <t>GANTI KARET TORQUE ROD NO. 2.4 RH;
  GANTI TUTUP TANKI;
  KURAS TANKI SOLAR;</t>
  </si>
  <si>
    <t>PATAH CENTER PEN KANAN;
  SPAKBOARD KANAN DEPAN;
  KARET STOPPER TENGAH;
  CEK LAMPU STOP;</t>
  </si>
  <si>
    <t>MEREMBES OLI RETARDER;
  KAMPAS REM NO. 5 TIPIS BAGIAN ATAS;
  KLAKSON MATI;
  BERSIHKAN FILTER UDARA;
  REM NO. 4 KURANG MENAHAN;</t>
  </si>
  <si>
    <t>BOCOR BAN NO 6 (JEMBATAN KUNING, KM 8)</t>
  </si>
  <si>
    <t>GANTI KARET TORQUEROD KIRI;
  CEK KARET TORQUEROD KANAN;
  SEAT SPRING KIRI DEPAN BERMASALAH;
  STOPLAMP KIRI BERMASALAH;
  TAMBAH OLI HUB</t>
  </si>
  <si>
    <t>PECAH VELG NO 7 (JEMBATAN SIMPANG KBM)</t>
  </si>
  <si>
    <t>PECAH VLEG NO. 4;</t>
  </si>
  <si>
    <t>[0212221711] HASRUL</t>
  </si>
  <si>
    <t>REPAIR MUFFLER;
  STOPER CHASIS KIRI BELAKANG;
  GANTI SOKET TABUNG ANGIN KIRI;
  AIR RADIATOR;</t>
  </si>
  <si>
    <t>KARET TORQUE ROD ALL;</t>
  </si>
  <si>
    <t>BOCOR BAN NO 6 (KM 8, JEMBATAN KUNING)</t>
  </si>
  <si>
    <t>KONEKTOR ANGIN BERMASALAH</t>
  </si>
  <si>
    <t>CEK TAILGATE DAN BANCIAN</t>
  </si>
  <si>
    <t>TAMBAH OLI HUB;
  TAMBAH AIR RADIATOR;
  LAM UTAMA KIRI MATI;
  LAMPU SEN KANAN BELAKANG MATI;
  LAMP BELAKANG KANAN MATI;
  PERBAIKAN SAFETY SPRING TENGAH;</t>
  </si>
  <si>
    <t>CEK PROTECTION VALVE (STOCKPILE KM 8)</t>
  </si>
  <si>
    <t>PATAH U BOLT KIRI DEPAN;
  TAMBAH OLI HUB;</t>
  </si>
  <si>
    <t>KOPLING BERMASALAGH (PEDAL KOPING DELAY)</t>
  </si>
  <si>
    <t>LAS BUMPER DEPAN</t>
  </si>
  <si>
    <t>TAMBAH OLI RETARDER;
  STEL REM GENERAL</t>
  </si>
  <si>
    <t>SERVICE HM;
  TAMBAH OLI HUB NO.3.4;
  CEK KAMPAS REM NO. 3.4;</t>
  </si>
  <si>
    <t>MACET/ANTRI LOADING POINT</t>
  </si>
  <si>
    <t>TAMBAH OLI RETARDER ;
  LAMPU DEPAM KANAN MATI;
  STEL REM GENERAL;
  CEK KAMPAS GENERAL;</t>
  </si>
  <si>
    <t>GANTI NIPEL;</t>
  </si>
  <si>
    <t>KEPALA AKI BERMASALAH; SWITCH KLAKSON BERMASALAH</t>
  </si>
  <si>
    <t>LOW POWER;
  BOCOR OLI HUP KENAN DEPAN</t>
  </si>
  <si>
    <t>BOCOR BAN NO 6 (TIMBANGAN TENGKORAK)</t>
  </si>
  <si>
    <t>MACET/ANTRI LOADING POINT DAN PABRIK</t>
  </si>
  <si>
    <t>ACCIDENT (TIMBANGAN TENGKORAK)</t>
  </si>
  <si>
    <t>GANTI KAMPAS NO. .3.4;</t>
  </si>
  <si>
    <t>MELEDAK BAN NO 6 (AUREL)</t>
  </si>
  <si>
    <t>BOCOR BAN NO 4 (YUDISTIRA 10)</t>
  </si>
  <si>
    <t>LEPAS VELG NO 11 (BELAKANG POS SECURITY)</t>
  </si>
  <si>
    <t>LAS BANCIAN;</t>
  </si>
  <si>
    <t>GANTI KAMPAS NO. 7;
  STEL REM GENERAL;
  TAMBAH OLI HUB;
  BERSIHKAN AIR CLINER;</t>
  </si>
  <si>
    <t>PATAH SPRING NO. 7 BELAKANG KANAN;
  DOBLE GARDA BERAT TIDAK BERFUNGSI ;
  STEL REM GENERAL;
  GANTI KARET STOPER TENGAH BELAKANG;
  BERSIHKAN SARINGAN UDARA</t>
  </si>
  <si>
    <t>GANTI KAMPAS REM NO 3,4, DAN 6;
  POMPA HYDRAULIK BOCOR</t>
  </si>
  <si>
    <t>PATAH PER NO. 9,12 KIRI DEPAN;
  CEK ADJUSTER NO. 7;</t>
  </si>
  <si>
    <t>INTARDER BERMASALAH;
  SENSOR ANGIN;</t>
  </si>
  <si>
    <t>PATAH BAUT RODA TROMOL NO. 5;
  DOBLE TIDAK BERFUNGSI;</t>
  </si>
  <si>
    <t>LAS TAILGATE MANUAL;, DOBLE BERAT RINGAN BERMASALAH;
  BERSIHKAN AIR CLINER;</t>
  </si>
  <si>
    <t>KACA SEBELAH KANAN PECAH (KENA SERPIHAN BATU)</t>
  </si>
  <si>
    <t>UNIT PENGGANTI, BOCOR BAN NO 6 (TIMBANGAN TENGKORAK)</t>
  </si>
  <si>
    <t>BOCOR BAN NO 7 (SAMPLE BLOK 5)</t>
  </si>
  <si>
    <t>GANTI BAN NO 7 DAN 8, GREASE PELUMASAN</t>
  </si>
  <si>
    <t>TAMBAH AIR RADIATOR;
  KENCANGKAN RANTAI TAILGATE OTOMATIS</t>
  </si>
  <si>
    <t>BOCOR BAN NO 3, VESEL PINTU KURANG RAPAT</t>
  </si>
  <si>
    <t>GREASE PELUMASAN, PATAH SPRING NO 2 RR LH;
  HEADLAMP KANAN MATI;
  HYDROILIK (LAMBAT NAIK);
  BRAKE LINING F2 RH LH;
  PROPELLER JOINT RR;</t>
  </si>
  <si>
    <t>PATAH BAUT RODA TROMOL NO 6;
  KOPLING KERAS</t>
  </si>
  <si>
    <t>INTARDER KURANG MENAHAN KALAU ADA MUATAN (GIGI KECIL, TIDAK MENAHAN); CEK SEMUA TROMOL ; CEK REM GENERAL; LOW POWER (TIDAK ADA TENAGA SAAT MENDAKI); ADJUSTER NO 2; KAMPAS REM NO 3 DAN 4</t>
  </si>
  <si>
    <t>AC BERMASALAH</t>
  </si>
  <si>
    <t>REM BERMASALAH (ANGIN CEPAT HABIS);
  CENTER BOLT PATAH KIRI BELAKANG</t>
  </si>
  <si>
    <t>PECAH TRUNNION</t>
  </si>
  <si>
    <t>DINAMO CABIN BERMASALAH</t>
  </si>
  <si>
    <t>GREASE PELUMASAN, LAMPU UTAMA KIRI MATI;
  SEIN KANAN BELAKANG (PACAH KECA);
  STEL REM GENERAL</t>
  </si>
  <si>
    <t>ANTRI/MACET DI STOCKPILE</t>
  </si>
  <si>
    <t>GANTI BAN NO 3</t>
  </si>
  <si>
    <t>PERBAIKAN VESSEL;
  PEBBAIKAN RANTAI TAILGATE OTOMATIS (BERMASALAH)</t>
  </si>
  <si>
    <t>DRIVER ASLI SAKIT (DIGANTI DRIVER SAKIT)</t>
  </si>
  <si>
    <t>BOCOR BAN NO 6;
  GANTI BAN NO 3 DAN 4</t>
  </si>
  <si>
    <t>PATAH SPRING NO 4 KANAN BELAKANG;
  TAMBAH OLI HUB NO 1 DAN 4;
  GANTI KARET STOPPER ALL;
  CEK KARET TORQUEROD ATAS DAN BAWAH</t>
  </si>
  <si>
    <t>PATAH SPRING BELAKANG KANAN;</t>
  </si>
  <si>
    <t>[0110211509] DAHLAN BIN RABBI</t>
  </si>
  <si>
    <t>RAPIHKAN SPAKBOARD DEPAN KIRI DAN KANAN;
  BAUT U BOLT DEPAN KANAN (HILANG);
  TAMBAH OLI HUB TROMOL NO 4</t>
  </si>
  <si>
    <t>TEKOR ANGIN;
  STEL REM GENERAL</t>
  </si>
  <si>
    <t>GANTI BAN NO 11 , PATAH BAUT RODA TROMOL NO 8</t>
  </si>
  <si>
    <t>BOCOR BAN NO 10, GREASE PELUMASAN</t>
  </si>
  <si>
    <t>HUJAN/JALAN LICIN, ANTRI/MACET DI LOADING POINT</t>
  </si>
  <si>
    <t>GANTI BAN NO 7</t>
  </si>
  <si>
    <t>PATAH BAUT RODA TROMOL NO 7;
  TAMBAH OLI HUB NO 3;
  SEMPROT SARINGAN UDARA;
  CEK KAMPAS REM TROMOL NO 7 DAN 8</t>
  </si>
  <si>
    <t>TALI PENGIKAT TANGKI HYDRAULIK</t>
  </si>
  <si>
    <t>GREASE PELUMASAN, STEL REM GENERAL;
  TAMBAH OLI RETARDER;
  TAMBAH AIR RADIATOR</t>
  </si>
  <si>
    <t>CEK PINTU VESSEL</t>
  </si>
  <si>
    <t>PATAH U BOLT KIRI BELAKANG</t>
  </si>
  <si>
    <t>PATAH KONEKTOR ANGIN (KM 3)</t>
  </si>
  <si>
    <t>MACET/ANTRI DI LOADING POINT</t>
  </si>
  <si>
    <t>DIFLOCK BERMASALAH</t>
  </si>
  <si>
    <t>KLAKSON BERMASALAH;
  TAMBAH FREON</t>
  </si>
  <si>
    <t>KLAKSON BERMASALAH, GREASE PELUMASAN,</t>
  </si>
  <si>
    <t>GANTI KARET STOPPER, GREASE PELUMASAN,</t>
  </si>
  <si>
    <t>SENSOR ANGIN BERMASALAH</t>
  </si>
  <si>
    <t>DIFFLOCK BERMASALAH</t>
  </si>
  <si>
    <t>BOCOR BAN NO 3</t>
  </si>
  <si>
    <t>LOCK PEN VESSEL KIRI BERMASALAH</t>
  </si>
  <si>
    <t>CEK TUTUP VESSEL</t>
  </si>
  <si>
    <t>PATAH BAUT RODA TROMOL NO 6;
  COVER TRUNNION RETAK</t>
  </si>
  <si>
    <t>PIPA SOLAR BOCOR (NAKULA)</t>
  </si>
  <si>
    <t>HUJAN JALAN LICIN, LOADING POINT RUSAK, ISTIRAHAT SHOLAT JUMAT (SAMPLE TIMBANGAN TUTUP JAM 11:00 BUKA JAM 13:00)</t>
  </si>
  <si>
    <t>STEL REM GENERAL;
  DIFFLOCK BERMASALAH (DOUBLE BERAT TIDAK BERFUNGSI), GREASE PELUMASAN</t>
  </si>
  <si>
    <t>GANTI KAMPAS REM TROMOL NO 5;
  GANTI ADJUSTER TROMOL NO 5;
  TAMBAH OLI RETARDER;
  STEL REM GENERAL</t>
  </si>
  <si>
    <t>BAUT TORQUEROD KIRI BAWAH LONGGAR;
  TAMBAH OLI RETARDER;
  KEPALA AKI LONGGAR</t>
  </si>
  <si>
    <t>BOCOR BAN NO 3 (SAMPLE BLOK 5)</t>
  </si>
  <si>
    <t>RANTAI TAILGATE OTOMATIS LONGGAR</t>
  </si>
  <si>
    <t>LAMPU UTAMA KIRI MATI;
  PATAH BAUT RODA TROMOL NO 8;
  GANTI KARET STOPPER BELAKANG</t>
  </si>
  <si>
    <t>RANTAI TAILGATE OTOMATIS BERMASALAH</t>
  </si>
  <si>
    <t>STEL REM GENERAL, GREASE PELUMASAN,</t>
  </si>
  <si>
    <t>SESNOR ANGIN BERMASALAH</t>
  </si>
  <si>
    <t>GANTI SHOCKBREAKER SUSPENSI CABIN;
  CEK BUSHING CABIN;
  RAPIHKAN SPRING TENGAH KANAN</t>
  </si>
  <si>
    <t>DIFFLOCK BERMASALAH;
  KLAKSON MATI (KERUSAKAN BERULANG);
  KONEKTOR ANGIN (KETIKA KENA GUNCANGAN MERAH)</t>
  </si>
  <si>
    <t>BOCOR BAN NO 9 , DOL BAUT RODA TROMOL NO 7</t>
  </si>
  <si>
    <t>U BOLT R1 KIRI DEPAN LONGGAR
  BUANG ANGIN KOPLING KERAS
  SETEL REM GENERAL
  PERBAIKAN SPAKBOARD DALAM KIRI KANAN DEPAN
  TAMABAH OLI HUB SEMUA
  SERVICE ENGINE</t>
  </si>
  <si>
    <t>LAS SAFETY CHASSIS;
  LAS PINTU VESSEL;
  LAS SAFETY TABUNG ANGIN, GREASE PELUMASAN, GANTI KARET TORQUEROD ATAS</t>
  </si>
  <si>
    <t>GREASE PELUMASAN; 
  SPRING KIRI TENGAH;
  PERSNELAN KERAS;
  KLAKSON MATI</t>
  </si>
  <si>
    <t>GANTI KAMPAS REM TROMOL NO 4;
  CEK KAMPAS REM NO 1,2,3 DNA 8;
  STEL REM GENERAL;
  TAMBAH AIR RADIATOR</t>
  </si>
  <si>
    <t>BERSIHKAN AIR CLEANER;
  TAMBAH OLI RETARDER;
  LAMPU UTAMA KIRI GOYANG;
  GANTI NIPPLE;
  CEK U BOLT DEPAN, GANTI SPAKBOARD DEPAN KANAN &amp; KIRI;
  TAMBAH OLI POWER STEARING;
  KLAKSON BERMASALAH</t>
  </si>
  <si>
    <t>CEK REM NO 1,2,3 DAN 4;
  STEL REM GENERAL;
  FILTER SARINGAN UDARA BELAKANG CABIN LEPAS;
  TAMBAH OLI HUB DEPAN;
  RAPIHKAN SPRING TENGAH KIRI DAN KANAN</t>
  </si>
  <si>
    <t>GREASE PELUMASAN, TAMBAH OLI HUB F1 LH F2 LH;
  PENGANGKIS LUMPUR DEPAN KANAN (HAMPIR JATUH);
  GANTI KAMPAS REM TROMOL NO 3;
  CEK KEBOCORAN RADIATOR</t>
  </si>
  <si>
    <t>ANTRI/MACET DI LOADING POINT (RUSAK), HUJAN/JALAN LICIN</t>
  </si>
  <si>
    <t>PATAH BAUT RODA TROMOL NO 6;
  GANTI KARET STOPER;
  CEK AIR ACCU</t>
  </si>
  <si>
    <t>BOCOR BAN NO 5,6, 11, DAN 12, GANTI TORQUEROD ATAS;
  GANTI KARET STOPPER (4 PCS);
  GANTI BAUT RODA TROMOL NO 8</t>
  </si>
  <si>
    <t>BOCOR BAN NO 10 (TIMBANGAN KM 7)</t>
  </si>
  <si>
    <t>PATAH SPRING NO 7 BELAKANG KANAN;
  REPAIR MUFFLER</t>
  </si>
  <si>
    <t>FLANG RR BELAKANG; SPRING RR LH NO 2 GANTI; NIPPLE PROPELLER</t>
  </si>
  <si>
    <t>CENTER PEN KIRI PATAH;
  CEK SPRING ;
  SENSOR ANGIN BERMASALAH;</t>
  </si>
  <si>
    <t>BOCOR BAN NO 11 (KM 11)</t>
  </si>
  <si>
    <t>PATAH SPRING NO 3 KIRI BELAKANG;
  TUTUP TANKI FUEL BERMASALAH</t>
  </si>
  <si>
    <t>HOSE HYDRAULIK BOCOR;, PASANG LAPE-LAPE, GANTI BAN NO 8,9 DAN 11</t>
  </si>
  <si>
    <t>ANTRI/MACET DI LOADING POINT, HUJAN JALAN LICIN</t>
  </si>
  <si>
    <t>PATAH SPRING BELAKANG NO 11 DAN 12</t>
  </si>
  <si>
    <t>SPRING TENGAH KIRI PATAH NO 11;
  PTO BERMASALAH;
  PERNSELAN KERAS;
  SERVICE HM 7500;</t>
  </si>
  <si>
    <t>DRIVER SAKIT, GANTI KAMPAS REM NO 1,2,7, DAN 8;
  CEK ADJUSTER NO 2;
  STEL REM GENERAL</t>
  </si>
  <si>
    <t>BOCOR BAN NO 9, GREASE PELUMASAN, PATAH BAUT RODA TROMOL NO 7;
  TORQUEROD ATAS DAN BAWAH BERMASALAH;
  CEK KAMPAS REM TROMOL NO 7 DAN 8;
  KOPLING KERAS (KERUSAKAN BERULANG)</t>
  </si>
  <si>
    <t>GANTI BAN NO 7,8,11, DAN 12, TAMBAH OLI RETARDER;
  REM BERMASALAH;
  SEMPROT SARINGAN UDARA</t>
  </si>
  <si>
    <t>CEK TUTUP VESSEL; CEK GATE-GATE</t>
  </si>
  <si>
    <t>LAMPU UTAMA KANAN MATI;
  KLAKSON BERMASALAH;
  CEK KAMPAS REM TROMOL NO 7;</t>
  </si>
  <si>
    <t>GREASE PELUMASAN, GEARBOX STEARING BUNYI;
  GANTI KARET STOPPER DEPAN;</t>
  </si>
  <si>
    <t>STEL REM GENREAL, TAMBAH OLI RETARDER, GREASE PELUMASAN</t>
  </si>
  <si>
    <t>STEL REM GENERAL;
  CEK KAMPAS REM GENRAL;
  TAMBAH OLI RETARDER;
  GANTI TORQUEROD ATAS;
  LAMPU SEIN KANAN DEPAN MATI, GREASE PELUMASAN</t>
  </si>
  <si>
    <t>CEK BANCIAN</t>
  </si>
  <si>
    <t>GREASE PELUMASAN, LONGGAR BAUT RODA;
  BAUT RODA TERCABUT (BELAKANG WS HINO)</t>
  </si>
  <si>
    <t>GREASE PELUMASAN, PATAH CENTER PE BELAKANG KIRI;
  CEK KARET STOPPER;
  STEL REM GENERAL</t>
  </si>
  <si>
    <t>PENGECEKAN TAILGATE MANUAL; CEK RANTAI TAILGATE OTOMATIS</t>
  </si>
  <si>
    <t>PATAH SPRING NO 14 TENGAH KANAN
  TAMBAH AIR RADIATOR</t>
  </si>
  <si>
    <t>BOCOR BAN NO 11 (TIMBANGAN TENGKORAK),PATAH BAUT RODA TROMOL NO 8</t>
  </si>
  <si>
    <t>CEK REM GENERAL</t>
  </si>
  <si>
    <t>LOW POWER;
  KOPLING KERAS</t>
  </si>
  <si>
    <t>AC BERMASALAH;
  PATAH SPRING NO 7 KANAN BELAKANG;
  REM KURANG MENAHAN;
  TAMBAH AIR RADIATOR;</t>
  </si>
  <si>
    <t>GANTI BAN NO 6</t>
  </si>
  <si>
    <t>GANTI SHOCKBREAKER SUSPENSI CABIN; CEK BUSHING CABIN; RAPIHKAN SPRING TENGAH KANAN</t>
  </si>
  <si>
    <t>STEL REM GENERAL;
  REM TIDAK MENAHAN</t>
  </si>
  <si>
    <t>PECAH VELG NO 6;
  BOCOR BAN NO 5 (JL COR-CORAN)</t>
  </si>
  <si>
    <t>CENTER PEN F2 PATAH;
  CEK ADJUSTER TROMOL NO 4;
  GANTI KAMPAS REM TROMOL NO 5, DAN 6;
  STEL REM GENERAL</t>
  </si>
  <si>
    <t>U BOLT F1 KIRI;
  GANTI KAMPAS REM TROMOL NO 8;
  BAUT U BOLT F1 KIRI LONGGAR;
  KAMPAS REM TROMOL NO 1 DAN 2 RENGGANG;
  CEK ADJUSTER ALL;
  GANTI STOPPER BUMPER;
  HEADLAMP KANAN MATI;
  STOPLAMP KIRI MATI;
  TAMBAH AIR RADIATOR;</t>
  </si>
  <si>
    <t>PERBAIKAN TAILGATE OTOMATIS;
  LAS PINTU VESSEL</t>
  </si>
  <si>
    <t>GANTI KAMPAS REM TROMOL NO 8;
  STEL REM GENERAL</t>
  </si>
  <si>
    <t>PERBAIKAN LAMPU UTAMA KANAN BERMASALAH;
  PERBAIKAN BUMPER</t>
  </si>
  <si>
    <t>CEK VESSEL DAN TAILGATE MANUAL;</t>
  </si>
  <si>
    <t>GANTI BAN NO 4</t>
  </si>
  <si>
    <t>BOCOR BAN NO 12 (PIT NAKULA)</t>
  </si>
  <si>
    <t>PERSNELAN KERAS (STOCKPILE KM 8);
  LAMPU UTAMA KANAN MATI</t>
  </si>
  <si>
    <t>CEK ACCU, GREASE PELUMASAN</t>
  </si>
  <si>
    <t>HUJAN/JALAN LICIN</t>
  </si>
  <si>
    <t>CEK KAKI KAKI DEPAN (ADA BUNYI TIDAK NORMAL);
  REPAIR MUFFLER</t>
  </si>
  <si>
    <t>SWITCH KLAKSON BERMASALAH (KLAKSON MENYALA TERUS)</t>
  </si>
  <si>
    <t>INDIKATOR MENYALA TERUS (STOCKPILE)</t>
  </si>
  <si>
    <t>GREASE PELUMASAN, GANTI KAMPAS REM TROMOL NO 3, DAN 4;
  STEL REM GENERAL</t>
  </si>
  <si>
    <t>KOPLING KURANG MAKAN;
  STEL REM GENERAL</t>
  </si>
  <si>
    <t>GREASE PELUMASAN, PATAH CENTER PEN KANAN BELAKANG;
  STEL REM GENERAL</t>
  </si>
  <si>
    <t>GREASE PELUMASAN, GANTI KAMPAS REM NO 3 DAN 4, TAMBAH OLI HYDRAULIK</t>
  </si>
  <si>
    <t>TAMBAH FREON, CENTER PEN KANAN BELAKANG PATAH;</t>
  </si>
  <si>
    <t>BOCOR BAN NO 7 , SWITCH KLAKSON BERMASALAH, PATAH BAUT RODA TROMOL NO 6;
  REM TIDAK MENAHAN;
  CEK REM GENERAL</t>
  </si>
  <si>
    <t>LAS SPAKBOARD KIRI;
  LAS SAFETY TANKI;
  LAS SAFETY TABUNG ANGIN;
  LAS VESSEL;
  PERBAIKAN DUDUKAN LAMPU STOP</t>
  </si>
  <si>
    <t>STEL REM GENERAL;
  REM KURANG MENAHAN;
  KLAKSON BERMASALAH;
  BERSIHKAN SARINGAN UDARA;
  SPAKBOARD DEPAN KIRI BERMASALAH</t>
  </si>
  <si>
    <t>U BOLT DEPAN KIRI LONGGAR</t>
  </si>
  <si>
    <t>CENTER PEN BELAKANG KANAN PATAH;
  BAUT SEAT SPRING BERMASALAH;</t>
  </si>
  <si>
    <t>PATAH SPRING BELAKANG KIRI NO 5</t>
  </si>
  <si>
    <t>PATAH SPRING NO 5 KIRI BELAKANG;</t>
  </si>
  <si>
    <t>UNIT PENGGANTI 504</t>
  </si>
  <si>
    <t>CEK VESSEL; CEK TAILGATE MANUAL</t>
  </si>
  <si>
    <t>LONGGAR TORQUEROD BAWAH KIRI DEPAN</t>
  </si>
  <si>
    <t>PERSNELAN KERAS; LAMPU UTAMA KANAN MATI</t>
  </si>
  <si>
    <t>PECAH VELG NO 9</t>
  </si>
  <si>
    <t>STEL REM GENERAL;
  STEL REM GENERAL</t>
  </si>
  <si>
    <t>BOCOR BAN NO 12, DOL BAUT RODA TROMOL NO 8</t>
  </si>
  <si>
    <t>SERVICE HM 3000;
  FOOTSTEP CABIN KANAN BERMASALAH;
  KARET STOPPER BELAKANG JATUH;</t>
  </si>
  <si>
    <t>RADIATOR BOCOR</t>
  </si>
  <si>
    <t>STOPLAMP KANAN MATI;
  AIR RADIATOR BERKURANG TERUS;
  CEK SELANG RADIATOR;
  TAMBAH OLI RETARDER</t>
  </si>
  <si>
    <t>BOCOR BAN NO 5 (STOCKPILE KM 10)</t>
  </si>
  <si>
    <t>BOCOR BAN NO 11;
  GANTI VELG NO 8, COLOKAN KOREK BERMASALAH
  CEK ADJUSTER REM GENERAL
  U BOLT DEPAN KIRI PATAH
  LAMPU REM MATI</t>
  </si>
  <si>
    <t>PATAH BAUT RODA TROMOL NO 8;
  CEK RADIATOR;</t>
  </si>
  <si>
    <t>CEK PINTU VESSEL DAN TAILGATE</t>
  </si>
  <si>
    <t>KONEKTOR ANGIN PATAH;
  TAMBAH OLI POWER STEARING;
  STEL REM GENERAL;
  GANTI KAMPAS REM TROMOL NO 5;
  CEK KAMPAS REM GENERAL</t>
  </si>
  <si>
    <t>TAMBAH OLI HYDRAULIK, DUMP SUSAH TERANGKAT</t>
  </si>
  <si>
    <t>CENTER PEN KANAN BELAKANG PATAH [KEJADIAN BERULANG]
  SETEL REM GENERAL
  REM KURANG MENAHAN</t>
  </si>
  <si>
    <t>U BOLT BELAKANG KANAN LONGGAR;
  STEL REM GENERA;;</t>
  </si>
  <si>
    <t>STEL REM GENERAL, GREASE PELUMASAN</t>
  </si>
  <si>
    <t>PATAH SPRING DI TROMOL NO 3, SPRING NO 3</t>
  </si>
  <si>
    <t>GROUND TEST</t>
  </si>
  <si>
    <t>BOCOR HOSE RADIATOR (KM 2)</t>
  </si>
  <si>
    <t>LAMPU UTAMA KIRI MATI;
  KLAKSON BERMASLAH (BOCOR)</t>
  </si>
  <si>
    <t>GANTI BAN NO 6, TAILGATE MANUAL PATAH;
  LAS STANG LAMPU UTAMA KIRI, TEKOR ANGIN;</t>
  </si>
  <si>
    <t>U BOLT KIRI KANAN DEPAN PATAH;
  LAMPU UTAMA KANAN MATI</t>
  </si>
  <si>
    <t>GREASE PELUMASAN;
  CEK AIR ACCU, GANTI KAMPAS REM TROMOL NO 4;
  HOSE ANGIN BERMASALAH;
  CEK HOSE RETARDER;
  TAMBAH AIR RADIATOR (RADIATOR BERKURANG TERUS KETIKA PAGI)</t>
  </si>
  <si>
    <t>CEK AIR ACCU; GREASE PELUMASAN;</t>
  </si>
  <si>
    <t>PATAH BAUT RODA TROMOL NO 5;
  GANTI SAFETY MUFFLER; GREASE PELUMASAN</t>
  </si>
  <si>
    <t>GANTI VELG NO 12, PATAH BAUT RODA TROMOL NO 8</t>
  </si>
  <si>
    <t>GANTI BAN NO 9;
  BOCOR BAN NO 10, TAMBAH OLI HUB ALL;</t>
  </si>
  <si>
    <t>BOCOR BAN NO 3;
  GANTI BAN NO 4, REPAIR MUFFLER</t>
  </si>
  <si>
    <t>CEK BANCIAN DAN GATE-GATE;</t>
  </si>
  <si>
    <t>CENTER PEN KANAN BELAKANG PATAH [KEJADIAN BERULANG] SETEL REM GENERAL REM KURANG MENAHAN</t>
  </si>
  <si>
    <t>KOPLING BERMASALAH</t>
  </si>
  <si>
    <t>BOCOR BAN NPO 2 (JL BETON DEPAN PENCUCIAN)</t>
  </si>
  <si>
    <t>HUJAN/JLALAN LICIN</t>
  </si>
  <si>
    <t>SWITCH KLAKSON BERMASALAH, PATAH BAUT RODA TROMOL NO 8
  SWIT KLAKSON HABIS DI LOGISTIK</t>
  </si>
  <si>
    <t>TEKOR ANGIN</t>
  </si>
  <si>
    <t>RAPIHKAN SPRING TENGAH KANAN;
  STEL REM GENERAL;
  LOW POWER</t>
  </si>
  <si>
    <t>U BOLT KIRI DEPAN PATAH;
  RPM NAIK SAAT INJAK KOPLING;</t>
  </si>
  <si>
    <t>BOCOR BAN NO 3 (JEMBATAN CHINA)</t>
  </si>
  <si>
    <t>BOCOR BAN NO 10 (BLOK 5)</t>
  </si>
  <si>
    <t>HUJAN/JALAN LICIN, JALAN RUSAK</t>
  </si>
  <si>
    <t>GANTI KAMPAS REM TROMOL NO 1</t>
  </si>
  <si>
    <t>CEK TALI FANBELT</t>
  </si>
  <si>
    <t>GANTI BAN NO 3 DNA 9;, TAMBAH ANGIN NO 10, PERBAIKAN TAIL GATE(BANCIAN)</t>
  </si>
  <si>
    <t>LAMPU UTAMA KANAN MATI;
  GANTI KARET STOPPER R1 BELAKANG;
  GANTI KAMPAS REM TROMOL NO 7 DAN 8</t>
  </si>
  <si>
    <t>ANTRI.MACET DI PABRIK</t>
  </si>
  <si>
    <t>PATAH SPRING NO 3 DEPAN KANAN;
  STEL REM GENERAL;
  GANTI KARET STOPPER BELAKANG</t>
  </si>
  <si>
    <t>BOCOR BAN NO 4,GREASE PELUMASAN</t>
  </si>
  <si>
    <t>GREASE PELUMASAN, SETEL REM GENERAL</t>
  </si>
  <si>
    <t>SERVICE HM 8000</t>
  </si>
  <si>
    <t>CEK MOUNTING SEMUA;
  MOUNTING ENGINE BAWAH KIRI PUTUS;
  TAMBAH OLI HUB;
  BERSIHKAN AIR CLEANER</t>
  </si>
  <si>
    <t>CEK BANCIAN; CEK GATE-GATE</t>
  </si>
  <si>
    <t>LAMPU SEIN MATI SEMUA;
  STOPLAMP KIRI KANAN MATI;
  GANTI KARET STOPPER KIRI KANAN;</t>
  </si>
  <si>
    <t>TAILGATE OTOMATIS BERMASALAH;
  LAS TAILGATE OTOMATIS</t>
  </si>
  <si>
    <t>BOCOR TANKI FUEL</t>
  </si>
  <si>
    <t>GANTI KAMPAS NO. 5.7;
  CEK ENGINE MOUNTING;
  STEL REM GENERAL;</t>
  </si>
  <si>
    <t>GANTI BAN NO. 9;</t>
  </si>
  <si>
    <t>LAS PINTU VESSEL</t>
  </si>
  <si>
    <t>HUJAN JALAN LICIN, (SHOLAT JUMAT,SAMPLE TIMBANGAN TUTUP JAM 11:00 BUKA JAM 13:00)</t>
  </si>
  <si>
    <t>BOCOR BAN NO. 1 (LOADING POINT NAKULA);</t>
  </si>
  <si>
    <t>PATAH U BOLT DEPAN KIRI (POSISI BLOK 8);</t>
  </si>
  <si>
    <t>GANTI BAN NO. 10;</t>
  </si>
  <si>
    <t>PERBAIKAN SPAKBOARD KIRI</t>
  </si>
  <si>
    <t>CEK PINTU VESSEL; CEK TAILGATE MANUAL DAN OTOMATIS</t>
  </si>
  <si>
    <t>BOCOR BAN NO. 11 (TIMBANGAN TENGKORAK); PATAH BAUT RODA TROMOL NO, 8;</t>
  </si>
  <si>
    <t>CEK GATE-GATE MANUAL; CEK VESSEL</t>
  </si>
  <si>
    <t>BOCOR BAN NO. 2;</t>
  </si>
  <si>
    <t>BOCOR BAN 10 (KM 2);</t>
  </si>
  <si>
    <t>CEK PEN VESSEL</t>
  </si>
  <si>
    <t>GANTI KARET TORQUE ROD BAWAH;
  PERBAIKAN SPAKBOAR DEPAN KIRI KANAN;
  RAPIKAN SPRING F2 KANAN;
  BRAKE LINING R1 LH;
  CEK FLANGE R1 DEPAN</t>
  </si>
  <si>
    <t>BAUT RODA TROMOL NO 7 PATAH'
  REPAIR/ GANTI SPAKBOARD DEPAN KIRI KANAN;
  LONG TIEROD F2 BENGKOK;
  GANTI KAMPAS REM TROMOL NO 7, DAN 8;
  TAMBAH OLI HUB TROMOL NO 1,2,3, DAN 4</t>
  </si>
  <si>
    <t>ISTIRAHAT SHOLAT JUMAT, SAMPLE TIMBANGAN TUTUP JAM 11:00 BUKA JAM 13:00</t>
  </si>
  <si>
    <t>CEK SEMUA CLAM HOSE;
  PATAH SPRING BELAKANG KIRI NO.1;
  CEK CENTER PEN KANAN;
  SKRING KLAKSON;</t>
  </si>
  <si>
    <t>CEK SAFETY TANKI; CEK BANCIAN</t>
  </si>
  <si>
    <t>STEL REM GENERAL;
  CEK KAMPAS KOPLENG;</t>
  </si>
  <si>
    <t>(ISTIRAHAT SHOLAT JUMAT,SAMPLE TIMBANGAN TUTUP JAM 11:00 BUKA JAM 13:00)</t>
  </si>
  <si>
    <t>PATAH CENTER PEN BELAKANG KANAN (KERUSAKAN BERULANG);
  CEK TRUNNION</t>
  </si>
  <si>
    <t>BOCOR BAN NO. 8 (KM 10);BOCOR BAN NO 12 (KM 7)</t>
  </si>
  <si>
    <t>CEK BANCIAN; CEK SPAKBOARD BELAKANG</t>
  </si>
  <si>
    <t>BOCOR BAN NO. 12 (KBM);</t>
  </si>
  <si>
    <t>LOW POWER;
  SERVICE HM 3000;</t>
  </si>
  <si>
    <t>BOCOR RADIATOR (STOCKPILE KM 8)</t>
  </si>
  <si>
    <t>REPAIR MUFFLER;
  PENGIKAT TANKI HYDRAULIK BERMASALAH;
  PENANGKIS LUMPUR DEPAN KIRI BERMASALAH;</t>
  </si>
  <si>
    <t>SERVCIE HM;
  PATAH BAUT RODA TROMOL NO. 7;</t>
  </si>
  <si>
    <t>SAFETY TANK HYDROLIK PUTUS;
  TAMBAH AIR RADIATOR;
  TAMBAH OLI RETARDER;
  CEK KAMPAS GENERAL;</t>
  </si>
  <si>
    <t>BOCOR BAN NO. 4;</t>
  </si>
  <si>
    <t>ALAT YANG BEROPERASI DI STOCK PILE CUMA 1 (1 ALAT BREAKDOWN),</t>
  </si>
  <si>
    <t>PATAH BAUT RODA TROMOL NO 8;
  PERBAIKAN STOPLAMP KIRI</t>
  </si>
  <si>
    <t>STOPER BUAMPER;
  ADJUST REM GENERAL;
  LOW POWER;
  CEK MOUNTING;</t>
  </si>
  <si>
    <t>MUFFLER BOCOR;
  SPAKBOARD JATUH KIRI DEPAN;</t>
  </si>
  <si>
    <t>SPAKBOARD KIRI TENGAH BERMASALAH;</t>
  </si>
  <si>
    <t>LAS STAND SPAKBOARD;PATAH SPRING RR LH;
  CEK ADJUSTER R2 RH (RENGGANG)</t>
  </si>
  <si>
    <t>PATAH SPRING BELAKANG NO 4;
  ANGIN TEKOR ;
  GANTI KAMPAS REM TROMOL NO 2,5,7, DAN 8;
  TAMBAH OLI HUB NO 1, DAN 3</t>
  </si>
  <si>
    <t>PATAH CENTER PEN BELAKANG KANAN;</t>
  </si>
  <si>
    <t>CEK PINTU VESSEL; CEK TAILGATE MANUAL</t>
  </si>
  <si>
    <t>SETEL REM GENERAL
  PATAH BAUT RODA TROMOL NO 7
  LAMPU BELAKANG KIRI MATI
  CEK OLI HUB</t>
  </si>
  <si>
    <t>SETEL REM GENERAL
  DOBEL RINGAN BERMASALAH</t>
  </si>
  <si>
    <t>LAMPU UTAMA KIRI MATI;
  STOPLAMP KANAN MATI;
  PATAH BAUT RODA TROMOL NO 8</t>
  </si>
  <si>
    <t>PATAH SPRING NO. 3 BELAKANG KIRI;
  PATAH BAUT RODA TROMOL NO. 5;
  LAMPU UTAMA KIRI MATI;
  STEL REM GENERAL;
  RAPIKAN SPAKBOARD;</t>
  </si>
  <si>
    <t>STEL REM GENERAL (KURANG MENAHAN);</t>
  </si>
  <si>
    <t>PATAH CENTER PEN BELAKANG KIRI;
  CEK KAMPAS REM GENERAL;
  STEL REM GENERAL;</t>
  </si>
  <si>
    <t>BAUT RODA TROMOL NO 7 PATAH' REPAIR/ GANTI SPAKBOARD DEPAN KIRI KANAN; LONG TIEROD F2 BENGKOK; GANTI KAMPAS REM TROMOL NO 7, DAN 8; TAMBAH OLI HUB TROMOL NO 1,2,3, DAN 4</t>
  </si>
  <si>
    <t>BOCOR BAN NO. 3 ( BLOK 5);</t>
  </si>
  <si>
    <t>PRIDER GARDAN R2;
  GANTI KARET STOPPER BELAKANG KIRI DAN KANAN</t>
  </si>
  <si>
    <t>PATAH PER NO. 8 KIRI BELAKANG;
  LAMPU SEIN KANAN BELAKANG;
  LAMPU STOP MATI;
  ALARAM MUNDUR MATI;</t>
  </si>
  <si>
    <t>BOCOR BAN NO. 4 (QMB); GANTI BAN NO 4</t>
  </si>
  <si>
    <t>PATAH BAUT RODA TROMOL NO. 5 (2 PCS);</t>
  </si>
  <si>
    <t>MELEDAK BAN NO. 1;</t>
  </si>
  <si>
    <t>BOCOR BAN NO. 11 (WS 6 PABRIK);</t>
  </si>
  <si>
    <t>BOCOR BAN NO, 5 (MES MEI MEI);</t>
  </si>
  <si>
    <t>ANGIN KLAKSON BOCOR;</t>
  </si>
  <si>
    <t>DRIVER SAKIT</t>
  </si>
  <si>
    <t>UNIT PENGGANTI DT 500, BOCOR BAN NO. 6;</t>
  </si>
  <si>
    <t>GROUND TEST (TEST UNIT)</t>
  </si>
  <si>
    <t>CEK HOSE ANGIN
  CEK KEKENCANGAN RANTAI TAIL GATE
  CEK KAMPAS REM GENERAL
  SETEL REM GENERAL</t>
  </si>
  <si>
    <t>LOW POWER; SERVICE HM 3000;</t>
  </si>
  <si>
    <t>DRIVER ASLI SAKIT (DIGANTI DRIVER SPARE), HUJAN JALAN LICIN</t>
  </si>
  <si>
    <t>BOCOR BAN NO 12</t>
  </si>
  <si>
    <t>BOCOR BAN NO 11 (KM 18)</t>
  </si>
  <si>
    <t>TAMBAH OLI RETARDER;
  STEL REM GENERA;
  CEK BEHEL KIRI DEPAN TENGAH;
  KENCANGKAN TAILGATE OTOMATIS;</t>
  </si>
  <si>
    <t>RADIATOR BOCOR (KM 2);, LAS PIPA RADIATOR;</t>
  </si>
  <si>
    <t>BOCOR BAN NO 11 DAN 12</t>
  </si>
  <si>
    <t>BOCOR BAN NO. 11;LAS KNALPOT;</t>
  </si>
  <si>
    <t>VESSEL BERMASALAH (WORKSHOP)</t>
  </si>
  <si>
    <t>SERVICE HM 8000;
  STEL REM GENERAL;
  GANTI KARET STOPPER KIRI DAN KANAN BELAKANG;
  CENTER PEN KANAN PUTUS;
  CEK CENTER PEN KIRI DAN KANAN;
  CEK HOSE</t>
  </si>
  <si>
    <t>GANTI BAN NO. 5;</t>
  </si>
  <si>
    <t>GANTI VELG NO 3 KIRI, SERVICE HM 8000;
  STEL REM GENERAL;
  GANTI KARET STOPPER KIRI DAN KANAN BELAKANG;
  CENTER PEN KANAN PUTUS;
  CEK CENTER PEN KIRI DAN KANAN;
  CEK HOSE</t>
  </si>
  <si>
    <t>PATAH BAUT RODA TROMOL NO 6;
  CEK TURNION KIRI-KANAN;
  STEL REM GENERAL</t>
  </si>
  <si>
    <t>GANTI KARET STOPPER;
  KOPLING KERAS;
  FANBELT AC BERMASALAH</t>
  </si>
  <si>
    <t>BOCOR BAN NO 6, REM KERAS</t>
  </si>
  <si>
    <t>PATAH CENTER BOLT BELAKANG KIRI
  RETAK SEAT SPRING KIRI DEPAN;
  PATAH SPRING NO. 2 KANAN BELAKANG;
  LAMPU BELAKANG MATI;</t>
  </si>
  <si>
    <t>STEL REM GENERAL; CEK KAMPAS KOPLENG;</t>
  </si>
  <si>
    <t>REM NO. 7 BERMASALAH;</t>
  </si>
  <si>
    <t>UNIT PENGGANTI (DT 510)</t>
  </si>
  <si>
    <t>GANTI BAN NO. 9, 10; BOCOR BAN NO. 4;</t>
  </si>
  <si>
    <t>BOCOR BAN NO. 7 (KBM C LAMA);</t>
  </si>
  <si>
    <t>UNIT PENGGANTI (DT 509)</t>
  </si>
  <si>
    <t>BOCOR BAN NO. 9; LAMPU UTAMA MATI KANAN;
  CEK MOUNTING PROPELER;
  STEL REM GENERAL;</t>
  </si>
  <si>
    <t>REM TIDAK MENAHAN;
  STEL REM GENERAL;
  CEK KAMPAS REM GENERAL;
  CEK ADJUSTER</t>
  </si>
  <si>
    <t>SETEL REM GENERAL
  CEK KAMPAS REM NO 1,2,3,6,8.
  PATAH PER BELAKANG SEBELAH KIRI NO 4</t>
  </si>
  <si>
    <t>LAS VESEL DEPAN;</t>
  </si>
  <si>
    <t>BOCOR BAN NO 12 (KM 10), PATAH BAUT RODA TROMOL NO. 8;
  CEK KAMPAS REM GENERAL;
  STEL REM GENERAL;
  TAMBAH OLI REATARDER;
  CEK TORQUE ROD;</t>
  </si>
  <si>
    <t>GANTI BAN NO 7 8, DIFLOK BERMASALAH</t>
  </si>
  <si>
    <t>BOCOR BAN NO. 9.10 (KM 19);</t>
  </si>
  <si>
    <t>GANTI BAN NO. 11.12; BOCOR SELANG ANGIN;
  PATAH BAUT RODA TROMOL NO. 7;
  GANTI KARET STOPPER BELAKANG;</t>
  </si>
  <si>
    <t>GANTI BAN NO 7, TORQUE ROD BAWAH KIRI;</t>
  </si>
  <si>
    <t>CEK OIL ENGINE; CEK REM</t>
  </si>
  <si>
    <t>LAS PINTU VESEL;
  PEN VESEL ATAS KIRI LEPAS;</t>
  </si>
  <si>
    <t>BOCOR BAN NO 4 (KRESER), KONEKTOR ANGIN BERMASALAH (BERULANG)</t>
  </si>
  <si>
    <t>BOCOR BAN NO. 10, PATAH KNALPOT BAGIAN ATAS;</t>
  </si>
  <si>
    <t>CEK PEN PINTU VESSEL; CEK TAILGATE</t>
  </si>
  <si>
    <t>PATAH SPRING NO. 3 TENGAH KANAN;</t>
  </si>
  <si>
    <t>PATAH PER NO. 6 KIRI BELAKANG;</t>
  </si>
  <si>
    <t>PATAH BAUT RODA TROMOL NO 5;
  PERBAIKAN SPAKBOARD DEPAN KANAN</t>
  </si>
  <si>
    <t>PATAH SPRING NO. 1 BELAKANG KIRI;</t>
  </si>
  <si>
    <t>BOCOR OIL SEAL POWER STEARING (QMB, DEKAT PENCUCIAN)</t>
  </si>
  <si>
    <t>PATAH SPRING KIRI BELAKANG;
  SEMPROT SARINGAN UDARA;
  TAMBAH OLI HUB;</t>
  </si>
  <si>
    <t>PEMASANGAN KARET STOPPER ALL;
  PERBAIKAN SPRING TENGAH KANAN;
  PATAH SPRING NO 5 KIRI BELAKANG;
  PATAH SPRING NO 3 KANAN BELAKANG;
  CEK KAMPAS REM ALL;
  STEL REM ALL</t>
  </si>
  <si>
    <t>BOCOR BAN NO. 2 (ARJUNA);GANTI BAN NO 2, DAN 9, GANTI KARET TORQUEROD KANAN</t>
  </si>
  <si>
    <t>HUJAN/JALAN LICIN, ANTRI LOADING POINT CUMA 1</t>
  </si>
  <si>
    <t>TRUNNION PECAH</t>
  </si>
  <si>
    <t>GANTI VELG NO. 12;NAIK PANAS;
  TAMBAH OLI HUB;
  KENCANGKAN BAUT KARET STOPER;</t>
  </si>
  <si>
    <t>GANTI BAN NO. 11;, LOW POWER;</t>
  </si>
  <si>
    <t>BOCOR BAN NO. 10 (NAKULA);, PATAH BAUT RODA TROMOL NO 7</t>
  </si>
  <si>
    <t>KONEKTOR ANGIN BERMASALAH (BERULANG)</t>
  </si>
  <si>
    <t>BOCOR BAN NO. 8 (KM 6);BOCOR BAN NO. 8; GREASE PELUMASAN</t>
  </si>
  <si>
    <t>GANTI BAN NO. 7.8;INDIKATOR ANGIN EROR;
  CENTER BOLT PUTUS BELAKANG KIRI;
  KLAKSON MATI;
  CEK REM GENERAL;</t>
  </si>
  <si>
    <t>LAS BANCIAN;
  PASANG SPRING TAILGATE OTOMATIS (SEBELAH KIRI)</t>
  </si>
  <si>
    <t>LAS MUFFLER;
  TAMBAH OLI HUB;</t>
  </si>
  <si>
    <t>PINTU VESEL BERMASALAH;PATAH SPRING NO. 12 R2 KIRI DEPAN;
  PATAH SPRING NO. 8 KIRI BELAKANG;</t>
  </si>
  <si>
    <t>PATAH U BOLT KIRI DEPAN;
  LAMPU UTAMA KIRI MATI</t>
  </si>
  <si>
    <t>REPAIR MUFFLER;
  SEIN KANAN LEPAS</t>
  </si>
  <si>
    <t>PATAH BAUT RODA TROMOL NO. 6;
  REM NO.8 KURANG MENAHAN;
  STEL REM GENERAL;</t>
  </si>
  <si>
    <t>PATAH PER NO.2 BELAKANG KIRI;</t>
  </si>
  <si>
    <t>BOCOR BAN NO 3, TAMBAH OLI POWERSTRING;
  STEL REM GENERAL;</t>
  </si>
  <si>
    <t>CEK PINTU VESSEL; CEK TAILGATE</t>
  </si>
  <si>
    <t>BOCOR BAN NO. 6;
  GANTI BAN NO. 3.4; PATAH BAUT RODA F2 TROMOL NO 3;
  STEL REM GENERAL</t>
  </si>
  <si>
    <t>PATAH SPRING KIRI BELAKANG NO 1 DAN 3;
  CEK KAMPAS REM GENERAL;
  STEL REM GENERAL;
  PASANG KARET STOPPER SPRING</t>
  </si>
  <si>
    <t>TAMBAH FREON</t>
  </si>
  <si>
    <t>PATAH SPRING NO. 2.3.4.5.6 DEPAN KIRI;
  PATAH PER NO.3 DEPAN KIRI;
  GANTI KARET STOPER TENGAH;</t>
  </si>
  <si>
    <t>PATAH PER NO. 9 KIRI BELAKANG;
  KOPLENG KERAS;
  V BELT AC BERMASALAH;</t>
  </si>
  <si>
    <t>PATAH SLANG ANGIIN TABUNG (POSILSI PENCUCIAN JALAN BARU)</t>
  </si>
  <si>
    <t>TARGET (PENGGANTI UNIT DT 529)</t>
  </si>
  <si>
    <t>TARGET (PENGGANTI UNIT DT 534)</t>
  </si>
  <si>
    <t>TARGET (PENGGANTI UNIT DT 500)</t>
  </si>
  <si>
    <t>RETARDER KURANG MENAHAN;
  REM NO. 4 BERMASALAH;
  SPAKBOARD KIRI KANAN MAU JATUH;</t>
  </si>
  <si>
    <t>LAMPU REM KIRI MATI;
  LAMPU UTAMA KIRI MATI;</t>
  </si>
  <si>
    <t>NAIK PANAS; TAMBAH OLI HUB; KENCANGKAN BAUT KARET STOPER;</t>
  </si>
  <si>
    <t>GANTI KAMPAS REM TROMOL NO 3;
  PATAH SPRING NO 4 BELAKANG KANAN;
  GANTI KARET STOPPER BUMPER</t>
  </si>
  <si>
    <t>PATAH BAUT RODA TROMOL NO. 5;
  LAMPU STOP KANAN MATI;</t>
  </si>
  <si>
    <t>REM TROMOL NO 7 TIDAK BERFUNGSI;
  CEK KAMPAS REM GENERAL;
  STEL REM GENERAL;
  REPAIR MUFFLER</t>
  </si>
  <si>
    <t>BOCOR BAN NO. 3 (KM 5);</t>
  </si>
  <si>
    <t>TAMBAH OLI HUB
  CEK KAMPAS REM GENERAL</t>
  </si>
  <si>
    <t>GANTI KAMPAS REM TROMOL NO. 5.6 BAGIAN ATAS;
  STEL REM GENERAL;
  CENTER BOLT BELAKANG KANAN PATAH;
  CEK KAMPAS REM NO. 3,4;</t>
  </si>
  <si>
    <t>REM BERMASALAH;
  PATAH BAUT RODA TROMOL NO. 5;</t>
  </si>
  <si>
    <t>U BOLT KIRI BEAKANG PATAH;
  GANTI KAMPAS REM TROMOL NO 8;
  GANTI KARET STOPPER KIRI DAN KANAN BELAKANG;
  PERBAIKAN PENAHAN LUMPUR;
  SPAKBOARD KANAN DEPAN BERMASALAH;
  STEL REM GENERAL</t>
  </si>
  <si>
    <t>GANTI BAN NO 9&amp;10, PATAH BAUT RODA TROMOL NO 7</t>
  </si>
  <si>
    <t>PATAH PER NO 3 BELAKANG KANAN
  SERVICE HM 7500
  RAPIKAN PER TOMOL NO 4</t>
  </si>
  <si>
    <t>BRAKET SPRING DEPAN SEBELAH KANAN PATAH
  UBOL DEPAN SEBELAH KIRI PATAH
  CEK BOUSING TURNIOM KIRI DAN KANAN</t>
  </si>
  <si>
    <t>SPRING F2 LH NO, 4;
  RAPIKAN SPRING F2 RH</t>
  </si>
  <si>
    <t>PATAH SPRING NO. 12 R2 KIRI DEPAN; PATAH SPRING NO. 8 KIRI BELAKANG;</t>
  </si>
  <si>
    <t>BOCOR RADIATOR (KM 2, DEKAT PENCUCIAN MES MEIMEI)</t>
  </si>
  <si>
    <t>KABEL LAMPU BELAKANG KANAN PUTUS;
  LAMPU DEPAN KIRI MATI;</t>
  </si>
  <si>
    <t>PATAH SPRING NO 3 (DEPAN KIRI); KARET STOPPER DEPAN KANAN, HUJAN JALAN LICIN</t>
  </si>
  <si>
    <t>LONGGAR TAILGATE OTOMATIS; DOL BAUT RODA TROMOL NO 7, HUJAN JALAN LICIN</t>
  </si>
  <si>
    <t>BOCOR BAN 10 (KBM C);</t>
  </si>
  <si>
    <t>TORQUE ROD ATAS BAWAH;
  CEK ENGINE MOUNTING;
  ADJUST REM GENERAL;</t>
  </si>
  <si>
    <t>LOW POWER (GROUND TEST)</t>
  </si>
  <si>
    <t>PATAH SPRING NO. 9,10,11 BELAKANG KANAN;
  LAMP STOP KANAN MATI;
  TAMBAH OLI RETARDER;
  CEK OLI ENGINE;</t>
  </si>
  <si>
    <t>LOADING POINT CUMA 1; HUJAN JALAN LICIN, ANTRI MACET (JALAN BERMASALAH)</t>
  </si>
  <si>
    <t>PTO TIDAK BERFUNGSI (STOCKPILE KM 8)</t>
  </si>
  <si>
    <t>TAMBAH OLI RETARDER;
  CEK KAMPAS REM GENERAL;
  STEL REM GENERAL;</t>
  </si>
  <si>
    <t>TORQUE ROD ATAS LONGGAR;</t>
  </si>
  <si>
    <t>GANTI KARET STOPEER BELAKANG;
  TAMBAH OLI HUB;
  RAPIKAN SPAKBOARD DEPAN KIRI;
  ADJUST REM GENERAL;
  KELAKSON TIDAK BUNYI;
  ENGINE MOUNTING DEPAN KIRI KALAH;</t>
  </si>
  <si>
    <t>GANTI HEADRAYER;
  SPRING F2 RH NO. 4;
  LINIG F2 RH LH;
  LINING R1 LH;
  HUB NO. 4 BOCOR;</t>
  </si>
  <si>
    <t>TIDAK BISA START</t>
  </si>
  <si>
    <t>BOCOR BAN NO. 9 (KM 3);</t>
  </si>
  <si>
    <t>PATAH CENTER BOLT KIRI BELAKANG;
  STEL REM GENERAL;</t>
  </si>
  <si>
    <t>RETARDER BERMASALAH;
  REPAIR SPAKBOARD KIRI KANAN DEPAN;
  RAPIKAN PER KIRI DEPAN;</t>
  </si>
  <si>
    <t>SELANG RADIATOR KE RETARDER BOCOR;
  REPAIR SPAKBOARD NO. 3;</t>
  </si>
  <si>
    <t>SPRING F2 LH NO, 4; RAPIKAN SPRING F2 RH</t>
  </si>
  <si>
    <t>PATAH BAUT RODA TROMOL NO. 8;
  OLI POWERSTRING;</t>
  </si>
  <si>
    <t>DOL BAUT RODA TROMOL NO. 7;
  STEL REM GENERAL;</t>
  </si>
  <si>
    <t>REPAIR MUFFLER;
  TAMBAH OLI HUB</t>
  </si>
  <si>
    <t>STEL REM GENERAL; CEK CENTER BOLD KIRI BELAKANG; PATAH SPRING NO 10 KANAN BELAKANG;</t>
  </si>
  <si>
    <t>ANTRI MACET DI PABRIK</t>
  </si>
  <si>
    <t>PATAH CENTER PEN DEPAN F1 NO. 2;</t>
  </si>
  <si>
    <t>BOCOR BAN NO. 12;</t>
  </si>
  <si>
    <t>LOW POWER (INDIKATOR IKAN MENYALA);</t>
  </si>
  <si>
    <t>GANTI OLI ENGINE;
  SEMPROT SARINGAN UDARA;
  LAMPU SEN BELAKANG MATI;
  LAMPU PARKIR KANAN MATI;</t>
  </si>
  <si>
    <t>BOCOR BAN NO. 6 (KM 10);, PATAH BAUT RODA TROMOL NO 5</t>
  </si>
  <si>
    <t>BOCOR BAN NO 7, GANTI BAUT RODA TROMOL NO 5</t>
  </si>
  <si>
    <t>BOCOR BAN NO, 10 (POSISI BPR);CEK UBOLT BELAKANG KANAN;
  SIL RODA HOSE 7 BOCOR;</t>
  </si>
  <si>
    <t>TAMBAH AIR RADIATOR;</t>
  </si>
  <si>
    <t>HUJAN JALAN LICIN, ISTIRAHAT SHOLAT JUMAT, SAMPLE TIMBANGAN TUTUP JAM 11:00 BUKA JAM 13:00</t>
  </si>
  <si>
    <t>PTO TIDAK BERFUNGSI (STOCKPILE);
  RETARDER KURANG MENAHAN;</t>
  </si>
  <si>
    <t>BUSHING TORQUEROD ATAS DEPAN DAN BELAKANG;
  GANTI KARET STOPPER BELAKANG;
  CENTER BOLT KIRI BELAKANG PUTUS;
  GANTI KAMPAS REM TROMOL NO 8;
  INDIKATOR ANGIN ERROR;
  RAPIHKAN SPRING TENGAH KIRI</t>
  </si>
  <si>
    <t>PATAH CENTER PEN KIRI BELAKANG;
  STEL REM GENERAL;
  DOBLE BERAT BERMASALAH;</t>
  </si>
  <si>
    <t>RETARDER KURANG MENAHAN (KERUSAKAN BERULANG);
  REPAIR SPLASHBOARD KIRI DEPAN</t>
  </si>
  <si>
    <t>PATAH CENTER PEN BELAKANG KANAN;
  STEL REM GENERA;</t>
  </si>
  <si>
    <t>HUJAN JALAN LICIN, ISTIRAHAT SHOLAT JUMAT, SAMPLE TIMBANGAN TUTUP JAM 11:00 BUKA JAM 13:01</t>
  </si>
  <si>
    <t>HUJAN JALAN LICIN, ISTIRAHAT SHOLAT JUMAT, SAMPLE TIMBANGAN TUTUP JAM 11:00 BUKA JAM 13:02</t>
  </si>
  <si>
    <t>PATAH PER NO. 6 BELAKANG KANAN;
  LAMPU DEKAT DEPAN MATI;
  LAMPU BELAKANG MATI;
  LAMPU SEN KIRI BELAKANG MATI;</t>
  </si>
  <si>
    <t>PATAH SPRING TENGAH KANAN NO. 1 ;</t>
  </si>
  <si>
    <t>GEAR 3 BERMASALAH;
  HANDBRAKE KURANG MENAHAN</t>
  </si>
  <si>
    <t>BOCOR BAN NO 12, REPAIR MUFFLER</t>
  </si>
  <si>
    <t>BOCOR PIPA RADIATOR ; REPAIR SPAKBOARD NO. 2;</t>
  </si>
  <si>
    <t>BOCOR RADIATOR (QMB);
  STEL REM GENERAL</t>
  </si>
  <si>
    <t>PECAH VLEG NO. 11;LAS SAFETY TABUNG ANGIN;
  KENCANGKAN TAILGATE OTOMATIS;</t>
  </si>
  <si>
    <t>PATAH SPRING DEPAN NO 4 F2 LH TROMOL NO 3;
  LINGGAR U BOLT F1 RH;
  PATAH CENTER SPRING KANAN BELAKANG</t>
  </si>
  <si>
    <t>PUTUS RANTAI TAILGATE;</t>
  </si>
  <si>
    <t>PATAH SPRING NO 5 DEPAN KIRI BAGIAN BELAKANG TENGAH;
  CEK ADJUSTER REM NO 4 DAN 7;</t>
  </si>
  <si>
    <t>SWITCH SUSPENSI CABIN BERMASALAH;
  PECAH HUB NO 2;
  TAMBAH OLI HUB;
  SEMPROT SARINGAN UDARA</t>
  </si>
  <si>
    <t>PATAH SPRING NO. 3 BELAKANG KANAN;
  STEL REM GENERAL;</t>
  </si>
  <si>
    <t>BOCOR BAN NO. 10;</t>
  </si>
  <si>
    <t>MELEDAK BAN NO. 6;
  BOCOR BAN NO. 4 (WS 6);</t>
  </si>
  <si>
    <t>CEK KLAKSON;
  CEK OLI HUB;
  CEL AIR COOLER
  STEL REM GENERAL;
  CEL SPAKBOARD DEPAN KANAN;</t>
  </si>
  <si>
    <t>ISTIRAHAT SHOLAT JUMAT, SAMPLE TIMBANGAN TUTUP JAM 11:00 BUKA JAM 13:01</t>
  </si>
  <si>
    <t>ISTIRAHAT SHOLAT JUMAT, SAMPLE TIMBANGAN TUTUP JAM 11:00 BUKA JAM 13:02</t>
  </si>
  <si>
    <t>ISTIRAHAT SHOLAT JUMAT, SAMPLE TIMBANGAN TUTUP JAM 11:00 BUKA JAM 13:03</t>
  </si>
  <si>
    <t>ISTIRAHAT SHOLAT JUMAT, SAMPLE TIMBANGAN TUTUP JAM 11:00 BUKA JAM 13:04</t>
  </si>
  <si>
    <t>EXHAUST BRAKE BERMASALAH;
  BERSIHKAN SARINGAN UDARA;
  SERVICE KM 20.000</t>
  </si>
  <si>
    <t>PATAH SPRING NO. 5,4 DEPAN KANAN;</t>
  </si>
  <si>
    <t>GANTI SAMBUNGAN MUFFLER; OLI POWERSTRING MEREMBES, CEK TROMOL NO 6 DAN 8</t>
  </si>
  <si>
    <t>TEST UNIT</t>
  </si>
  <si>
    <t>LEPAS BAUT TORQUEROD (PENURUNAN WORKSHOP 6)</t>
  </si>
  <si>
    <t>WIPER BERMASALAH;
  STEL REM GENERAL;</t>
  </si>
  <si>
    <t>PROPELLER JATUH (NAKULA);
  BUSHING TORQUEROD DEPAN BELAKANG BERMASALAH;
  GANTI KARET STOPPER;
  KENCANGKAN BAUT TORQUEROD ATAS;
  BAUT PROPELLER DOL (BAGIAN DEPAN)</t>
  </si>
  <si>
    <t>GANTI KARET STOPPER SEMUA;</t>
  </si>
  <si>
    <t>PTO TIDAK BERFUNGSI</t>
  </si>
  <si>
    <t>PATAH CENTER BOLT KIRI BELAKANG;
  SPAKBOARD KIRI DEPAN;
  PATAH BAUT RODA TROMOL NO. 8;</t>
  </si>
  <si>
    <t>SELANG ANGIN BOCOR (ANGIN HABIS, SIMPANG KBM)</t>
  </si>
  <si>
    <t>PATAH BAUT RODA TROMOL NO. 8;
  STEL REM GENERAL;</t>
  </si>
  <si>
    <t>BOCOR BAN NO. 6 (KM 16)</t>
  </si>
  <si>
    <t>CENTER BOLT KANAN BELAKANG PATAH</t>
  </si>
  <si>
    <t>LAS BANCIAN;
  LAS SPAKBOARD</t>
  </si>
  <si>
    <t>PEN BANCIAN KANAN PUTUS;
  PERBAIKAN TAILGATE MANUAL</t>
  </si>
  <si>
    <t>PERBAIKAN SPAKBOARD DEPAN KIRI KANAN;</t>
  </si>
  <si>
    <t>CHAMBER NO. 7 BOCOR;</t>
  </si>
  <si>
    <t>BOCOR BAN NO. 5;PATAH BAUT RODA TROMOL NO. 5;</t>
  </si>
  <si>
    <t>PATAH SPRING NO 7 KIRI TENGAH;
  DUMP LAMBAT TURUN</t>
  </si>
  <si>
    <t>PATAH PER NO. 1 TROMOL NO,.4;
  LAMPU BELAKANG KANAN KIRI MATI;</t>
  </si>
  <si>
    <t>BOCOR BAN NO.3 (QMB);,,TAMBAH AIR RADIATOR;
  LAMPU STOP BELAKANG MATI;</t>
  </si>
  <si>
    <t>GANTI VLEG NO. 5,6,8;</t>
  </si>
  <si>
    <t>GANTI KAMPAS REM NO.7.8;
  GANTI KARET STOPER BELAKANG KIRI KANAN;
  LONNGAR U BOLT TROMOL NO. 4;
  RAPIKAN PER TROMOL NO. 4;</t>
  </si>
  <si>
    <t>LOADING POINT CUMA 1; ANTRI/MACET DI STOCKPILE</t>
  </si>
  <si>
    <t>KLAKSON MATI</t>
  </si>
  <si>
    <t>PUTUS RANTAI TAILGATE (KERUSAKAN BERULANG);</t>
  </si>
  <si>
    <t>RAPIHKAN SPRING F1 RH LH
  RAPIHKAN SPRING F2 LH RH
  LAMPU STOP MATI KIRI KANAN
  PATAH SPRING NO 1 BELAKANG KANAN</t>
  </si>
  <si>
    <t>GANTI NIPPLE;
  BERSIHKAN SARINGAN UDARA;
  TAMBAH OLI RETARDER</t>
  </si>
  <si>
    <t>BOCOR BAN NO 8</t>
  </si>
  <si>
    <t>TIDAK BISA STATER;
  TAMBAH AIR AKI;
  TAMBAH AIR RADIATOR;
  KARET STOPER SEBELAH KANAN;</t>
  </si>
  <si>
    <t>LAS TANKI FUEL;
  LAS KUPU-KUPU DUMP</t>
  </si>
  <si>
    <t>MELEDAK BAN NO. 7;</t>
  </si>
  <si>
    <t>HIGH AND LOW BERMASALAH (BLOK 5);</t>
  </si>
  <si>
    <t>GANTI KAMPAS REM TROMOL NO 1,2,3 DAN 7;
  TAMBAH OLI HUB;
  STEL REM GENERAL</t>
  </si>
  <si>
    <t>AC BERMASALAH;
  KOPLING BERMASALAH (KERAS)</t>
  </si>
  <si>
    <t>PATAH CENTER PEN KIRI BELAKANG;
  GANTI SEAT SPRING KIRI KANAN BELAKANG;
  LAMPU SEN MATI KIRI BELAKANG;
  REPAIR SPAKBOARD KIRI DEPAN;</t>
  </si>
  <si>
    <t>PATAH SPRING KIRI BELAKANG NO. 10;</t>
  </si>
  <si>
    <t>CEK TAILGATE MANUAL</t>
  </si>
  <si>
    <t>PATAH SPRING NO. 1,3,7,10,13;
  SENSOR ANGIN BERMASALAH;</t>
  </si>
  <si>
    <t>PATAH CENTER BOLT BELAKANG KIRI (KERUSAKAN BERULANG);
  TAMBAH OLI HYDRAULIK DUMP;
  CEK AIR ACCU;
  CEK BANTALAN PIPI SPRING;
  CEK BUSHING TRUNNION;</t>
  </si>
  <si>
    <t>ANTRI/MACET DI PABRIK (PENCUCIAN CUMA 1)</t>
  </si>
  <si>
    <t>PECAH VLEG NO. 7</t>
  </si>
  <si>
    <t>CEK BANCIAN (UNIT PENGGANTI LIST DT 511)</t>
  </si>
  <si>
    <t>GANTI VELG NO 5 (RETAK) (UNIT PENGGANTI DT 535)</t>
  </si>
  <si>
    <t>ANGIN ERROR (KLAKSON BUNYI TERUS) BLOK 8);
  LAMPU UTAMA KANAN MATI;
  SELANG ANGIN BOCOR;
  PASANG KLAKSON</t>
  </si>
  <si>
    <t>TAMBAH OLI RETRADER;
  STEL REM GENERAL;
  SERVICE KM</t>
  </si>
  <si>
    <t>PATAH BAUT RODA TROMOL NO 8;
  GANTI KAMPAS REM TROMOL NO 5, DAN 6;
  TAMBAH OLI HUB;
  GANTI KARET STOPER</t>
  </si>
  <si>
    <t>BOCOR BAN NO. 9.10 (KM 10);PATAH BAUT RODA TROMOL NO 6, DAN 7</t>
  </si>
  <si>
    <t>TAMBAH OLI RETARDER;
  GANTI NEPEL;</t>
  </si>
  <si>
    <t>TAMBAH OLI HUB NO 2,3, DAN 4;
  PATAH BAUT RODA TROMOL NO 8</t>
  </si>
  <si>
    <t>BOCOR HIDROLIK HOSE DUMP
  INTARDER KURANG MENAHAN
  TAMBAH OLI HUB TROMOL NO 3&amp;4
  SETEL REM GENERAL</t>
  </si>
  <si>
    <t>BOCOR HUB;</t>
  </si>
  <si>
    <t>TAMBAH FREON, BOCOR BAN NO. 10;</t>
  </si>
  <si>
    <t>PATAH SPRING NO. 1.2 KANAN TENGAH;</t>
  </si>
  <si>
    <t>TAMBAH OLI RETARDER;
  CEK REM GENERAL;
  STEL REM GENERAL;
  DOL BAUT RODA TROMOL NO. 8;</t>
  </si>
  <si>
    <t>TANBAH OLI RETARDER;
  CEK KAMPAS GENERAL;
  STEL REM GENERAL;</t>
  </si>
  <si>
    <t>PATAH CENTER BOLT BELAKANG KANAN;
  TAMBAH OLI HUB TROMOL NO. 2,4;
  TAMBAH AIR RADIATOR;
  STEL REM GENERAL;</t>
  </si>
  <si>
    <t>CELM MUFFLER JATUH;
  PATAH BAUT RODA TROMOL NO. 5</t>
  </si>
  <si>
    <t>REM TROMOL NO. 2.4 TIDAK MENAHAN;
  GANTI KAMPAS REM TROMOL NO. 6;
  AC BERMASALAH;
  PATAH CENTER PEN BELAKANG KIRI;
  STEL REM GENERAL;</t>
  </si>
  <si>
    <t>BOCOR BAN NO. 7 (CBB)</t>
  </si>
  <si>
    <t>LONGGAR BAUT U BOLT (KM 10, PENGIISIAN FUEL)</t>
  </si>
  <si>
    <t>PERBAIKAN TAILGATE OTOMATIS</t>
  </si>
  <si>
    <t>SERVICE HM ;
  CEK KAMPAS REM, NO. 6;
  STEL REM GENERAL;</t>
  </si>
  <si>
    <t>PATAH BAUT RODA TROMOL NO 6 8
  REM NO 2 4 TIDAK MENAHAN</t>
  </si>
  <si>
    <t>PATAH BAUT RODA TOMOL NO. 5;
  GANTI KAMPAS REM NO. 7.8;</t>
  </si>
  <si>
    <t>ANTRI LOADING DI STOCKPILE</t>
  </si>
  <si>
    <t>PATAH PER NO. 4 DEPAN TROMOL NO. 4;
  RAPIKAN PER TROMOL NO. 3;</t>
  </si>
  <si>
    <t>SERVICE HM 5500;
  CEK SARINGAN UDARA</t>
  </si>
  <si>
    <t>PATAH BAUT RODA TROMOL NO 5 DAN 7, CEK KAMPAS REM GENERAL</t>
  </si>
  <si>
    <t>SENSOR ANGIN BERMASALAH;
  KENCANGKAN BAUT RODA TROMOL NO 6;
  STEL REM GENERAL</t>
  </si>
  <si>
    <t>WIPER BERMASALAH</t>
  </si>
  <si>
    <t>BOCOR MUFFLER;</t>
  </si>
  <si>
    <t>CEK KAMPAS REM ;
  TAMBAH OLI RETARDER</t>
  </si>
  <si>
    <t>U BOLT KIRI DEPAN BERMASALAH;
  RAPIHKAN SPRING;
  GANTI KARET STOPPER BELAKANG;
  PINTU CABIN KANAN BERMASALAH;
  KANCINGAN CABIN BERMASALAH</t>
  </si>
  <si>
    <t>CEK MOUNTING ENGINE;
  CEK MOUNTING TRANSMISI;
  ADA SENTAKAN KETIKA MENDAKI;
  SENSOR ANGIN BERMASALAH</t>
  </si>
  <si>
    <t>TAMBAH FREON;</t>
  </si>
  <si>
    <t>ADA KEBOCORAN AIR RADIATOR KLEM HOSE BAGIAN KANAN;
  INDIKATOR DIFFLOCK SERING BUNYI TIBA-TIBA (DIFFLOCK BERMASALAH);
  CEK KAMPAS REM NO 1 DAN 2;
  STEL REM GENERAL</t>
  </si>
  <si>
    <t>U BOLT LONGGAR DEPAN KIRI KANAN (KM 2);
  PATAH SPRING KIRI BELAKANG NO 8;
  PATAH SPRING KANA BELAKANG NO 8</t>
  </si>
  <si>
    <t>ANTRI/ MACET DI LOADING POINT (ALAT CUMA 1))</t>
  </si>
  <si>
    <t>PATAH BAUT RODA TROMOL NO, 6;BOCOR BAN NO 11
  TAMABAH ANGIN BAN NO 12</t>
  </si>
  <si>
    <t>BOCOR BAN NO, 5;</t>
  </si>
  <si>
    <t>BOCOR BAN NO. 7;DOL BAUT RODA TROMOL NO. 6;</t>
  </si>
  <si>
    <t>PATAH CENTER BOLT KANAN DEPAN;
  TAMBAH OLI HUB</t>
  </si>
  <si>
    <t>KALAU INJAK REM ANGIN TEKOR;
  SPLITTER TIDAK BERFUNGSI</t>
  </si>
  <si>
    <t>STEL REM GENERAL;
  KLAKSON MATI</t>
  </si>
  <si>
    <t>BOCOR BAN NO. 9</t>
  </si>
  <si>
    <t>PATAH BAUT RODA TROMOL NO 6;
  CEK KAMPAS REM TROMOL NO 8;
  STEL REM GENERAL;</t>
  </si>
  <si>
    <t>LAS PINTU VESAL</t>
  </si>
  <si>
    <t>U BOLT KIRI PATAH;
  U BOLT KANAN LONGGAR;</t>
  </si>
  <si>
    <t>INDIKATOR DIFFLOCK MENYALA;
  BERSIHKAN SARINGAN UDARA</t>
  </si>
  <si>
    <t>SAFETY TANKI HIDROLIK LONGGAR
  CLAM HOSE REDIATOR BAWAH BOCOR
  TAMABAH OLI RETARDER</t>
  </si>
  <si>
    <t>PERBAIKI RANTE TALGET OTOMATIS</t>
  </si>
  <si>
    <t>ANTRI/ MACET DI PABRIK (LINE 18)</t>
  </si>
  <si>
    <t>PINTU KIRI BERMASALAH;</t>
  </si>
  <si>
    <t>VALET ANGIN BOCOR;</t>
  </si>
  <si>
    <t>BOCOR BAN NO. 6 ;
  GANTI BAN NO. 7;PATAH BAUT RODA TROMOL NO. 5;</t>
  </si>
  <si>
    <t>GANTI SPAKBOARD KIRI DEPAN</t>
  </si>
  <si>
    <t>BOCOR BAN NO 6, GANTI KARET TOQRUEROD BAWAH KIRI KANAN
  SPAKBOARD KIRI DEPAN
  LAMPU DEPAN KANAN MATI</t>
  </si>
  <si>
    <t>PATAH U BOLT KANAN DEPAN\;
  REM NO. 4.7 KURANG MENAHAN;</t>
  </si>
  <si>
    <t>PATAH BAUT RODA TROMOL NO. 6;
  ADJUTS REM GENERAL;</t>
  </si>
  <si>
    <t>BOCOR BAN NO. 3 (LOADING POINT NAKULA;</t>
  </si>
  <si>
    <t>PATAH CENTER PEN KANAN PATAH;
  KOPLENG KERAS;
  CEK CENTER PEN KIRI;</t>
  </si>
  <si>
    <t>REPAIR SPAKBOARD KIRI DEPAN;
  REM NO. 3.4,6 TIDAK BERFUNGSI;</t>
  </si>
  <si>
    <t>GANTI KAMPAS REM TROMOL NO 5&amp;6
  TAMBAH OLI HUB GENERAL
  SPAKBOARD KIRI DEPAN LEPAS
  LOW POWER /ASAP PUTIH</t>
  </si>
  <si>
    <t>BOCOR BAN NO. 9, INTARDER BERMASALAH</t>
  </si>
  <si>
    <t>LAS PINTU VESAL, BOCOR BAN NO. 9 (WS 6);</t>
  </si>
  <si>
    <t>PATAH SPRING BELAKANG KANAN NO. 2;
  LAMPU SEN BELAKANG MATI;</t>
  </si>
  <si>
    <t>PATAH PER NO. 7.8;
  TAMBAH OLI HUB;</t>
  </si>
  <si>
    <t>STEL TIE ROD F1 F2;
  KLAKSON MATI;
  SERVICE HM;</t>
  </si>
  <si>
    <t>BAUT STABILIZER LEPAS;
  PINTU CABIN KANAN (BERMASALAH)</t>
  </si>
  <si>
    <t>SPRING TERHAMBUR PATAH CENTER OLT (KM 2, MES MEY MEY)</t>
  </si>
  <si>
    <t>U BOLT F2 LONGGAR;
  CEK TIEROD ALL;
  CEK KAMPAS REM GENERAL;
  STEL REM GENERAL</t>
  </si>
  <si>
    <t>PINTU VESEL</t>
  </si>
  <si>
    <t>BOCOR BAN NO. 10 (TIMBANGAN TENGKORAK)</t>
  </si>
  <si>
    <t>LAMPU UTAMA KANAN MATI;
  STEL REM GENERAL</t>
  </si>
  <si>
    <t>KONENTOR ANGIN BERMASALAH;
  KARET STOPPER KIRI DAN KANAN DEPAN;
  KLAKSON MATI</t>
  </si>
  <si>
    <t>PERBAIKAN TAILGATE MANUAL KANAN;</t>
  </si>
  <si>
    <t>TEST UNIT, TAMBAH FREON</t>
  </si>
  <si>
    <t>REM BERMASALAH;</t>
  </si>
  <si>
    <t>KENCANGKAN TAILGATE OTOMATIS;</t>
  </si>
  <si>
    <t>PECAH VELG NO 10 (KM 11)</t>
  </si>
  <si>
    <t>CEK HOSE TURBO
  CEK SARINGAN UDARA</t>
  </si>
  <si>
    <t>TEKOR ANGIN;
  PERBAIKAN SPAKBOARD DEPAN KANAN</t>
  </si>
  <si>
    <t>PATAH BAUT RODA TROMOL NO. 8;
  CEK TORQUE ROD GENERAL;</t>
  </si>
  <si>
    <t>LOW POWER;
  CEK KAMPAS NO. 7;
  TORQUE ROD BAWAH KANAN BELAKANG</t>
  </si>
  <si>
    <t>CEK KANCINGAN MANUAL</t>
  </si>
  <si>
    <t>BOCOR BAN NO. 8 (KM 21), SEAL RODA MEREMBES DI 7 DAN 8;</t>
  </si>
  <si>
    <t>BOCOR BAN NO,. 1(KM 8)</t>
  </si>
  <si>
    <t>ANTRI/MACET DI LOADING POINT (LOADING POINT CUMA 1)</t>
  </si>
  <si>
    <t>GANTI KAMPAS NO. 3;
  LAMPU SEN KIRI BELAKANG MATI;
  CEK KAMPAS GENERAL;
  STEL REM GENERAL</t>
  </si>
  <si>
    <t>BOCOR BAN NO. 10 (SIMPANG NAKULA)</t>
  </si>
  <si>
    <t>BOCOR BAN NO. 1 (KM 8)</t>
  </si>
  <si>
    <t>CEK ENGINE MOUNTING;\
  CEK CENTER PEN DEPAN KIRI;
  CEK KAMPAS REM GENERAL;
  STEL REM GENERAL;</t>
  </si>
  <si>
    <t>BOCOR PIPA NOSSEL (WS 6 BELOK KANAN)</t>
  </si>
  <si>
    <t>MELEDAK BAN NO. 4 (QMB)</t>
  </si>
  <si>
    <t>PATAH BAUT RODA TROMOL NO 8
  TAMBAH FREON AC</t>
  </si>
  <si>
    <t>REPIAR PINTU KIRI;
  DOBLE BERAT BERMASALAH</t>
  </si>
  <si>
    <t>ADA REMBESAN OLI;
  SELANG ANGIN BOCOR;
  STOPPER TENGAH KIRI DAN KANAN;</t>
  </si>
  <si>
    <t>RAPIKAN SPRING DEPAN F1 F2;</t>
  </si>
  <si>
    <t>STEL REM GENERAL;
  DIFFLOCK BERMASALAH</t>
  </si>
  <si>
    <t>LONGGAR BAUT U BOLT DEPAN KIRI;</t>
  </si>
  <si>
    <t>BOCOR BAN NO 9;
  GANTI BAN NO 1 DAN 2</t>
  </si>
  <si>
    <t>BAUT LAPISAN CHASSIS KIRI DAN KANAN BERMASALAH (LONGGAR);
  BERSIHKAN AIR CLEANER;
  TAMBAH OLI RETARDER</t>
  </si>
  <si>
    <t>PATAH BAUT RODA TROMOL NO 6, GANTIVELG</t>
  </si>
  <si>
    <t>CEK TROMOL NO.,5;
  KARET STOPER BELAKANG KANAN</t>
  </si>
  <si>
    <t>PECAH VLEG NO. 6 CEK TROMOL NO.,5;
  KARET STOPER BELAKANG KANAN</t>
  </si>
  <si>
    <t>PATAH SPRING NO 7;
  TAMBAH OLI RETARDER;
  CEK KAMPAS REM GENERAL;
  STEL REM GENERAL;
  CEK TORQUEROD ATAS DAN BAWAH</t>
  </si>
  <si>
    <t>HUJAN JALAN LICIN, ANTRI MACET DI PABRIK (LINE 13)</t>
  </si>
  <si>
    <t>BOCOR BAN NO 9 DAN 10</t>
  </si>
  <si>
    <t>BOCOR BAN NO. 3;</t>
  </si>
  <si>
    <t>KANCING BAUT TORQUEROD BELAKANG KIRI, KANAN DAN ATAS;
  KLEM HOSE RADIATOR BAWAH</t>
  </si>
  <si>
    <t>TEKOR ANGIN;</t>
  </si>
  <si>
    <t>BOCOR BAN NO 8 (PUNCAK SBALER)</t>
  </si>
  <si>
    <t>PATAH SPRING NO. 1.6;
  INDIKATOR DOBLE BERAT SERING NYALA;</t>
  </si>
  <si>
    <t>RANTAI TAILGATE LONGGAR;
  CEK KAMPAS KAMPAS REM;
  GANTI KAMPAS NO. 3.5.78</t>
  </si>
  <si>
    <t>PATAH SPRING F2 KANAN NO 1
  GANTI KAMPAS REM TROMOL NO 4,5,7,8
  INTARDER KURANG MENAHAN
  TAMBAH OLI HUB
  REM NO. 1.2 RENGANG;
  CEK KAMPAS GENERAL</t>
  </si>
  <si>
    <t>PATAH PER NO. 1 DEPAN KANAN;
  KARET TORQUE ROD ATAS;
  REM NI. 4 BERMASALAH;
  KARET STOPER BELAKANG</t>
  </si>
  <si>
    <t>GANTI BAN NO. 6;</t>
  </si>
  <si>
    <t>BOCOR BAN NO 12, PATAH BAUT RODA TROMOL NO. 8;</t>
  </si>
  <si>
    <t>PATAH PER NO. 1 BELAKANG KANAN;
  LAMPU SEN BELAKANG KIRI MATI</t>
  </si>
  <si>
    <t>CEK TORQUE ROD ATAS BAWAH BELAKANG;
  KENCANGKAN U BOLT KIRI KANAN BELAKANG;
  SHOCK ABSORBER KIRI TROMOL NO. 3</t>
  </si>
  <si>
    <t>GANTI BAN NO 5 DAN 6, LONGGAR BAUT RODA (KM 10)</t>
  </si>
  <si>
    <t>DUDUKAN TAILGATE OTOMATIS KANAN PATAH (TAILGATE TIDAK BERFUNGSI)</t>
  </si>
  <si>
    <t>REM TIDAK MENAHAN;
  HUB NO. 2.4 MEREMBES</t>
  </si>
  <si>
    <t>BAUT BEHEL DEPAN (U BOLT)</t>
  </si>
  <si>
    <t>PATAH SPRING NO 6 BELAKANG KANAN
  SETEL REM GENERAL</t>
  </si>
  <si>
    <t>REM BERMASALAH;
  SERVICE HM;
  LAMPU UTAMA KIRI MATI</t>
  </si>
  <si>
    <t>CENTER BOLT PATAH SEBELAH KANAN BELAKANG
  SPRING NO 9 KANAN BELAKANG PATAH
  CEK DAN GANTI STOPPER BEMPER ALL</t>
  </si>
  <si>
    <t>REM BERMASALAH NO. 5.7.8;
  STEL TIE ROD BAN NO. 3.4;
  STEL REM GENERAL;
  V BELT AC BERMSALAH;</t>
  </si>
  <si>
    <t>DUMP BERMASALAH;
  TAMBAH OLI HUB;
  ORDER AIR RADIATOR;
  PATAH SENTER PEN KANAN BELAKANG;
  LONGGAR U BOLT KIRI BELAKANG;
  COVER KAP DEPAN BERMASALAH;</t>
  </si>
  <si>
    <t>BOCOR BAN NO. 8 (TIMBANGAN TENGKORAK)</t>
  </si>
  <si>
    <t>GANTI BAN NO. 9, BOCOR BAN NO. 10</t>
  </si>
  <si>
    <t>BOCOR SELANG ANGIN TABUNG SEBELAH KANAN</t>
  </si>
  <si>
    <t>TAMBAH ANGIN NO. 10</t>
  </si>
  <si>
    <t>GANTI BALON BOHLAM LAMPU UTAMA KIRI
  GANTI LAMPU UTAMA SEIN KIRI DEPAN
  PERBAIKAN COVER DEPAN KIRI</t>
  </si>
  <si>
    <t>KACA PINTU KIRI (TIDAK BISA NAIK)</t>
  </si>
  <si>
    <t>TEST UNIT (GROUND TEST)</t>
  </si>
  <si>
    <t>GANTI BAN NO 3 DAN 8, SERVICE KM 8000</t>
  </si>
  <si>
    <t>MELEDAK BAN NO. 2 (TAHAP 5)</t>
  </si>
  <si>
    <t>BAUT RODA TROMOL NO. 5 HILANG;
  TAMBAH OLI RETARDER;
  STEL REM GENERAL;</t>
  </si>
  <si>
    <t>HUJAN JALAN LICIN, MACET/ANTRI DI PABRIK (LINE 13),ISTIRAHAT SHOLAT JUMAT, SAMPLE TIMBANGAN TUTUP JAM 11:00 BUKA JAM 13:00</t>
  </si>
  <si>
    <t>BOCOR BAN NON 7, LAS SPAKBOARD</t>
  </si>
  <si>
    <t>KENCANGKAN RANTAI TAILGATE OTOMATIS</t>
  </si>
  <si>
    <t>STEL REM GENERAL;
  BERSIHKAN SARINGAN UDARA;
  LAMPU BELAKANG KANAN MATI</t>
  </si>
  <si>
    <t>STEL REM GENERAL;
  TAMBAH OLI RETARDER</t>
  </si>
  <si>
    <t>ANGIN BERMASALAH (LOADING POINT BLOK 8 NAKULA)</t>
  </si>
  <si>
    <t>TAMBAH OLI RETARDER;
  TAMBAH AIR RADIATOR;
  CEK OLI ENGINE;
  KERASKAN BAUT CHASSIS</t>
  </si>
  <si>
    <t>BOCOR BAN NO. 2 (KM 22)</t>
  </si>
  <si>
    <t>PATAH PER NO. 1 BELAKANG KANAN; LAMPU SEN BELAKANG KIRI MATI</t>
  </si>
  <si>
    <t>PIPA POWER STEARING BOCOR;
  GANTI KARET STOPPER BELAKANG KIRI DAN KANAN;
  CEK KAMPAS REM NO 3 DAN 4;
  BAUT RADIATOR BAGIAN ATAS LONGGAR</t>
  </si>
  <si>
    <t>GANTI KAMPAS REM TROMOL NO 5;
  LAMPU STOP KANAN;
  GANTI KARET STOPPER</t>
  </si>
  <si>
    <t>TAMBAH OLI RETARDER;
  GANTI KARET STOPER BELAKANG KANAN;</t>
  </si>
  <si>
    <t>BOCOR BAN NO. 11 (BLOK 8 NAKULA)</t>
  </si>
  <si>
    <t>PATAH SPRING NO 2 DAN 8 KANAN BELAKANG</t>
  </si>
  <si>
    <t>RETARDER HILANG-HILANG</t>
  </si>
  <si>
    <t>PATAH PER NO. 6 BELAKANG KIRI;
  SERVICE HM</t>
  </si>
  <si>
    <t>STEL REM GENERAL;
  CEK OLI HUB</t>
  </si>
  <si>
    <t>PATAH BAUT RODA TROMOL NO. 5;
  RAPIKAN SPRING F2 KANAN</t>
  </si>
  <si>
    <t>KLAKSON BERMASALAH;
  CEK FANBELT;</t>
  </si>
  <si>
    <t>SELANG KONEKTOR ANGIN LEPAS (PENCUCIAN QMB)</t>
  </si>
  <si>
    <t>PATAH U BOLT DEPAN KIRI</t>
  </si>
  <si>
    <t>BOCOR BAN NO. 7 (KM 11)</t>
  </si>
  <si>
    <t>PECAH VLEG NO. 5</t>
  </si>
  <si>
    <t>KONSTLETING ELECTRICAL;</t>
  </si>
  <si>
    <t>GANTI BAN NO 9,10,11, DAN 12</t>
  </si>
  <si>
    <t>EXHAUST BRAKER BERMASALAH;
  GANTI KARET STOPPER BELAKANG;
  GANTI KARET TORQUEROD DEPAN BELAKANG;
  TAMBAH OLI RETARDER;
  STEL REM GENERAL</t>
  </si>
  <si>
    <t>PIPA POWER STEARING BOCOR; GANTI KARET STOPPER BELAKANG KIRI DAN KANAN; CEK KAMPAS REM NO 3 DAN 4; BAUT RADIATOR BAGIAN ATAS LONGGAR</t>
  </si>
  <si>
    <t>AIR AKI; KLAKSON BERMASALAH, BOCOR BAN NO 5</t>
  </si>
  <si>
    <t>BOCOR BAN NO. 1</t>
  </si>
  <si>
    <t>KOPLING BERMASALAH;
  PIPA AC BOCOR;
  SPAKBOARD KIRI</t>
  </si>
  <si>
    <t>SPRING F2 NO 1 RETAK;
  DIFFLOCK BERMASALAH (DOUBLE BERAT BERMASALAH)</t>
  </si>
  <si>
    <t>SERVICE HM;
  AC BERMASALAH;
  CEK RADIATOR (SERING KURANG);</t>
  </si>
  <si>
    <t>GANTI BAN NO 11</t>
  </si>
  <si>
    <t>LAMPU UTAMA KIRI MATI;
  SPAKBOAR DEPAN KANAN;
  LOW POWER;
  STEL REM GENERAL;</t>
  </si>
  <si>
    <t>INDIKATOR ANGIN;REM NO. 7 BERMASALAH;</t>
  </si>
  <si>
    <t>REM BERMASALAH</t>
  </si>
  <si>
    <t>BOCOR BAN NO. 3 (KM 26)</t>
  </si>
  <si>
    <t>BOCOR ANGIN;
  PINTU SEBELAH KIRI TIDAK BISA BUKA</t>
  </si>
  <si>
    <t>BOCOR BAN NO. 11</t>
  </si>
  <si>
    <t>GANTI KARET STOPER KIRI;
  STEL REM GENERAL</t>
  </si>
  <si>
    <t>GANTI KARET TORQUE ROD KIRI KANAN</t>
  </si>
  <si>
    <t>PATAH PER NO. 5 DEPAN KANAN;
  LAMPU BELAKANG KIRI KANAN MATI</t>
  </si>
  <si>
    <t>ADA KEBOCORAN ANGIN (KM 2)</t>
  </si>
  <si>
    <t>PATAH BAUT RODA TROMOL NO 5;
  STOPLAMP KIRI DAN KANAN MATI;</t>
  </si>
  <si>
    <t>STEL REM GENERAL;
  TAMBAH OLI HUB;
  ADJUST STIR</t>
  </si>
  <si>
    <t>PATAH SPRING NO 10 BELAKANG KIRI;
  RANTAI TAILGATE OTOMATIS BERMASALAH (BAUT HILANG);
  TAMBAH OLI RETARDER;
  STEL REM GENERAL</t>
  </si>
  <si>
    <t>TAMBAH AIR RADIATOR; STEL REM GENERAL, BOCOR BAN NO 10</t>
  </si>
  <si>
    <t>LOW POWER;
  PATAH PER NO, 5 R2 KIRI KANAN;
  TAMBAH OLI RETARDER;
  STEL REM GENERAL;</t>
  </si>
  <si>
    <t>PATAH PER NO, 6 BELAKANG KANAN;
  GANTI KARET STOPER DEPAN KIRI</t>
  </si>
  <si>
    <t>PTO BERMASALAH;</t>
  </si>
  <si>
    <t>STEL TAILGATE OTOMATIS</t>
  </si>
  <si>
    <t>DRIVER ASLI ALFA DIGANTI DRIVER SPARE, HUJAN JALAN LICIN</t>
  </si>
  <si>
    <t>ISI FREON, KOPLING BERMASALAH (NAKULA)</t>
  </si>
  <si>
    <t>PATAH BAUT RODA TROMOL NO. 6;
  STEL REM GENERAL;
  STEL ADJUST GENERAL;
  CEK EGINE MOUNTING;</t>
  </si>
  <si>
    <t>STOPER BUAMPER BELAKANG;
  CEK STOPER SPRING;
  SEAT SPRING RR RH;
  GANTI KAMPAS REM NO. 4;
  TAMBAH OLU HUB NO. 1.2.3.4;
  STEL REM GENERAL;</t>
  </si>
  <si>
    <t>DIFFLOCK BERMASALAH (DOUBLE BERAT EBRMASALAH)</t>
  </si>
  <si>
    <t>EXHAUTS BRAKE BERMASALAH</t>
  </si>
  <si>
    <t>ANTRI/MACET LOADING POINT CUMA 1, HUJAN JALAN LICIN</t>
  </si>
  <si>
    <t>KAMPAS NO. 3 RENGANG</t>
  </si>
  <si>
    <t>KENCANGKAN RANTAI TAILGATE;
  TAMBAH OLI RETARDER;</t>
  </si>
  <si>
    <t>PUTUS TAILGATE OTOMATIS</t>
  </si>
  <si>
    <t>BOCOR BANNO.7</t>
  </si>
  <si>
    <t>LONGGAR U BOLT DEPAN KANAN;
  TAMBAH OLI HUB TROMOL NO. 1.2.3.4;
  AC BERMASALAH;
  STEL REM GENERAL;</t>
  </si>
  <si>
    <t>PATAH PER DEPAN NO.1 KANAN;
  BOCOR SEAL LUAR HUB TROMOL NO.4;
  STEL REM GENERAL;</t>
  </si>
  <si>
    <t>CEK ADJUSTER NO. 7.8;
  CEK ANGIN;
  LOW POWER
  STEL REM GENERAL;</t>
  </si>
  <si>
    <t>CEK RADIATOR;
  RAPIKAN PER BAN NO. 3;
  AIR RADIATOR ORDER</t>
  </si>
  <si>
    <t>PATAH CENTER PEN KANAN BELAKANG;
  GAGANG PINTU KANAN;
  GANTI KARET STOPER;
  GANTI KARET TORQUE ROD BAWAH KIRI</t>
  </si>
  <si>
    <t>PATAH CENTER BAUT KIRI BELAKANG;
  GANTI KAMPAS NO. 7;
  STOPER BELAKANG KIRI;
  KLAKSON MATI;
  LAMPU DEPAN KIRI MATI;
  STEL REM GENRAL;</t>
  </si>
  <si>
    <t>BOCOR BAN NO. 12</t>
  </si>
  <si>
    <t>PATAH SPRING NO 9 BELAKANG KANAN</t>
  </si>
  <si>
    <t>ANTRI/MACET DI PABRIK, DRIVER ASLI SAKIT (DIGANTI DRIVER SPARE)</t>
  </si>
  <si>
    <t>BOCOR BAN NO 12;
  GANTI BAN NO 5</t>
  </si>
  <si>
    <t>CEK RETARDER</t>
  </si>
  <si>
    <t>SENSOR ANGIN BERMASALAH;
  KOPLENG KERAS</t>
  </si>
  <si>
    <t>ADJUST STIR/KEMUDI</t>
  </si>
  <si>
    <t>TARGET, TAMBAH FREON</t>
  </si>
  <si>
    <t>EXHAUST BRAKE BERMASALAH;
  STEL REM GENERAL;
  KM ERROR;
  TAMBAH OLI RETARDER</t>
  </si>
  <si>
    <t>BOCOR BAN NO,. 9 (KM 2), GANTI BAN NO 9 DAN 10</t>
  </si>
  <si>
    <t>PATAH PER NO. 5 DEPAN KIRI;</t>
  </si>
  <si>
    <t>STEL REM GENERAL;
  CEK KAMPAS REM GENERAL;
  CEK KARET STABILIZER;
  TAMBAH OLI RETARDER</t>
  </si>
  <si>
    <t>HUJAN JALAN LICIN, UNIT PENGGANTI 505</t>
  </si>
  <si>
    <t>OLI ENGINE TERCAMPUR SOLAR;
  STEL REM GENERAL;
  TAMBAH OLI RETARDER;
  AIR RADIATOR</t>
  </si>
  <si>
    <t>GANTI KARET TORQUE ROD GENERAL;
  GANTI KARET STOPER GENERAL;
  GANTI KAMPAS REM NO. 8</t>
  </si>
  <si>
    <t>LOADING POINT CUMA 1; JALAN LICIN</t>
  </si>
  <si>
    <t>BOCOR BAN NO. 7</t>
  </si>
  <si>
    <t>AC BERMASALAH
  DOUBLE BERMASALAH
  LAMPU UTAMA BERMASALAH</t>
  </si>
  <si>
    <t>BOCOR BAN NO. 3 (BLOK 5)</t>
  </si>
  <si>
    <t>GANTI BAN NO.12</t>
  </si>
  <si>
    <t>BOCOR BAN NO.; 5</t>
  </si>
  <si>
    <t>BEARING TINDIS RUSAK;</t>
  </si>
  <si>
    <t>GANTI KACA DEPAN;, PATAH SPRINF NO. 7 , PECAH VELG NO. 10 (KM 5)KANAN</t>
  </si>
  <si>
    <t>PATAH CENTER BOLT KANAN BELAKANG</t>
  </si>
  <si>
    <t>TAIL GATE MANUAL KIRI BENGKOK
  TAIL GATE OTOMATIS KANAN KENDOR</t>
  </si>
  <si>
    <t>STEL REM GENERAL;
  CEL RODA F2;
  GANTI KAMVAS REM NO. 7.8;
  PATAH SPRING NO. 12 F2 RH</t>
  </si>
  <si>
    <t>ANTRI/MACET DIPABRIK</t>
  </si>
  <si>
    <t>PATAH BAUT RODA TORMOL NO. 5</t>
  </si>
  <si>
    <t>BOCOR BAN NO. 6;
  GANTI BAN NO. 1</t>
  </si>
  <si>
    <t>KOPLENG BERMASALAH</t>
  </si>
  <si>
    <t>TAMBAH AIR RADIATOR;
  SENSOR TABUNG ANGIN 1 BERMASALAH;
  LONGGAR BAUT TORQUE ROD BAWAH KIRI</t>
  </si>
  <si>
    <t>TALI V BELT KENDOR;
  GAGANG PINTU KIRI</t>
  </si>
  <si>
    <t>GREASE PELUMASAN</t>
  </si>
  <si>
    <t>GANTI KAMPAS NO. 4.8;
  SPRING NO. 3 KIRI RETAK</t>
  </si>
  <si>
    <t>BOCOR HOSE RADIATOR POSISI UNIT KM 2 BOCOR HOS RADIATOR;
  BERSIHKAN SARINGAN UDARA</t>
  </si>
  <si>
    <t>CEK TAILGATE MANUAL; CEK PINTU VESSEL; CEK SAFETY TANKI</t>
  </si>
  <si>
    <t>RANTAI TALGET LONGGAR
  PERSENENLAN KERAS
  TAMBA OIL RETARDER LAS SPAKBOARD</t>
  </si>
  <si>
    <t>VALVE ANGIN BOCOR BOCOR BAN NO, 12</t>
  </si>
  <si>
    <t>BOCOR BAN NO. 1 (KM 2)</t>
  </si>
  <si>
    <t>PECAH HOSE RETARDER (KM 2)</t>
  </si>
  <si>
    <t>CEK TROMOL NO. 2,4;
  STEL REM GENERAL;
  PERBAIKAN TAILGATE OTOMATIS</t>
  </si>
  <si>
    <t>RETARDER BERMASALAH
  KENCANGKAN RANTAI TAIL GATE</t>
  </si>
  <si>
    <t>BOCOR BAN NO. 10 BAUT PTO LONGGAR;
  TAMBAH OLI RETARDER</t>
  </si>
  <si>
    <t>REM NO 4 TIDAK MENAHAN;
  KLEM HOSE RETARDER LONGGAR;
  GANTI PENUTUP OLI HUB NO 1;
  LAMPU UTAMA KIRI MATI;
  KANCING BAUT U BOLT TENGAH KIRI BELAKANG</t>
  </si>
  <si>
    <t>REM BERMASALAH (KERUSAKAN BERULANG);
  STEL REM GENERAL</t>
  </si>
  <si>
    <t>PATAH SPRING NO. 3 BELAKANG KANAN;
  KLAKSON MATI;
  TAMBAH OLI HUB NO. 3.4</t>
  </si>
  <si>
    <t>GANTI BAN NO. 7, TAMBAH OLI RETARDER</t>
  </si>
  <si>
    <t>BAUT MOUNTING (CEK ENGINE MOUNTING); TOMBOL HANDLE PINTU BERMASALAH;</t>
  </si>
  <si>
    <t>TANGGA KABIN KANAN (KERUSAKAN BERULANG);
  BAUT INTERCOOLER JATUH (KERUSAKAN BERULANG)</t>
  </si>
  <si>
    <t>STEL REM GENERAL;
  CEK KAMPAS REM GENERAL;
  TAMBAH AIR RADIATOR;
  TAMBAH OLI RETARDER</t>
  </si>
  <si>
    <t>EXHUAST BRAKE BERMASALAH;
  TAMBAH OLI RETARDER;'
  CEK KAMPAS GENERAL;
  STEL REM GENERAL;</t>
  </si>
  <si>
    <t>PATAH CENTER BOLT BELAKANG KANAN</t>
  </si>
  <si>
    <t>LONGGAR BAUS STABLIZER KIRI BELAKANG;
  PATAH CENTER BOLT KANAN BELAKANG</t>
  </si>
  <si>
    <t>LAS PINTU VEESEL</t>
  </si>
  <si>
    <t>KENCANGKAN BAUT RODA</t>
  </si>
  <si>
    <t>SUSPENSO JOK BOCOR</t>
  </si>
  <si>
    <t>PATAH PER DEPAN NO.1 KANAN; BOCOR SEAL LUAR HUB TROMOL NO.4; STEL REM GENERAL;</t>
  </si>
  <si>
    <t>GANTI KAMPAS REM NO. .3,7,8;
  STEL REM GENERAL;
  LAMPU SEN KANAN BELAKANG</t>
  </si>
  <si>
    <t>KAMPAS REM NO.3.4.5.7.8;
  STEL REM GENERAL;
  PATAH BAUT RODA TROMOL NO. 6</t>
  </si>
  <si>
    <t>PERBAIKAN TAILGATE MANUAL ; PERBAIKAN TAILGATE OTOMATIS; LAS VESEL</t>
  </si>
  <si>
    <t>TORQUE ROD BAWAH KANAN</t>
  </si>
  <si>
    <t>PATAH CENTER BOLT KANAN BELAKANG;
  PATAH SPRING DEPAN NO 6;
  CEK KAMPAS REM GENERAL</t>
  </si>
  <si>
    <t>EXAUST BRAKE BERMASALAH</t>
  </si>
  <si>
    <t>GANTI BAN NO 10, DAN 11</t>
  </si>
  <si>
    <t>UNIT PENGGANTI 501</t>
  </si>
  <si>
    <t>GANTI VLEG NO. 2</t>
  </si>
  <si>
    <t>BOCOR BAN NO. 9. 10</t>
  </si>
  <si>
    <t>LEPAS BAN TROMOL NO. 8</t>
  </si>
  <si>
    <t>BOCOR HOS RADIATOR;</t>
  </si>
  <si>
    <t>INTARDER HILANG";
  GANTI KAMPAS NO. 5.7;
  PATAH BAUT RODA TROMOL NO. 6;
  NAIK PANAS;</t>
  </si>
  <si>
    <t>LOW POWER (LAMPU ENGINE MENYALA); SERVICE HM;</t>
  </si>
  <si>
    <t>BOCOR BAN NO 7, HOSE FREON BOCOR</t>
  </si>
  <si>
    <t>BOCOR BAN NO 2 (SIMPANG MASUK NAKULA), U BOLT F1 KIRI LONGGAR</t>
  </si>
  <si>
    <t>SPRING NO 7 KANAN BELAKANG;
  TAMBAH OLI RETARDER</t>
  </si>
  <si>
    <t>SPRING NO 1 KANANA BELAKANG</t>
  </si>
  <si>
    <t>LAMPU UTAMA KANAN MATI;
  LAMPU SEIN KIRI BELAKANG MATI;
  LAMPU BELAKANG KIRI DAN KANAN MATI;
  CEK KAMPAS REM GENERAL;
  STEL REM GENERAL;
  PASANG KARET STOPPER R1 R2;
  TAMBAH OIL HUB</t>
  </si>
  <si>
    <t>LAMPU UTAMA KANAN MATI</t>
  </si>
  <si>
    <t>BAN NO. 1 RUSAK</t>
  </si>
  <si>
    <t>LAMPU UTAMA KANAN MATI (KERUSAKAN BERULANG)</t>
  </si>
  <si>
    <t>BOCOR BAN NO. 3 (NAKULA)</t>
  </si>
  <si>
    <t>PATAH SPRING DEPAN KANAN TENGAH NO. ,8,9,10,11;
  ADJUST REM GENERAL</t>
  </si>
  <si>
    <t>PATAH U BOLT BELAKANG KANAN</t>
  </si>
  <si>
    <t>CEK PEN PINTU VESSEL; CEK BANCIAN</t>
  </si>
  <si>
    <t>REM NO. 5.6.8 BERMASALAH;
  STEL REM GENERAL</t>
  </si>
  <si>
    <t>BOCOR NO 11 &amp; 12</t>
  </si>
  <si>
    <t>PATAH SPRING NO. 5.6 KANAN DEPAN;
  PATAH SPRING NO. 7 DEPAN KIRI;
  TAMBAH OLI HUB;
  KARET STOPER CHASIS</t>
  </si>
  <si>
    <t>ANTRI/MACET DI PABRIK, ISTIRAHAT SHOLAT JUMAT, SAMPLE TIMBANGAN TUTUP JAM 11:00 BUKA JAM 13:00</t>
  </si>
  <si>
    <t>U BOLT DEPAN KANAN (LONGGAR);
  CEK SEAT SPRING KIRI BELAKANG;</t>
  </si>
  <si>
    <t>PATAH CENTER PEN BELAKANG KIRI KANAN;
  ADJUST REM GENERAL</t>
  </si>
  <si>
    <t>RAPIKAN SPRING KANAN DEPAN;
  PENGIKAT MUFFLER LEPAS</t>
  </si>
  <si>
    <t>LAMPU UTAMA KIRI DAN KANAN MATI;
  ADJUST REM TROMOL NO 1,2,3, DAN 4</t>
  </si>
  <si>
    <t>CEK RETARDER INTARDER;
  KEBOCRAN OLI HYDROLIK;
  CEK ADJUSTER;
  STEL REM GENERAL;
  CEK KAMPAS REM</t>
  </si>
  <si>
    <t>CEK CENTER BOLT BELAKANG KIRI;
  STEL REM GENERAL;
  GANTI KARET STOPPER BELAKANG</t>
  </si>
  <si>
    <t>TAMBAH OLI POWER STEARING;
  PERBAIKAN SPRING F2 KANAN;</t>
  </si>
  <si>
    <t>AKI MELEDAK (PENGISIAN FUEL KM 7)</t>
  </si>
  <si>
    <t>PATAH SPRING NO 13 BELAKANG KIRI;
  STEL REM GENERAL</t>
  </si>
  <si>
    <t>GANTI TORQUEROD BAWAH KIRI;
  STEL REM GENERAL;
  TAMBAH OLI RETARDER;</t>
  </si>
  <si>
    <t>LAMPU SEN MATI; LAMPU STOP MATI; LAMPU PARKIR MATI; BAUT LAMPU STOP KANAN; PERBAIKAN STERING;</t>
  </si>
  <si>
    <t>LOW POWER;
  PATAH SPRING NO 9BELAKANG KIRI;
  ADA KEBOCORAN SELANG RADIATOR;
  CEK KAMPAS REM GENERAL;
  CEK OLI RETARDER</t>
  </si>
  <si>
    <t>CEK TAILGATE MANUAL; CEK PINTU VESSEL; SAFETY TANKI</t>
  </si>
  <si>
    <t>EXHAUT BRAKE BERMASALAH;
  LOW POWER;
  STEL REM GENERAL</t>
  </si>
  <si>
    <t>CEK KAMPAS NO/. 1.2.3.4;
  STEL REM GENERAL;
  CEK TROMOL NO. 1.2.3.4;
  KARET STOPER KIRI KANAN DEPAN</t>
  </si>
  <si>
    <t>PATAH BAUT RODA TROMOL NO 5;
  CEK TROMOL NO 4;
  CEK HOSE RADIATOR;
  TAMBAH OLI RETARDER</t>
  </si>
  <si>
    <t>PATAH U BOLT DEPAN
  CEK KONEKTOR ANGIN</t>
  </si>
  <si>
    <t>PATAH CENTER BOLT BELAKANG KIRI;
  PATAH PER NO. 6 KIRI TENGAH;
  LONGGAR BAUT TORQUE ROD ATAS BELAKANG</t>
  </si>
  <si>
    <t>EXHAUST BRAKE BERMASALAH (KERUSAKAN BERULANG)</t>
  </si>
  <si>
    <t>GANTI SAFETY TANKI FUEL;</t>
  </si>
  <si>
    <t>BOCOR BAN NO. 11 (KM 4)</t>
  </si>
  <si>
    <t>BOCCOR BAN NO. 5 (KBM)</t>
  </si>
  <si>
    <t>RADIATOR BERMASALAH;
  CLEM HOSE RETARDER;</t>
  </si>
  <si>
    <t>PATAH BOLT HUBTROMOL NO. 8</t>
  </si>
  <si>
    <t>PERBAIKAN LAMPU BELAKANG KANAN, LAS GANTUNGAN LAPE LAPE;</t>
  </si>
  <si>
    <t>BOCOR BAN NO. 11 (KM 19)</t>
  </si>
  <si>
    <t>PATAH SPRING NO 5 BELAKANG KANAN;</t>
  </si>
  <si>
    <t>LEPAS BUSHING TORQUEROD;
  LEPAS U BOLT F1</t>
  </si>
  <si>
    <t>BOCOR BAN NO 4 (BLOK 8)</t>
  </si>
  <si>
    <t>REPAIR SPAKBOAR DEPAN KANAN;
  REPAIR SARINGAN UDARA</t>
  </si>
  <si>
    <t>BOCOR BAN NO. 12 (NAKULA)</t>
  </si>
  <si>
    <t>PATAH CENTER SPRING BELAKANG KANAN
  GANTI KAMPAS REM TROMOL NO 3
  KAMPAS REM TROMOL NO 1 &amp; 2 RENGGANG</t>
  </si>
  <si>
    <t>ADJUSTER TROMOL REM NO 6,,8 TIDAK FUNGSI
  ADJUSTER TROMOL NO 7 LAMBAT KEMBALI
  TAMBAH AIR RADIATOR</t>
  </si>
  <si>
    <t>PATAH U BOLT KIRI DEPAN;
  ADJUST REM NO. ,5,6,7,8;\
  CEK TROMOL NO. 5.6.7.8</t>
  </si>
  <si>
    <t>ANTRI DI LOADING POINT (MULAI LOADING JAM 10:00), 12:00-13:00 OPERATOR ISTIRAHAT, 13:00 LOADING ULANG</t>
  </si>
  <si>
    <t>PATAH BAUT RODA TROMOL NO 6, GANTI BAN NO. 7.8</t>
  </si>
  <si>
    <t>LAS VESEL</t>
  </si>
  <si>
    <t>REPAIR MUFFLER;
  RAPIKAN SPRING DEPAN KIRI TENGAH</t>
  </si>
  <si>
    <t>PATAH BAUT RODA TROMOL NO. 7</t>
  </si>
  <si>
    <t>CEK GARDAN BERMASALAH, ANTRI DI LOADING POINT (MULAI LOADING JAM 10:00), 12:00-13:00 OPERATOR ISTIRAHAT, 13:00 LOADING ULANG</t>
  </si>
  <si>
    <t>PATAH SEAT SPRING BELAKANG KIRI;</t>
  </si>
  <si>
    <t>INTARDER BERMASALAH;
  CEK KAMPAS GENERAL</t>
  </si>
  <si>
    <t>GANTI BAN NO 8 DAN 12</t>
  </si>
  <si>
    <t>BOCOR BAN NO. 5</t>
  </si>
  <si>
    <t>RETARDER BERMASALAH (KURANG MENAHAN);
  CEK ADJUSTER TROMOL NO 8</t>
  </si>
  <si>
    <t>TAMBAH OLI HUB F2 KANAN DEPAN
  PATAH U BOLT DEPAN F1 KIRI DEPAN</t>
  </si>
  <si>
    <t>RETARDER BERMASALAH
  GANTI KARET TOQUEROD ATAS</t>
  </si>
  <si>
    <t>PATAH PER BELAKANG KIRI NO 7
  RETARDER KURANG MENAHAN
  SETEL REM GENERAL</t>
  </si>
  <si>
    <t>LAMPUS STOP JATUH;
  HUB NO. 6 MEREMBES;</t>
  </si>
  <si>
    <t>LAS TAILGATE MANUASL
  LAS SPAKBOARD</t>
  </si>
  <si>
    <t>JALAN LICIN, MACET DITIMBANGAN TENGKORAK</t>
  </si>
  <si>
    <t>GANTI BAN NO. 11.12;
  BOCOR BAN NO.7</t>
  </si>
  <si>
    <t>LAMPU KIRI DEPAN BURAM;
  TAMBAH OLI RETARDER</t>
  </si>
  <si>
    <t>PATAH SPRING BELAKANG KIRI NO 6;
  BAUT TORQUEROD BELAKANG KANAN KENDOR;</t>
  </si>
  <si>
    <t>BOCOR BAN NO. 6 (KM 10)</t>
  </si>
  <si>
    <t>RUSAK BAN NO. 5</t>
  </si>
  <si>
    <t>REM BERMASALAH TROMOL NO 8</t>
  </si>
  <si>
    <t>PATAH BAUT RODA TROMOL NO. 6;
  PATAH SPRING NO. 8 KIRI BELAKANG;
  TAMBAH OLI HUB NO. 4</t>
  </si>
  <si>
    <t>BOCOR BAN NO. 6;
  GANTI BAN NO. 7</t>
  </si>
  <si>
    <t>PATAH PER NO. 3 BELAKANG KIRI;
  STEL REM GENERAL;
  TAMBAH OLI HUB NO. 4.3;
  STOPER BUAMPER R1RH LH R2 RH LH;</t>
  </si>
  <si>
    <t>DIFLOK BERMASALAH;
  CEK OLI HUB ALL;
  KARET STOPPER BELAKANG KIRI;</t>
  </si>
  <si>
    <t>PUTUS ALTENATOR ANGIN (BLOK 5)</t>
  </si>
  <si>
    <t>MELEDAK BAN NO. 8</t>
  </si>
  <si>
    <t>KAMPAS NO. 3.4;
  HUB NO.1 BOCOR</t>
  </si>
  <si>
    <t>STOPLAMP KIRI DAN KANAN BERMASALAH</t>
  </si>
  <si>
    <t>LONGGAR BAUT RODA TROMOL NO. 7;
  TAMBAH OLI RETARDER</t>
  </si>
  <si>
    <t>PATAH BAUT RODA TROMOL NO. 7;
  DOBLE BERMASALAH;
  CEK UNDERCARRIAGE</t>
  </si>
  <si>
    <t>BOCOR BAN NO. 11, SENSOR ANGIN BERMASALAH</t>
  </si>
  <si>
    <t>GANTI KAMPAS REM NO. 6;
  CEK KAMPAS REM NO, 1,2;
  STEL REM GENERAL;
  CEK KARET STOPPER BELAKANG;
  CEK ADJUSTER NO, 3,4</t>
  </si>
  <si>
    <t>RETARDER BERMASALAH (KERUSAKAN BERULANG);
  REM TROMOL NO 5,7, DAN 8 TIDAK BERFUNGSI;
  STOPLAMP KIRI DAN KANAN MATI;</t>
  </si>
  <si>
    <t>PATAH BAUT RODA TROMOL NO 5;
  CEK KAMPAS REM TROMOL NO 4</t>
  </si>
  <si>
    <t>STEL REM GENERAL;
  KENCANGKAN BAUT TROMOL NO 5 DAN 7;</t>
  </si>
  <si>
    <t>GANTI BAN NO. 10.11</t>
  </si>
  <si>
    <t>REM F2 TROMOL NO 3 DAN 4 (TIDAK MENAHAN HUB DEPAN KANAN BOCOR)</t>
  </si>
  <si>
    <t>LOADING POINT PERTAMA MULAI JAM 07:45, ANTRI RET PERTAMA SAMPAI 11:40, LOADING POINT CUMA 1</t>
  </si>
  <si>
    <t>BOCOR BAN NO. 6</t>
  </si>
  <si>
    <t>LAMPU UTAMA KIRI BERMASALAH;
  TAMBAH OLI HUB</t>
  </si>
  <si>
    <t>SEIN KIRI BELAKANG MATI;
  GANTI KARET STOPPER KIRI KANAN BELAKANG</t>
  </si>
  <si>
    <t>CENTER BOLT RR RH LH PATAH;
  PATAH U BOLR FR LH;</t>
  </si>
  <si>
    <t>PATAH SPRING BELAKANG KIRI NO 1 DAN 2</t>
  </si>
  <si>
    <t>ADJUST REM GENERAL;</t>
  </si>
  <si>
    <t>PATAH BAUT RODA TROMOL NO 5 DAN 7</t>
  </si>
  <si>
    <t>PATAH PER NO. 6 BELAKANG KIRI;</t>
  </si>
  <si>
    <t>PATAH BAUT RODA TROMOL NO. 5.7;
  PATAH CENTER PEN KANAN BELAKANG;</t>
  </si>
  <si>
    <t>BOCOR BAN NO 12 (TIMBANGAN BLOK 8)</t>
  </si>
  <si>
    <t>CLAM HOSE AIR RADIATOR YANG DI BAWAH TRANSMISI LONGGAR
  LAMPU REM KANAN KIRI MATI
  NEPEL RUSAK
  LOW POWER
  TAMBAH OLI RETARDER</t>
  </si>
  <si>
    <t>LAMPU SEN BELAKANG KANAN BERMASALAH;
  LAMPU STOP BELAKANG KANAN;</t>
  </si>
  <si>
    <t>HUJAN JALAN LICIN, JALAN KBM RUSAK</t>
  </si>
  <si>
    <t>PATAH BAUT RODA TROMOL NO 6;
  TAMBAH OLI RETARDER;
  CEK KAMPAS REM GENERAL</t>
  </si>
  <si>
    <t>GANTI BAN NO. 11.12</t>
  </si>
  <si>
    <t>BOCOR BAN NO 8;
  GANTI BAN NO 9</t>
  </si>
  <si>
    <t>SETEL REM GENERAL
  KENCANGKAN BAUT TORQUEROD KIRI TENGAH</t>
  </si>
  <si>
    <t>RETARDER BERMASALAH;
  GANTI KARET STOPER NO. 1.2.7;
  REM BERMASALAH (KERUSAKANBERULANG MOHON DI PERHATIKAN)</t>
  </si>
  <si>
    <t>TAMBAH OLI RETARDER;
  LONGGAR BAUT CHASIS;
  BERSIHKAN SARINGAN UDARA</t>
  </si>
  <si>
    <t>TAMBAH OLI RETARDER;
  STEL REM GENERAL;</t>
  </si>
  <si>
    <t>SERVICE HM 7000;
  CEK KAMPAS REM GENERAL</t>
  </si>
  <si>
    <t>CEK VALET REM GENERAL;
  CEK ADJUSTER GENERAL;
  STEL REM GENERAL;
  DOL BAUT RODA</t>
  </si>
  <si>
    <t>STEL REM GENERAL;
  REM NO. 8 TIDAK MENAHAN;
  OLI HUB BOCOR NO. 1.2.4;
  KARET STOPPER BELAKANG KANAN;
  LAMPU UTAM KANAN MATI;</t>
  </si>
  <si>
    <t>PATAH SPRING NO. 2 BELAKANG KANAN ;
  REM KURANG MENAHAN;
  RETARDER TIDAK MENAHAN;</t>
  </si>
  <si>
    <t>#PATAH PER NO, 1 BELAKANG KIRI;</t>
  </si>
  <si>
    <t>#PATAH BAUT RODA TROMOL NO 8,
  #ADJUST BRAKE GENERAL 3/6</t>
  </si>
  <si>
    <t>PATAH BAUT RODA TROMOL NO. 2.3.6 KANAN;
  PATAH SPRING BELAKANG NO. 3 KIRI;
  CEK KARET TORQUE ROD ATAS BAWAH</t>
  </si>
  <si>
    <t>REM NO.1.2.3.4.7.8 BERMASALAH (KERUANG MENAHAN)</t>
  </si>
  <si>
    <t>PATAH BAUT RODA TROMOL NO. 5;
  MATI LAMPU DEPAN KIRI</t>
  </si>
  <si>
    <t>LOADING PERTAMA JAM 07:30, RETASE PERTAMA SAMPAI JAM 11:50, ANTRI DI LOADING POINT (CUMA 1)</t>
  </si>
  <si>
    <t>#OLI HUB MEREMBES TROMOL NO 1,2,3, DAN 4,
  #REPAIR MUFFLER,
  #KEPALA AKI BERMASALAH,
  #DIFFLOCK BERMASALAH (DOUBLE BERAT BERMASALAH),
  #STEL REM GENERAL,</t>
  </si>
  <si>
    <t>BOCOR BAN NO;.9</t>
  </si>
  <si>
    <t>PATAH PER NO 12 TENGAH KIRI
  LAMPU UTAMA KIRI KANAN MATI 
  CENTER PEN BELAKANG KANAN PATAH
  SETEL REM GENERAL</t>
  </si>
  <si>
    <t>BOCOR HOSE RADIATOR DEPAN BAWAH; 
  KAMPAS REM TROMOL NO 1 TIDAK AKTIF;
  PPENGECEKAN KEKENCANGAN BAUT RODA TROMOL NO 5678;
  KARET STOPPER BELAKANG;</t>
  </si>
  <si>
    <t>#SPRING NO 10 KANAN BELAKANG PATAH,
  #REM BERMASALAH TROMOL NO 8,
  #STEL REM GENERAL</t>
  </si>
  <si>
    <t>#BOCOR BAN NO. 9 (ARJUNA)</t>
  </si>
  <si>
    <t>#CEK ADJUSTER NO 1 DAN 3,
  #CEK OLI HYDRAULIK,
  #CEK OLI TRANSMISI</t>
  </si>
  <si>
    <t>PATAH PER NO. 5 BELAKANG KIRI;
  RAPIKAN PER F1 LH RH;</t>
  </si>
  <si>
    <t>BOCOR SELANG ANGIN (AUREL)</t>
  </si>
  <si>
    <t>PATAH PER NO. 6.8 KIRI KANAN;
  KAMPAS NO.2 BERMASALAH</t>
  </si>
  <si>
    <t>EXHAUSY BRAKE BERMASALAH;
  TAMBAH OLI RETARDER;
  STEL REM GENERAL;</t>
  </si>
  <si>
    <t>TEST UNIT (TEST GROUND</t>
  </si>
  <si>
    <t>BANCIAN BERMASALAH; TAILGATE MANUAL BERMASALAH</t>
  </si>
  <si>
    <t>SELANG RADIATOR BOCOR (KERUSAKAN BERULANG) (LINE 18)</t>
  </si>
  <si>
    <t>#STEL REM GENERAL,
  #TAMBAH OLI RETARDER</t>
  </si>
  <si>
    <t>SERVICE KM;
  LAMPU UTAMA KIRI MATI;
  BAUT CHASIS LONGGAR;
  STEL REM GENERAL;
  TAMBAH OLO RETADRER;
  LONGGAR BAUT SARINGAN UDARA</t>
  </si>
  <si>
    <t>SPRING NO 1 KIRI BELAKANG BERMAALAH</t>
  </si>
  <si>
    <t>GANTI KARET STOPPER;
  TAMBAH AIR AKI;
  AC BERMASALAH (PANAS);
  STEL REM GENERAL;</t>
  </si>
  <si>
    <t>KONEKTOR SELANG ANGIN BERMASALAH;
  TAMBAH OLI RETARDER</t>
  </si>
  <si>
    <t>BOCOR BAN NO. 5 (REST AREA)</t>
  </si>
  <si>
    <t>GANTI BAN NO 5, DAN 6</t>
  </si>
  <si>
    <t>STEL REM GENERAL;
  TAMBAH OLI HUB F1 F2;
  GANTI KAMPAS NO. 3</t>
  </si>
  <si>
    <t>PATAH PER NO. 1 TROMOL NO. 3;
  LAMPU REM TIDAK MENYALA;</t>
  </si>
  <si>
    <t>STEL REM GENERAL;
  CEK RETARDER</t>
  </si>
  <si>
    <t>BOCOR BAN NO. 11 (LOADING POINT NAKULA)</t>
  </si>
  <si>
    <t>BOCOR BAN NO. 4 (BLOK 5)</t>
  </si>
  <si>
    <t>TUAS PESENELAN BERMASALAN (LOADING POINT YUDISTIRA)</t>
  </si>
  <si>
    <t>CEK KAMPAS REM GENERAL;
  STEL REM GENERAL;
  RETARDER KURANG MENAHAN;
  SEN BELAKANG KIRI KANAN MATI;
  DOBLE BERMASALAH;
  GANTI KARET STOPER BELAKANG BAWAH;</t>
  </si>
  <si>
    <t>LOADING POINT PERTAMA MULAI 07:30, RETASE PERTAMA S</t>
  </si>
  <si>
    <t>PATAH CENTER PEN KANAN BELAKANG</t>
  </si>
  <si>
    <t>PATAH CENTER BOLT KANAN BELAKANG;</t>
  </si>
  <si>
    <t>DT-380</t>
  </si>
  <si>
    <t>#PATAH CENTER PEN BELAKANG KIRI,
  #STEL REM GENERAL</t>
  </si>
  <si>
    <t>BOCOR BAN NO. 12 (BLOK 5)</t>
  </si>
  <si>
    <t>PATAH SPRING MO. 9 F2 KANAN DEPAN;
  TAMBAH OLI HUB F1 F2 KIRI DEPAN;
  GANTI KARET STOPPER R1 BELAKANG;</t>
  </si>
  <si>
    <t>RAPIKAN SPRING F2 KANAN;
  TAMBAH OLI HYDROLIK</t>
  </si>
  <si>
    <t>SEAL WEEL HUB BOCOR NO. 4 (KAMPAS BASAH OLI HUB)</t>
  </si>
  <si>
    <t>BOCOR BAN NO. 5 (KM 19)</t>
  </si>
  <si>
    <t>PATAH CENTER PEN BELAKANG KIRI;
  CEK KAMPAS REM NO. 8;
  STEL REM GENERAL;
  REPAIR SPAKBOARD KIRI DEPAN;</t>
  </si>
  <si>
    <t>WIPER BERMASALAH;
  DOBLE BERMASALAH</t>
  </si>
  <si>
    <t>RELAY BERMASALAH (KERUSAKAN BERULANG);
  TEKOR ANGIN;
  TAMBAH OLI RETARDER;
  CEK KAMPAS REM GENERAL;
  STEL REM GENERAL</t>
  </si>
  <si>
    <t>DRIVER SAKIT (DIGANTI DENGAN DT 526)</t>
  </si>
  <si>
    <t>BAUT RODA TROMOL NO 7 BERMASALAH;
  EXHAUST BRAKE BERMASALAH;
  SAFETY KARTER KENDOR</t>
  </si>
  <si>
    <t>PATAH BAUR RODA TORMOL NO. 7;
  PATAH SPRING NO. 5 BELAKANG KANAN</t>
  </si>
  <si>
    <t>CEK KAMPAS REM(KURANG MENAHAN),
  CEK KABEL LAMPU REM</t>
  </si>
  <si>
    <t>TAMBAH OLI RETARDER;
  BERSIHKAN SARINGAN UDARA;
  SERVICE KM;</t>
  </si>
  <si>
    <t>PENGGANTI UNIT DT 527, PATAH KONEKTOR ANGIN (KM 10)</t>
  </si>
  <si>
    <t>SERVICE KM;
  TAMBAH OLI RETARDER;
  CEK KAMPAS GENERAL;
  CEK TORQUE ROD ATAS;
  STEL REM GENERAL;</t>
  </si>
  <si>
    <t>SETEL REM GENERAL,
  REM TROMOL NO 6 DAN 8 TIDAK BERFUNGSI,
  BERSIHKAN AIR CLEANER</t>
  </si>
  <si>
    <t>CEK KAMPAS REM(KURANG MENAHAN)</t>
  </si>
  <si>
    <t>#GANTI BAN NO 7 DAN 8,
  #GANTI VELG NO 10</t>
  </si>
  <si>
    <t>GANTI SAKLAR EXHASUT BRAKE (KERUSAKAN BERULANG)</t>
  </si>
  <si>
    <t>TAMBAH OLI RETARDER;
  GANTI OLI ENGINE;</t>
  </si>
  <si>
    <t>#ISI FREON,
  #PERBAIKAN RADIO</t>
  </si>
  <si>
    <t>#KARET TORQUEROD ATAS DAN BAWAH,
  #BEARING KINGPIN NO 3,
  #SEAT SPRING BELAKANG KANAN,
  #ADA KEBOCORAN ANGIN DI TABUNG DAN CABIN</t>
  </si>
  <si>
    <t>REPAIR MUFFLER (PATAH);
  PATAH KONEKTOR ANGIN;
  AC BERMASALAH</t>
  </si>
  <si>
    <t>#BOCOR GARDAN,
  #CEK GEARBOX STEARING,
  #GANTI BEARING KINGPIN F1 F2</t>
  </si>
  <si>
    <t>#DOUBLE BERAT BERMASALAH,
  #TAMBAH OLI HUB</t>
  </si>
  <si>
    <t>#PATAH BAUT RODA TROMOL NO 6,
  #DRYER BERMASALAH,
  #CEK KAMPAS REM NO 7,</t>
  </si>
  <si>
    <t>#REM KURANG MENAHAN,
  #REM NO 2,3,4,5, DAN 6,
  #GANTI KARET STOPPER</t>
  </si>
  <si>
    <t>PATAH PER NO. 9.10 BELAKANG KANAN;
  SERVICE HM (RUSAK)</t>
  </si>
  <si>
    <t>TAMBAH OLI RETRADER;
  STEL REM GENERAL;
  CEK KAMPAS GENERAL;
  GANTI KARET STOPPER DEPAN;
  KLEM HOSE RADIATOR LONGGAR;</t>
  </si>
  <si>
    <t>#CEK INDIKATOR RADIATOR,
  #STEL REM GENERAL,
  #GANTI KAMPAS REM TROMOL NO 5,
  #CEK OLI HUB,
  #CEK SPAKBOARD DEPAN KIRI,
  #RAPIHKAN SPRING F2 LH,</t>
  </si>
  <si>
    <t>CEK CHAMBER R1 RH;
  GANTI KARET TORQEUR ROD;
  LAS DUDUKAN PER KANAN;
  TAMBAH OLI HUB;</t>
  </si>
  <si>
    <t>BOCOR BAN NO. 9;
  TAMBAH ANGIN BAN NO. 10</t>
  </si>
  <si>
    <t>HOSE POWERSTRING; OLI HUB BOCOR NO. 1.2; LAMPU STOP KANAN MATI; LAMPU SEN KANAN MATI; STEL REM GENERAL;</t>
  </si>
  <si>
    <t>BOCOR BAN NO. 10</t>
  </si>
  <si>
    <t>GEAR NO 3, DAN 7 BERMASALAH</t>
  </si>
  <si>
    <t>#CEK HOSE INTERCOOLER,
  #ENGINE MOUNTING,
  #REM BERMASALAH,
  #PERBAIKAN SPAKBOARD KIRI,
  #STEL REM GENERAL</t>
  </si>
  <si>
    <t>#BOCOR RADIATOR,
  #LAS SPIRAL MUFFLER</t>
  </si>
  <si>
    <t>#GANTI KARET STOPPER TENGAH BELAKANG,
  #LAMPU SEIN KIRI BELAKANG MATI,</t>
  </si>
  <si>
    <t>#PECAH PENUTUP HUB DEPAN TROMOL NO 2,
  #REPAIR MUFFLER</t>
  </si>
  <si>
    <t>PATAH CENTER BOLT BELAKANG;
  CEK CENTER BOLT KIRI</t>
  </si>
  <si>
    <t>#BOCOR RADIATOR,
  #RAPIHKAN KABEL BODY DIATAS GARDAN,
  #DIFFLOCK BERMASALAH,
  #PATAH BAUT R1 RH
  #PATAH CENTER PEN BELAKANG RH</t>
  </si>
  <si>
    <t>PATAH TORQUE ROD ATAS;</t>
  </si>
  <si>
    <t>TAMBAH OLI RETARDER;
  CEK RETARDER;
  TAMBAH AIR RADIATOR</t>
  </si>
  <si>
    <t>LONGGAR U BOLT DEPAN KANAN;
  CEK KAMPAS REM GENERAL;
  STEL REM GENERAL</t>
  </si>
  <si>
    <t>STEL REM GENERAL;
  INDIKATOR ENGINE NYALA;
  TAMBAH OLI RETARDER;</t>
  </si>
  <si>
    <t>CEK KAMPAS REM NO. 6.4;
  CEK KARET STOPER BELAKANG KANAN</t>
  </si>
  <si>
    <t>#CEK SEAL HUB NO 1, #ADD OIL HUB, #KAMPAS REM NO 8</t>
  </si>
  <si>
    <t>DRIVER SAKIT, ISTIRAHAT SHOLAT JUMAT, SAMPLE TIMBANGAN TUTUP JAM 11:00 BUKA JAM 13:00</t>
  </si>
  <si>
    <t>LAMPU BERMASALAH (MATI SEMUA)</t>
  </si>
  <si>
    <t>LAS SPAKBOARD KIRI KANAN TENGAH;
  STEL REM GENERAL;
  CEK KAMPAS GENERAL;
  TAMBAH OLI RETARDER;</t>
  </si>
  <si>
    <t>CEK SPRING NO 2 KANAN BELAKANG,
  CEK TRUNNION KANAN BELAKANG,
  GANTI CENTER BOLT KANAN BELAKANG</t>
  </si>
  <si>
    <t>TROMOL NO 3 PECAH, REPAIR MUFFLER</t>
  </si>
  <si>
    <t>#PATAH U BOLT SPRING BELAKANG KANAN,
  #TAMBAH OIL HUB TROMOL NO 1, DAN 3,
  #GANTI KAMPAS REM TROMOL NO 7, DAB 8</t>
  </si>
  <si>
    <t>KOPLENG KERAS;
  CLEM HOSE HYDROLIK PATAH;</t>
  </si>
  <si>
    <t>BOCOR BAN NO. 5 (KM 10)</t>
  </si>
  <si>
    <t>REM KURANG MENAHAN;
  CEK TROMOL ;</t>
  </si>
  <si>
    <t>PATAH CENTER PEN BELAKANG KIRI,
  TROMOL TROMOL NO 4 DAN 8 (ADJUSTER TIDAK BERFUNGSI)</t>
  </si>
  <si>
    <t>GANTI BAN NO 7 DAN 11</t>
  </si>
  <si>
    <t>LAMPU UTAMA DEPAN KIRI MATI,
  STOPLAMP KIRI MATI SEMUA,
  STEL REM GENERAL,
  SERVICE HM 7000</t>
  </si>
  <si>
    <t>PATAH BAUT RODA TROMOL NO. 6</t>
  </si>
  <si>
    <t>CENTER BOLT BELAKANG KANAN,
  BAUT RODA TROMOL NO 5,
  LAMPU UTAMA KIRI MATI,
  STOPLAMP KANAN MATI,</t>
  </si>
  <si>
    <t>PATAH U BOLT KIRI DEPAN;</t>
  </si>
  <si>
    <t>SELANG HYDRAULIK PTO BOCOR,
  STEL REM GENERAL,
  CEK SEIN BELAKANG,
  CEK STOPLAMP</t>
  </si>
  <si>
    <t>#BAUT TORQUEROD KIRI BELAKANG LONGGAR,
  #REM TIDAK BERFUNGSI TROMOL NO 7,
  #TAMBAH AIR RADIATOR,
  #STEL REM GENERAL,
  #TAMBAH OLI RETARDER,
  #CEK TROMOL NO 5,
  #CEK KAMPAS REM TROMOL NO 5</t>
  </si>
  <si>
    <t>PATAH PER NO. 6 BELAKANG KIRI;
  BAUT CHASIS LONGGAR KIRI KANAN;
  REM TROMOL NO. 8 LENGKET;
  CEK KAMPAS NO. 1.2.3.4.5.6.7</t>
  </si>
  <si>
    <t>#PATAH SPRING DEPAN KIRI DAN KANAN NO 6,
  #LONGGAR TAILGATE OTOMATIS
  #TAMBAH OLI RETARDER</t>
  </si>
  <si>
    <t>MELEDAK BAN NO. 3 (LINE 7)</t>
  </si>
  <si>
    <t>STEL REM GENERAL; EXSESORIS BERMASALAH, KANCINGAN MANUAL PUTUS ; REPAIR SPAKBOARD</t>
  </si>
  <si>
    <t>STEL REM GENERAL;
  TAMBAH OLI RETARDER;
  SEMPROT SARINGAN UDARA</t>
  </si>
  <si>
    <t>STEL REM GENERAL,
  STEL RANTAI TAILGATE,
  TAMBAH OLI RETARDER</t>
  </si>
  <si>
    <t>CEK TORQUE ROD ATAS BAWAH;
  DOL BAUT RODA TROMOL NO,., 7;
  CEK KAMPAS REM GENERAL;
  TAMBAH OLI RETARDER;</t>
  </si>
  <si>
    <t>GANTI BAN NO 11 DAN 12</t>
  </si>
  <si>
    <t>HOSE RETARDER LONGGAR KIRI BAWAH;
  DINAMO KABIN BERMASALAH</t>
  </si>
  <si>
    <t>#RETARDER KURANG MENAHAN,
  #STEL REM GENERAL</t>
  </si>
  <si>
    <t>ANTRI PERTIGAAN LOADING POINT NAKULA (ADA UNIT DT SM YANG AMBLAS) &amp; PERBAIKAN JALAN</t>
  </si>
  <si>
    <t>PATAH KNALPOT</t>
  </si>
  <si>
    <t>#SEIN KANAN DEPAN BERMASALAH,
  #KONEKTOR ANGIN BERMASALAH,</t>
  </si>
  <si>
    <t>BOCOR BAN [NO 2] (KM 12)</t>
  </si>
  <si>
    <t>BOCOR BAN NO 1, DAN 2, BOCOR HUB NO.1; PATAH PER NO. 5 KANAN TENGAH</t>
  </si>
  <si>
    <t>PATAH BAUT RODA TROMOL NO. 6 (3 PCS)</t>
  </si>
  <si>
    <t>GANTI KAMPAS NO. 7.8;
  TAMBAH OLI HYDROLIK</t>
  </si>
  <si>
    <t>PATAH CENTER BOLT BELAKANG KIRI
  SET SPRING KANAN KIRI
  STOPPER SPRING
  DOUBLE BERAT</t>
  </si>
  <si>
    <t>PATAH BAUT RODA TROMOL,
  KLAKSON MATI</t>
  </si>
  <si>
    <t>SERVICE HM;
  LAMPU UTAMA KIRI MATI;
  RAPIKAN PER KANAN DEPAN TENGAH;</t>
  </si>
  <si>
    <t>#CEK TAILGATE AMANUAL, #CEK BANCIAN</t>
  </si>
  <si>
    <t>PATAH BAUT RODA TROMOL NO 5,
  REPAIR MUFFLER</t>
  </si>
  <si>
    <t>INDIKATOR INTARDER BERMASALAH</t>
  </si>
  <si>
    <t>TAMBAH OLI HUB;
  TAMBAH AIR RADIATOR;
  MINYAK STRING;</t>
  </si>
  <si>
    <t>#PERBAIKAN DUDUKAN JOK</t>
  </si>
  <si>
    <t>#PATAH SPRING NO 3 F2 RH,
  #U BOLT F1 LH LONGGAR</t>
  </si>
  <si>
    <t>GANTI BAN NO 7 DAN 8</t>
  </si>
  <si>
    <t>PATAH U BOLT KIRI DEPAN;
  TAMBAH OLI HUB;
  GANTI BALON LAMPU REM BELAKANG</t>
  </si>
  <si>
    <t>PATAH SPRING NO 8 DAN 10,
  TROMOL NO 3</t>
  </si>
  <si>
    <t>SAFETY PENGAMAN CHASSIS DUMP,
  LAS MUFLER</t>
  </si>
  <si>
    <t>PATAH CENTER PEN BELAKANG KANAN;
  PATAH BAUT SEAT SPRING KANAN KIRI BELAKANG;
  PATAH BAUT SEAT SPRING DEPAN KANAN</t>
  </si>
  <si>
    <t>PATAH SPRING NO 8 BELAKANG KANAN,
  STEL REM GENERAL</t>
  </si>
  <si>
    <t>U BOLT DEPAN LONGGAR,
  RAPIHKAN SPRING NO 3 DAN 4,
  STEL REM GENERAL</t>
  </si>
  <si>
    <t>OLI HUB MEREMBES 3,4;
  SERVICE HM;
  PATAH SPRING NO, 5 BELAKANG KIRI;</t>
  </si>
  <si>
    <t>#U BOLT DEPAN KIRI PATAH,
  #PATAH U BOLT NO 3 FH LH</t>
  </si>
  <si>
    <t>#TAMBAH OLI HUB,
  #GANTI KAMPAS REM TROMOL NO 8,
  #KAMPAS REM TROMOL NO 1 TIDAK MENAHAN,
  #KAMPAS REM TROMOL NO 3, DAN 4 TIDAK MENAHAN,
  #CEK ADJUSTER ALL</t>
  </si>
  <si>
    <t>#GANTI KAMPAS REM TROMOL NO 3,
  #OLI HUB TROMOL NO 1,2, DAN 3 MEREMBES,
  #RAPIHKAN SPRING TENGAH KANAN,
  #STEL REM GENERAL</t>
  </si>
  <si>
    <t>#PATAH SPRING NO 4, DAN 5</t>
  </si>
  <si>
    <t>#GANTI KAMPAS REM TROMOL NO 6 DAN 8,
  #STEL REM GENERAL,
  #KARET STOPPER DEPAN KANAN,
  #KARET STOPPER BELAKANG KIRI,
  #CEK OLI HUB,
  #BERSIHKAN SARINGAN UDARA,
  KLEM MUFFLER JATUH,
  #PENAHAN LUMPUR KANAN JATUH</t>
  </si>
  <si>
    <t>STEL REM GENERAL,
  TAMBAH OIL HUB</t>
  </si>
  <si>
    <t>GANTI KAMPAS REM NO 8,
  STEL ADJUSTER ALL,</t>
  </si>
  <si>
    <t>SAFETY TANKI HYDRAULIK PUTUS,
  TAMBAH OIL HUB</t>
  </si>
  <si>
    <t>BOCOR SELANG HOSE HYDRAULIK</t>
  </si>
  <si>
    <t>CEK OLI POWER STEARING,
  CEK LONG TIEROD DAN TIEROD PENDEK</t>
  </si>
  <si>
    <t>PATAH BAUT RODA TROMOL NO. 5; STEL REM GENERAL; BOCOR BAN NO 10</t>
  </si>
  <si>
    <t>BOCOR BAN (TIMBANGAN TENGKORAK KM 5)</t>
  </si>
  <si>
    <t>SERVICE KM;
  TAMBAH OLI RETARDER;
  SAFETY RADIATOR ;
  HOSE RADIATOR MEREMBES AIR,
  PATAH SPRING NO 11 BELAKANG KIRI</t>
  </si>
  <si>
    <t>#SERVICE KM 25.000
  #CEK TORQUEROD ATAS,
  #PATAH BAUT RODA TROMOL NO 5,
  #TAMBAH OLI RETARDER</t>
  </si>
  <si>
    <t>PERBAIKAN SAFETY CLATER,
  TAMBAH OLI RETARDER,
  BERSIHKAN SARINGAN UDARA</t>
  </si>
  <si>
    <t>BOCOR BAN NO 9 &amp; 10</t>
  </si>
  <si>
    <t>TAMBAH OLI RETARDER;
  BERISHKAN SARINGAN UDARA</t>
  </si>
  <si>
    <t>PECAH BAN NO, 3(KM 17), #SENSOR ANGIN BERMASALAH,
  #KLAKSON BERMASALAH,
  #AIR WIPER BERMASALAH</t>
  </si>
  <si>
    <t>PATAH CENTER BOLT KANAN BELAKANG
  SETEL REM GENERAL</t>
  </si>
  <si>
    <t>PERBAIKAN PINTU, LONGGAR BOLT HUB</t>
  </si>
  <si>
    <t>DOBLE BERMASALAH;
  STEL REM GENERAL;
  TAMBAH OLI RETARDER</t>
  </si>
  <si>
    <t>GANTI KAMPAS NO. 3.4.7;
  LAMPU UTAMA KANAN MATI;
  STEL REM GENERAL;
  TAMBAH OLI HUB</t>
  </si>
  <si>
    <t>PATAH SPRING NO 7 KIRI BELAKANG;</t>
  </si>
  <si>
    <t>PATAH BAUT RODA TROMOL NO. 7;
  CEK KAMPAS REM GENERAL;
  PATAH U BOLT DEPAN KIRI</t>
  </si>
  <si>
    <t>STABLIZER BELAKANG BENGKOK;
  WIPER BERMASALAH;
  LAMPU UTAMA KIRI MATI;
  STEL REM GENERAL;</t>
  </si>
  <si>
    <t>PATAH SPRIMG BELAKANG KANAN NO. 4;
  GANTI KAMPAS REM TROMOL NO. 7.8 (KERUSAKAN KEMARIN TIDAK DI KERJA)</t>
  </si>
  <si>
    <t>GANTI BAN NO. 9,10</t>
  </si>
  <si>
    <t>REM NO. 3.4 TIDAK PANAS;
  GANTI ADJUSTER NO. 3.4;
  GANTI KARET STOPER;
  PUTUS SKRING DIFLOK;</t>
  </si>
  <si>
    <t>#KONETOR ANGIN BERMASALAH (KERUSAKAN BERULANG),
  #REM TROMOL NO 3 DAN 4 BERMASALAH.
  #STEL REM GENERAL</t>
  </si>
  <si>
    <t>STEL REM GENERAL;
  PATAH BAUT RODA TROMOL NO. 5</t>
  </si>
  <si>
    <t>#REM TROMOL NO 1,4, DAN 8 (TIDAK MENAHAN),
  #RAPIHKAN SPRING F2 LH,
  #TAMBAH AIR RADIATOR</t>
  </si>
  <si>
    <t>#RAPIHKAN SPRING DEPAN NO 2,
  #DIFFLOCK BERMASALAH (DOUBLE BERAT BERMASALAH)</t>
  </si>
  <si>
    <t>PATAH BAUT RODA TROMOL NO. 5;
  PATAH CENTER PEN KANAN BELAKANG ;
  STEL REM GENERA;
  CEK TROMOL NO. 1,3,8</t>
  </si>
  <si>
    <t>GANTI KAMPAS NO. 7;
  PATAH U BOLT KIRI DEPAN</t>
  </si>
  <si>
    <t>PATAH BAUT RODA TROMOL NO. 5; PINUT KANAN KERAS; STEL REM GENERAL</t>
  </si>
  <si>
    <t>LAS PINTU VESEL;
  PERBAIKAN TAILGATE MANUAL</t>
  </si>
  <si>
    <t>PATAH BAUT RODA TROMOL NO, 6;
  REM NO. 1.8 KURANG MENAHAN;
  INDIKATOR PANEL LOW MATI;
  GANTI KARET STOPER R1 KIRI KANAN BELAKANG</t>
  </si>
  <si>
    <t>HUJAN JALAN LICIN, DRIVER SAKIT</t>
  </si>
  <si>
    <t>REM NO. 3.4.5.6.7.8 TIDAK BERFUNGSI;
  TES REM GENERAL;</t>
  </si>
  <si>
    <t>PATAH PER NO. 3 BELAKANG KANAN;
  KONEKTOR ANGIN KIRI EROR</t>
  </si>
  <si>
    <t>PATAH SPRING NO 13 BELAKANG KIRI,
  HEADLAMP KANAN BERMASALAH.
  AKI BERMASALAH</t>
  </si>
  <si>
    <t>#GANTI BAN [NO 11] (MELEDAK)</t>
  </si>
  <si>
    <t>GANTI KAMPAS REM TROMOL NO 7 DAN 8,
  STEL REM GENERAL</t>
  </si>
  <si>
    <t>PUTUS PENGIKTA TANKI HYDROLIK</t>
  </si>
  <si>
    <t>POWER STRING BERMASALAH;
  PERBAIKAN LAMPU KOMBINASI</t>
  </si>
  <si>
    <t>LAS TAILGATE MANUAL</t>
  </si>
  <si>
    <t>TAMBAH OLI RETARDER; BERISHKAN SARINGAN UDARA, CEK RETARDER</t>
  </si>
  <si>
    <t>GANTI BAN NO. 90</t>
  </si>
  <si>
    <t>SERVICE KM;
  STEL REM GENERAL;
  TAMBAH OLI RETARDER;</t>
  </si>
  <si>
    <t>TROMOL NO. 8 BERMASALAH (BUNYI KASAR)</t>
  </si>
  <si>
    <t>PATAH BAUT RODA TROMOL NO. 5; STEL REM GENERAL;</t>
  </si>
  <si>
    <t>BOCOR BAN NO11</t>
  </si>
  <si>
    <t>CEK TAILGATE MANUAL DAN BANCIAN</t>
  </si>
  <si>
    <t>TAMBAH OLI RETARDER;
  SENSOR DUMP BUNYI;</t>
  </si>
  <si>
    <t>BOCOR BAN NO. 12 (PENCUCIAN)</t>
  </si>
  <si>
    <t>PATAH BAUT RODA TROMOL NO. 8;
  STEL REM GENERAL;
  REM KURANG MENAHAN</t>
  </si>
  <si>
    <t>TEKOR ANGIN
  REM BERMASALAH</t>
  </si>
  <si>
    <t>PUTUS TORQUE ROD KIRI TENGAH (KM 24)</t>
  </si>
  <si>
    <t>GANTI BAN NO 3,6 DAN 8</t>
  </si>
  <si>
    <t>GANTI KAMPAS REM TROMOL NO 7, DAN 8,
  STEL REM GENERAL</t>
  </si>
  <si>
    <t>LONGGAR BAUT RODA TROMOL NO 7 DAN 8</t>
  </si>
  <si>
    <t>#SERVICE KM 40.000,
  #PATAH BAUT RODA TROMOL NO 6,
  #CEK TORQUEROD GENERAL,
  #TAMBAH OLI RETARDER,
  #CEK KAMPAS REM,
  #STEL REM GENERAL</t>
  </si>
  <si>
    <t>#BEHEL KIRI DAN KANAN LONGGAR,
  #TAMBAH AIR RADIATOR,
  #TAMBAH OLI RETARDER</t>
  </si>
  <si>
    <t>GANTI CENTER BOLT KIRI BELAKANG,
  TAMBAH OIL HUB NO 4</t>
  </si>
  <si>
    <t>CEK ENGINE MONTING
  CEK MONTING TRANSMISI</t>
  </si>
  <si>
    <t>CENTER PEN BELAKANG KIRI PATAH</t>
  </si>
  <si>
    <t>ANTRI DI LOADING POINT (LOADING POINT 1(, JALAN LICIN</t>
  </si>
  <si>
    <t>U BOLT F1 LH,
  LEAF SPRING F1 NO 3</t>
  </si>
  <si>
    <t>#CEK TORQUEROD ATAS,
  #CEK MOUNTING ENGINE</t>
  </si>
  <si>
    <t>CEK KAMPAS REM GENERAL,
  GANTI KARET STOPPER DEPAN</t>
  </si>
  <si>
    <t>#GANTI KAMPAS REM TROMOL NO 3, 7, DAN 8,
  #TAMBAH OLI HUB NO 1, 2, DAN 3,
  #STOPLAMP MATI,
  #SEIN KIRI BELAKANG MATI,
  #GANTI KARET STOPPER,
  #TIEROD PANJANG F1 F2 BENGKOK</t>
  </si>
  <si>
    <t>#PATAH U BOLT DEPAN KIRI,
  #DIFFLCOK BERMASALAH,
  #PATAH BAUT RODA TROMOL NO 5</t>
  </si>
  <si>
    <t>GANTI KARET STOPPER,
  OIL HUB KANAN TROMOL NO 4 (BERMASALAH)</t>
  </si>
  <si>
    <t>#PATAH SPRING F1 KIRI NO 3,
  #PATAH SPRING F1 KANAN NO 5,
  #HANDLE PINTU KANAN BERMASALAH,
  #DIFFLOCK BERMASALAH (DOUBLE BERAT BERMASALAH),
  #GANTI KAMPAS REM TROMOL NO 8,</t>
  </si>
  <si>
    <t>AC TIDK DINGIN;
  TEKOR ANGIN;
  MUFFLER PUTUS</t>
  </si>
  <si>
    <t>ANTRI/MACET DI LOADING POINT (LOADING PERTAMA 2 ALAT, LOADING KEDUA 1 ALAT)</t>
  </si>
  <si>
    <t>PATAH BAUT RODA TROMOL NO 8,</t>
  </si>
  <si>
    <t>#U BOLT BELAKANG KIRI PATAH,
  #SENSOR ANGIN FRONT ERROR,
  #STEL REM GENERAL,
  #CEK OIL HUB</t>
  </si>
  <si>
    <t>#DIFFLOCK BERMASALAH (DOUBLE BERAT BERMASALAH),
  #SENSOR ANGIN BERMASALAH,
  #SEAT SPRING DEPAN KANAN PATAH,
  #CENTER BOLT BELAKANG KANAN PATAH.
  #CEK TRUNNION</t>
  </si>
  <si>
    <t>PATAH CENTER BOLT KIRI BELAKANG</t>
  </si>
  <si>
    <t>MESIN TIBA-TIBA MATI TOTAL (STOCKPILE YUDISTIRA 11)</t>
  </si>
  <si>
    <t>SEAT SPRING KANAN BELAKANG TENGAH BERMASALAH,
  STEL REM GENERAL</t>
  </si>
  <si>
    <t>PATAH SPRING NO 8 DI TROMOL NO 1,
  PATAH SPRING NO 4 DI TROMOL NO 4,
  BERSIHKAN FILTER UDARA,
  CEK KAMPAS REM GENERAL</t>
  </si>
  <si>
    <t>BOCOR BAN NO 1, LAMPU UTAMA MATI KIRI KANAN</t>
  </si>
  <si>
    <t>BAUT RODA TROMOL NO 7 DAN 8 LONGGAR, (STOCKPILE KBM E)</t>
  </si>
  <si>
    <t>#PATAH SPRING NO 8 BELAKANG KANAN,
  #BAUT TORQUEROD LONGGAR BELAKANG KIRI,
  #CEK HOSE TURBO (ADA SUARA MENDENGUNG),
  #CEK KAMPAS REM GENERAL,
  #STEL REM GENERAL,
  #TAMBAH OLI RETARDER</t>
  </si>
  <si>
    <t>BOCOR BAN NO. 10 (KBM E)</t>
  </si>
  <si>
    <t>KAMPAS REM NO 6 TIDAK BERFUNGSI
  SETEL REM GENERAL
  TAMBAH OLI RETARDER</t>
  </si>
  <si>
    <t>ANTRI LOADING POINT (PERBAIKAN JALAN/MAINTENANCE JALAN KBM)</t>
  </si>
  <si>
    <t>REM TROMOL NO. 6.8 TIDAK BERFUNGSI;
  STEL REM GENERAL;</t>
  </si>
  <si>
    <t>BOCOR BAN NO. 2 (KM12)</t>
  </si>
  <si>
    <t>BOCOR BAN NO. 2 (GUNUNG MENANGIS)</t>
  </si>
  <si>
    <t>PATAH SPRING NO. 5 DEPAN KIRI;
  BAUT TORQUE ROD KIRI KANAN LONGGAR;
  SERVCIE KM;</t>
  </si>
  <si>
    <t>BOCOR BAN NO. 7 (KM 13)</t>
  </si>
  <si>
    <t>#PATAH BAUT RODA TROMOL NO 6,
  #STEL REM GENERAL,
  #CEK OLI RETARDER</t>
  </si>
  <si>
    <t>GANTI BAN NO. 8</t>
  </si>
  <si>
    <t>TEKOR ANGIN;
  REM TROMOL NO. 2 MELENGKET;
  CEK SUSPENSI KABIN</t>
  </si>
  <si>
    <t>#PATAH U BOLT DEPAN KIRI, #DIFFLCOK BERMASALAH, #PATAH BAUT RODA TROMOL NO 5</t>
  </si>
  <si>
    <t>LAMPU UTAMA DEPAN MATI (KANAN)
  GANTUNGAN STABILIZER BENGKOK 
  TAMBAH OLI RETARDER</t>
  </si>
  <si>
    <t>#BEHEL KIRI DAN KANAN LONGGAR, #TAMBAH AIR RADIATOR, #TAMBAH OLI RETARDER</t>
  </si>
  <si>
    <t>REPAIR MUFFLER;
  PATAH U BOLT BELAKANG KIRI</t>
  </si>
  <si>
    <t>TIE ROD PANJANG BENGKOK DEPAN;
  LOW POWER (TIDAK BISA MENDAKI)</t>
  </si>
  <si>
    <t>TAMBAH AIR COOLANT, AIR COOLANT KURANG</t>
  </si>
  <si>
    <t>KARET STOPER BELAKANG KIRI KANAN;
  TAMBAH OLI HUB;
  CEK COVER TRUNNION,
  DOL BAUT RODA TROMOL NO 8</t>
  </si>
  <si>
    <t>GANTI KAMPAS NO. 4.7.8 (KERUSAKAN KEMARIN TIDAK DI GANTI);
  KARET STOPPER DEPAN;
  PATAH BAUT RODA TROMOL NO. 7</t>
  </si>
  <si>
    <t>CEK MOUNTING ENGINE DAN TRANSMISI,</t>
  </si>
  <si>
    <t>SERVICE KM;
  TAMBAH OLI RETARDER;
  LAMPU UTAMA KIRI MATI;</t>
  </si>
  <si>
    <t>GANTI BAN NO. 7,8,11,12</t>
  </si>
  <si>
    <t>SENSOR ANGIN KIRI BERMASALAH (KM 30)</t>
  </si>
  <si>
    <t>GANTI BAN NO. 7.11</t>
  </si>
  <si>
    <t xml:space="preserve"> </t>
  </si>
  <si>
    <t>BOCOR BAN NO 4, #PERBAIKAN RADIO, 
  #SWITCH KLAKSON BERMASALAH</t>
  </si>
  <si>
    <t>SPAKBOARD KANAN TENGAH (MAU JATUH),</t>
  </si>
  <si>
    <t>STEL REM GENERAL,
  TAMBAH OLI HUB NO 4</t>
  </si>
  <si>
    <t>PATAH U BOLT KIRI DEPAN;
  DOBLE BERMASALAH;
  PATAH PER KANAN BELAKANG NO. 8</t>
  </si>
  <si>
    <t>#GANTI BAN [NO 1 DAN 3],
  #VELG NO 8 PECAH</t>
  </si>
  <si>
    <t>PATAH CENTER BOLT BELAKANG KIRI</t>
  </si>
  <si>
    <t>BOCOR BAN NO. 6 (GUNUNG BATU)</t>
  </si>
  <si>
    <t>#REM BERMASALAH,
  #RAMBAH OLI HUB</t>
  </si>
  <si>
    <t>REPAIR SPAKBOAR TENGAH;
  SAFETY MUFFLER PATAH;
  BOCOR MUFFLER;
  TAMBAH OLI HUB;
  TAMBAH AIR RADIATOR;</t>
  </si>
  <si>
    <t>PERBAIKAN SPAKBOR DEPAN KIRI KANAN
  CEK KAMPAS REM TROMOL NO 7&amp;8
  CEK SEMUA BUSHING TORQUEROD
  PATAH PER KANAN BELAKANG NO 11</t>
  </si>
  <si>
    <t>PATAH SPRING NO 8 KIRI DEPAN,
  PATAH BAUT RODA TROMOL NO 8,
  SEIN BELAKANG KANAN MATI</t>
  </si>
  <si>
    <t>GANTI KAMPAS REM TROMOL NO 5,
  COVER HUB TROMOL NO 4 (BURAM)</t>
  </si>
  <si>
    <t>#SENSOR ANGIN BERMASALAH,
  #GANTI KARET STOPPER,
  #DIFFLOCK BERMASALAH,
  #HEADLAMP RH MATI,
  #SAFETY TANKI BERMASALAH (PATAH)</t>
  </si>
  <si>
    <t>GANTI BAN NO 2, 7 DAN 8, LAMPU UTAMA KANAN MATI,</t>
  </si>
  <si>
    <t>#DOL BAUT RODA TROMOL NO 2,
  #TAMBAH OLI RETARDER,
  #STEL REM GENERAL</t>
  </si>
  <si>
    <t>BOCOR BAN NO. 7, PATAH BAUT RODA</t>
  </si>
  <si>
    <t>BOCOR BAN NO. 1 (PENCUCIAN)</t>
  </si>
  <si>
    <t>BOCOR BAN NO. 3 (LINE 15)</t>
  </si>
  <si>
    <t>REPAIR TAILGATE MANUAL;</t>
  </si>
  <si>
    <t>BOCOR BAN NO. 11 (TIMBANGAN TENGKORAK)</t>
  </si>
  <si>
    <t>REM TROMOL NO. 6.8 TIDAK BERFUNGSI; STEL REM GENERAL;</t>
  </si>
  <si>
    <t>PATAH SPRING NO 2 DEPAN KANAN,
  SAFETY TANKI (JATUH BAUTNYA),
  BAUT SPAKBOARD DEPAN KANAN LEPAS,
  CEK OLI RETARDER,
  CEK KAMPAS REM NO 1-8</t>
  </si>
  <si>
    <t>BOCOR BAN NO 1 (KM 3)</t>
  </si>
  <si>
    <t>SOLENOID KLAKSON (SEBELUM MES CHINA KM 2)</t>
  </si>
  <si>
    <t>GANTI BAN NO 9 DAN 10</t>
  </si>
  <si>
    <t>MELEDAK BAN NO 7</t>
  </si>
  <si>
    <t>#REPAIR MFFLER,
#AC BERMASALAH (TIDAK DINGIN),
#SPRING KIRI BELAKANG BERMASALAH,
#ADJUST BRAKE ALL</t>
  </si>
  <si>
    <t>PATAH SPRING BELAKANG KIRI NO 2
PATAH SPRING TENGAH KANAN N0 7
PATAH SPRING TENGAH KIRI NO 10
BAR FUEL ERROR</t>
  </si>
  <si>
    <t>CENTER PEN KIRI PATAH</t>
  </si>
  <si>
    <t>PATAH SPRING NO 5 BELAKANG KANAN,
UNIT BERASAP PUTIH</t>
  </si>
  <si>
    <t>PERBAIKAN TAILGATE MANUAL,
LAS VESSEL</t>
  </si>
  <si>
    <t>PATAH CENTER PEN BELAKANG KANAN;
CEK TRUINION KANAN</t>
  </si>
  <si>
    <t>PATAH BAUT RODA TROMOL NO. 5</t>
  </si>
  <si>
    <t>REM NO. 7.8. TIDAK BERFUNGSI, GANTI BAN NO. 4</t>
  </si>
  <si>
    <t xml:space="preserve">CEK CHAMBER NO. 7.8;
STEL REM GENERAL;
</t>
  </si>
  <si>
    <t>RAIHKAN SPRING F1 F2 TROMOL NO 2 DAN 4,
LOW POWER</t>
  </si>
  <si>
    <t>PATAH BAUT RODA TROMOL NO. 6;
 KECANGKAN BAUT RODA;
STEL REM GENERAL;</t>
  </si>
  <si>
    <t xml:space="preserve">#CEK TRANSMISI,
#PATAH SEATSPRING BELAKANG KIRI,
#PATAH U BOLT DEPAN KIRI,
</t>
  </si>
  <si>
    <t>PATAH CENTER BOLT KIRI BELAKANG;</t>
  </si>
  <si>
    <t>PATAH PER TENGAH KIRI NO 5;
RAPIHKAN SPRING TENGAH KANAN;
REM NO 2 &amp; 4 ADA BUNYI GESEKAN;
LAMPU SEIN BELAKANG KANAN MATI</t>
  </si>
  <si>
    <t>#CENTER BOLT KIRI BELAKANG;
#PATAH BAUT RODA TROMOL NO;
#CEK KAMPAS REM TROMOL NO 7</t>
  </si>
  <si>
    <t>BOCOR BAN NO. 4 (LOADING POINT)</t>
  </si>
  <si>
    <t>REM TROMOL NO 1 2 3 DAN 4</t>
  </si>
  <si>
    <t>#SPRING NO 7 DAN 8 RETAK KIRI BELAKANG;
#ADA REMBESAN OLI DI FINAL DRIVER TROMOL NO 5;
#LONG TIEROD F2 BENGKOK</t>
  </si>
  <si>
    <t>#ADA KEBOCORAN OLI DI VALVE BELAKANG (ATAS GARDAN);
#STEL REM GENERAL</t>
  </si>
  <si>
    <t>KENCANGKAN BAUT U BOLD DEPAN</t>
  </si>
  <si>
    <t>PATAH BAUT RODA TROMOL NO. 7,8;
GANTI KAMPAS NO. 7.8;
BANTALAN SEAT SPRINGL
BAUT RODA LONGGAR TROMOL NO. 3</t>
  </si>
  <si>
    <t>#PATAH BAUT RODA TROMOL NO 7,
#STEL REM GENERAL,
#CEK OLI HUB</t>
  </si>
  <si>
    <t>GANTI BAN NO. 5,6</t>
  </si>
  <si>
    <t>BOCOR BAN NO. 7 (KM 17)</t>
  </si>
  <si>
    <t>UNIT BD DIJALAN</t>
  </si>
  <si>
    <t>EXHAUST BRAKE BERMASALAH (TIDAK MENAHAN KM 22)</t>
  </si>
  <si>
    <t>#EXHAUST BRAKE BERMASALAH,
#CEK MOUNTING ENGINE,
#GANTI STOPPER KANAN DEPAN KIRI TENGAH,
#TAMBAH OLI RETARDER</t>
  </si>
  <si>
    <t>UNIT PENGGANTI 508 , BOCOR PAKING EXHAUST BRAKE, LONGGAR BAUT RODA TROMOL NO 6</t>
  </si>
  <si>
    <t>MELEDAK BAN NO 11 (TIMBANGAN TENGKORAK)</t>
  </si>
  <si>
    <t>GANTI BAUT RODA TROMOL NO, 6</t>
  </si>
  <si>
    <t>#GANTI  TORQUEROD ATAS,
#CEK TORQUEROD BAWAH,
#TAMBAH OLI RETARDER</t>
  </si>
  <si>
    <t>PATAH SPRING KANAN BELAKANG,
TAMBAH OLI RETARDER,</t>
  </si>
  <si>
    <t>GANTI STAND LAMPU SEN KIRI DEPAN;
STEL REM GENERAL
TAMBAH OLI RETARDER;
CEK TURBO</t>
  </si>
  <si>
    <t>BOCOR KARTER</t>
  </si>
  <si>
    <t>C 331</t>
  </si>
  <si>
    <t>HUJAN JALAN LICIN, ISTIRAHAT SHOLAT JUMAT, SAMPLE TIMBANGAN TUTUP JAM 11:00 BUKA JAM 13:00), ANTRI MACET  DI TIMBANGAN BLOK 5</t>
  </si>
  <si>
    <t>C 336</t>
  </si>
  <si>
    <t>C 342</t>
  </si>
  <si>
    <t>#GANTI KAMPAS REM TROMOL NO 5, 
#STEL REM GENRAL,
#CEK ADJUSTER NO 3 DAN 4,
#CEK OLI HUB,
#TAMBAH AIR RADIATOR</t>
  </si>
  <si>
    <t>C 344</t>
  </si>
  <si>
    <t>C 349</t>
  </si>
  <si>
    <t>C 355</t>
  </si>
  <si>
    <t>C 359</t>
  </si>
  <si>
    <t>DRIVER ASLI IZIN (DIGANTI DRIVER SPARE), ISTIRAHAT SHOLAT JUMAT, SAMPLE TIMBANGAN TUTUP JAM 11:00 BUKA JAM 13:00), ANTRI MACET  DI TIMBANGAN BLOK 5</t>
  </si>
  <si>
    <t>C 368</t>
  </si>
  <si>
    <t>BOCOR BAN NO 10 (KM 17)</t>
  </si>
  <si>
    <t>C 324</t>
  </si>
  <si>
    <t>RAPIKAN SPRING DEPAN TENGAH KIRI KANAN;
RAPIKAN SPAKBOARD DEPAN KANAN;
LAMPU REM KIRI KANAN MATI</t>
  </si>
  <si>
    <t>C 338</t>
  </si>
  <si>
    <t>ISTIRAHAT SHOLAT JUMAT, SAMPLE TIMBANGAN TUTUP JAM 11:00 BUKA JAM 13:00), ANTRI MACET  DI TIMBANGAN BLOK 5</t>
  </si>
  <si>
    <t>C 343</t>
  </si>
  <si>
    <t>C 357</t>
  </si>
  <si>
    <t>C 367</t>
  </si>
  <si>
    <t>KEBOCORAN OLI DI GARDAN</t>
  </si>
  <si>
    <t>C 371</t>
  </si>
  <si>
    <t xml:space="preserve">CEK KEBOCORAN HOSE RADIATOR,
</t>
  </si>
  <si>
    <t>C 373</t>
  </si>
  <si>
    <t>C 380</t>
  </si>
  <si>
    <t>C 318</t>
  </si>
  <si>
    <t>C 334</t>
  </si>
  <si>
    <t>C 339</t>
  </si>
  <si>
    <t>C 354</t>
  </si>
  <si>
    <t xml:space="preserve">PENUTUP TANKI SOLAR BERMASALAH,
SEIN KIRI BELAKANG MATI,
</t>
  </si>
  <si>
    <t>C 362</t>
  </si>
  <si>
    <t>C 363</t>
  </si>
  <si>
    <t>C 370</t>
  </si>
  <si>
    <t>#DUDUKAN SPRING KIRI DAN KANAN BERMASALAH,
#U BOLT KANAN BERMASALAH,
#PATAH BAUT RODA TROMOL NO 8</t>
  </si>
  <si>
    <t>C 385</t>
  </si>
  <si>
    <t>C 399</t>
  </si>
  <si>
    <t>REM BERMASALAH,
WIPER BERMASALAH</t>
  </si>
  <si>
    <t>C 388</t>
  </si>
  <si>
    <t>#BRAKET SPAKBOARD DEPAN RODA NO 1 BENGKOK,
#STEL BALANCE RODA DEPAN NO 1,2,3, DAN 4 (SPOORING),
#CEK KEKENCANGAN BAUT RODA,
#CEK KAMPAS REM GENERAL,
#STEL REM GENERAL,
#CEK SPRING,
#KLAKSON MATI,
#LAMPU UTAMA SEBELAH KANAN BERMASALAH,</t>
  </si>
  <si>
    <t>C 316</t>
  </si>
  <si>
    <t>REPAIR MUFFLER;
CENTER BOLT PATAH KIRI BELAKANG,</t>
  </si>
  <si>
    <t>C 329</t>
  </si>
  <si>
    <t xml:space="preserve">CEK MOUNTING ENGINE;
TAMBAH AIR RADIATOR </t>
  </si>
  <si>
    <t>C 365</t>
  </si>
  <si>
    <t>PATAH TORQUEROD (LOADING POINT BLOK 8)</t>
  </si>
  <si>
    <t>C 395</t>
  </si>
  <si>
    <t>C 396</t>
  </si>
  <si>
    <t>PECAH VELG NO 11 (BLOK 8)</t>
  </si>
  <si>
    <t>C 310</t>
  </si>
  <si>
    <t>C 315</t>
  </si>
  <si>
    <t xml:space="preserve">PATAH BAUT RODA TROMOL 5
BOCOR KNALPOT
CEK AJUSTER
STEL REM GENERAL
LAMPU BELAKANG KIRI KANAN MATI
TAMBAH OLI HUB
</t>
  </si>
  <si>
    <t>C 317</t>
  </si>
  <si>
    <t>C 347</t>
  </si>
  <si>
    <t>C 378</t>
  </si>
  <si>
    <t>BUAT U BOLT LONGGAR (LOADING POINT)</t>
  </si>
  <si>
    <t>C 379</t>
  </si>
  <si>
    <t>C 382</t>
  </si>
  <si>
    <t>C 384</t>
  </si>
  <si>
    <t>C 386</t>
  </si>
  <si>
    <t>GANTI KAMPAS REM TROMOL NO 3&amp;4
ADJUST REM GENERAL
TAMBAH OLI HUB</t>
  </si>
  <si>
    <t>C 389</t>
  </si>
  <si>
    <t>C 390</t>
  </si>
  <si>
    <t>C 391</t>
  </si>
  <si>
    <t>C 392</t>
  </si>
  <si>
    <t>C 398</t>
  </si>
  <si>
    <t>C 516</t>
  </si>
  <si>
    <t>C 393</t>
  </si>
  <si>
    <t>C 394</t>
  </si>
  <si>
    <t>G 518</t>
  </si>
  <si>
    <t>GANTI BAN NO. 7,8,11,12, GANTI BAUT RODA TROMOL 8
DOBEL BERAT BERMASALAH</t>
  </si>
  <si>
    <t>G 525</t>
  </si>
  <si>
    <t>CEK BANCIAN, CEK TAILGATE MANUAL</t>
  </si>
  <si>
    <t>G 509</t>
  </si>
  <si>
    <t>CEK SPRING BELAKANG</t>
  </si>
  <si>
    <t>G 534</t>
  </si>
  <si>
    <t>G 504</t>
  </si>
  <si>
    <t>G 524</t>
  </si>
  <si>
    <t>G 527</t>
  </si>
  <si>
    <t>G 528</t>
  </si>
  <si>
    <t>G 530</t>
  </si>
  <si>
    <t>HOSE RETARDER BOCOR,
PATAH BAUT RODA TROMOL NO 7</t>
  </si>
  <si>
    <t>G 531</t>
  </si>
  <si>
    <t>G 532</t>
  </si>
  <si>
    <t>G 535</t>
  </si>
  <si>
    <t>G 503</t>
  </si>
  <si>
    <t>G 506</t>
  </si>
  <si>
    <t>G 523</t>
  </si>
  <si>
    <t>G 533</t>
  </si>
  <si>
    <t>BOCOR BAN NO. 10, OLI HUB MEREMBES NO. 1.2.3.4.;
OLI MEREMBES DI TRANSMISI;
STEL REM GENERAL;</t>
  </si>
  <si>
    <t>PATAH CENTER BOLT BELAKANG KANAN;
LONGGAR PIN SPRING F2 KIRI;
LAMPU DEPAN KIRI MATI</t>
  </si>
  <si>
    <t>DRIVER ASLI SAKIT DIGANTI (DRIVER SPARE), ANTRI/MACET DI STOCKPILE, HUJAN JALAN LICIN</t>
  </si>
  <si>
    <t>C 337</t>
  </si>
  <si>
    <t>ANTRI/MACET DI STOCKPILE, HUJAN JALAN LICIN</t>
  </si>
  <si>
    <t>#PATAH SPRING BELAKANG KIRI NO 1,2, DAN 6,
#CEK KAMPAS REM NO 5,6 (BAGIAN ATAS HABIS),
#STEL REM GENERAL,
#CEK ENGINE MOUNTING</t>
  </si>
  <si>
    <t>C 340</t>
  </si>
  <si>
    <t>LAMPU INDAKOR INTARDER MENAYALA (KERUSAKAN BERULANG)</t>
  </si>
  <si>
    <t>C 346</t>
  </si>
  <si>
    <t>C 348</t>
  </si>
  <si>
    <t>#PATAH BAUT RODA TROMOL NO 6
#REPAIR SPAKBOARD NO 2,
#GANTI KARET TORQUEROD BAWAH</t>
  </si>
  <si>
    <t>C 360</t>
  </si>
  <si>
    <t>BRAKET ABSOBER PATAH</t>
  </si>
  <si>
    <t>PATAH BAUT RODA TROMOL NO, 5</t>
  </si>
  <si>
    <t>C 375</t>
  </si>
  <si>
    <t>C 335</t>
  </si>
  <si>
    <t>C 361</t>
  </si>
  <si>
    <t>PATAH PER NO. 2 F2 RH;</t>
  </si>
  <si>
    <t>PATAH PER NO. 10 KIRI BELAKANG;
PATAH PER NO. 3 KANAN BELAKANG</t>
  </si>
  <si>
    <t>CEK AIR AKI</t>
  </si>
  <si>
    <t>TAMBAH OLI HUB;
STEL REM GENERAL</t>
  </si>
  <si>
    <t>C 376</t>
  </si>
  <si>
    <t>GANTI BAN 9 10 11 12, PATAH CENTER PEN KANAN BELAKANG
SERVICE HM
LAMPU SEIN BELAKANG KANAN JATUH
TROMOL NO 4 BERMASALAH ( ADA GESEKAN)</t>
  </si>
  <si>
    <t>PATAH CENTER BOLT BELAKANG KIRI (KERUSAKAN BERULANG);
GANTI KAMPAS NO. 1.3;
GANTI KARET STOPER BELAKANG KIRI KANAN;
LAMPU REM KANAN MATI;
STEL REM GENERAL</t>
  </si>
  <si>
    <t>PATAH BAUT RODA TROMOL NO. 6 (3 PCS);
REM TROMOL NO, 6 KURANG MENAHAN;
TAMBAH OLI HYDROLIK</t>
  </si>
  <si>
    <t>BOCOR BAN NO. 8</t>
  </si>
  <si>
    <t>TAILGATE MANUAL BERMASALAH, PATAH BAUT RODA TROMOL NO 7</t>
  </si>
  <si>
    <t>C 332</t>
  </si>
  <si>
    <t xml:space="preserve">TAEL GATE MANUAL PUTUS BAGIAN KIRI;
TAEL GATE AUTOMATIS KENDOR; </t>
  </si>
  <si>
    <t>PATAH CENTER BOLT KIRI BELAKANG;
REM TIDAK MENAHAN NO. 2.4.5.7;
TAMBAH OLI HUB</t>
  </si>
  <si>
    <t>PATAH BAUT TROMOL NO 5 
MUFFLER KNALPOT BOCOR
LONGGAR BAUT RODA TROMOL NO 7,
LONG TIEROD DEPAN</t>
  </si>
  <si>
    <t xml:space="preserve">#PATAH SPING BELAKANG KANAN NO 6,
#TAMBAH OLOI RETARDER,
#CEK TORQUEROD </t>
  </si>
  <si>
    <t xml:space="preserve">PATAH CENTER BOLT KIRI BELAKANG;
</t>
  </si>
  <si>
    <t>BOCOR RADIATOR
MONTING ENGINE KIRI
REM NO 7 TIDAK BERFUNGSI
DOBEL BERAT AKTIV, ANGIN BOCOR</t>
  </si>
  <si>
    <t>C 330</t>
  </si>
  <si>
    <t>#SUSPENSI DEPAN KIRI DAN KANAN BERMASALAH,
#REPAIR MUFFLER,
#STOPLAMP KANAN MATI,
#LONG TIEROD BENGKOK</t>
  </si>
  <si>
    <t>C 387</t>
  </si>
  <si>
    <t>G 507</t>
  </si>
  <si>
    <t>PATAH PER KANAN BELAKANG NO 1</t>
  </si>
  <si>
    <t>#PATAH SPRING KIRI BELAKANG,
#BERISHKAN SARINGAN UDARA</t>
  </si>
  <si>
    <t>G 529</t>
  </si>
  <si>
    <t>UNIT INTERMEDIATE PAGINYA, KEMUDIAN LANJUT HAULING</t>
  </si>
  <si>
    <t>PATAH BAUT RODA TROMOL NO. 8, UNIT INTERMEDIATE PAGINYA, KEMUDIAN LANJUT HAULING</t>
  </si>
  <si>
    <t>G 502</t>
  </si>
  <si>
    <t>JALAN LICIN, ANTRI MACET DI LINE 13</t>
  </si>
  <si>
    <t>G 514</t>
  </si>
  <si>
    <t>GANTI BAN NO. 10</t>
  </si>
  <si>
    <t>G 500</t>
  </si>
  <si>
    <t>G 501</t>
  </si>
  <si>
    <t>G 505</t>
  </si>
  <si>
    <t>G 510</t>
  </si>
  <si>
    <t>G 511</t>
  </si>
  <si>
    <t>G 517</t>
  </si>
  <si>
    <t>G 521</t>
  </si>
  <si>
    <t>HUJAN JALAN LICIN, (TIMBANGAN STENGAH HARI KARENA KEBIJAKAN LEBARAN TGL 17)</t>
  </si>
  <si>
    <t>LAS PEN VESSEL 
LAS TAIL GATE MANUAL</t>
  </si>
  <si>
    <t xml:space="preserve">TUAS DUMP BERMASALAH;
TAMBAH OLI STRING;
TAMBAH AIR RADIATOR;
</t>
  </si>
  <si>
    <t>AIR RADIATOR</t>
  </si>
  <si>
    <t>GANTI KAMPAS REM NO 3,
STEL REM GENERAL,
TAMBAH OLI HUB NO 1,2,3 DAN 4</t>
  </si>
  <si>
    <t xml:space="preserve">BOCOR HUB NO. 1;
INDIKATOR DOBLE RINGAN MENYALA;
STEL REM GENERAL;
</t>
  </si>
  <si>
    <t>GANTI BAN NO. 5.6</t>
  </si>
  <si>
    <t>GANTI BAN NO 9, LAMPU WESER KANAN BELAKANG MATI
PERBAIKAN DUDUKAN TANKI HIDROLIK</t>
  </si>
  <si>
    <t>PATAH PER NO, 13 DEPAN KANAN;
CEK KAMPAS REM NO. 1.2.3.4;
ADJUSTER REM GENERAL;
RETARDER KURANG MENAHAN</t>
  </si>
  <si>
    <t>PATAH CENTER PEN BELAKANG KANAN
GANTI KAMPAS REM NO 7
TAMBAH OLI HUB NO 3
CEK KAMPAS REM GENERAL</t>
  </si>
  <si>
    <t>REPAIR MUFFLER,
TAMBAH OLI HUB NO 4,
LOW  POWER,
CEK KAMPAS REM GENERAL</t>
  </si>
  <si>
    <t xml:space="preserve">#REM BERMASALAH (TIDAK MENAHAN),
#DUMP BERMASALAH(TIDAK BISA TERANGKAT FULL),
#PATAH CENTER PEN BELAKANG LH,
#GANTI KARET SHOCKBREAKER F2 RH,
</t>
  </si>
  <si>
    <t>PATAH BAUT RODA TROMOL 5
GANTI KARET STOPPER
LOCK KABIN BERMASALAH
CEK KAMPAS REM GENERAL
SETEL REM GENERAL</t>
  </si>
  <si>
    <t>DOL BAUT RODA TROMOL NO. 7;
SENSOR ANGIN BERMASALAH;
SHOCK KABIN KIRI LEPAS;
STEL REM GENERAL;</t>
  </si>
  <si>
    <t>PATAH BAUT RODA TROMOL NO. 8</t>
  </si>
  <si>
    <t>PATAH BAUT TORQUE ROD (LOADING POINT NAKULA)</t>
  </si>
  <si>
    <t>GANTI BAN NO. 2.4</t>
  </si>
  <si>
    <t>MASTER VALET REM BERMASALAH (LOADING POINT NAKULA)</t>
  </si>
  <si>
    <t>CEK KAMPAS REM GENERAL;</t>
  </si>
  <si>
    <t>PATAH SPRING NO 5 BELAKANG KANAN,
GANTI KARET STOPPER</t>
  </si>
  <si>
    <t>GANTI BAN NO. 3.4</t>
  </si>
  <si>
    <t>REMBESAN OLI ENGINE DI FILTER (BLOK 5)</t>
  </si>
  <si>
    <t>G 526</t>
  </si>
  <si>
    <t>GANTI BAN NO 11, PATAH BAUT RODA TROMOL NO 5</t>
  </si>
  <si>
    <t>PAKING EXHAUST BRAKE BOCOR;</t>
  </si>
  <si>
    <t>BOCOR BAN NO 6,
GANTI BAN NO 9 DAN 10</t>
  </si>
  <si>
    <t>ADD OIL HUB;
PATA CENTER PEN KANAN BELAKANG;
KLAKSON MATI</t>
  </si>
  <si>
    <t>CENTER PEN BELAKANG KANAN,
PATAH SPRING NO 5 (DI RODA NO 3)</t>
  </si>
  <si>
    <t>ANTRI MACET DI LOADING POINT (LOADING POINT PERTAMA SELESAI HINGGA PUKUL 15:00)</t>
  </si>
  <si>
    <t>INTARDER HILANG;
PATAH U BOLT KIRI BELAKANG;
NIPEL GREASE KING PIN</t>
  </si>
  <si>
    <t>GANTI KAM[PAS NO. 8;
ADJUST REM NO. 6.8;
STEL REM GENERAL</t>
  </si>
  <si>
    <t>REM BERMASALAH TROMOL NO. 3;
STEL REM GENERAL;
CEK KAMPAS KOPLENG;
TAMBAH OLI HUB;</t>
  </si>
  <si>
    <t>COVER HUB NO. 2 ; SERVICE HM, TAMBAH FREON</t>
  </si>
  <si>
    <t>BOCOR BAN [NO 8] (REST AREA KM 22)</t>
  </si>
  <si>
    <t>C 326</t>
  </si>
  <si>
    <t>AIR CLEANER (GOYANG)</t>
  </si>
  <si>
    <t>REM TROMOL NO. 4.6 TIDAK BERFUNGSI;
COVER HUB NO. 1 BOCOR</t>
  </si>
  <si>
    <t>C 374</t>
  </si>
  <si>
    <t>#LOCK ADJUSTER NO 1 DAN 3,
#ADJUSTER NO 7 DAN 8 BERMASALAH,
#RAPIHKAN SPRING NO 3,
#PASANG KLIP SPRING NO 3</t>
  </si>
  <si>
    <t>GANTI BAN NO 3 DAN 10</t>
  </si>
  <si>
    <t>REPAIR MUFFLER (PATAH),
CENTER BOLT KIRI BELAKANG (PATAH),
RETARDER KURANG MENAHAN</t>
  </si>
  <si>
    <t>LONGGAR BAUT RODA TROMOL NO. 4.5.8</t>
  </si>
  <si>
    <t>KANCING BAUT TORQUEROD,
STEL REM GENERAL,
TAMBAH OLI RETARDER</t>
  </si>
  <si>
    <t>AC BERMASALAH (FREON CEPAT HABIS);
RAPIKAN SPRING DEPAN KANAN;
RAPIKAN SPRING TENGAH KANAN</t>
  </si>
  <si>
    <t>PATAH U BOLT DEPAN,
SHOCK DEPAN KIRI BERMALAH (PENGAMBILAN SAMPLE LAMA TIMBANGAN BLOK 5)</t>
  </si>
  <si>
    <t>STEL REM GENERAL;
TAMBAH OLI HUB</t>
  </si>
  <si>
    <t>LAS VESSEL, TAMBAH OLI RETARDER;
PATA PER NO. 6 KIRI BELAKANG;
WIPER BERMASALAH</t>
  </si>
  <si>
    <t>PERBAIKAN BUMPER DEPAN</t>
  </si>
  <si>
    <t>LOADING POINT CUMA 1, JALAN LICIN</t>
  </si>
  <si>
    <t>GANTI BAN NO. 8.12</t>
  </si>
  <si>
    <t>PATAH U BOLT KANAN DEPAN</t>
  </si>
  <si>
    <t>GANTI KAMPAS NO. 3</t>
  </si>
  <si>
    <t xml:space="preserve">DIFLOK BERMASALAH;
</t>
  </si>
  <si>
    <t>SUSUPENSI DEPAN KIRI BERMASALAH</t>
  </si>
  <si>
    <t>BAUT BEHEL BELAKANG KIRI LONGGAR, LAMPU SEIN KIRI MATI, BOCOR HOSE INTARDER</t>
  </si>
  <si>
    <t>BOCOR BAN NO. 8, (DRIVER IZIN)</t>
  </si>
  <si>
    <t>BOCOR BAN NO 6, TAMBAH OLI RETARDER,
STEL REM GENERAL</t>
  </si>
  <si>
    <t>PATAH PER NO 2 TROMOL NO 2
PATAH PER NO 4 TROMOL NO 1
PATAH PER NO 3 TROMOL NO 4</t>
  </si>
  <si>
    <t>PATAH BAUT RODA TROMOL NO 5,
PATAH BAUT RODA TROMOL NO 6</t>
  </si>
  <si>
    <t>#PATAH SPRING BELAKANG KANAN NO 7 DAN 12,
#TAMBAH OLI RETARDER,
#TAMBAH AIR RADIATOR,
#NIPPLE GREASE</t>
  </si>
  <si>
    <t xml:space="preserve">BOCOR SELANG RADIATOR (PERTIGAAN KBM),
</t>
  </si>
  <si>
    <t>SEAL POWER STEERING BOCOR</t>
  </si>
  <si>
    <t>PASANG SPAKBOARD DEPAN KIRI;
STEL REM GENERAL;
TAMBAH OLI RETARDER</t>
  </si>
  <si>
    <t>CEK KAMPAS REM GENERAL;
STEL REM GENERAL;
GANTI BUSING ATAS</t>
  </si>
  <si>
    <t>GANTI BAN NO. 8. 11.12</t>
  </si>
  <si>
    <t>OLI HUB MEREMBES TROMOL NO. 3.4;
REM TIDAK BERFUNGSI 3,4;
STEL REM GENERAL;
PATAH FLEKSIBLE MUFFLER</t>
  </si>
  <si>
    <t>PERBAIKAN RANTAI TAILGATE, TAMBAH FREON</t>
  </si>
  <si>
    <t xml:space="preserve">RAPIKAN PER BAN NO. 2.3;
</t>
  </si>
  <si>
    <t>REM NO, 2,4 TIDAK MENAHAN;
STEL REM NO. 5.7.8;
GANTI KARET STOPER BELAKANG</t>
  </si>
  <si>
    <t>GANTI BAN NO. 2, BOCOR BAN NO.2 (ARJUNA)</t>
  </si>
  <si>
    <t>LOADING PERTAMA JAM 07:30, ANTRI DI  LOADING POINT (CUMA 1)</t>
  </si>
  <si>
    <t>PERBAIKI VESSEL PINTU</t>
  </si>
  <si>
    <t xml:space="preserve">PATAH CENTER BOLT KANAN BELAKANG;
COVER HUB DEPAN JATUH;
KLAKSON MATI;
CEK LINING TROMOL NO. 7
</t>
  </si>
  <si>
    <t>C 358</t>
  </si>
  <si>
    <t>PATAH PER NO. 5 TENGAH KIRI;
LONGGAR  U BOLT KANAN BELAKANG ;
STEL REM GENERAL;
CEK OLI HUB;</t>
  </si>
  <si>
    <t>PATAH CENTER PEN KIRI BELAKANG;
STEL REM GENERAL;
ADD OLI HUB</t>
  </si>
  <si>
    <t xml:space="preserve">CEK ADJUST NO. 7.8;
STEL REM GENERAL;
</t>
  </si>
  <si>
    <t xml:space="preserve">BOCOR OLI HUB NO. 3 BAGIAN DALAM;
TAMBAH OLI POWER STRING;
GANTI KAMPAS NO. 7;
STEL REM GENERAL;
</t>
  </si>
  <si>
    <t>LAMPU UTAMA KANAN MATI;
GANTI KANVAS REM NO. 5;
PATAH BAUT SPRING NO. F1 KANAN DEPAN;
TAMBAH OLI HUB F1 KIRI DEPAN;
GANTI KARET STOPER R1 KIRI KANAN BELAKANG;
BERSIHKAN SARINGAN UDARA</t>
  </si>
  <si>
    <t>GANTI COVER HUB NO. 1;</t>
  </si>
  <si>
    <t>BONGKAR PASANG MUFFLER, LAS MUFFLER;BOCOR BAN NO. 9</t>
  </si>
  <si>
    <t>C 369</t>
  </si>
  <si>
    <t>PATAH BAUT RODA TROMOL NO. 6;
LAMPU UTAMA KIRI MATI;
CEK DUDUKAN PER KANAN BELAKANG</t>
  </si>
  <si>
    <t>RAPIKAN SPRING F2 TROMOL NO. 4 ;
CEK KAMPAS REM GENERAL</t>
  </si>
  <si>
    <t>SELANG AC BOCOR</t>
  </si>
  <si>
    <t>PATAH CENTER BOLT KIRI BELAKANG;
CEK TORQUE ROD ATAS</t>
  </si>
  <si>
    <t xml:space="preserve">ADJUST REM GENERAL;
PATAH BAUT RODA TROMOL NO. 6 (3 PCS);
LONGGAR BAUT SUSPENSI </t>
  </si>
  <si>
    <t>BOCOR BAN NO. 12;
BAN RUSAK NO. 10.11;
CEK BAN NO. 3.4</t>
  </si>
  <si>
    <t xml:space="preserve">DOL BAUT RODA TROMOL NO. 8;
WIPER BERMASALAH;
</t>
  </si>
  <si>
    <t>BOCOR BAN NO. 11, TAMBAH FREON</t>
  </si>
  <si>
    <t>TAMBAH OLI HUB,
STEL REM GENERAL.
STOPLAMP KANAN MATI</t>
  </si>
  <si>
    <t>BOCOR BAN NO. 11 (LOADING POINT)</t>
  </si>
  <si>
    <t>STEL REM GENERAL;
LAMPU UTAMA KIRI MATIL
ADD OLI HUB NO. 1.2</t>
  </si>
  <si>
    <t>ANTRI/MACET DI LOADING POINT CUMA 1 ALAT SAAT SIANG</t>
  </si>
  <si>
    <t>BOCOR BAN NO. 12 (TIMBANGAN TENGKORAK)</t>
  </si>
  <si>
    <t>SERVICE KM; CEK KAMPAS REM</t>
  </si>
  <si>
    <t xml:space="preserve">RUSAK TOQRUEROD KIRI DEPAN
TAMBAH OLI RETARDER
</t>
  </si>
  <si>
    <t>TAMBAH FREON, AC BERMASALAH;
CEK TORQU ROD GENERAL;
PERSENALN KERAS</t>
  </si>
  <si>
    <t>G 512</t>
  </si>
  <si>
    <t>PATAH BAUT RODA TROMOL NO 6, GANTI PAKING EXHAUST BRAKE</t>
  </si>
  <si>
    <t>TAMBAH OLI RETARDER;
BERSIHKAN AIR CLINER;
STEL REM GENERAL;</t>
  </si>
  <si>
    <t>GANTI OLI MESIN, GREASE PELUMASAN</t>
  </si>
  <si>
    <t xml:space="preserve">TAMBAH OLI RETARDER;
PERSENELAN KERAS;
</t>
  </si>
  <si>
    <t>LAS TANKI FUEL</t>
  </si>
  <si>
    <t>LAMPU STOP  KIRI BELAKANG JATUH;
RAPIKAN SPRING DEPAN KIRI;
TAMBAH AIR RADIATOR;
KLAKSON MATI;
AIR WIPER TERSUMBAT</t>
  </si>
  <si>
    <t>GANTI COVER HUB NO. 1;, ANTRI/MACET DI TIMBANGAN DARI JAM 13:00-15:30 (TIMBANGAN RUSAK)</t>
  </si>
  <si>
    <t>KOPLING KERAS (PERSNELAN TIDAK MASUK, STOCKPILE HYNC)</t>
  </si>
  <si>
    <t>TAMBAH AIR RADIATOR</t>
  </si>
  <si>
    <t>ANTRI/MACET DI TIMBANGAN DARI JAM 13:00-15:30 (TIMBANGAN RUSAK)</t>
  </si>
  <si>
    <t>AC BERMASALAH;
MUFFLER PUTUS;
ADJUST STRING</t>
  </si>
  <si>
    <t>LONGGAR BAUT RODA ALL,
KAMPAS REM BERMASALAH  (HYNC)</t>
  </si>
  <si>
    <t>LAS BANCIAN;
LAS CHASIS KIRI BELAKANG</t>
  </si>
  <si>
    <t>PERBAIKAN VESEL</t>
  </si>
  <si>
    <t>GANTI BAN NO. 5, TEKOR ANGIN;
GANTI KARET TORQUE ROD ATAS;
CEK KAMOAS REM GENERAL;</t>
  </si>
  <si>
    <t xml:space="preserve">CEK KAMPAS REM GENERAL;
STEL REM GENERAL;
TAILGATE OTOMATIS LONGGAR;
BAUT RODA TROMOL NO. 5;
</t>
  </si>
  <si>
    <t>UNIT BD DI JALAN</t>
  </si>
  <si>
    <t>BOCOR MASTER VALVE  (LOADING POINT NAKULA)</t>
  </si>
  <si>
    <t>PATAH CENTER PEN KANAN (KERUSAKAN BERULANG),
ADA REMBESAN OLI HUB TROMOL NO 4,
TROMOL NO 2 BERMASALAH</t>
  </si>
  <si>
    <t xml:space="preserve">PERBAIKAN TANGGA KABIN KANAN;
ADD OLI HUB;
KLAKSON MATI;
</t>
  </si>
  <si>
    <t>PATAH BAUT RODA TORMOL NO. 7 (5 PCS), GANTI BAN NO. 9,10</t>
  </si>
  <si>
    <t>PATAH BAUT RODA TROMOL NO. 7;
PATAH U BOLT KIRI DEPAN</t>
  </si>
  <si>
    <t>STEL REM GENERAL;
TAMBAH OLI RETARDER;
TAMABH AIR RADIATOR</t>
  </si>
  <si>
    <t>C 397</t>
  </si>
  <si>
    <t xml:space="preserve">LAMPU DEPAN KIRI KANAN MATI;
TAMBAH OLI RETARDER;
LAMPU KIRI KANAN DEPAN MATI;
</t>
  </si>
  <si>
    <t>G 508</t>
  </si>
  <si>
    <t>UNIT PENGGANTI DT 510</t>
  </si>
  <si>
    <t>PAKING EXHAUST BRAKE BOCOR;
SAFETY KALATER OLI ENGINE BENGKOK;
TAMBAH OLI RETARER;</t>
  </si>
  <si>
    <t xml:space="preserve">TORQUE ROD ATAS BAGIAN BELAKANG;
</t>
  </si>
  <si>
    <t>GANTI BAN NO. 1.2.11.12</t>
  </si>
  <si>
    <t xml:space="preserve">TAMBAH OLI RETARDER;
KECANGKAN BEHEL NO. 2.3.4;
</t>
  </si>
  <si>
    <t>RETARDER KURANG MENAHAN;
RADIATRO BERMASALAH;
LAMPU REM MATI KIRI KANAN</t>
  </si>
  <si>
    <t>SENSOR ANGIN BOCOR</t>
  </si>
  <si>
    <t>ANTRI MACET DI TIMBANGAN (TIMBANGAN BAGUS PUKUL 10:00), ISTIRAHAT SHOLAT JUMAT, SAMPLE TIMBANGAN TUTUP JAM 11:00 BUKA JAM 13:00), ANTRI MACET  DI TIMBANGAN BLOK 5</t>
  </si>
  <si>
    <t>BOCOR BAN NO. 9, PATAH BAUT RODA TROMOL NO. 7</t>
  </si>
  <si>
    <t>INTARDER TIDAK BERFUNGSI;
STEL REM GENERAL;
PERBAIKAN SPRING DEPAN KIRI;
ADD OIL HUB 1,2,3,4</t>
  </si>
  <si>
    <t>GANTI KAMPAS REM NO 5&amp;6
PATAH SPRING BELAKANG NO 4&amp;6 KANAN
BAUT SET SPRING R1 LONGGAR</t>
  </si>
  <si>
    <t>PATAH SPRING NO 12 RODA NO 3
KLAKSON MATI</t>
  </si>
  <si>
    <t xml:space="preserve">PATAH CENTER PEN RH BELAKANG;
ADD OLI HUB;
</t>
  </si>
  <si>
    <t>PERBAIKAN DUDUKAN TANKI HYDROLIK,
ADJUSTER NO 7 DAN 8</t>
  </si>
  <si>
    <t>RAPIKAN PER DEPAN TENGAH</t>
  </si>
  <si>
    <t>CEK BEARING HUB NO 1,
GANTI STOPPER SPRING KIRI,
CEK BUSHING TRUNNION,
HEADLAMP KIRI BERMASALAH,
GANTI STOPPER BELAKANG,
STEL REM GENERAL</t>
  </si>
  <si>
    <t>MASTER VALVE BERMASALAH (STOCKPILE KM 8)</t>
  </si>
  <si>
    <t>LAMPU DEPAN KIRI KANAN MATI</t>
  </si>
  <si>
    <t>RETARDER HILANG-HILANG LAGI</t>
  </si>
  <si>
    <t>SERVICE HM 7.500,
TAMBAH OLI HUB NO 1,2,3, DAN 4,
SPRING NO 2 DAN 3 KIRI,
BAUT RODA TROMOL NO 5,
BERSIHKAN AIR CLEANER</t>
  </si>
  <si>
    <t xml:space="preserve">PATAH SPRING NO 2 DAN 3 KANAN BELAKANG,
RADIATOR BOCOR,
CEK TRUNNION.
</t>
  </si>
  <si>
    <t>BOCOR RADIATOR,
REM KURANG MENAHAN,
GEAR BOX STEARING MEREMBES</t>
  </si>
  <si>
    <t>LAS VESEL;
PERBAIKAN TAILGATE OTOMATIS;
PERBAIAKN SAFETY TANKI FUEL</t>
  </si>
  <si>
    <t>GANTI KAMPAS NO. 2.3;
STEL REM GENERAL;</t>
  </si>
  <si>
    <t>GANTI NEPEL BUNTU DEPAN (1 PCS) BELAKANG (3PCS)</t>
  </si>
  <si>
    <t>CEK REM GENERAL;
TAMBAH OLI RETARDER</t>
  </si>
  <si>
    <t>EXHAUST BRAKE TIDAK MENAHAN (KERUSAKAN KEMRIN);
KLEM HOSE RETARDER LONGGAR</t>
  </si>
  <si>
    <t>LAMPU UTAMA KIRI MATI;
PATAH BAUT RODA TROMOL NO, 6</t>
  </si>
  <si>
    <t>DIFLOK BERMASALAH</t>
  </si>
  <si>
    <t>GANTI BAN NO, 10;
BOCOR BAN NO. 2</t>
  </si>
  <si>
    <t xml:space="preserve">PATAH PER NO. 3 BELAKANG KANAN;
EXHAUST BRAKE BERMASALAH;
TAMBAH OLI RETARDER;
</t>
  </si>
  <si>
    <t>PATAH BAUT RODA TROMOL NO. 8;
TAMBAH OLI RETARDER;
PERSENELAN KERAS</t>
  </si>
  <si>
    <t>BOCOR BAN NO 5 DAN 6</t>
  </si>
  <si>
    <t>BAUT FILTER UDARA JATUH</t>
  </si>
  <si>
    <t xml:space="preserve">HOSE INTARDER BOCOR,
</t>
  </si>
  <si>
    <t>PATAH BAUT RODA TROMOL NO. 8 (2 PCS)</t>
  </si>
  <si>
    <t>KABEL WESER BELAKANG KANAN PUTUS , BOCOR BAN NO 5, RETAK VLEG</t>
  </si>
  <si>
    <t>BOCOR BAN NO.  7, PINTU KANAN BERMASALAH;\
WIPER BERMSALAH;</t>
  </si>
  <si>
    <t>DRIVER IZIN (SAKIT)</t>
  </si>
  <si>
    <t>PATAH PER TRINTON BAGIAN KIRI NO 14</t>
  </si>
  <si>
    <t>BOCOR BAN NO 11 DAN 12 (KM 2)</t>
  </si>
  <si>
    <t>PATAH CENTER BOLT RODA NO.4;
PASANG KARET STOPER BUAMPER;
CEK CENTER BOLT DEPAN RODA NO. 1</t>
  </si>
  <si>
    <t>SERICE HM;
RAPIKAN SPRING F2 KANAN DEPAN;
KOPLENG KERAS</t>
  </si>
  <si>
    <t>C 353</t>
  </si>
  <si>
    <t>PATAH BAUT RODA TROMOL NO 8, PATAH U BOLT KIRI DEPAN</t>
  </si>
  <si>
    <t>PATAH CENTER PEN KIRI;
GANTI PIPA KNALPOT</t>
  </si>
  <si>
    <t>PATAH BAUT RODA TROMOL  NO. 6</t>
  </si>
  <si>
    <t>BOCOR BAN NO 8 (PANCURAN TIMBANGAN 22 JL BARU)</t>
  </si>
  <si>
    <t>LAMPU SEIN KIRI BELAKANG BERMASALAH,
BAUT RODA TROMOL NO 2</t>
  </si>
  <si>
    <t>KELUARKAN BATU DISELA BAN NO 7 DAN 8 (JL BARU-COR-CORAN)</t>
  </si>
  <si>
    <t>SERVICE LAMPU BELAKANG KIRI KANAN;</t>
  </si>
  <si>
    <t>GANTI BAN NO. 7,10, LAS TAILGATE MANUAL</t>
  </si>
  <si>
    <t>ANGIN TEKOR (KERUSAKAN BERULANG)
OLCKCABIN BERMASALAH
SERVICE HM</t>
  </si>
  <si>
    <t>PATAH CENTER KIRI BELAKANG</t>
  </si>
  <si>
    <t>BOCOR BAN NO 11, CEK RADIATOR (BOCOR)
BRAKET BAWAH RADIATOR LEPAS BAUT;
PATAH U BOLT BELAKANG KANAN;
BUSING STABLIZER ATAS;
CEK CENTER BOLT BELAKANG KIRI</t>
  </si>
  <si>
    <t>BOCOR BAN NO 11 DAN 12 (KM 10)</t>
  </si>
  <si>
    <t>PINTU VESSEL BERMASALAH (KM 10)</t>
  </si>
  <si>
    <t>LAMPU UTAMA MATI SEMUA</t>
  </si>
  <si>
    <t>CENTER PEN BELAKANG KANAN,
RAPIHKAN SPRING DEPAN TENGAH SEBELAH KIRI</t>
  </si>
  <si>
    <t xml:space="preserve">VELG NO, 10 PECAH; BOCOR BAN NO. 10
</t>
  </si>
  <si>
    <t>G 513</t>
  </si>
  <si>
    <t>GANTI BAN NO. 5.9.10, TAMBAH OLI RETARDER;
OLI FINAL DRIP BOCOR;
LAMPU REM MATI KIRI MATI</t>
  </si>
  <si>
    <t>BOCOR BAN NO 9 (BELAKANG WS HINO),</t>
  </si>
  <si>
    <t xml:space="preserve">INDIKATOR ANGIN BERMASALAH (KADANG HABIS) JL BARU),
</t>
  </si>
  <si>
    <t>PATAH SPRING NO 2 KANAN BELAKANG.
GANTI KARET STOPPER</t>
  </si>
  <si>
    <t>PERBAIKAN STOPLAMP BELAKANG</t>
  </si>
  <si>
    <t>BOCOR BAN 5 DAN 7</t>
  </si>
  <si>
    <t>MELEDAK BAN NO 11 (BELAKANG WS HMSI),</t>
  </si>
  <si>
    <t>STEL REM GENERAL,
CEK KAMPAS REM TROMOL NO 5,
CEK OLI HUB,
LAMPU UTAMA KIRI MATI,
CEK LAMPU BELAKANG,
RAPIHKAN SPRING F1 RH</t>
  </si>
  <si>
    <t>KAMPAS REM NO 2 TIPIS,
KAMPAS REM NO 8 RENGGANG BAGIAN ATAS,
U BOLT F1 RH KENDOR,
U BOLT RR RH PATAH,
SPRING NO 12 RR LH,
LONG TIEROD F2 BENGKOK,
LAMPU COMBINATION PUTUS</t>
  </si>
  <si>
    <t>ANTRI MACET DITIMBANGAN, TIMBANGAN 1 ARAH JAM 14:00, GREASE PELUMASAN</t>
  </si>
  <si>
    <t>PATAH SPRING TROMOL NO 3
VALVE ANGIN BOCOR</t>
  </si>
  <si>
    <t>BAUT RODA TROMOL NO 7 DOL,
TAMBAH OLI HUB NO 1 DAN 3</t>
  </si>
  <si>
    <t>ANTRI MACET DITIMBANGAN, TIMBANGAN 1 ARAH JAM 14:00</t>
  </si>
  <si>
    <t>BRAKET STABILZER DEPAN KANAN,
CEK ADJUSTERNO 7 DAN 8,
GANTI KAMPAS REM TROMOL NO 5</t>
  </si>
  <si>
    <t>GANTI VELG NO 9 (RETAK)</t>
  </si>
  <si>
    <t>PATAH SENTER PEN KIRI DEPAN BAGIAN TENGAH RODA NO 3 PATAH KENALPOT BAGIAN KIRI BAWA STEL REM GENERAL</t>
  </si>
  <si>
    <t xml:space="preserve">GANTI KAMPAS REM TROMOL NO 8,
STEL REM GENERAL,
</t>
  </si>
  <si>
    <t>BOCOR BAN NO 8, LAMPU UTAMA KANAN,
TAMBAH OLI HUB</t>
  </si>
  <si>
    <t>JATUH PENUTUP SARINGAN UDARA</t>
  </si>
  <si>
    <t>KECANGKAN BOLT HUB  ALL</t>
  </si>
  <si>
    <t>GREASE PELUMASAN,
TAMBAH OLI HYDRAULIK</t>
  </si>
  <si>
    <t>PATAH SPRING BELAKANG KANAN,
GANITI KARET TORQUEROD</t>
  </si>
  <si>
    <t>BOCOR BAN NO 3 (ARAH MASUK STOCKPILE KM 8)</t>
  </si>
  <si>
    <t>PUTUS SELANG ANGIN KANAN (KM 23)</t>
  </si>
  <si>
    <t>PATAH SPRING NO 2 KANAN BELAKANG</t>
  </si>
  <si>
    <t>HUJAN JALAN LICIN, ANTRI MACET DITIMBANGAN, TIMBANGAN 1 ARAH JAM 14:00</t>
  </si>
  <si>
    <t>PATAH BAUT RODA TROMOL NO 8,
CEK KAMPAS REM TROMOL NO 1-4,
CEK AIR ACCU,
DIFFLOCK BERMASALAH (DOUBLE BERAT)</t>
  </si>
  <si>
    <t>GANTI BAN NO 5,
KENCANGKAN BAUT RODA NO 7 DAN 8</t>
  </si>
  <si>
    <t>TAMBAH OLI HUB NO 1,2,3, DAN 4</t>
  </si>
  <si>
    <t>LAMPU UTAMA KIRI BERMASALAH,
TORUQEOD ATAS,
KAMPAS REM TROMOL NO 3,5, DAN 6,
STEL REM GENERAL</t>
  </si>
  <si>
    <t>MELEDAK BAN NO 3 (KM 27</t>
  </si>
  <si>
    <t>TAMBAH OLI RETARDER,
CEK KAMPAS REM GENERAL</t>
  </si>
  <si>
    <t>BOCOR BAN NO 5 (CONTAINER 4)</t>
  </si>
  <si>
    <t>HOSE RADIATOR BERMASALAH,
CEK KARET STABILIZER,
CEK SAFETY CLATSER,
SEPARU SAFETY BOCOR</t>
  </si>
  <si>
    <t>STEL REM GENERAL,
LONGGAR BAUT DI SAFTY SARINGAN</t>
  </si>
  <si>
    <t>BOCOR BAN NO 8 (KM 2)</t>
  </si>
  <si>
    <t>G 522</t>
  </si>
  <si>
    <t>KONEKTOR ANGIN PUTUS,
REM BERMASALAH (KM 6)</t>
  </si>
  <si>
    <t>DOL BAUT RODA TROMOL NO 8 (4 PCS),
KENCANGKAN BAUT RODA</t>
  </si>
  <si>
    <t xml:space="preserve">BAUT SET SPRING LONGGAR R1
CENTER PEN BELAKANG KANAN PATAH
SETEL REM GENERAL
</t>
  </si>
  <si>
    <t>SEAT SPRING KANAN BELAKANG,
LAMPU UTAMA KIRI DEPAN BERMASALAH.
STOPLAMP KIRI DAN KANAN BERMASALAH</t>
  </si>
  <si>
    <t xml:space="preserve">ADJUSTER TROMOL NO, 4,7,8 BERMASALAH;
ADJUST  KOPLENG;
</t>
  </si>
  <si>
    <t>DRIVER ASLI SAKIT DIGANTI DRIVER SPARE</t>
  </si>
  <si>
    <t>PATAH BUAT RODA TROMOL NO 5,
ADJUST REM GENERAL</t>
  </si>
  <si>
    <t>DOBLE BERMASALAH;
SPAKBOARD DEPAN KIRI KANAN;</t>
  </si>
  <si>
    <t xml:space="preserve">PATAH SPRING KANAN BELAKANG NO, 8;
KARET TORQUER ROD ATAS;
TAMBAH OLI HUB TROMOL NO. 3;
</t>
  </si>
  <si>
    <t>PATAH SPRING NO. 1 BELAKANG KIRI</t>
  </si>
  <si>
    <t>SETEL REM GENERAL
CEK ADJUSTER REM TROMOL NO 7&amp;8
GANTI KARET STOPPER BELAKANG KANAN
CEK SHOCKBREAKER  KIRI DEPAN
BERSIHKAN SARINGAN UDARA</t>
  </si>
  <si>
    <t>TAMBAH OLI HUB NO 3 DAN 4,
SPRING TENGAH BAGIAN NO 3,
SPRING NO 5 PATAH</t>
  </si>
  <si>
    <t>DOL BAUT RODA TROMOL NO. 6;
TAMBAH OLI RETARDER;
KENCANGKAN RANTAIL TAILGATE</t>
  </si>
  <si>
    <t>GANTI BAN NO. 6.11</t>
  </si>
  <si>
    <t>GANTI KARET STOPPER KIRI DAN KANAN,
BAUT RODA TROMOL NO 7 DOL</t>
  </si>
  <si>
    <t>PATAH CENTER BOLT KIRI BELAKANG;
SPAKBOARD KIRI DEPAN</t>
  </si>
  <si>
    <t>PATAH SPRING NO 1 TROMOL NO 2</t>
  </si>
  <si>
    <t>JALAN LOADING POINT BERMASALAH, HUJAN JALAN LICIN</t>
  </si>
  <si>
    <t>PENUTUP RADIATOR LEPAS (REST AREA BLOK 5)</t>
  </si>
  <si>
    <t>PATAH BAUT RODA TROMOL NO 8,
ADA BUNYI TIDAK NORMAL DIBAWAH CABIN</t>
  </si>
  <si>
    <t>KECANGKAN BAUT RODA (BOLT HUB) ALL</t>
  </si>
  <si>
    <t>TRANSMISI BERMASALAH (TIDAK BISA NETRAL)</t>
  </si>
  <si>
    <t>LAMPU SEIN KIRI (BERMASALAH)</t>
  </si>
  <si>
    <t>INDIKATOR ANGIN FRONT ERROR,
ADA KEBOCORAN ANGIN DI RELLAY VALVE</t>
  </si>
  <si>
    <t xml:space="preserve">
LOW POWER;
TAMBAH OLI RETARDER</t>
  </si>
  <si>
    <t>PEN VESEL JATUH</t>
  </si>
  <si>
    <t>RETAK VLEG NO. 9</t>
  </si>
  <si>
    <t>KABEL DIFFLOCK BERMASALAH (DOUBLE RINGAN BERMASALAH),
TAMBAH OLI RETARDER,
STEL REM GENERAL</t>
  </si>
  <si>
    <t xml:space="preserve">PATAH SPRING NO 1 KANAN,
PATAH KRAN SOLAR BAWAH,
</t>
  </si>
  <si>
    <t>PAKING EXHAUST BRAKE BOCOR</t>
  </si>
  <si>
    <t>GREASE PELUMASAN, CEK AIR ACCU</t>
  </si>
  <si>
    <t>HOSE DUMP BERMASALAH,
GANTI BAUT RODA TROMOL NO 8 (10 PCS)</t>
  </si>
  <si>
    <t>GANTI BAN NO. 3,11,12</t>
  </si>
  <si>
    <t>BAUT STABLIZER KIRI PATAH</t>
  </si>
  <si>
    <t>CENTER PEN BERMASALAH</t>
  </si>
  <si>
    <t>CEK ADJUSTER NO. 7.8;
RAPIHKAN SPRING F2 LH,
GANTI KARET STOPPER</t>
  </si>
  <si>
    <t>BOCOR BAN NO 12 (LOADING POINT BEIJING)</t>
  </si>
  <si>
    <t>DRIVER MELAUKAN PELANGGARAN DI PABRIK</t>
  </si>
  <si>
    <t xml:space="preserve">STEL REM GENERAL,
REPAIR SPAKBOARD DEPAN KIRI </t>
  </si>
  <si>
    <t xml:space="preserve">BRAKET LAMPU UTAMA KIRI BERMASALAH;
</t>
  </si>
  <si>
    <t>PATAH SPRING NO 7 F2 KANAN</t>
  </si>
  <si>
    <t>STEL REM GENERAL,
RAPIHKAN SPRING RODA NO 3,
PASANG KLIP SPRING RODA NO 3</t>
  </si>
  <si>
    <t>LOADING POINT CUMA 1</t>
  </si>
  <si>
    <t xml:space="preserve">KARET STOPER BUAMPER BELAKANG;
KEBOCORAN ANGIN DI RELAY VALET SAMPING TABUNG &amp; TENGAH (KERUSAKAN KEMARIN TIDAK DI KERJA);
NAIK PANAS;
GATI KAMPAS NO. 4.5;
STEL REM GENERAL;
TAMBAH AIR RADIATOR;
</t>
  </si>
  <si>
    <t xml:space="preserve">DOL BAUT RODA TROMOL NO. 8
KABEL HM PUTUS;
STEL REM NO, 1,2;\
</t>
  </si>
  <si>
    <t>MELEDAK BAN NO. 7, PATAH BAUT RODA TROMOL NO. 6</t>
  </si>
  <si>
    <t xml:space="preserve">LAMPU UTAMA KANAN MATI;
DOBLE BERAR TIDAK BERFUNGSI;
TAMBAH OLI HUB NO. 3;
PERBAIKAN SPAKBOARD DEPAN KIRI
</t>
  </si>
  <si>
    <t>GANTI VELG NO 11</t>
  </si>
  <si>
    <t>PATAH SPRING NO 4 F2 LH,
TAMBAH OLI HUB</t>
  </si>
  <si>
    <t>GANTI BAN NO 5 DAN 6, #PERBAIKAN PENAHAN SPRING DEPAN BAN NO 3 DAN 4</t>
  </si>
  <si>
    <t>CENTER PEN KANAN BELAKANG</t>
  </si>
  <si>
    <t>PATAH BAUT TROMOL NO. 5;
PATAH SPRINGN NO. 5 KIRI TENGAH;
SERVICE HM;
STOPER BUAMPER;
LAMPU BELAKANG MATI;
TAMBAH OLI HUB</t>
  </si>
  <si>
    <t>BAUT RODA DOL NO 8,
KAMPAS REM NO 2 PECAH</t>
  </si>
  <si>
    <t>GANTI BAN NO. 9.10,11,12</t>
  </si>
  <si>
    <t>PATAH BAUT RODA TROMOL NO. 7;
TAMBAH OLI HUB NO. 3;
STEL REM GENERAL;</t>
  </si>
  <si>
    <t>GANTI COVER HUB NO 2 3;
ELBO TABUNG ANGIN BOCOR;
BERSIHKAN AIR CLINER;</t>
  </si>
  <si>
    <t>REM TIDAK MENAHAN;
TAMBAH AIR RADIATOR;</t>
  </si>
  <si>
    <t>BERSIHKAN AIR CLEANER,
TAMBAH OLI RETARDER,
CEK KAMPAS REM,
STEL REM GENERAL,
LOW POWER,
TAMBAH AIR RADIATOR</t>
  </si>
  <si>
    <t>CENTER BOLT RR LH PATAH</t>
  </si>
  <si>
    <t>CEK TORQIEROD,
TAMBAH OLI RETARDER</t>
  </si>
  <si>
    <t>REM BERMASALAH (STOCKPILE KM 7)</t>
  </si>
  <si>
    <t>G 519</t>
  </si>
  <si>
    <t>PATAH SPRING NO. 2 BELAKANG</t>
  </si>
  <si>
    <t>TAMBAH OLI RETARDER;
LOW POWER;
BERSIHKAN SARINGAN UDARA</t>
  </si>
  <si>
    <t>TAMBAH OLI RETARDER</t>
  </si>
  <si>
    <t>LAS TAILGATE OTOMATIS</t>
  </si>
  <si>
    <t>DRIVER LAMBAT KELUAR SAKIT PERUT</t>
  </si>
  <si>
    <t>RETARDER BERMASALAH (TIDAK MENAHAN)</t>
  </si>
  <si>
    <t>RANTAI PINTU DUMP KENDOR; SEFTY TANK LONGGAT; TAMBAH OLI RETARDER; CEK KAMPAS REM GENERAL; EXHAUST BRAKE BERMASALAH</t>
  </si>
  <si>
    <t>RANTAI PINTU DUMP KENDOR;
SEFTY  TANK LONGGAT;
TAMBAH OLI RETARDER;
CEK KAMPAS REM GENERAL;
EXHAUST BRAKE BERMASALAH</t>
  </si>
  <si>
    <t>SAMBUNGAN MUFFLER KIRI PATAH;
ENGINE BRAKE;
LAMPU UTAMA KIRI MATI;
RAPIKAN SPRING TENGAH KANAN</t>
  </si>
  <si>
    <t>BAUT STABLIZER KIRI PATAH (ULANG)</t>
  </si>
  <si>
    <t>BOCOR OLI HYDROLIK;
GANTI KAMPAS NO, 3;
KLAKSON MATI;
TAMBAH OLI HUB KIRI KANAN</t>
  </si>
  <si>
    <t>PATAH BAUT RODA TROMOL NO 6,
CEK CENTER PEN F2 RH,
REM TROMOL NO 7 (TIDAK MENAHAN)</t>
  </si>
  <si>
    <t xml:space="preserve">BRAKET STABLIZER PETAK KIRI KANAN;
</t>
  </si>
  <si>
    <t>TAMBAH OLI POWER STEARING,
KLAKSON MATI, 
DINAMO HYDRAULIK CABIN BERMASALAH,
LAMPU UTAMA RH PECAH,
RAPIHKAN SPRING F2 LH RH,
PATAH BAUT RODA R1 LH</t>
  </si>
  <si>
    <t>JALAN RUSAK DEKAT MES MEI MEI</t>
  </si>
  <si>
    <t>PERBAIKAN KLAKSON; PERBAIKAN TANGGA KABIN</t>
  </si>
  <si>
    <t>PASANG KLIP SPRING NO.3 ( KERUSAKAN BERULANG)
STEL REM GENERAL;
LAMPU UTAMA KANAN MATI;
KLAKSON BERMASALAH;
CEK AKI (AIR AKI)</t>
  </si>
  <si>
    <t>PATAH BAUT RODA</t>
  </si>
  <si>
    <t>GANTI BAN NO. 11, SERVICE HM;</t>
  </si>
  <si>
    <t>GANTI BRAKET MOUNTING ENGINE (KANAN)</t>
  </si>
  <si>
    <t>KEPALA ACCU BERMASALAH
PATAH SPRING NO 7 BELAKANG KANAN
PEMASANGAN KARET STOPPER BELAKANG KIRI KANAN</t>
  </si>
  <si>
    <t xml:space="preserve">PATAH BAUT RODA TROMOL NO. 7,
LONG TIEROD DEPAN BENGKOK,
CEK TORQUEROD ATAS,
GANTI KAARET STOPPER,
TAMBAH OLI HUB,
CEK KAMPAS </t>
  </si>
  <si>
    <t>BOCOR BAN NO. 5 (NAKULA)</t>
  </si>
  <si>
    <t>BOCOR BAN NO 2</t>
  </si>
  <si>
    <t>HUJAN JALAN LICIN (JALAN HANCUR)</t>
  </si>
  <si>
    <t>V-BELT KENDOR</t>
  </si>
  <si>
    <t>GANTI BAN NO. 11</t>
  </si>
  <si>
    <t>GANTI BAN NO 7 DAN 8, PATAH BAUT RODA TROMOL NO 6</t>
  </si>
  <si>
    <t>GANTI BAN NO 3 DAN 4,PATAH BAUT RODA TROMOL NO. 6;
REPAIR PENUTUP OLI HUB</t>
  </si>
  <si>
    <t>BOCOR BAN NO. 8 (SIMPANG NAKULA)</t>
  </si>
  <si>
    <t>PATAH U BOLT KANAN BELAKANG;
CEK CENTER BOLT KANAN BELAKANG;
CEK AIR AKI</t>
  </si>
  <si>
    <t>SENSOR ANGIN BERMASALAH (STOCKPILE KM 8)</t>
  </si>
  <si>
    <t>PATAH BAUT RODA TROMOL NO, 7</t>
  </si>
  <si>
    <t>TAMBA OIL RETARDER</t>
  </si>
  <si>
    <t>BUAT RODA PATAH, 
NUT RODA BELAKANG</t>
  </si>
  <si>
    <t>PATAH BAUT RODA TROMOL NO. 8;
TAMBAH OLI RETARDER;
SEMPROT SARINGAN UDARA</t>
  </si>
  <si>
    <t>BOCOR BAN NO. 11 (KM 10)</t>
  </si>
  <si>
    <t>GANTI NIPPLE GREASE PELUMASAN</t>
  </si>
  <si>
    <t>GANTIN BAN NO. 1,2,7,8</t>
  </si>
  <si>
    <t>GANTI BAN NO 12,
PECAH VELG NO 9</t>
  </si>
  <si>
    <t>PATAH SPRING NO 6 BELAKANG KIRI</t>
  </si>
  <si>
    <t>GANTI VELG NO 9</t>
  </si>
  <si>
    <t>TAMBAH AIR AKI;
GANTI KAMVAS REM NO. 7,8;
PATAH CENTER BOLT BELAKANG KANAN</t>
  </si>
  <si>
    <t>PATAH SPRING RODA NO. 4;
PASANG KLIP SPRING RODA NO. 3.4</t>
  </si>
  <si>
    <t>MATI LAMPU UTAMA KANAN</t>
  </si>
  <si>
    <t>MELDAK BAN NO. 4 (WS 6)</t>
  </si>
  <si>
    <t>ANTRI MACET DI TIMBANGAN (BERMASALAH)</t>
  </si>
  <si>
    <t>PATAH SPRING NO. 7 KIRI BELAKANG</t>
  </si>
  <si>
    <t>SERVIS HM 4500
SETEL GENERAL</t>
  </si>
  <si>
    <t xml:space="preserve">DOL BAUT RODA TROMOL NO 5
SOCKET TABUNG ANGIN DI BAWAH TANKI SOLAR  BERMASALAH
KLAKSON MATI
</t>
  </si>
  <si>
    <t>UNIT BD DJIALANAN</t>
  </si>
  <si>
    <t>PATAH PER NO. 1 TROMOL NO, 2 (BLOK 5)</t>
  </si>
  <si>
    <t>BOCOR BAN NO, 12, LAMPU UTAMA BERMASALAH KONTAK BODY;
PATAH BAUT RODA TROMOL NO. 1</t>
  </si>
  <si>
    <t>BOCOR BAN NO. 10, CEK OLI ENGINE;</t>
  </si>
  <si>
    <t>BOCOR BAN NO 5, MATI LAMPU UTAMA KANAN</t>
  </si>
  <si>
    <t>BOCOR BAN NO. 5 ;
GANTI BAN NO. 11,12</t>
  </si>
  <si>
    <t>LAS KNALPOT</t>
  </si>
  <si>
    <t>ISI FREON, ADD OLI HUB</t>
  </si>
  <si>
    <t>REM KURANG MENAHAN  NO 1 DAN 2
GANTI ACCU
SPAKBOR DEPAN MAU LEPAS</t>
  </si>
  <si>
    <t>BOCOR FINAL DRIP TROMOL NO. 7;
STOPPER KIRI BELAKANG ;
CEK TORQUE ROD ATAS</t>
  </si>
  <si>
    <t>PATAH SPRING NO. 4 DEPAN KIRI;
CEK KAMPAS NO. 1;
CEL BAUT RODA TROMOL NO. 7;
PATAH BAUT RODA TROMOL NO. 5;
CEK AIR AKI</t>
  </si>
  <si>
    <t>SUSPENSI BERMASALAH</t>
  </si>
  <si>
    <t>BOCOR BAN NO. 6 (CBB)</t>
  </si>
  <si>
    <t>BOCOR BAN NO. 10;
GANTI BAN NO, 9</t>
  </si>
  <si>
    <t>BAUT U BOLT JATUH TROMOL NO; 4</t>
  </si>
  <si>
    <t>MELEDAK BAN (KM 2), PATAH BAUT RODA TROMOL NO. 6; GANTI LAMPU UTAMA KIRI;</t>
  </si>
  <si>
    <t>BOCOR BAN NO. 12 (KM 5)</t>
  </si>
  <si>
    <t>GANTI KARET STOPER BELAKANG;
TAMBAH OLI HUB;
STEL REM GENERAL</t>
  </si>
  <si>
    <t>LAS SPAKBOARD TENGAH</t>
  </si>
  <si>
    <t>PATAH PER NO. 1 POS NO. 3;
TAMBAH OLI RETARDER;
TAMBAH OLI RETARDER</t>
  </si>
  <si>
    <t>PERBAIKAN TAILGATE MANUAL,
PERBAIKAN TAILGATE OTOMATIS</t>
  </si>
  <si>
    <t>LAMPU SEN BELAKANG KANAN MATI;
LAMPU REM KIRI KANAN MATI;
ALARAM MUNDUR BERMASALAH;
PASANG BAUT SIPON KANAN ATAS;</t>
  </si>
  <si>
    <t>PATAH CENTER PEN F1 RH,
BAUT U BOLT LONGGAR FA RH</t>
  </si>
  <si>
    <t>CEK KAMPAS GENERAL</t>
  </si>
  <si>
    <t>V-BELT AC BERMASALAH;
RAPIKAN KABEL" LAMPU</t>
  </si>
  <si>
    <t>RETARDER TIDAK MENAHAN NO. 3.4;
ADD OLI HUB</t>
  </si>
  <si>
    <t>BOCOR BAN NO, 6</t>
  </si>
  <si>
    <t>GANTI KAMPAS REM TROMOL NO 7 DAN 8,
GANTI KARET STOPPER BELAKANG,
CEK AIR ACCU</t>
  </si>
  <si>
    <t>PATAH PER NO. 6 KANAN BELAKANG; CEK TROMOL GENERAL; CEK KAMPAS REM NO. 2 (JATUH)</t>
  </si>
  <si>
    <t>PERBIAKAN TAILGATE MANUAL KANAN;
BUCKET BOCOR</t>
  </si>
  <si>
    <t>PATAH BAUT RODA TROMOL NO.;
TAMBAH AIR AKI;
ADD OLI HUB</t>
  </si>
  <si>
    <t>BENGKOK LONG TIE ROD F2;
LONGGA  U BOLT BAN NO. 3;
RAPIKAN SPRING BAN NO. 4 ;
PASANG KLEM</t>
  </si>
  <si>
    <t>TAMBAH AIR ACCU</t>
  </si>
  <si>
    <t>GANTI KAMPAS REM NO 5,7, DAN 8,
LOW POWER,
SEIN BELAKANG KIRI BERMASALAH,
STEL REM GENERAL</t>
  </si>
  <si>
    <t>LAMPU UTAMA MATI SEBELAH KANAN,
PATAH BAUTTROMOL NO ,
GANTI KAMPAS REM TROMOL NO 5</t>
  </si>
  <si>
    <t>TAMBAH AIR AKI</t>
  </si>
  <si>
    <t>PATAH PER NO. 1 BELAKANG;
PATAH BAUT RODA TROMOL NO. 1;
RAPIKAN SPRING TROMOL NO. 4</t>
  </si>
  <si>
    <t>GANTI KAMPAS NO. 7,8</t>
  </si>
  <si>
    <t>BOOCOR BAN NO. 3 (TIMBANGAN TENGKORAK)</t>
  </si>
  <si>
    <t>BOCOR BAN NO. 7 (KM 5)</t>
  </si>
  <si>
    <t>DRIVER SAKIT, LOADING POINT CUMA 1, ISTIRAHAT SHOLAT JUMAT, SAMPLE TIMBANGAN TUTUP JAM 11:00 BUKA JAM 13:00), ANTRI MACET  DI TIMBANGAN BLOK 5</t>
  </si>
  <si>
    <t>LOADING POINT CUMA 1, ISTIRAHAT SHOLAT JUMAT, SAMPLE TIMBANGAN TUTUP JAM 11:00 BUKA JAM 13:00), ANTRI MACET  DI TIMBANGAN BLOK 5</t>
  </si>
  <si>
    <t>REPAIR SPAKBOARD KIRI DAN KANAN</t>
  </si>
  <si>
    <t>LAMPU UTAMA KIRI MATI</t>
  </si>
  <si>
    <t>PATAH CENTER BOLT KIRI BELAKANG;
CEK TRUNION BELAKANG</t>
  </si>
  <si>
    <t>TAMBAH AIR AKI
CEK RADIO
ALARAM MUNDUR BERMASALAH (KABEL PUTUS)</t>
  </si>
  <si>
    <t>REM TIDAK MENAHAN;
ADD OLI RETARDER;
LAMPU REM KIRI BELAKANG</t>
  </si>
  <si>
    <t>BOCOR BAN NO. 10 (CBB)</t>
  </si>
  <si>
    <t>[106190909] STEVANUS RAMEGAU</t>
  </si>
  <si>
    <t>CEK TROMOL NO 3,
GANTI NIPPLE 5 PCS</t>
  </si>
  <si>
    <t>RETARDER BERMASALAH;
STEL REM GENERAL;
CEK REM GENERAL;
TAMBAH OLI RETRADER;</t>
  </si>
  <si>
    <t xml:space="preserve">PATAH PER NO. 5 DEPAN KANAN;
CEK TORQUE ROD ATAS;
</t>
  </si>
  <si>
    <t>TAMBAH OLI RETARDER;
RANTAI TAILGATE LONGGAR;
LOW POWER</t>
  </si>
  <si>
    <t>PERBAIKAN SAFETY TANKI FUEL</t>
  </si>
  <si>
    <t>G535</t>
  </si>
  <si>
    <t>DIFLOK BERMASALAH;
SPIDOMETER EROR</t>
  </si>
  <si>
    <t>[204190824] AMIRUDDIN</t>
  </si>
  <si>
    <t>REM BERMASALAH  (KERUSAKAN BERULANG)
PERBIAKN SAFETY TABUNG</t>
  </si>
  <si>
    <t>[204231751] MUSAKKAR</t>
  </si>
  <si>
    <t>PATAH BAUT RODA TROMOL NO 4,
ADA REMBESAN OLI DI PTO</t>
  </si>
  <si>
    <t>[108201187] ARAFNAL</t>
  </si>
  <si>
    <t>BOCOR SELANG CHAMBER BELAKANG KANAN</t>
  </si>
  <si>
    <t>[204231749] MICHAEL JONAS THOMPSON FREDHYK KARUNDENG</t>
  </si>
  <si>
    <t>PATAH SPRING NO. 10 F2 LH;
STEL REM GENERAL;</t>
  </si>
  <si>
    <t>[209231831] ANGGI SIR HERYANTO</t>
  </si>
  <si>
    <t>GANTI KAMPAS REM TROMOL NO 7</t>
  </si>
  <si>
    <t>[209201227] MUKSIN</t>
  </si>
  <si>
    <t>KAMPAS REM NO 3,5,7, DAN 8,
SPRING NO 9 RR RH PATAH</t>
  </si>
  <si>
    <t>[208201174] HEIRUDDIN CHAIRIL</t>
  </si>
  <si>
    <t>LAMPU SEN MATI TOTAL;
ADJUSTER TROMOL NO. 3.6.8 BERMASALAH</t>
  </si>
  <si>
    <t>[208201180] PURNOMO</t>
  </si>
  <si>
    <t>[112201320] SALDI</t>
  </si>
  <si>
    <t>HOSE HYDROLIK DUMP ADA REMBESAN;
ADJUST REM GENERAL;
LEPAS SAFETY KAMPAS;
LEPAS SAFETY TANK ANGIN;
LAMPU PARKIR KIRI BELAKANG MATI</t>
  </si>
  <si>
    <t>[203231741] HERI ISWANTO</t>
  </si>
  <si>
    <t>MAINANCE JALAN KM 3 (JL BARU)</t>
  </si>
  <si>
    <t>[203231742] HARIYANTO</t>
  </si>
  <si>
    <t>[206221649] IDRUS</t>
  </si>
  <si>
    <t>[203221603] ROY BARAU</t>
  </si>
  <si>
    <t>PERBAIKAN DUDUKAN LAPE" DEPAN</t>
  </si>
  <si>
    <t>[209201233] HENDRIK SUBIA</t>
  </si>
  <si>
    <t>PATAH U BOLT KIRI DEPAN,
PATAH BAUT RODA TROMOL NO 6,
PATAH SPRING NO 4 KANAN DI TROMOL NO 4,
STEL REM GENERAL,
TAMBAH AIR RADIATOR</t>
  </si>
  <si>
    <t>[202231721] SIDANG</t>
  </si>
  <si>
    <t>[211221701] YOHANIS PAMINNAKAN</t>
  </si>
  <si>
    <t>[201221580] SUTRIYANTO ARMAN S.</t>
  </si>
  <si>
    <t>[206221646] YOHANES BONGGA</t>
  </si>
  <si>
    <t>GANTI KAMPAS REM TROMOL NO 4</t>
  </si>
  <si>
    <t>[212221711] HASRUL</t>
  </si>
  <si>
    <t>[202231722] RISFAL</t>
  </si>
  <si>
    <t>PATAH CENTER BOLT KANAN BELAKANG;
KAMPAS NO. 8 TIDAK MENAHAN (KERUSAKAN BERULANG)</t>
  </si>
  <si>
    <t>[203231733] DARMAN</t>
  </si>
  <si>
    <t>[211201297] BARTOLOMEUS</t>
  </si>
  <si>
    <t>[210201250] PARAHAN</t>
  </si>
  <si>
    <t>[212211551] ASSE</t>
  </si>
  <si>
    <t>[107211454] RAFLIN AHMAD</t>
  </si>
  <si>
    <t>[211201268] SATRULLAH</t>
  </si>
  <si>
    <t>[203221605] ALBERT PALABURU</t>
  </si>
  <si>
    <t>REPAIR SPAKBOARD KIRI DAN KANAN, LOADING POINT CUMA 1</t>
  </si>
  <si>
    <t>[212211546] M. NASIR YALE</t>
  </si>
  <si>
    <t>[212211548] MOH. RAMADHAN</t>
  </si>
  <si>
    <t>[109231837] MAYKEL JULSINTO DEKE</t>
  </si>
  <si>
    <t>GANTI KARET STOPER BELAKANG TROMOL NO. 6.7;
PATAH BAUT RODA TROMOL  NO. 8</t>
  </si>
  <si>
    <t>[211221702] SANDI</t>
  </si>
  <si>
    <t>PATAH CENTER BOLT BELAKANG KIRI;
GANTI KAMPAS REM NO. 8;
ADD OLI HUB;
GANTI KARET STOPER;
LOW POWER</t>
  </si>
  <si>
    <t>[107201158] ANSHAR</t>
  </si>
  <si>
    <t>RANTAI TAILGATE LONGGAR</t>
  </si>
  <si>
    <t>[203231734] BAKRI</t>
  </si>
  <si>
    <t>DOL BAUT RODA TROMOL NO 6</t>
  </si>
  <si>
    <t>[109201236] ABDUL</t>
  </si>
  <si>
    <t>LAS SPAKBOARD KANAN BELAKANG</t>
  </si>
  <si>
    <t>[206221653] UJANG SETIAWAN</t>
  </si>
  <si>
    <t>SEMUA LAMPU MATI,
TAMBAH OLI RETARDER,
CEK KAMPAS REM GENERAL,
STEL REM GENERAL</t>
  </si>
  <si>
    <t>[212221713] ISKARI</t>
  </si>
  <si>
    <t>[110231842] MUCHLIS</t>
  </si>
  <si>
    <t>[209231838] HARDIAN AKANGKUNG</t>
  </si>
  <si>
    <t>[208231826] BAHRI</t>
  </si>
  <si>
    <t>[211211543] SUSILO AFRIYANTO PETA'A</t>
  </si>
  <si>
    <t>[209231840] RAHMAT</t>
  </si>
  <si>
    <t>TAMBAH FREON, PATAH SPRING F2 KIRI NO. 4;
CEK KAMPAS REM GENERAL;
STEL REM GENERAL;</t>
  </si>
  <si>
    <t>[203190787] ALYMUDDIN TAMBA</t>
  </si>
  <si>
    <t>[204231754] REZKY TIKU PASANG</t>
  </si>
  <si>
    <t>[107180499] IBRAHIM</t>
  </si>
  <si>
    <t>[106221652] FERIYANTO</t>
  </si>
  <si>
    <t>[206221654] JUSMAIL</t>
  </si>
  <si>
    <t>KAMPAS REM NO 3 DAN 5</t>
  </si>
  <si>
    <t>[107190982] MUH. BASRI</t>
  </si>
  <si>
    <t>[101211324] HENDRIK</t>
  </si>
  <si>
    <t xml:space="preserve">PATAH BAUT RODA TROMOL NO 6,
STOPLAMP KIRI DAN KANAN MATI,
</t>
  </si>
  <si>
    <t>[207221661] ANDI ARIFIN</t>
  </si>
  <si>
    <t>[209201234] KAMARUDDIN</t>
  </si>
  <si>
    <t>[205221631] ILHAM</t>
  </si>
  <si>
    <t>[209150698] BUSTAN</t>
  </si>
  <si>
    <t>[104211372] FORAL Z MAMARASI</t>
  </si>
  <si>
    <t>[105211388] RONAL TODING</t>
  </si>
  <si>
    <t>[201221568] MUH IQRAM NUR</t>
  </si>
  <si>
    <t>PATAH BAUT RODA TROMOL;
GANTI KARET STOPER DEPAN</t>
  </si>
  <si>
    <t>[107180487] FRETS BADU</t>
  </si>
  <si>
    <t>[111211529] YANIS OTOLUWA</t>
  </si>
  <si>
    <t>TAMBAH OLI RETARDER,
STEL REM GENERAL</t>
  </si>
  <si>
    <t>[211201271] MARDI</t>
  </si>
  <si>
    <t>[203221604] RUSLAN KALLA</t>
  </si>
  <si>
    <t>[209211480] HAMDAN ALI</t>
  </si>
  <si>
    <t>[104211382] THAMRIN LAIDA</t>
  </si>
  <si>
    <t>[203190797] MURFA</t>
  </si>
  <si>
    <t>[104211379] SUBRI KURNIAWAN</t>
  </si>
  <si>
    <t>[109160076] EVERSON LONTOE</t>
  </si>
  <si>
    <t>MELETUS BAN NO 10 (POS SECURITY BELAKANG HMSI)</t>
  </si>
  <si>
    <t>[201211333] SURIANTO</t>
  </si>
  <si>
    <t>[212201312] I WAYAN RUDI YASTAWA</t>
  </si>
  <si>
    <t>[108201196] SURIYADI</t>
  </si>
  <si>
    <t>[207221660] FRANGKI STENLY LADAEE</t>
  </si>
  <si>
    <t>[105190864] EKELESIA BALIGOMBO</t>
  </si>
  <si>
    <t>LAS SPAKBOARD</t>
  </si>
  <si>
    <t>STEL REM GENERAL, GANTI KAMPAS REM TROMOL NO 5, GANTI KARET STOPPER KIRI BELAKANG</t>
  </si>
  <si>
    <t>BOCOR BAN NO. 9 (WS NO. 6), PATAH BAUT RODA TROMOL NO 7, GANTI KARET STOPPER BUMPER</t>
  </si>
  <si>
    <t>[208201202] HENDRA GUNAWAN DEWANTO</t>
  </si>
  <si>
    <t xml:space="preserve">LONGGARBAUT  U BOLT F1 LH;
CEK OLI HUB;
SPION KIRI LONGGAR;
 </t>
  </si>
  <si>
    <t>LAS TAILGATE  OTOMATIS KIRI;
LAS SPAKBOARD TENGAH KIRI KANAN;
LAS SAFETY TANKI</t>
  </si>
  <si>
    <t>[110211509] DAHLAN BIN RABBI</t>
  </si>
  <si>
    <t>GANTI KAMPAS REM NO 7 DAN 8,
GANTI ADJUSTER NO 8,
REM NO 2 DAN 4 BERMASALAH,
PATAH CENTER BOLT KIRI,
STEL REM GENERAL</t>
  </si>
  <si>
    <t>[202221591] YOHANES BAHARI</t>
  </si>
  <si>
    <t>REM BERMASALAH (KERUSAKAN BERULANG)</t>
  </si>
  <si>
    <t>KOPLING KERAS
INTARDER 3&amp;4 KURANG MENAHAN</t>
  </si>
  <si>
    <t>ANTRI/MACET DI PABRIK (HYNC)</t>
  </si>
  <si>
    <t>GANTI KARET STOPPER R1 RH R2RH,
PATAH BAUT RODA R2 RH,
PATAH SPRING NO 4 F1 LH,
RAPIHKAN SPRING F2 RH</t>
  </si>
  <si>
    <t>PATAH SPRING BELAKANG KANAN NO. 5;
GANTI KARET TORQUE ROD ATAS;
CEK MOUNTING;
TAMBAH OLI HUB NO. 3;
STEL REM GENERAL;</t>
  </si>
  <si>
    <t>PATAH CENTER PEN KANAN\ BELAKANG;
GANTI KAMPAS NO ,3</t>
  </si>
  <si>
    <t>PATAH U BOLT KIRI DEPAN,
STEL REM GENERAL,
CEK TRUNNUIN KIRI</t>
  </si>
  <si>
    <t>PECAH VLEG NO. 10 (KM 10 BPR)</t>
  </si>
  <si>
    <t>DRIVER IZIN SIMPER BERMASALAH</t>
  </si>
  <si>
    <t>PATAH BAUT RODA TROMOL NO 5,
BOCOR PENUTUP OLI HUB NO 2</t>
  </si>
  <si>
    <t>BOCOR BAN NO. 9 (KM 13)</t>
  </si>
  <si>
    <t>AC BERMASALAH,
TAMBAH OLI RETARDER,
CEK KAMPAS REM GENERAL,
STEL REM GENERAL</t>
  </si>
  <si>
    <t>LONGGAR BAUT RODA TROMOL NO 9,
CEK HUB TROMOL NO 2</t>
  </si>
  <si>
    <t>BOCOR BAN NO. 3 (LAODING POINT NAKULA)</t>
  </si>
  <si>
    <t>STEL REM GENERAL;
TAMBAH OLI RETARDER</t>
  </si>
  <si>
    <t xml:space="preserve">GANTI KAMPAS REMNO. 8
</t>
  </si>
  <si>
    <t>CENTER BOLT RR LH, HUJAN JALAN LICIN</t>
  </si>
  <si>
    <t>CEK KAMPAS REM GENERAL;
STEL REM GENERAL;
TAMBAH OLI RETARDER</t>
  </si>
  <si>
    <t>BOCOR BAN NO 7, GANTI BAN NO. 11,12</t>
  </si>
  <si>
    <t>[203221602] JAMALUDDIN</t>
  </si>
  <si>
    <t>GANTI BAN NO 11 DAN 12, RADIATOR BERMASALAH</t>
  </si>
  <si>
    <t>[108191041] ISMAIL</t>
  </si>
  <si>
    <t>SAFETY CLUTHER ,TAMBAH AIR RADIATOR, SETEL REM GENERAL</t>
  </si>
  <si>
    <t>[108201173] MAING</t>
  </si>
  <si>
    <t>PECAH VELG NO 12</t>
  </si>
  <si>
    <t>[104211367] AWALUDIN</t>
  </si>
  <si>
    <t>KABEL DIFFLOCK PUTUS</t>
  </si>
  <si>
    <t>PECAH VLEG NO. 12</t>
  </si>
  <si>
    <t xml:space="preserve">TAMBAH OLI RETARDER;
STEL REM GENERAL;
CEK KAMPAS GENERAL;
</t>
  </si>
  <si>
    <t>[105221626] JAMALUDDIN. A</t>
  </si>
  <si>
    <t>TAMBAH OLI RETARDER;
STEL REM GENERAL;
KABEL DOBLE LEPAS</t>
  </si>
  <si>
    <t>[112201318] MIDUN HULOPI</t>
  </si>
  <si>
    <t>[108201211] ISRUN AKANGKUNG</t>
  </si>
  <si>
    <t>GANTI VLEG NO. 5;
GANTI BAN NO. 6</t>
  </si>
  <si>
    <t>BAUT U BOLT F1 RH LONGGAR,
CEK BAUT U BOLT F1 F2,
TEKOR ANGIN,
CEK INTARDER</t>
  </si>
  <si>
    <t>TABUNG ANGIN BERMASALAH (TEKOR ANGIN),
REPAIR SPAKBOARD,
GANTI KARET STOPPER,</t>
  </si>
  <si>
    <t>RAPIKAN SPRING NO. 3 ;
DUDUKAN SPRING BELAKANG KIRI KANAN RETAK</t>
  </si>
  <si>
    <t>GANTI KAMPAS NO. 5;STEL REM GENERAL, BOCOR BAN NO. 6</t>
  </si>
  <si>
    <t>PATAH SPRING NO 3 BELAKANG KIRI,
KLAKSON MATI,
TAMBAH AIR RADIATOR,
CEK KAMPAS REM NO 2, DAN 3,
STEL REM GENERAL</t>
  </si>
  <si>
    <t>REPAIR MUFFLER,
LOW POWER (KERUSAKAN BERULANG)</t>
  </si>
  <si>
    <t>MELEDAK BAN NO 7, PATAH BAUT RODA TROMOL NO 6</t>
  </si>
  <si>
    <t>DOBLE BERAT TIDAK BERFUNGSI;
KONEKTOR ANGIN BERMASALAH;
KEBOCRAN ANGIN DI HOS</t>
  </si>
  <si>
    <t>SEAT SPRING BELAKANG KIRI BERMASALAH (STOCKPILE KM 17)</t>
  </si>
  <si>
    <t>STEL REM GENERAL;
TAMBHA OLI HUB</t>
  </si>
  <si>
    <t>GANTI BAN NO 3 DAN 4</t>
  </si>
  <si>
    <t>PATAH U BOLT DEPAN BAN NO 1 (JL COR-CORAN BELAKANG)</t>
  </si>
  <si>
    <t>PATAH BAUT RODA TROMOL NO 7,
LAMPU KIRI BELAKANG MATI,
U BOLT F1 KIRI DEPAN PATAH,
U BOLT F2 KANAN DEPAN LONGGAR</t>
  </si>
  <si>
    <t>DUDUKAN SPRING KANAN PATAH;</t>
  </si>
  <si>
    <t>GANTI KAMPAS REM NO 8 &amp; 4
GANTI KARET STOPPER F1 F2 KANAN
SETEL REM GENERAL</t>
  </si>
  <si>
    <t>DRIVER IZIN (URUS GAJI)</t>
  </si>
  <si>
    <t>ANTRI/MACET LOADING POINT CUMA 1</t>
  </si>
  <si>
    <t>KEPALA ACCU BERMASALAH ( BERULANG), WIPER BERMASALAH
LAMPU BELAKANG KIRI KANAN MATI</t>
  </si>
  <si>
    <t>CENTER BOLT BELAKANG KIRI PATAH (KERUSAKAN BERULANG SUDAH DIATAS 3 KALI PERBAIKAN)</t>
  </si>
  <si>
    <t>LAMPU UTAMA KIRI DAN KANAN MATI</t>
  </si>
  <si>
    <t>U BOLT DEPAN KIRI PATAH</t>
  </si>
  <si>
    <t>LAMPU UTAMA KANAN MATI;
KLAKSON MATI</t>
  </si>
  <si>
    <t>HUJAN JALAN LICIN  (JALAN KE PIT NAKULA HANCUR)</t>
  </si>
  <si>
    <t xml:space="preserve">CEK KAMPAS REM GENERAL;
STEL REM GENERAL;
ADD OLI HUB;
KEBCORAN ANGIN DI BELAKANG KABIN;
</t>
  </si>
  <si>
    <t>[204221618] MUH. BASRI</t>
  </si>
  <si>
    <t>RADIATOR BERMASALAH</t>
  </si>
  <si>
    <t>WIPER BERMASALAH, TAMBAH OLI RETARDER</t>
  </si>
  <si>
    <t>LEPAS SPAKBOARD BELAKANG KIRI KANAN</t>
  </si>
  <si>
    <t>SERVICE KM 10.000
TAMBAH OLI RETARDER
SETEL REM GENERAL
CEK KAMPAS REM GENERAL</t>
  </si>
  <si>
    <t>[104211369] SAID PETAA</t>
  </si>
  <si>
    <t>PENGGANTI UNIT 535</t>
  </si>
  <si>
    <t>DRIVER SAKIT (KECELAKAAN KERJA SAAT MEMBUKA TAILGATE)</t>
  </si>
  <si>
    <t>[208201175] SUPRIYADI DG NAKKU</t>
  </si>
  <si>
    <t>PATAH PER NO. 7 KIRI BELAKANG;
AIR RADIATOR</t>
  </si>
  <si>
    <t>BRAKET STABILIZER BENGKOK,
KAMPAS REM NO 3,5, DAN 8,
BAUT STABILIZER BELAKANG</t>
  </si>
  <si>
    <t xml:space="preserve">PATAH DUDUKAN SPRING DEPAN KANAN;
RAPIKAN PER F2 KIRI;
</t>
  </si>
  <si>
    <t>ANTRI MACET DI PABRIK, ANTRI MACET DI PENCUCIAN</t>
  </si>
  <si>
    <t>KLAKSON BERMASALAH</t>
  </si>
  <si>
    <t>PATAH CENTER BOLT KIRI BELAKANG;
PATAH SPRING NO. 2 TENGAH KANAN;
U BOLT DEPAN KANAN LONGGAR ;
CEK TRUNION</t>
  </si>
  <si>
    <t>BOCOR BAN NO 11 (SAMPLE KM 10)</t>
  </si>
  <si>
    <t>BOCOR BAN NO 1 (HYNC)</t>
  </si>
  <si>
    <t>LAMPU STOP BELAKANG KIRI
TAMBAH OLI HUP TROMOL NO 3</t>
  </si>
  <si>
    <t>BOCOR BAN NO 10 (SAMPLE KM 10)</t>
  </si>
  <si>
    <t xml:space="preserve">LAMPU UTAMA KANAN BERMASALAH
</t>
  </si>
  <si>
    <t>LOADING POINT CUMA 1, ANTRI MACET DI PABRIKK</t>
  </si>
  <si>
    <t>LAMPU KIRI BELAKANG JATUH;
LAMPU SEN BELAKANG KANAN PECAH</t>
  </si>
  <si>
    <t>BOCOR BAN NO 2, PEN VESEL JATUH</t>
  </si>
  <si>
    <t>BOCOR BAN NO 3 (LOADING POINT)</t>
  </si>
  <si>
    <t>GANTI BAN NO 5, DAN 6, DOL BAUT RODA TROMOL NO 5</t>
  </si>
  <si>
    <t>GANTI BAN NO. 12, PATAH  CENTERBOLT KIRI BELAKANG</t>
  </si>
  <si>
    <t>GANTI BAN NO. 11.12, CEK RADIATOR (ADA KEBOCRAN);
CEK HOS RETARDER;
REPAIR MUFFLER;
GANTI KARET STOPER;
KLAKSON BERMASALAH;
TANGGA KABIN KANAN PERBAIKAN</t>
  </si>
  <si>
    <t>PERBAIKAN KURSI</t>
  </si>
  <si>
    <t>GANTI BAN NO. 3</t>
  </si>
  <si>
    <t>PATAH BAUT RODA TROMOL NO 6, (5PCS)
PATAH BAUT RODA TROMOL NO. 5 (1 PCS)
BAUT LAMPU SEIN KIRI BELAKANG</t>
  </si>
  <si>
    <t>BOCOR BAN NO 10 (PIT NAKULA)</t>
  </si>
  <si>
    <t>[110191090] NUR YASIN SIDENG</t>
  </si>
  <si>
    <t>BOCOR BAN NO. 2 (KM 10)</t>
  </si>
  <si>
    <t>BOCOR BAN NO 3 (KM 18)</t>
  </si>
  <si>
    <t>HUJAN JALAN LICIN, ANTRI MACET DI PENCUCIAN</t>
  </si>
  <si>
    <t>[108211459] BOBBY TUMBOL</t>
  </si>
  <si>
    <t>PECAH FILTER SOLAR (KM 5, DEKAT TIMBANGAN), SERVIS GANTI OLI
TAMBAH OLI RETARDER
BERSIHKAN SARINGAN UDARA
EXHAUST BRAKE KURANG MENAHAN;
STEL REM GENERAL</t>
  </si>
  <si>
    <t>CEK HOSE RETARDER</t>
  </si>
  <si>
    <t>BOCOR BAN NO. 4 (WS 6)</t>
  </si>
  <si>
    <t>[208201204] BAHARUDDIN</t>
  </si>
  <si>
    <t>REM NO.7.8 BERMASALAH;
AC BERMASALAH;
PENGIKAT TANKI FUEL LONGGAR;
STEL REM GENERAL</t>
  </si>
  <si>
    <t>SE NSOR KONEKTOR ANGIN EROR;
LAMPUI REM KANAN MATI;
GANTI KAMPAS REM TROMOL NO. 7.8;
STEL REM GENERAL</t>
  </si>
  <si>
    <t>PATAH SPRING NO. 3 BELAKANG KANAN;
PATAH SPRING NO. 12 F2 LH;
STEL REM GENERAL;
TAMBAH AIR RADIATOR</t>
  </si>
  <si>
    <t>BOCOR BAN NO, 11 (KM 10), BOCOR BAN NO 10</t>
  </si>
  <si>
    <t>INDIKATOR ANGIN BERMASALAH;
BAUT RODA DOL TROMOL NO. 3;
SUSPENSI KURIS RUSAK</t>
  </si>
  <si>
    <t>REM NO, 1 BERMASALAH (KM 2), REM TROMOL NO 6 ADJUSTER BERMASALAH,</t>
  </si>
  <si>
    <t>TAMBAH OLI POWER STEARING,
TAMBAH OLI HUB,
STEL REM GENERAL,
AC BERMASALAH,
LOCK PINTU KIRI BERMASALAH</t>
  </si>
  <si>
    <t>C361</t>
  </si>
  <si>
    <t>PATAH KONEKTOR ANGIN;
STEL REM GENERAL;</t>
  </si>
  <si>
    <t>LEPAS BAUT SHOCKBREKER (JALAN BETON)</t>
  </si>
  <si>
    <t>BOCOR BAN NO 9 (KM 2)</t>
  </si>
  <si>
    <t xml:space="preserve">TUAS PERSENELAN BERMASALAH;
LAMPU BELAKANG KIRI KANAN MATI;
</t>
  </si>
  <si>
    <t>ANRI/MACET DI PABRIK, ANTRI/MACET DI PENCUCIAN</t>
  </si>
  <si>
    <t>LAMPU SEN MATI SEMUA;
LAMPU UTAMA KIRI MATI
BAUT RODA TROMOL NO 5 DAN 6 BERMASALAH</t>
  </si>
  <si>
    <t>GANTI KAMPAS NO. 6;
TABUNG ANGIN KIRI BAWAH BOCOR;</t>
  </si>
  <si>
    <t>PATAH BAUT RODA TROMOL NO. 5;
LAMPU SEN MATI TOTAL;</t>
  </si>
  <si>
    <t>DRIVER IZIN, BOCOR BAN NO. 4 (KM 17)</t>
  </si>
  <si>
    <t>BOCOR BAN BAN NO. 11 (JEMBATAN KUNING)</t>
  </si>
  <si>
    <t>PATAH BAUT RODA TROMOL NO. 7 ;
SERVICE HM</t>
  </si>
  <si>
    <t xml:space="preserve">PATAH BAUT RODA TROMOL NO. 8;
</t>
  </si>
  <si>
    <t>PATAH BAUT RODA TROMOL NO. 6 RUSAK</t>
  </si>
  <si>
    <t>LAS T AILGATE MANUAL KIRI KANAN;
PERBAIKAN TAILGATE OTOAMTIS;
CABUT LAPE - LAPE KIRI TENGAH</t>
  </si>
  <si>
    <t>TIDAK BISA STATER;
AKI BERMASALAH</t>
  </si>
  <si>
    <t>HUJAN JALAN LICIN, ANTRI DI LOADING POINT</t>
  </si>
  <si>
    <t>LONGGAR BAUT RODA (BLOK 8)</t>
  </si>
  <si>
    <t>RAPIHKAN SPRING F2 KIRI</t>
  </si>
  <si>
    <t>BOCOR BAN NO, 4 (JEMBATAN KUNING)</t>
  </si>
  <si>
    <t>SERICE HM;
PATAH CENTER BOLT DEPAN TENGAH;
GANTI KARET STOPER DEPAN BELAKANG;
CEK KARET TORQUE ROD ATAS;
DIFLOK BERMASALAH</t>
  </si>
  <si>
    <t>BOCOR BAN NO. 9 10 (GUNUNG MENAGIS), GANTI BAN NO. 9,10 11,12</t>
  </si>
  <si>
    <t>MELEDAK BAN NO. 6</t>
  </si>
  <si>
    <t>[107221659] ANDI B.</t>
  </si>
  <si>
    <t>PATAH PER NO. 2 POS 1</t>
  </si>
  <si>
    <t>BOCOR BAN NO 6 (BPR KM 8)</t>
  </si>
  <si>
    <t>LAMPU BELAKANG KIRI RUSAK;
GANTI KARET STOPER DEPAN BELAKANG;
STEL REM GENERAL;
TAMBAH OLI RETARDER;
BERSIHKAN SARINGAN UDARA;</t>
  </si>
  <si>
    <t>CEK TAILGATE MANUAL, CEK SPAKBOARD (YANG DILAS SEBELUMNYA)</t>
  </si>
  <si>
    <t>GANTI BAN NO. 7</t>
  </si>
  <si>
    <t>PERBAIKAN TAILGATE MANUAL (KIRI)</t>
  </si>
  <si>
    <t>[407230005] JAMALUDDIN TALAMOA</t>
  </si>
  <si>
    <t>ADJUSTER TROMOL NO 5 DAN 7 BERMASALAH,
HAND BRAKE BERMASALAH,
KEPALA AKI BERMASALAH (LONGGAR),
CEK AIR ACCU,
LEAF SPRING KIRI BERMASALAH</t>
  </si>
  <si>
    <t>GANTI BAN NO. 9,10, GANTI KAMPAS REM TROMOL NO 5,6,7,8
LAMPU UTAMA KANAN BERMASALAH,
KLAKSON BERMASALAH,
TAMBAH AIR RADIATOR,
GANGGANG PINTU KANAN BERMASALAH,</t>
  </si>
  <si>
    <t>REM TIDAK MENAHAN;
TEKOR ANGIN SAAT INJAK REM (ANGIN KECIL)
AC BERMASALAH;
STEL REM GENERAL;</t>
  </si>
  <si>
    <t>TAILGATE MANUAL BERMASALAH (KM 5), OLI HUB KELUAR NO, 1;
STEL REM GENERAL</t>
  </si>
  <si>
    <t>PATAH CENTER PEN BELAKANG KIRI, BOCOR BAN NO. 1;
PECAH VLEG NO. 1</t>
  </si>
  <si>
    <t>ANTRI MACET DI TIMBANGAN, ANTRI MACET DI PABRIK</t>
  </si>
  <si>
    <t>PATAH CENTER BOLT BELAKANG KIRI;
CEK CHASIS</t>
  </si>
  <si>
    <t>PUTUS SELANG ANGIN (KM 10), PATAH BAUT RODA TROMOL NO 7,
LAMPU SEIN MATI SEMUA</t>
  </si>
  <si>
    <t>LOADING POINT CUMA 1, HUJAN JALAN LICIN</t>
  </si>
  <si>
    <t>KAMPAS NO. 4.7 ;
CEK TORQUE ROD ATAS BAWAH;
DUDUKAN SPRING BELAKANG KIRI;
SPAKBOARD KANAN DEPAN</t>
  </si>
  <si>
    <t>BAN TERGESEK DI SPRING TROMOL NO 5, BONGKAR PASANG BAN NO 5 DAN  6 (SIMPANG 3 NAKULA)</t>
  </si>
  <si>
    <t>PATAH BAUT RODA TROMOL NO 6,
GANTI KARET STOPPER (TIPIS BAGIAN BELAKANG)</t>
  </si>
  <si>
    <t>GANTI BAN NO. 11,12</t>
  </si>
  <si>
    <t>BOCOR BAN NO 7 (TIMBANGAN BLOK 5)</t>
  </si>
  <si>
    <t>GANTI KAMPAS NO. 7.8, ISI FREON</t>
  </si>
  <si>
    <t>REM BERMASALAH NO. 7,.8;
DIFLOK TIDAK BERFUNGSI;
STEL REM GENERAL;
LAMPU SEN KANAN BELAKANG MATI;
REPAIR MUFFLER</t>
  </si>
  <si>
    <t xml:space="preserve">PATAH BAUT U BOLT KANAN DEPAN;
PATAH STRING STABLIZER KANAN;
REM TIDAK MENAHAN;
PATAH SPRING NO. 9 KANAN TENGAH;
TAMBAH OLI HUB;
</t>
  </si>
  <si>
    <t>PATAH BAUT RODA TROMOL NO. 7 ; SERVICE HM, U BOLT DEPAN KIRI PATAH</t>
  </si>
  <si>
    <t>PATAH PER NO. 1 BELAKANG KIRI;
KARET STOPER 4 PCS;
CEK KAMPAS REM GENERAL</t>
  </si>
  <si>
    <t>DRIVER SAKIT (DIGANTI DRIVER SPARE)</t>
  </si>
  <si>
    <t xml:space="preserve">KLAKSON MATI;
CEK KAMPAS NO. 2;
CEK CENTER BOLT
</t>
  </si>
  <si>
    <t>PECAH VELG NO 6 (ARJUNA)</t>
  </si>
  <si>
    <t>TRANSMISI BERMASALAH SAAT MENDAKI TIBA-TIBA NETRAL ((PENCUCIAN KM 2)</t>
  </si>
  <si>
    <t>BOCOR BAN NO. 6 (GUNUGN BOTAK)</t>
  </si>
  <si>
    <t>BOCOR BAN NO 7, TAMBAH AIR RADIATOR;\
TAMBAH OLI RETARDER;
RAPIKAN SEFTY KLATER</t>
  </si>
  <si>
    <t>TAMBAH OLI RETARDER
TRANSMISI KERAS
CEK KAMPAS GENERAL</t>
  </si>
  <si>
    <t>HUJAN JALAN LICIN, ANTRI/MACET DITIMBANGAN</t>
  </si>
  <si>
    <t>BOCOR BAN NO, 6 (KBM E)</t>
  </si>
  <si>
    <t>PATAH BAUT RODA TROMOL NO 7
LAMPU BELAKANG KANAN MATI
LAMPU SEIN KIRI DEEPAN MATI</t>
  </si>
  <si>
    <t>C 352</t>
  </si>
  <si>
    <t>INTARDER BERMASALAH (HILANG-HILANG),
REPIAR MUFFLER</t>
  </si>
  <si>
    <t>DRIVER ASLI SAKIT DIGANTI DRIVER SPARE, PATAH SPRING NO 10 F1 LH, CEK HOSE HYDRAULIK</t>
  </si>
  <si>
    <t>[211211542] AIDIL L. SARANANI</t>
  </si>
  <si>
    <t>DRIVER IZIN (HABIS PULANG CUTI, MELAPOR KE KANTOR DULU, KEMUDIAN HAULING)</t>
  </si>
  <si>
    <t>GANTI KAMPAS REM TROMOL NO 5,6,7,8
LAMPU UTAMA KANAN BERMASALAH,
KLAKSON BERMASALAH,
TAMBAH AIR RADIATOR,
GANGGANG PINTU KANAN BERMASALAH,, BOCOR BAN NO. 10</t>
  </si>
  <si>
    <t>BOCOR BAN NO 12 (DEPAN LINE 19), CEK KEBOCORAN RADIATOR,
STEL REM GENERAL</t>
  </si>
  <si>
    <t>ISTIRAHAT SHOLAT JUMAT, SAMPLE TIMBANGAN TUTUP JAM 11:00 BUKA JAM 13:00)</t>
  </si>
  <si>
    <t>STEL REM GENERAL
CEK CENTER BEARING</t>
  </si>
  <si>
    <t>ISI FREON</t>
  </si>
  <si>
    <t xml:space="preserve">ADJUST BRAKE ALL,
</t>
  </si>
  <si>
    <t>BOCOR BAN NO 4 (BLOK 5)</t>
  </si>
  <si>
    <t>TRANSMISI BERMASALAH (REST AREA ARJUNA)</t>
  </si>
  <si>
    <t>GANTI BAN NO 5&amp;6, PATAH BAUT RODA TROMOL NO 5
CEK KARET TOQRUEROD GENERAL
ANGIN MASIH SERING TEKOR</t>
  </si>
  <si>
    <t>BOCOR BAN NO 7 (DEPAN QUARY NAKULA), PATAH SPRING NO. 1 ,3 F2 KANAN;</t>
  </si>
  <si>
    <t>BAN TERGESEK DI SPRING TROMOL NO 5 (SIMPANG 3 NAKULA),  PECAH BAN NO 4 (JEMBATAN KUNING)</t>
  </si>
  <si>
    <t>BOCOR BAN NO. 3</t>
  </si>
  <si>
    <t>CEK KAMPAS REM GENERAL, GANTI BAN NO 4</t>
  </si>
  <si>
    <t>BOCOR BAN NO 12 (DEPAN LINE 19)</t>
  </si>
  <si>
    <t>PATAH CENTER BOLT BELAKANG KIRI (KERUSAKAN BERULANG);
PATAH BAUT RODA TROMOL NO. 6</t>
  </si>
  <si>
    <t>PERBAIKAN PINTU VESSEL (JATUH), REM BERMASALAH;
CEK KAMPAS REM GENERAL</t>
  </si>
  <si>
    <t>LONGGAR BAUT RODA TROMOL NO. 5.8;
TAMBAH OLI RETARDER;
STEL REM GENERAL</t>
  </si>
  <si>
    <t>PERBAIKAN STABLIZER;
PASANG KARET STOPER ALL;
RAPIKAN KABEL LAMPU BELAKANG;
LAMPU BELAKANG KIRI KANAN MATI;
REPAIR SPAKBOARD DEPAN KANAN;</t>
  </si>
  <si>
    <t>JALAN LICIN, ISTIRAHAT SHOLAT JUMAT, SAMPLE TIMBANGAN TUTUP JAM 11:00 BUKA JAM 13:00)</t>
  </si>
  <si>
    <t>BOCOR BAN NO.12</t>
  </si>
  <si>
    <t>PATAH U BOLT KIRI DEPAN;
PATAH BAUT RODA TROMOL NO. 5,6</t>
  </si>
  <si>
    <t>LONGGAR BAUT CENTER PEN BELAKANG KIRI,
LONGGAR BAUT SEAT SPRING BELAKANG KIRI,
LONGGAR BAUT KARET STOPPER (4 PCS),
REPAIR MUFFLER</t>
  </si>
  <si>
    <t>GANTI BAN NO. 6.7</t>
  </si>
  <si>
    <t>PATAH PER NO. 9 BELAKANG KIRI;
REM NO. 1,3 BERMASALAH;
TAMBAH AIR RADIATOR;
TAMBAH OLI RETARDER;</t>
  </si>
  <si>
    <t>[108201209] PAHARUDDIN DG NGALLE</t>
  </si>
  <si>
    <t>GANTI BAN NO. 11.12, TAMBAH OLI RETARDER;
LAMPU BESAR KIRI KANAN MATI</t>
  </si>
  <si>
    <t>TAMBAH OLI RETARDER;
TAMBAH OLI HYDROLIK;
CEK KAMPAS REM GENERAL</t>
  </si>
  <si>
    <t>LONGGAR BAUT TORQUEROD KANAN BAWAH (KBM E)</t>
  </si>
  <si>
    <t>BOCOR BAN NO. 5 (KM 7)</t>
  </si>
  <si>
    <t>SERVICE KM;
LONGGAR BAUT CHASIS KANAN;
CEK KAMPAS NO. 1.2;
TAMBAH AIR RADIATOR;
TAMBAH OLI RETARDER</t>
  </si>
  <si>
    <t>PATAH BAU RODA TROMOL NO. 5 (3 PCS)
TAMBAH OLI RETARDER;
CEK KAMPAS REM GENERAL</t>
  </si>
  <si>
    <t>GANTI BAN NO. 9.10, BERSIHKAN AIR CLEANER,
PTO BERMASALAH,
STEL REM GENERAL,
TAMBAH OLI RETARDER</t>
  </si>
  <si>
    <t>MELEDAK BAN NO 9 (KM 3 JL BARU)</t>
  </si>
  <si>
    <t>TROMOL NO. 1.2.3.4 TIDAK BERFUNGSI</t>
  </si>
  <si>
    <t>PATAH TRUNION KANAN</t>
  </si>
  <si>
    <t xml:space="preserve">REM KURAG MENAHAN;
STEL REM GENERAL;
RAPIKAN SPRING F2 RH;
</t>
  </si>
  <si>
    <t xml:space="preserve">PATAH CENTER PEN KANAN BELAKANG;
CEK SPRING F2;
</t>
  </si>
  <si>
    <t>BOCOR OLI SEAL;
PENGIKAT TANGKI HIDRAULIK PUTUS</t>
  </si>
  <si>
    <t>PATAH SPRING NO 5 RODA TROMOL NO 5,
GANTI KAMPAS REM NO 7</t>
  </si>
  <si>
    <t>GANTI BAN NO 8 KENCANGKAN BAUT RODA NO 5,7 DAN 8, PATAH BAUT RODA TROMOL NO 6,
ADJUST REM GENERAL</t>
  </si>
  <si>
    <t>PATAH PER NO. 5 BELAKANG KIRI;
TAMBAH AIR RADIATOR</t>
  </si>
  <si>
    <t>ANTRI MACET DI TIMBANGAN</t>
  </si>
  <si>
    <t>GANTI BALON LAMPU UTAMA KIRI;
KLAKSON BERMASALAH (SEKRING SERING PUTUS);
STEL REM GENERAL;
SENSOR ANGIN BERMASALAH</t>
  </si>
  <si>
    <t>TAMBAH AIR RADIATOR,
STOPLAMP MATI,
CEK OLI HUB</t>
  </si>
  <si>
    <t>LAMPU UTAMA KANAN MATI;
LAS KNALPOT;
RREPAIR MUFFLER</t>
  </si>
  <si>
    <t>PATAH BAUT RODA TROMOL NO 6;
TAMBAH OLI MESIN;
CEK OLI HUB GENERAL</t>
  </si>
  <si>
    <t>BOCOR BAN NO. 9, SPRING DEPAN BERMASALAH,CENNTER BOLT FR1 RH</t>
  </si>
  <si>
    <t>TRANSMISI BERMASALAH (KM 24)</t>
  </si>
  <si>
    <t>PATAH SPRING BELAKANG KANAN NO 2</t>
  </si>
  <si>
    <t xml:space="preserve">SENSOR ANGIN BERMASALAH,
SELANG POWER STEARING BERMASALAH, </t>
  </si>
  <si>
    <t>BRAKET SPRING BELAKANG KIRI</t>
  </si>
  <si>
    <t>GANTI BAN NO 3,4, TAMBAH OLI RETARDER</t>
  </si>
  <si>
    <t xml:space="preserve">PIPA AC BOCOR;
GANTI KAMPAS NO. 7.8;
</t>
  </si>
  <si>
    <t>BOCOR BAN  NO 10</t>
  </si>
  <si>
    <t>HUJAN JALAN LICIN, ANTRI MACET DI TIMBANGAN</t>
  </si>
  <si>
    <t>STEL REM GENERAL,
TAMBAH OLI HUB</t>
  </si>
  <si>
    <t>PATAH SPRING DEPAN F1,
CEK KAMPAS REM GENERAL,
STEL REM GENERAL</t>
  </si>
  <si>
    <t>HUN KANAN DEPAM BELAKANG KELUAR OLI</t>
  </si>
  <si>
    <t>BAUT RODA TROMOL NO 6 (3 PCS)</t>
  </si>
  <si>
    <t>TAMBAH OLI RETARDER; TAMBAH OLI HYDROLIK; CEK KAMPAS REM GENERAL</t>
  </si>
  <si>
    <t>SPAKBOARD KANAN TENGAH BERMASALAH,
LAS SPAKBOARD KIRI DAN KANAN BELAKANG,</t>
  </si>
  <si>
    <t>[105190112] ICCANG</t>
  </si>
  <si>
    <t>INDIKATOR INTARDER KELAP-KELIP (BELAKANG WS HMSI), INDIKATOR INTARDER KELAP-KELIP</t>
  </si>
  <si>
    <t>PATAH U BOLT DEPAN KIRI, PATAH U BOLT DEPAN KIRIPATAH PER  NO. 6 F2 KIRI</t>
  </si>
  <si>
    <t>PATAH CENTER BOLT KIRI DAN KANAN BELAKANG (PATAH)</t>
  </si>
  <si>
    <t>ANTRI MACET DI PABRIK  DAN PENCUCIAN</t>
  </si>
  <si>
    <t>BOCOR BAN NO 6, U BOLT DEPAN KIRI,
PATAH BAUT RODA TROMOL NO 5,
STEL REM GENERAL</t>
  </si>
  <si>
    <t>CENTER BOLT KIRI BELAKANG PATAH,
SEIN KIRI MATI,
BOCOR HOSE ANGIN</t>
  </si>
  <si>
    <t>PATAH U BOLT DEPAN KANAN,
PATAH BAUT RODA NO 8,
CEK OLI HUB 1,2,3, DAN 4</t>
  </si>
  <si>
    <t>PATAH BAUT RODA TROMOL NO 5,
KOPLING KERAS</t>
  </si>
  <si>
    <t>BOCOR BAN NO 1 (JL BARU COR-CORAN)</t>
  </si>
  <si>
    <t>PASANG SAFETY SPRING TOMOL NO 4</t>
  </si>
  <si>
    <t>PATAH CENTER BOLT BELAKANG KIRI (KERUSAKAN BERULANG),
LONGGAR U BOLT DEPAN KIRI,
CEK KEKENDANGAN U BOLT TENGAH KANAN DAN KIRI,
KLAKSON MATI</t>
  </si>
  <si>
    <t>KARET STOPPER R1 R2 LH RH,
GANTI KARET TORQUEROD BAWAH LH RH,
RAPIHKAN SPRING F1 LH RH,
KOPLING KERAS,
LAMPU SEIN RH, 
STOPLAMP RH</t>
  </si>
  <si>
    <t>BOCOR BAN NO. 4 (KBM)</t>
  </si>
  <si>
    <t>ISI FREON, KELUAR OLI DI TROMOL NO 8 (KM 7)</t>
  </si>
  <si>
    <t>PATAH CENTER BOLT KANAN DEPAN,
TAMBAH OLI POWER STEARING,
CEK KEBOCORAN POWER STEARING,
TAMBAH OLI HUB NO 2 DAN 3,
TAMBAH AIR RADIATOR</t>
  </si>
  <si>
    <t>GANTI KAMPAS NO. 8.7</t>
  </si>
  <si>
    <t>BOCOR BAN NO. 6 (REST AREA), SERVICE KM 20.000,
STEL REM GENERAL,
TAMBAH OLI RETARDER</t>
  </si>
  <si>
    <t>PUTUS KEPALA AKI (BLOK 5), TAILGATE MANUAL KANAN DAN KIRI PATAH,
LAS PINTU VESSEL</t>
  </si>
  <si>
    <t>TAMBAH OLI HUB TROMOL NO 3,
CEK KAMPAS REM GENERAL</t>
  </si>
  <si>
    <t>GANTI BAN NO 10</t>
  </si>
  <si>
    <t>BOCOR BAN NO 3 (KM 5, DEKAT JEMBATAN KUNING)</t>
  </si>
  <si>
    <t>[205241932] FAJAR BASRI</t>
  </si>
  <si>
    <t>GANTI SELENOID</t>
  </si>
  <si>
    <t>BOCOR FILTER SOLAR (STOCKPILE KBM E)</t>
  </si>
  <si>
    <t>PERBAIKAN TAILGATE OTOMATIS;
TAMBAH OLI RETARDER</t>
  </si>
  <si>
    <t>BOCOR BAN NO. 5 (TIMBANGAN TENGKORAK)</t>
  </si>
  <si>
    <t>PATAH BAUT RODA TROMOL NO 6,
LAMPU UTAMA KIRI DAN KANAN MATI,
STEL REM GENREAL,
TAMBAH OLI RETARDER</t>
  </si>
  <si>
    <t>TAMBAH OLI RETARDER,
STEL REM GENERAL,
BERSIHKAN AIR CLEANER</t>
  </si>
  <si>
    <t>GANTI BAN NO. 3, LAS SPAKBOARD TENGAH KANAN</t>
  </si>
  <si>
    <t>PERSNELAN KERAS,
TAMBAH OLI RETARDER,
CEK KAMPAS REM GENERAL,
STEL REM GENERAL</t>
  </si>
  <si>
    <t>STEL REM GENERAL,
HOSE CHAMBER BOCOR</t>
  </si>
  <si>
    <t>INDIKATOR INTARDER KELAP-KELIP BERMASALAH</t>
  </si>
  <si>
    <t>PATAH SPRING KANAN BELAKANG NO 2,
PATAH SPRING BELAKANG KIRI NO 5</t>
  </si>
  <si>
    <t>SOLAR TIDAK CUKUP, GREASE PELUMASAN</t>
  </si>
  <si>
    <t>BOCOR BAN NO. 5, BOCOR BAN NO. 10</t>
  </si>
  <si>
    <t>PATAH SPRING NO 1 KIRI BELAKANG,
LONGGAR U BOLT BAN NO 2,
GANTI KAMPAS REM TROMOL NO 2 DAN 5,
GANTI LAMPU UTAMA KIRI</t>
  </si>
  <si>
    <t>[106190914] FALDI HULOPI</t>
  </si>
  <si>
    <t>GANTI VLEG NO. 9 RETAK,  ADJUSTER NO. 7 BERMASALAH</t>
  </si>
  <si>
    <t>PATAH BAUT RODA TROMOL NO. 7;
LONGGAR BAUT RODA TROMOL NO. 7</t>
  </si>
  <si>
    <t>LONGGAR BUAT RODA TROMOL NO 1 (DEPAN WORKSHOP BERMUATAN)</t>
  </si>
  <si>
    <t>PATAH BAUT RODA TROMOL NO. 8;
CEK OLI HUB NO. 1.2.3.4;
KEBOCORAN ANGIN CEK</t>
  </si>
  <si>
    <t>ADJUSTER NO 3 DAN 4,
ADJUSTER NO 7 DAN 8 (RENGGANG),
KABEL DIFFLOCK PUTUS</t>
  </si>
  <si>
    <t>PATAH PER NO. 8 BELAKANG KIRI</t>
  </si>
  <si>
    <t>[201241877] FAIZAL RAMADHAN BAKRI</t>
  </si>
  <si>
    <t>KOPLENG BERMASALAH (UNIT MASUK ULANG KERUSAKAN YANG SAMA)</t>
  </si>
  <si>
    <t>PATAH BAUT RODA TROMOL NO 5, DAN  8,
TAMBAH OLI HUB</t>
  </si>
  <si>
    <t>PATAH U BOLT &amp; BRAKET STABILIZER DEPAN KIRI (SEBELUM PENGISIAN FUEL BLOK 8), LAMPU SEIN KIRI (JATUH),
BRAKET STABILIZER DEPAN KIRI</t>
  </si>
  <si>
    <t>GANTI KAMPAS NO. 5</t>
  </si>
  <si>
    <t>PATAH SPRING BELAKANG KANAN NO.4 ;
SAFETY TANKI LEPAS BUAT;</t>
  </si>
  <si>
    <t>BOCOR BAN NO 9,10</t>
  </si>
  <si>
    <t>GANTI BAN NO. 3.4, TAMBAH OLI RETARDER,
TAMBAH OLI RETARDER,
CEK KAMPAS REM GENERAL,
STEL REM GENERAL,
GANTI TORQUEROD ATAS,
CEK PINN SPRING POS</t>
  </si>
  <si>
    <t>ALARAM MUNDUR MATI;
SPION BUNDAR PECAH;
DINAMO STATER BERMASALAH (SUSAH STATER PAGI);
REOAIR MUFFLER KIRI;
PATAHSPRING NO. 1 KIRI BELAKANG</t>
  </si>
  <si>
    <t>KARET TUAS PERSENELAN LEPAS</t>
  </si>
  <si>
    <t>PECAH VLEG NO. 10</t>
  </si>
  <si>
    <t>GANTI BAN NO, 9,10, CEK KAMPAS REM GENERAL;
STEL REM GENERAL;
LAMPU REM BELAKANG MATI</t>
  </si>
  <si>
    <t>BAUT RODA TROMOL NO 8 HILANG (2 PCS),
LOW POWER,</t>
  </si>
  <si>
    <t>BOCOR BAN NO 3 (STOCKPILE KBM)</t>
  </si>
  <si>
    <t>TAMBAH FREON, TAIKGATE MANUAL KIRI KANAN</t>
  </si>
  <si>
    <t>ANTRI DI LOADING POINT (ALAT CUMA 1), HUJAN JALAN LICIN, GREASE PELUMASAN</t>
  </si>
  <si>
    <t>TAMBAH OLI RETARDER;
CEK KAMPAS REM GENERAL;
STEL REM GENERAL;
BERSIHKAN SARINGAN UDARA</t>
  </si>
  <si>
    <t>ANTRI DI LOADING POINT (ALAT CUMA 1), HUJAN JALAN LICIN</t>
  </si>
  <si>
    <t>PATAH BAUT RODA TROMOL NO 6, STEL REM GENERAL, TAMBAH OLI RETARDER, TAMBAH ARI RADIATOR</t>
  </si>
  <si>
    <t>LEPAS BAUT TORQEUROD KANAN  TROMOL NO 6 (GUNUNG MENANGIS)</t>
  </si>
  <si>
    <t>KACA FILTER SOLAR LEPAS (DEPAN CBB)</t>
  </si>
  <si>
    <t>GANTI BAN NO. 3,4</t>
  </si>
  <si>
    <t>CENTER PEN PATAH KIRI BELAKANG,
ANGIN HABIS SAAT PARKIR,</t>
  </si>
  <si>
    <t>RANTAI TAILGATE OTOMATIS;
PERBAIKAN VESEL</t>
  </si>
  <si>
    <t>BOCOR BAN NO 6 (BELAKANG WORKSHOP HMSI)</t>
  </si>
  <si>
    <t>PATAH BRAKET STABLIZER DEPAN;
PATAH SPRING RODA NO. 2;
RAPIKAN SPRING RODA NO. 3;
PASANG KLIP STRING RODA NO. 3 (KERUSAKAN BERULANG)</t>
  </si>
  <si>
    <t>CEK SEMUA VALVE ANGIN (BAGIAN ATAS BOCOR),
SPLITTER AKTIF TERUS,
CEK KAMPAS REM TROMOL NO 1,2,7 DAN 8</t>
  </si>
  <si>
    <t>PATAH BAUT RODA TROMOL NO. 8; KLAKSON MATI</t>
  </si>
  <si>
    <t>PATAH DUDUKAN SPRING DEPAN KANAN,  RAPIHKAN SPRING F2 KIRI, BOCOR BAN NO 6</t>
  </si>
  <si>
    <t>GANTI KAMPAS REM NO. 7.8, TIDAK BISA STATER (SETIAP PAGI TIDAK BISA STATER)</t>
  </si>
  <si>
    <t>ANTRI/MACET DI PABRIK, JALAN RUSAK</t>
  </si>
  <si>
    <t>CEK CENTER PEN KANAN BELAKANMG, 
KLAKSON TIDAK BERFUNGSI,
GANTI KARET STOPPER</t>
  </si>
  <si>
    <t>PATAH BAUT RODA TROMOL NO. 7;
TAMBAH AIR RADIATOR;
CEK OLI HUB</t>
  </si>
  <si>
    <t>PATAH PER NO. 3 KIRI BELAKANG;
GANTI KARET STOPER KIRI</t>
  </si>
  <si>
    <t>PATAH CENTER BOLT KANAN BELAKANG;
INDIKATOR ANGIN BERMASALAH;
STEL REM GENERAL</t>
  </si>
  <si>
    <t>AKI BERMASALAH,
CENTER PEN KANAN BELAKANG,
DUDUKAN SPRING DEPAN KIRI RETAK,
 CEK KAMPAS REM NO 1 DAN 2</t>
  </si>
  <si>
    <t>INTATDER BERMASALAH</t>
  </si>
  <si>
    <t>KAMPAS REM TROMOL NO 2 DAN 4 (RENGGANG),
GANTI KAMPAS REM TROMOL NO 1 DAN 3</t>
  </si>
  <si>
    <t>GANTI BAN NO. 11.12, PERBAIKAN TAILGATE MANUAL</t>
  </si>
  <si>
    <t>SARINGAN UDARA RUSAK KENA BATU;
CEK ENGINE ( BANYAK BATU)</t>
  </si>
  <si>
    <t>LEPAS BAUT STABLIZER KANAN BELAKANG (KERUSAKANBERULANG)</t>
  </si>
  <si>
    <t>BOCOR BAN NO. 10, PATAH BAUT RODA TROMOL NO. 7</t>
  </si>
  <si>
    <t>BOCOR BAN NO 7, PATAH BAUT RODA TROMOL NO 8</t>
  </si>
  <si>
    <t>BOCOR BAN NO.  4 (KM 18)</t>
  </si>
  <si>
    <t>PECAH VLEG NO. 11 (KM 18), STEL REM GENERAL;TAMBAH OLI RETARDER</t>
  </si>
  <si>
    <t>BOCOR BAN NO 7 DAN 9 (19), GANTI BAN NO 11 DAN 12</t>
  </si>
  <si>
    <t>HABIS ANGIN (GUNUNG BATU)</t>
  </si>
  <si>
    <t>BOCOR BAN NO 3 (LOADING POINT NAKULA)</t>
  </si>
  <si>
    <t>PATAH BAUT RODA TRMO NO 8,
GANTI KAMPAS REM TROMOL NO 5,7, DAN 8,
GANTI KARET STOPPER,
REPAIR MUFFLER</t>
  </si>
  <si>
    <t>[110191100] AKMAL</t>
  </si>
  <si>
    <t>TAMBAH OLI RETARDER;
CEK REM GENERAL;
STEL REM GENERAL;
AIR RADIATOR</t>
  </si>
  <si>
    <t>LEPAS HOSE RADIATOR  (KM 19 SECTION 4)</t>
  </si>
  <si>
    <t>MELEDAK BAN NO 7 (BAWAH GUNUNG MENANGIS)</t>
  </si>
  <si>
    <t>BOCOR HOSE SELANG RADIATOR (KM 2)</t>
  </si>
  <si>
    <t>[201221570] AMAL RAIS</t>
  </si>
  <si>
    <t>TIDAK BISA STATER (SETIAP PAGI TIDAK BISA STATER), REM BERMASALAH</t>
  </si>
  <si>
    <t>PATAH SPRING DEPAN KANAN NO 5,
PERBAIKAN SPAKBOARD DEPAN KIRI DAN KANAN,
REM TROMOL NO 5 DAN 6 (KURANG MENAHAN)</t>
  </si>
  <si>
    <t>BRAKET SPRING JATUH;
BAUT CAMBER BELAKANG;
GANTI KAMPAS NO. 3.4</t>
  </si>
  <si>
    <t>PATAH PER TROMOL NO. 3 ,4; CEK BAUT U BOLT DEPAN ALL, BOCOR BAN NO. 6</t>
  </si>
  <si>
    <t>PECAH VLEG NO. 9</t>
  </si>
  <si>
    <t>PATAH BRAKET STABLIZER DEPAN (KERUSAKAN BERULANG);
STEL REM  GENERAL;</t>
  </si>
  <si>
    <t>BOCOR  BAN NO 8 (DEKAT POS SECURITY PT BAI)</t>
  </si>
  <si>
    <t>PECAH VELG NO 11 (LEWATI PENCUCIAN KM 2), BOCOR BAN NO 12</t>
  </si>
  <si>
    <t>BOCOR BAN NO 4 (WORKSHOP 6 PABRIK)</t>
  </si>
  <si>
    <t>PATAH CENTER BOLT BELAKANG KIRI (KERUSAKAN BERULANG),
CEK TRUNNION</t>
  </si>
  <si>
    <t>REPLACE BRAKE LINING FR</t>
  </si>
  <si>
    <t>PEN PINTU VESSEL BERMASALAH,
RANTAI TAILGATE PUTUS,
BRAKET TABUNG BERMASALAH,
SAFETY TANKI;
KNALPOT BOCOR;
POTONG BAUT LAPE-LAPE</t>
  </si>
  <si>
    <t>ADA KEBOCORAN ANGIN DI TRANSMISI</t>
  </si>
  <si>
    <t>DUDUKAN SEAT SPRING</t>
  </si>
  <si>
    <t>GANTI BAN NO 7 DAN 8, CEK KAMPAS GENERAL; STEL REM GENERAL</t>
  </si>
  <si>
    <t>BOCOR BAN NO 10 (TIMBANGAN BLOK 5)</t>
  </si>
  <si>
    <t>REM NO. 7.8 BERMASALAH;
STEL REM GENERAL</t>
  </si>
  <si>
    <t>BOCOR SELANG HOSE ANGIN DUMP (KM 23 SLABER)</t>
  </si>
  <si>
    <t>GANTI BAN NO 11,12</t>
  </si>
  <si>
    <t>BOCOR BAN NO 7 (LOADING POINT NAKULA)</t>
  </si>
  <si>
    <t>GANTI VLEG NO. 11.12, BOCOR OLI HUB TROMOL NO. 1; KLAKSON MATI; LAMPU UTAMA KANAN MATI</t>
  </si>
  <si>
    <t xml:space="preserve">FOOTSTEP CABIN KANAN BERMASALAH (HAMPIR JATUH),
CEK CENTER BOLT BELAKANG KIRI,
CEK KAMPAS REM GENERAL,
DIFFLOCK BERMASALAH,
CEK KEKENCANGAN U BOLT,
CEK KEKENCANGAN BAUT TORQUEROD </t>
  </si>
  <si>
    <t>PATAH CENTER PEN KIRI BELAKANG;
CEK CENTER BOLT KANAN BELAKANG;
PATAH U BOLT KANAN DEPAN</t>
  </si>
  <si>
    <t>BOCOR BAN NO. 11, PATAH U BOLT DEPAN KIRI</t>
  </si>
  <si>
    <t>LAS VESEL (PENGERJAAN KEMARIN)</t>
  </si>
  <si>
    <t>GANTI KAMPAS NO. 7 ;
GANTI KARET STOPER</t>
  </si>
  <si>
    <t>BOCOR BAN NO. 10, KENCANGKAN RANTAI TAILGATE</t>
  </si>
  <si>
    <t>HUJAN JALAN LICIN, JALAN HANCUR</t>
  </si>
  <si>
    <t>PTO BERMASALAH, PECAH HOSE RETARDER (KM 1)</t>
  </si>
  <si>
    <t>BOCOR BAN NO 4 (LINE 8)</t>
  </si>
  <si>
    <t>PATAH BAUT RODA TROMOL NO. 5, BOCOR BAN NO. 5</t>
  </si>
  <si>
    <t>[112191115] BUSMAN</t>
  </si>
  <si>
    <t>LOADING POINT 1  STANDBY (ALATT CUMA 1) SAAT PAGI, HUJAN JALAN LICIN</t>
  </si>
  <si>
    <t>PUTUS TORQUEROD BAWAH KANAN (DEPAN CBB)</t>
  </si>
  <si>
    <t>PATAH CENTER BOLT TENGAH KANAN</t>
  </si>
  <si>
    <t xml:space="preserve">ADJUSTER TROMOL NO 5,7 DAN 8 TIDAK BERFUNGSI,
KONETOR ANGIN PATAH,
SPOORING BAN,
ADJUST STEARING, </t>
  </si>
  <si>
    <t>PATAH CENTER PEN BELAKANG KIRI,
CEK ADJUSTER NO 1 DAN 2,
ADJUST REM GENERAL</t>
  </si>
  <si>
    <t>RAPIHKAN SPRING KANAN DEPAN,
STEL REM GENERAL</t>
  </si>
  <si>
    <t>GANTI VELEK NO 12</t>
  </si>
  <si>
    <t>BOCOR BAN NO 9 DAN 10, DOL BAUT RODA TROMOL NO 7</t>
  </si>
  <si>
    <t xml:space="preserve">BOCOR BAN NO 10, PATAH SPRING BELAKANG KIRI NO 7, STABILIZER DEPAN (BRAKET LEPAS SEBELAH KANAN),
</t>
  </si>
  <si>
    <t>SERVICE HM 6000,
PATAH SPRING NO 6 DI TROMOL NO 3,
PATAH SPRING NO 3 KANAN BELAKANG,
KLASON MATI,
CEK ADJUSTER REM TROMOL NO 8</t>
  </si>
  <si>
    <t>REM TIDAK BERFUNGSI TROMOL NO. 2.7.8;
PATAH SPRING NO. 14 KANAN BELAKANG</t>
  </si>
  <si>
    <t>KEPALA AKI BERMASALAH (TIDAK BISA STATER)</t>
  </si>
  <si>
    <t xml:space="preserve">PATAH KONEKTOR ANGIN TENGAH ATAS GARDAN (KM 17)
</t>
  </si>
  <si>
    <t>GANTI RUMAH LAMPU KANAN DEPAN,BOCOR BAN NO. 7,8</t>
  </si>
  <si>
    <t xml:space="preserve">	PEN PINTU VESSEL BERMASALAH,
RANTAI TAILGATE PUTUS,
BRAKET TABUNG BERMASALAH,
SAFETY TANKI;
KNALPOT BOCOR;
POTONG BAUT LAPE-LAPELOADING POINT CUMA 1, JALAN (RUSAK)</t>
  </si>
  <si>
    <t>LOADING POINT CUMA 1, JALAN (RUSAK)</t>
  </si>
  <si>
    <t>CENTER BOLT KIRI BELAKANG PATAH (KERUSAKAN BERULANG),
CEK TRUNNION KIRI DAN KANAN,
TAMBAH OLI HUB TROMOL NO 4,
STEL REM GENERAL</t>
  </si>
  <si>
    <t>PATAH SPRING KIRI NO 1 DAN 7</t>
  </si>
  <si>
    <t>BOCOR BAN NO 10 (TIMBANGAN BLOK 5), GANTI BAN NO 10, LONGGAR BAUT RODA TROMOL NO 10</t>
  </si>
  <si>
    <t>BOCOR BAN NO 7 (LOADING POINT), BOCOR TANKI (NAKULA)</t>
  </si>
  <si>
    <t>PATAH BAUT RODA TROMOL NO 6, BOCOR BAN NO. 11</t>
  </si>
  <si>
    <t>PATAH CENTER PEN BELAKANG KIRI DAN KANAN (KERUSAKAN BERULANG),
U BOLT F2 LONGGAR,
CEK TRUNNION</t>
  </si>
  <si>
    <t xml:space="preserve">PATAH BAUT RODA TROMOL NO 7, 
AC BERMASALAH,
GANTI KARET STOPPER R1 R2,
PATAH BRAKET SPRING R1 KIRI DEPAN,
TAMBAH OLI HUB R2 KIRI DAN KANAN
</t>
  </si>
  <si>
    <t>TIDAK BISA STARTER (TIMBANGAN BLOK 5), GANTI BAN NO 10, LONGGAR BAUT RODA TROMOL NO 10</t>
  </si>
  <si>
    <t>GANTI KAMPAS REM NO 4,7, DAN 8,
CEK OLI HUB NO 1-4</t>
  </si>
  <si>
    <t>BOCOR BAN NO 6 (NAKULA)</t>
  </si>
  <si>
    <t>JALAN BERMASALAH (RUSAK)</t>
  </si>
  <si>
    <t>GANTI BAN NO.3,4, TAILGATE MANUAL BERMASALAH</t>
  </si>
  <si>
    <t>UNIT PENGGANTI DT 505</t>
  </si>
  <si>
    <t xml:space="preserve">TAILGATE MANUAL PATAH,
LAS SPAKBOARD,
</t>
  </si>
  <si>
    <t>PATAH BAUT RODA TROMOL NO 8,
STEL REM GENERAL,
TAMBAH OLI RETARDER,
CEK TORQUEROD,
BOCOR BAN NO 6 (SIMPANG MASUK KBM)</t>
  </si>
  <si>
    <t>LONGGAR BAUT RODA TROMOL NO. 4 (LINE 13), EXHAUST BRAKE BERMASALAH,
STEL REM GENERAL</t>
  </si>
  <si>
    <t>NAIK TEMPERATURNYA (LINE 1)POWER STEARING BERMASALAH,
KENCANGKAN RANTAI TAILGATE,
STOPLAMP KIRI BERMASALAH</t>
  </si>
  <si>
    <t>GANTI BAN NO 4,UNIT PENGGANTI DT 521</t>
  </si>
  <si>
    <t>[204190812] WENI PASAMBAKA</t>
  </si>
  <si>
    <t>TAMBAH OLI RETARDER,
STEL REM GENERAL,
TAMBAH BAUT SAFETY RADIATOR BAWAH</t>
  </si>
  <si>
    <t>GANTI LAMPU SEIN DEPAN KIRI,
TAMBAH OLI RETARDER,
STEL REM GENERAL</t>
  </si>
  <si>
    <t>PATAH BAUT RODA TROMOL NO 7,
SPRING DEPAN KANAN NO 8 PATAH</t>
  </si>
  <si>
    <t>BOCOR BAN NO 11,12</t>
  </si>
  <si>
    <t>PERBAIKAN TAILGATE</t>
  </si>
  <si>
    <t>INDIKATOR BRAKE PREASSURE MENYALA,</t>
  </si>
  <si>
    <t xml:space="preserve">CEK KAMPAS REM GENERAL;
GANTI KARET STOPER BELAKANG ALL;
</t>
  </si>
  <si>
    <t xml:space="preserve">GANTI KAMPAS REM TROMOL NO 2 DAN 2,
REPAIR SPAKBOARD DEPAN KIRI DAN KANAN,
CEK SPRING KANAN (UNIT MIRING KE KANAN),
</t>
  </si>
  <si>
    <t>SELANG ANGIN DEKAT TABUNG BAGIAN KANAN (BOCOR),
GANTI KAMPAS REM NO 7 DAN 8</t>
  </si>
  <si>
    <t>[209231839] IHSAN</t>
  </si>
  <si>
    <t>DRIIVER ASLI SAKIT (DIGANTI DRIVER SPARE)</t>
  </si>
  <si>
    <t>BOCOR BAN NO. 7, GNTI BAN NO. 9,10</t>
  </si>
  <si>
    <t>GANTI BAN NO 5,6</t>
  </si>
  <si>
    <t>TAMBAH OLI HYDRAULIK</t>
  </si>
  <si>
    <t>PATAH BAUT SEAT SPRING TROMOL NO. 6.7.8;
GANTI KARET STOPER</t>
  </si>
  <si>
    <t>CEK ADJYSTER;
STEL REM GENERAL</t>
  </si>
  <si>
    <t>DOL BAU RODA TROMOL NO. 7</t>
  </si>
  <si>
    <t>REM TROMOL NO 4 DAN 7 BERMASALAH,
HUB NO 3 BOCOR,
INDIKATOR INTARDER MATI HIDUP</t>
  </si>
  <si>
    <t>TIEROD DEPAN LEPAS (KM 16)</t>
  </si>
  <si>
    <t>[108180517] HERRY SUTRISNO</t>
  </si>
  <si>
    <t>GANTI BAN NO. 1.2, LAS TAILGATE MANUAL</t>
  </si>
  <si>
    <t>PATAH BAUT RODA TROMOL NO. 7;
SEN BERMASALAH;
LAMPU DEPAN BERMASALAH (INDIKATOR LAMPU NYALA),
PATAH BAUT RODA TROMOL NO 6</t>
  </si>
  <si>
    <t>LONGGAR BAUT RODA (REST AREA BLOK 5)</t>
  </si>
  <si>
    <t>PATAH BAUT U BOLT DEPAN KANAN</t>
  </si>
  <si>
    <t>GANTI BAN NO. 5,6,7,8</t>
  </si>
  <si>
    <t>TAMBAH OLI RETARDER,
CEK KAMPAS REM GENERAL,
STEL REM GENERAL,
DINAMO WIPER BERMASALAH,
GANTI NIPPLE TROMOL NO 5,6,7, DAN 8</t>
  </si>
  <si>
    <t>BAUT TORQUEROD LEPAS BAGIAN BAWAH KANAN (NAKULA)</t>
  </si>
  <si>
    <t>MELEDAK SWITCH KLAKSON,
CEK TALI FANBELT</t>
  </si>
  <si>
    <t>G  533</t>
  </si>
  <si>
    <t>RETARDER BERMASALAH,
DIFFLOCK BERMASALAH</t>
  </si>
  <si>
    <t>LONGGAR U BOLT KIRI DEPAN;
SERVICE HM';
STEL REM GENERAL;
TAMBAH OLI HUB</t>
  </si>
  <si>
    <t>SENSOR ANGIN PUTUS</t>
  </si>
  <si>
    <t>PATAH MUFFLER BAGIAN KANAN, CEK OLI POWER STEARING, CEK KAMPAS REM TROMOL NO 7 DAN 8</t>
  </si>
  <si>
    <t>GANTI KAMPAS REM TROMOL NO 2 DAN 2, REPAIR SPAKBOARD DEPAN KIRI DAN KANAN, CEK SPRING KANAN (UNIT MIRING KE KANAN),</t>
  </si>
  <si>
    <t>CENTER PEN KIRI BELAKANG BERMASALAH (KERUSAKAN BERULANG),
CEK TRUNNION KIRI DAN KANAN</t>
  </si>
  <si>
    <t>TAMBAH OLI RETARDER,
PATAH BAUT RODA TROMOL NO 6,
CEK KAMPAS REM GENERAL</t>
  </si>
  <si>
    <t xml:space="preserve">GANTI KAMPAS NO. 6;
PATAH BAUT RODA TROMOL NO. 8;
</t>
  </si>
  <si>
    <t>LAS TAILGATE OTOMATIS, BOCOR BAN NO. 9</t>
  </si>
  <si>
    <t>PATAH SEAT SPRING BELAKANG KIRI DAN KANN,
LONGGAR BAUT RODA TROMOL NO 6</t>
  </si>
  <si>
    <t>BOCOR BAN NO 1 (BOCOR HALUS),
BOCOR BAN NO 9,
BAN NO 3 KURANG ANGIN</t>
  </si>
  <si>
    <t xml:space="preserve">STEL REM GENERAL,
ADJUST BRAKE ALL,
SAFETY KAMPAS REM NO 5,
SAFETY TABUNG ANGIN KANAN (LEPAS),
LAMPU PARKIR KIRI  KANAN MATI,
</t>
  </si>
  <si>
    <t>PERBAIKAN VESEL;
GANTUNGAN TUTUP VESEL;
PERBAIKAN TAILGATE MANUAL</t>
  </si>
  <si>
    <t>GANTI BAN NO.5,6</t>
  </si>
  <si>
    <t>TRANSMISI BERMASALAH ULANG (ARJUNA)</t>
  </si>
  <si>
    <t>TRANSMISI BERMASALAH (KM 28)</t>
  </si>
  <si>
    <t>PECAH VELG NO 11 (KM 25)</t>
  </si>
  <si>
    <t>SELANG RADIATOR PECAH (PIT BLOK 8), PATAH SPRING NO 6 POSH 1,
OLI SEAL POSH 7 BOCOR</t>
  </si>
  <si>
    <t>PATAH CENTER PEN BELAKANG KANAN,
CEK KAMPAS REM ALL,
STEL REM GENERAL,
PERBAIKAN SPAKBOARD DEPAN KIRI DAN KANAN,
LEPAS BUAT STAND KNALPOT SEBELAH KIRI,
BAUT RODA TROMOL NO 7 (DOL)</t>
  </si>
  <si>
    <t>GANTI BAN NO 4, DAN 8</t>
  </si>
  <si>
    <t>BOCOR BAN NO. 5.6, LONGGAR BAUT TORQUE ROD BAWAH KIRI KANAN</t>
  </si>
  <si>
    <t>ANTRI/MACET DI PENCUCIAN</t>
  </si>
  <si>
    <t>GANTI KARET STOPER BELAKANG ALL;
GANTI KAMPAS NO. 7.8</t>
  </si>
  <si>
    <t>PATAH PER NO.4 BELAKANG KIRI;
CEK TORQUE ROD ATAS;
SEMPROT SARINGAN UDARA</t>
  </si>
  <si>
    <t>PERBAIKAN TAILGATE MANUA;
LAS STAND LAMPU STOP KIRI KANAN</t>
  </si>
  <si>
    <t>PATAH SPRING NO. 8 POS 4;</t>
  </si>
  <si>
    <t>PERBAIKAN LAMPU STOP, BOCOR BAN NO. 7,8</t>
  </si>
  <si>
    <t>LOW POWER;
BERSIHKAN FILTER UDARA;
HOS RETARDER PECAH</t>
  </si>
  <si>
    <t>PATAH BAUT RODA POSH NO 6,
GANTI TORQUEROD BAWAH KIRI BAGIAN DEPAN,
TAMBAH OLI RETARDER</t>
  </si>
  <si>
    <t>BOCOR BAN NO. 12 (KBM E)</t>
  </si>
  <si>
    <t>TAMBAH OLI RETARDER, ANTRI MACET DI PABRIK</t>
  </si>
  <si>
    <t>TAMBAH OLI RETARDER, GREASE PELUMASAN, ANTRI MACET DI PABRIK</t>
  </si>
  <si>
    <t>DRIVER IZIN</t>
  </si>
  <si>
    <t>CENTER PEN BELAKANG KIRI PATAH, KAMPAS REM NO 5,6, DAN 8, ADJUST BRAKE ALL</t>
  </si>
  <si>
    <t>PATAH BAUT RODA TROMOL NO 5, BOCOR BAN NO 5</t>
  </si>
  <si>
    <t xml:space="preserve">PATAH SPRING NO 5 F1 LH,
RAPIHKAN SPRING F2 LH,
</t>
  </si>
  <si>
    <t>STEL REM GENERAL;
GANTI KAMPAS NO. 8;
LAMPU SEN KIRI BELAKANG MATI;
OLI HUB KIRI DEPAN MEREMBES</t>
  </si>
  <si>
    <t>UNIT DI LOADING (JAM 10 ALAT PC 300 BERMASALAH)</t>
  </si>
  <si>
    <t>BOCOR BAN NO 12 (KM 2, SETELAH PENCUCICAN)</t>
  </si>
  <si>
    <t>PATAH BAUT RODA TROMOL NO 7,
PERBAIKAN SPAKBOARD BAGIAN DEPAN KIRI DAN KANAN,
LEPAS BAUT SHOCKBREAKER DEPAN KIRI,
LONGGAR U BOLT DEPAN KANAN,
CEK KEKENCANGAN U BOLT ALL,
LAMPU UTAMA KANAN MATI,
STOPLAMP MATI KIRI DAN KANAN,
KLAKSON MATI,
STEL REM GENERAL</t>
  </si>
  <si>
    <t>PATAH SPRING NO 3 F1 KANAN,
PATAH SPRING NO 5 F1 KIRI,
PATAH CENTERBOLT KANAN BELAKANG,
GANTI KAMPAS REM NO 3,
CEK OLI HUB NO 1 BERMASALAH,
CEK BEARING HUB NO 1</t>
  </si>
  <si>
    <t>PATAH BAUT RODA TROMOL NO 7,
STEL REM GENERAL,
SAFETY TABUNG MAU  LEPAS,
BERSIHKAN SARINGAN UDARA,
CEK REM GENERAL</t>
  </si>
  <si>
    <t>STEL REM GENERAL,
TAMBAH AIR RADIATOR,
STOPLAMP KANAN BERMASALAH,
SEIN BELAKANG KANAN BERMASALAH</t>
  </si>
  <si>
    <t>TUTUP TANKI FUEL BERMASALAH,
LAMPU UTAMA KIRI DEPAN BERMASALAH</t>
  </si>
  <si>
    <t>TAILGATE OTOMATIS LONGGAR;
LAS VESEL</t>
  </si>
  <si>
    <t>CENTER BOLT DEPAN KIRI PATAH,
CENTER  BOLT BELAKANG KIRI PATAH (KM 5)</t>
  </si>
  <si>
    <t>PATAH CENTER PEN KIRI BELAKANG (KERUSAKAN BERULANG),
RAPIHKAN SPRING F2 (KERUSAKAN BERULANG)</t>
  </si>
  <si>
    <t>BOCOR BAN NO. 7,8, LAMPU UTAMA KANAN DEPAN MATI;
TAMBAH AIR RADIATOR;
DOL BAUT TROMOL NO. 6 A(6 PCS);
BRAKET UPSOBER KIRI DEPAN</t>
  </si>
  <si>
    <t>PATAH CENTER BOLT BELAKANG KANAN (KERUSAKAN BERULANG)</t>
  </si>
  <si>
    <t>PATAH SPRING BELAKANG NO 2 KIRI
CEK KAMPAS REM GENERAL,
GANTI KARET STOPPER</t>
  </si>
  <si>
    <t>BOCOR BAN NO. 4, KOPLING BERMASALAH</t>
  </si>
  <si>
    <t>SERVICE HM 35.000, STEL REM GENERAL</t>
  </si>
  <si>
    <t>PATAH BAUT RODA TROMOL NO. 6, GANTI BAN NO 8 DAN 7</t>
  </si>
  <si>
    <t>GANTI BAN NO. 1.2.6</t>
  </si>
  <si>
    <t>PATAH BAUT RODA TROMOL NO 4 (BELAKANG WS HMSI KM 3)</t>
  </si>
  <si>
    <t>BOCOR BAN NO 8 (PIT BLOK 8)</t>
  </si>
  <si>
    <t>PATAH BAUT RODA TROMOL NO. 5;
TAMBAH OLI RETARDER;
BERSIHKAN SARINGAN UDARA</t>
  </si>
  <si>
    <t>BOCOR BAN NO 10,, PATAH SPRING DEPAN KIRI NO 2, KARET STOPPER KANAN TENGAH DEPAN</t>
  </si>
  <si>
    <t>PATAH SPRING NO 8 BELAKANG KANAN,
STOPPER BELAKANG</t>
  </si>
  <si>
    <t>BOCOR HOSE RETARDER STOCKPILE (KBM E)</t>
  </si>
  <si>
    <t>ANTRI/MACET DI PABRIK,HUJAN  JALAN LICIN</t>
  </si>
  <si>
    <t>TAMBAH OLI RETARDER, BAUT RODA TROMOL NO 3 (TIDAK ADA), BAUT RODA TROMOL NO 5 (LONGGAR BAUT RODA DAN DOL), EXHAUST BRAKE BERMASALAH</t>
  </si>
  <si>
    <t>SERVICE KM 15.000</t>
  </si>
  <si>
    <t>PECAH TRUNION KANAN (KM 17)</t>
  </si>
  <si>
    <t>INTARDER  BERMASALAH,
BAR FUEL ERROR</t>
  </si>
  <si>
    <t>PATAH BAUT RODA TROMOL NO. 5
PATAH PER DEPAN KANAN NO. 3, 4
RAPIHKAN PER DEPAN KIRI
VALEP KOPLING BOCOR</t>
  </si>
  <si>
    <t>PATAH SPRING NO 12 TROMOL NO 3</t>
  </si>
  <si>
    <t>STEL REM GENERAL;
CEK KAMPAS REM TROMOL NO. 7;
CEK OLI HUB ALL;
AIR RADIATOR HABIS</t>
  </si>
  <si>
    <t>PATAH CENTER PEN KIRI BELAKANG;
CEK CENTER PEN KANAN BELAKANG;
LAMPU REM KIRI KANAN MATI;
ADD OLI KOPLENG;
LAMPU DEPAN REDUP;
TEKOR ANGIN;
RAPIKAN SPAKBAORD DEPAN KIRI</t>
  </si>
  <si>
    <t>DOL BAUT RODA TROMOL NO 5, PIECAH BAN NO. 6 (KM 13)</t>
  </si>
  <si>
    <t xml:space="preserve">BRAKET STABLIZER PECAH;
STEL REM GENERAL;
</t>
  </si>
  <si>
    <t>BOCOR BAN NO 10, PASANG LAMPU STOP BELAKANG,RUMAH LAMPU STOP BELAKANG KIRI</t>
  </si>
  <si>
    <t>LONGGAR U BOLT DEPAN KIRI;
BAUT BRAKET L1 L2 LEPAS ;
ADD OLI HUB NO. 1;
TAMBAH AIR RADIATOR</t>
  </si>
  <si>
    <t xml:space="preserve">LAMPU BELAKANG KIRI (JATUH),
</t>
  </si>
  <si>
    <t>LONGGAR U BOLT DEPAN KANAN; PATAH PER NO. 4,5 TROMOL NO. 4; PATAH BAUT RODA TROMOL NO. 5; ADJUSTER TROMOL NO. 8 TIDAK BERFUNGSI; CEK OLI HUB</t>
  </si>
  <si>
    <t xml:space="preserve">STEL REM GENERAL,
CEK ADJUSTER ALL,
SEIN KIRI BELAKANG MATI,
LAMPU PARKIR MATI,
</t>
  </si>
  <si>
    <t>GANTI KAMPAS REM TROMOL NO 8,
STOPLAMP KIRI BELAKANG,
SEIN KANAN BELAKANG,
TAMBAH OLI HUB</t>
  </si>
  <si>
    <t>BOCOR BAN NO. 9 (KM 23)</t>
  </si>
  <si>
    <t>PATAH CENTER BOLT KANAN BELAKANG;
REM NO, 4,8 TIDAK BERFUNGSI;
STEL ADJUSTER GENERAL;
CEK OLI HUB GENERAL</t>
  </si>
  <si>
    <t>CENTER BOLT DEPAN KIRI PATAH, CENTER BOLT BELAKANG KIRI PATAH (KM 5)</t>
  </si>
  <si>
    <t>UNIT TINGGAL DIJALAN</t>
  </si>
  <si>
    <t>UNIT HABIS SOLAR DIJALAN</t>
  </si>
  <si>
    <t>GANTI KARET TORQEUROD BELAKANG BAWAH KANAN,
TAMBAH OLI RETARDER,
STEL REM GENERAL,
TAMBAH AIR RADIATOR,
CEK KAMPAS REM GENERAL</t>
  </si>
  <si>
    <t>JALAN RUSAK KM 2, ANTRI/MACET DI PABRIK (PENCUCIAN)</t>
  </si>
  <si>
    <t>GANTI BAN NO 1,3, DAN 4</t>
  </si>
  <si>
    <t>STEL REM GENERAL,
TAMBAH OLI RETARDER</t>
  </si>
  <si>
    <t>PATAH PER BELAKANG KIRI NO. 10;
CEK KAMPAS REM GENERAL</t>
  </si>
  <si>
    <t>PATAH BAUT RODA TROMOL NO 5 (PABRIK DEKAT PENGISIAN FUEL IMIP)</t>
  </si>
  <si>
    <t>PATAH BAUT RODA TROMOL NO 9</t>
  </si>
  <si>
    <t>ANTRI MACET DI PENCUCIAN, JALAN LICIN</t>
  </si>
  <si>
    <t>UNIT PENGGANTI 523</t>
  </si>
  <si>
    <t>ANTRI MACET DI PENCUCIAN, JALAN LICIN, PECAH VELG NO 11 (KBM LAMA)</t>
  </si>
  <si>
    <t>LOW POWER;
TAMBAH OLI RETARDER;
CEK KAMPAS REM GENERAL</t>
  </si>
  <si>
    <t>PATAH BAUT RODA TROMOL NO 7,
TAMBAH OLI RETARDER,
NIPPLE BERMASALAH,
STEL REM GENERAL</t>
  </si>
  <si>
    <t>ANTRI MACET DI PENCUCIAN, JALAN LICIN, GREASE PELUMASAN</t>
  </si>
  <si>
    <t xml:space="preserve">PATAH BAUT RODA TROMOL NO. 7;
CEK KAMPAS REM DAN TROMOL GENERAL (REM KURANG MENAHAN);
LAMPU SEN KIRI KANAN BELAKANG MATI;
LONGGAR U BOLT DEPAN KANAN </t>
  </si>
  <si>
    <t>PIECAH BAN NO. 6 (KM 13), PATAH PER NO. 1 KIRI BELAKANG ;
STEL REM GENERAL</t>
  </si>
  <si>
    <t>GANTI BAN NO. 9,12, BOCOR BAN NO. 9 (KM 2)</t>
  </si>
  <si>
    <t>PATAH CENTER PEN BELAKANG KIRI,
PATAH U BOLT BELAKANG KIRI</t>
  </si>
  <si>
    <t>BOCOR BAN NO 8 (KM 21 MES MEY MEY), GANTI KEPALA ACCU, KLAKSON MATI</t>
  </si>
  <si>
    <t>PATAH SPRING NO. 2.3.6 KIRI BELAKANG</t>
  </si>
  <si>
    <t>GANTI KAMPAS REM NO 7 DAN 8</t>
  </si>
  <si>
    <t>PATAH CENTER BOLT KANAN BELAKANG,
CEK TRUNNION KIRI, LAMPU BELAKANG KIRI (JATUH),</t>
  </si>
  <si>
    <t>PATAH DUDUKAN SPRING KANAN,
CEK KAMPAS REM NO 6</t>
  </si>
  <si>
    <t>TAMBAH OLI HUB,
STEL REM GENERAL</t>
  </si>
  <si>
    <t>SUSPENSI KABIN DEPAN KIRI LEPAS;
RAPIKAN SPRING NO. 4</t>
  </si>
  <si>
    <t>DOL BAUT RODA TORMOL NOL. 7 KAMPAS NO 8, BOCOR BAN NO. 9</t>
  </si>
  <si>
    <t>GANTI KARET STOPPER BELAKANG, CENTER BOLT KANAN BELAKANG,BOCOR BAN NO 9 DAN 10,
GANTI BAN NO 4</t>
  </si>
  <si>
    <t>PATAH BAUT RODA 5 PCS (BLOK 8 NAKULA)</t>
  </si>
  <si>
    <t>LAMPU UTAMA KIRI DEPAN,
PATAH SPRING NO 3 F2 RH,
CENTER BOLT RH LH,
CEK CENTER BEARING,
CEK JOIN PROPELLER PANJANG BELAKANG,
NIPPLE TIEROD F2, BOCOR BAN NO. 12</t>
  </si>
  <si>
    <t>BOCOR BAN NO 8 DAN 12 (BLOK 8 NAKULA)</t>
  </si>
  <si>
    <t xml:space="preserve">GANTI KAMPAS REM NO 7 DAN 8. (TROMOL NO 7 BERMALAH),
</t>
  </si>
  <si>
    <t>PATAH SPRING NO. 1 KANAN BELAKANG;
TAMBAH OLI HUB F2 KIRI DEPAN;
BRAKET ABOSBER KIRI DEPAN BERMASALAH, BOCOR BAN NO 8</t>
  </si>
  <si>
    <t>PINTU VESSEL MAU LEPAS,</t>
  </si>
  <si>
    <t>BOCOR BAN NO. 4 (TIMANGAN TENGKORAK), 'PATAH SPRING NO 6 DEPAN KIRI</t>
  </si>
  <si>
    <t>TAMBAH OLI RETARDER;
CEK BUSING SPRING POS 3;</t>
  </si>
  <si>
    <t>SEIN MATI SEMUA (KERUSAKAN BERULANG),
CEK SEKRING/CEK KELISTRIKAN,
KLAKSON MATI, BOCOR BAN NO 7</t>
  </si>
  <si>
    <t>PATAH BAUT RODA TROMOL NO 6,
CEK KAMPAS REM GENERAL,
TAMBAH OLI HUB</t>
  </si>
  <si>
    <t>JALAN RUSAK DI BLOK 8 (ARJUNA, GUNUNG BATU, PERTIGAAN MASUK NAKULA)</t>
  </si>
  <si>
    <t>PATAH SUSPENSI CABIN KIRI (REST AREA BLOK 5), BOCOR BAN NO 7 (REST AREA BLOK 5)</t>
  </si>
  <si>
    <t>PATAH BAUT RODA TROMOL NO. 8;
GANTI KARET STOPER BELAKANG KANAN KIRI</t>
  </si>
  <si>
    <t>BOCOR BAN NO 7,
GANTI BAN NO 11</t>
  </si>
  <si>
    <t>KOPLING BERMASALAH,
U BOLT BELAKANG LONGGAR KIRI;
SERVCIE HM</t>
  </si>
  <si>
    <t>BLIDING FUEL PUMPING PUMP (DIJALAN)</t>
  </si>
  <si>
    <t>PECAH VLEG NO. 6 (GUNUNG MENNGIS, TORQUE ROD BERMASALAH)</t>
  </si>
  <si>
    <t>PUTUS BAUT RODA TROMOL NO 5,
TAMBAH OLI RETARDER,
DOUBLE BERAT BERMASALAH</t>
  </si>
  <si>
    <t>BOCOR BAN NO 8 (KBM)</t>
  </si>
  <si>
    <t>BOCOR BAN NO 5 (SAMPLE TENGKORAK KM 5)</t>
  </si>
  <si>
    <t>GANTI BAN NO. 4.7.8,LAS SAFETY AKI</t>
  </si>
  <si>
    <t>BOCOR BAN NO. 10 (09:56 MASUK-11:37 KELUAR KEMBALI)</t>
  </si>
  <si>
    <t>SPAKBOARD PATAH ALL,GANTI BAN NO. 1.2</t>
  </si>
  <si>
    <t>PATAH CENTER PEN KANAN BELAKANG,
ADJUST REM GENERAL,
LAMPU UTAMA KIRI (REDUP)</t>
  </si>
  <si>
    <t>PATAH BAUT RODA TROMOL NO. 7;
CEK KAMPAS REM DAN TROMOL GENERAL (REM KURANG MENAHAN);
LAMPU SEN KIRI KANAN BELAKANG MATI;
LONGGAR U BOLT DEPAN KANAN , BOCOR BAN NO. 7</t>
  </si>
  <si>
    <t>BOCOR SEAL HUB TROMOL NO 5</t>
  </si>
  <si>
    <t>RETARDER BERMASALAH (KERUSAKAB BERULANG)</t>
  </si>
  <si>
    <t>PATAH PER NO. 2.3,12 KIRI BELAKANG;
STEL REM GENERAL</t>
  </si>
  <si>
    <t>STEL REM GENERAL;
CEK ADJUSTER</t>
  </si>
  <si>
    <t>BOCOR BAN NO 12,
CEK BAN NO 1 DAN 2</t>
  </si>
  <si>
    <t xml:space="preserve">PATAH PER NO. 4 KANAN DEPAN;
GANTI KARET STOPER </t>
  </si>
  <si>
    <t>PATAH BAUT RODA TROMOL NO. 6;
STEL REM GENERAL</t>
  </si>
  <si>
    <t>REM TROMOL NO 5,6, DAN 7 (BERMASALAH, KERUSAKAN BERULANG),
PATAH BAUT RODA TROMOL NO 6</t>
  </si>
  <si>
    <t>ANTRI/MACET DI PABRIK (DRIVER BERMASALAH DIPABRIK, DRIVER DIPANGGIL KE BDM)</t>
  </si>
  <si>
    <t>STEL REM GENERAL;
RAPIKAN SPRING F3 NO. 3,4</t>
  </si>
  <si>
    <t>GANTI AKI, LAMPU INDIKATOR DEFERENTIAL LOCK MATI;LAMPU HASRAT MATI</t>
  </si>
  <si>
    <t>REM TIDAK MENAHAN NO. 1.2</t>
  </si>
  <si>
    <t>KOPLING (HILANG-HILANG)</t>
  </si>
  <si>
    <t>PATAH CENTER BOLT KANAN BELAKANG (REST AREA BLOK 5)</t>
  </si>
  <si>
    <t>LAMPU SEN MATI ALL;
DOL BAUT RODA TROMOL NO. 8</t>
  </si>
  <si>
    <t>DRIVER ASLI SAKIT DIGANTI DRIVER SPARE (UNIT MASUK 12:58 DAN KELUAR ULANG JAM 14:04)</t>
  </si>
  <si>
    <t>BOCOR BAN NO 7,
GANTI BAN NO 10</t>
  </si>
  <si>
    <t>PATAH CENTER BOLT,
U BOLT TROMOL NO 4 (ARJUNA)</t>
  </si>
  <si>
    <t>SEIN MATI SEMUA, CEK KELISTRIKAN, BOOCR BAN NO 7</t>
  </si>
  <si>
    <t xml:space="preserve"> 	PATAH BAUT RODA  5 PCS (BLOK 8 NAKULA)GANTI BAUT RODA TROMOL NO. 5;
LAMPU BELAKANG KIRI JATUH;
STEL REM GENERAL</t>
  </si>
  <si>
    <t>STAND KARET STOPPER,
EXHAUST BRAKE BOCOR,
STEL REM GENERAL,
TAMBAH OLI RETARDER</t>
  </si>
  <si>
    <t>OILI MEREMBESER DI PULLY;
HOS RADIATOR LONGGAR</t>
  </si>
  <si>
    <t xml:space="preserve">PATAH CENTER PEN KIRI BELAKANG (KERUSAKN BERULANG)
PATAH BAUT TROMOL NO 5,
REM NO 5 DAN 7 TIDAK MENAHAN,
TAMBAH OLI HUB,
</t>
  </si>
  <si>
    <t>BOCOR BAN NO. 10 *(PENDAKIAN PERTAMA PIT)</t>
  </si>
  <si>
    <t>TAMBAH OLI HUB NO. 3;
MATI LAMPU REM KIRI BELAKANG;
DO BAUT RODA TROMOL NO. 8</t>
  </si>
  <si>
    <t>DOL BAUT RODA TROMOL NO. 7 (4 PCS)</t>
  </si>
  <si>
    <t>BAUT TROMOL NO 7 PATAH,
DINAMO CABIN BERMASALAH,
CEK TORQUEROD BELAKANG KIRI,
REM BERMASALAH</t>
  </si>
  <si>
    <t>PATAH SPRING BELAKANG KIRI DAN KANAN NO 9,
GANTI KAMPAS REM NO 2,
STOPLAMP KIRI DAN KANAN MATI,;
PATAH BAUT RODA TROMOL NO. 5</t>
  </si>
  <si>
    <t xml:space="preserve">BOCOR SELANG HOS RADIATOR;
TAMBAH OLI RETARDER;
</t>
  </si>
  <si>
    <t xml:space="preserve">CEK BAUT TORQROAD;
TAMBAH OLI RETARDER;
PASANG NEPEL;
BERSIHKAN SARINGAN UDARA ATAS BAWAH;
</t>
  </si>
  <si>
    <t>GANTI U BOLT KIRI BELAKANG;
CEK BAUT RODA BELAKANG KIRI POS 7;
LAMPU STOP KIRI JATUH</t>
  </si>
  <si>
    <t>TEMPERATUR HAIK (KM 16)</t>
  </si>
  <si>
    <t>BOCOR HOSE OLI HYDROLIK;
CEK CENTER PEN BELAKANG LH;
CEK OLI HUB GENERAL,  PERBAIKAN JALAN RUSAK DI KM 2</t>
  </si>
  <si>
    <t>REM TROMOL NO 5,6, DAN 7 (BERMASALAH, KERUSAKAN BERULANG),  PERBAIKAN JALAN RUSAK DI KM 2</t>
  </si>
  <si>
    <t>CEK TIE TOD;
CEK STRING;
GANTI KARET STOPPER BELAKANG, PERBAIKAN JALAN RUSAK DI KM 2</t>
  </si>
  <si>
    <t>BOCOR SEAL HUB TROMOL NO 5, BOCOR BAN NO. 11,12, PERBAIKAN JALAN RUSAK DI KM 2</t>
  </si>
  <si>
    <t>OLI HUB MEREMBES TROMOL NO. 1, PERBAIKAN JALAN RUSAK DI KM 2</t>
  </si>
  <si>
    <t>TANKI FUEL BOCOR, PERBAIKAN JALAN RUSAK DI KM 2</t>
  </si>
  <si>
    <t>ANTRI/MACET DI PABRIK, PERBAIKAN JALAN RUSAK DI KM 2</t>
  </si>
  <si>
    <t>LAMPU STOP MATI,
SEIN DEPAN MATI,
CEK OLI POWER STEARONG,
CEK OLI HUB,
CEK KAMPAS REM,
BERSIHKAN AIR WIPER (TERSUMBAT)</t>
  </si>
  <si>
    <t>GANTI KAMPAS REM NO 6 DAN 8 ,
PATAH BAUT SEAT SPRING F1 KANAN,</t>
  </si>
  <si>
    <t>SPRING NO 12 RR LH PATAH,  REPAIR MUFLER;
LAMPU STOP BELAKANG JATUH;
STEL REM GENERAL , ANTRI/MACET DI PABRIK, PERBAIKAN JALAN RUSAK DI KM 2</t>
  </si>
  <si>
    <t>BOCOR BAN NO 10, ANTRI/MACET DI PABRIK, PERBAIKAN JALAN RUSAK DI KM 2</t>
  </si>
  <si>
    <t>LAS SPAKBOARD KIRI DEPAN,
PERBAIKAN BANCIAN, LOADING POINT CUMA 1</t>
  </si>
  <si>
    <t>UNIT  BD DIJALAN</t>
  </si>
  <si>
    <t>TRANSMISI BERMASALAH, ANTRI/MACET KM 2</t>
  </si>
  <si>
    <t>BOCOR BAN NO. 6 (KM 7), PATAH BAUT RODA TROMOL NO. 5;
KONEKTOR ANGIN BERMASALAH, ANTRI/MACET KM 2</t>
  </si>
  <si>
    <t>PATAH SPRING NO. 8 POS 5, BOCOR BAN NO. 5,6, ANTRI/MACET KM 2</t>
  </si>
  <si>
    <t>REPAIR SEAT SPRING BELAKANG KANAN;
PATAH CENTER BOLT KANAN BELAKANG, ANTRI/MACET KM 2</t>
  </si>
  <si>
    <t>PATAH CENTER PEN BELAKANG;
PATAH PER NO. 4 BELAKANG KANAN;
CEK TRUNION;
CEK ADJUSTER GENERAL;
PASANG KARET STOPER</t>
  </si>
  <si>
    <t>ANTRI/MACET DI PABRIK &amp; PENCUCIAN,, ANTRI/MACET KM 2,  GREASE PELUMASAN, ANTRI/MACET KM 2</t>
  </si>
  <si>
    <t>AC BERMASALAH (TIDAK AKTIF),
KOPLING SERING KERAS,AC BERMASALAH (TIDAK AKTIF),
KOPLING SERING KERAS,</t>
  </si>
  <si>
    <t>LAMPU RETING MATI (TROUBLESHOT),
STEL REM GENERAL,
CKE OLI HUB,
SUSPENSI CABIN BERMASALAH, ANTRI/MACET KM 2</t>
  </si>
  <si>
    <t>PATAH CENTER PEN BELAKANG KIRI, ANTRI/MACET KM 2</t>
  </si>
  <si>
    <t>BOCOR BAN NO 4,  ANTRI/MACET KM 2</t>
  </si>
  <si>
    <t>BOCOR BAN NO. 11,  ANTRI/MACET KM 2</t>
  </si>
  <si>
    <t>GANTI KARET STOPPER DEPAN KIRI DAN KANAN,
GANTI KARET STOPPER TENGAH KIRI DAN KANAN,
GANTI KARET STOPPER BELAKANG KIRI,
TAMBAH AIR RADIATOR,
TAMBAH OLI RETARDER,
STEL REM GENERAL</t>
  </si>
  <si>
    <t>EXHAUT BRAKE BERMASALAH (KERUSAKAN BERULANG),  ANTRI/MACET KM 2</t>
  </si>
  <si>
    <t>ANTRI/MACET DI PABRIK &amp; PENCUCIAN, ANTRI/MACET KM 2</t>
  </si>
  <si>
    <t>TARGET,  ANTRI/MACET KM 2</t>
  </si>
  <si>
    <t>GANTI BAN NO. 5.6, PATAH PER NO. 2,4,5,6 KIRI DEPAN;
PATAH PER NO. 3 KANAN DEPAN, ANTRI/MACET KM 2</t>
  </si>
  <si>
    <t>LAS SPAKBOARD DEPAN KIRI, UNIT PEGGANTI DT 502, ANTRI/MACET KM 2</t>
  </si>
  <si>
    <t>TEMPERATUR HAIK (KM 16), ANTRI/MACET KM 2</t>
  </si>
  <si>
    <t>BOCOR BAN NO. 1 (KM 4), GANTI BAN NO 1,2 DAN 12, ANTRI/MACET KM 2</t>
  </si>
  <si>
    <t>UNIT PENGGANTI DT 500, ANTRI/MACET KM 2</t>
  </si>
  <si>
    <t>GANTI STOPER SPRING; TAMBAH OLI RETARDER, ANTRI/MACET KM 2</t>
  </si>
  <si>
    <t>BOCOR BAN NO, 9, SERVICE KM, ANTRI/MACET KM 2</t>
  </si>
  <si>
    <t>BOCOR BAN NO. 1.2, ANTRI/MACET KM 2</t>
  </si>
  <si>
    <t>TARGET, ANTRI/MACET KM 2</t>
  </si>
  <si>
    <t>TARGET,ANTRI/MACET KM 2</t>
  </si>
  <si>
    <t>TARGET, LAMPU UTAMA KIRI KANAN MATI;
LAMPU BELAKANG KIRI KANAN MATI;
KARET STOPER GANTI DEPAN, ANTRI/MACET KM 2</t>
  </si>
  <si>
    <t>TARGET, GANTI BAN NO 3 DAN 4, ANTRI/MACET KM 2</t>
  </si>
  <si>
    <t>OLI MEREMBES DI TRANSMISI;
RAPIKAN SPRIINF TENGAH KIRIANTRI/MACET KM 2, ISTIRAHAT SHOLAT JUMAT, SAMPLE TIMBANGAN TUTUP JAM 11:00 BUKA JAM 13:00)</t>
  </si>
  <si>
    <t>,TAMBAH OLI HYDROLIK,  PATAH PER NO. 4 TROMOL NO. 4;ANTRI/MACET KM 2, ISTIRAHAT SHOLAT JUMAT, SAMPLE TIMBANGAN TUTUP JAM 11:00 BUKA JAM 13:00)</t>
  </si>
  <si>
    <t>CEK ADJUSTER GENERAL; REM BERMASALAH; RETARDER BERMASALAH (KERUSAKAN BERULANG); RAPIKAN PER BELAKANG KIRI</t>
  </si>
  <si>
    <t>PATAH BAUT RODA TROMOL NO. 6;
MEREMBES OLI TROMOL NO.1 (KERUSAKAN KEMARIN)</t>
  </si>
  <si>
    <t>BOCOR BAN NO 6 (BELAKANG POS HMSI), PATAH BAUT RODA TROMOL NO. 5, ANTRI/MACET KM 2, ISTIRAHAT SHOLAT JUMAT, SAMPLE TIMBANGAN TUTUP JAM 11:00 BUKA JAM 13:00)</t>
  </si>
  <si>
    <t>PATAH PER NO. 1 KIRI BELAKANG;ANTRI/MACET KM 2, ISTIRAHAT SHOLAT JUMAT, SAMPLE TIMBANGAN TUTUP JAM 11:00 BUKA JAM 13:00)</t>
  </si>
  <si>
    <t>PATAH PER NO. 4 TROMOL NO. 3; ADD OLI HUB; LAMPU REM MATI; LAMPU STOP BELAKANG</t>
  </si>
  <si>
    <t>GANTI LAMPU SEN KANAN BELAKANG ; PATAH BAUT RODA TROMOL NO. 6, BOCOR BAN NO. 7,8, ANTRI/MACET KM 2, ISTIRAHAT SHOLAT JUMAT, SAMPLE TIMBANGAN TUTUP JAM 11:00 BUKA JAM 13:00)</t>
  </si>
  <si>
    <t>PATAH BAUT RODA TROMOL NO. 5;
STRING BERMASALAH (KERUSAKAN KEMARIN TIDAK DI KERJA)</t>
  </si>
  <si>
    <t>PATAH SPRING KIRI NO. 10 KANAN NO. 7 DEPAN F1; GANTI KAMPAS NO. 1, ANTRI/MACET KM 2, ISTIRAHAT SHOLAT JUMAT, SAMPLE TIMBANGAN TUTUP JAM 11:00 BUKA JAM 13:00)</t>
  </si>
  <si>
    <t>BOCOR BAN NO. 12, SENSOR TABUNG ANGIN KIRI BERMASALAH; REM BERMASALAH</t>
  </si>
  <si>
    <t>GANTI BAN NO. 3.4, ANTRI/MACET KM 2, ISTIRAHAT SHOLAT JUMAT, SAMPLE TIMBANGAN TUTUP JAM 11:00 BUKA JAM 13:00)</t>
  </si>
  <si>
    <t>TAMBAH OLI HYDROLIK, ANTRI/MACET KM 2, ISTIRAHAT SHOLAT JUMAT, SAMPLE TIMBANGAN TUTUP JAM 11:00 BUKA JAM 13:00)</t>
  </si>
  <si>
    <t>ANTRI/MACET KM 2, ISTIRAHAT SHOLAT JUMAT, SAMPLE TIMBANGAN TUTUP JAM 11:00 BUKA JAM 13:00)</t>
  </si>
  <si>
    <t>BOCOR BAN NO. 12, ANTRI/MACET KM 2, ISTIRAHAT SHOLAT JUMAT, SAMPLE TIMBANGAN TUTUP JAM 11:00 BUKA JAM 13:00)</t>
  </si>
  <si>
    <t>PATAH U BOLT BELAKANG KIRI, ANTRI/MACET KM 2, ISTIRAHAT SHOLAT JUMAT, SAMPLE TIMBANGAN TUTUP JAM 11:00 BUKA JAM 13:00)</t>
  </si>
  <si>
    <t>BOCOR BAN NO 10, ANTRI/MACET KM 2, ISTIRAHAT SHOLAT JUMAT, SAMPLE TIMBANGAN TUTUP JAM 11:00 BUKA JAM 13:00)</t>
  </si>
  <si>
    <t>BOCOR BAN NO. 3.4 (SIMPANG KBM),ANTRI/MACET KM 2, ISTIRAHAT SHOLAT JUMAT, SAMPLE TIMBANGAN TUTUP JAM 11:00 BUKA JAM 13:00)</t>
  </si>
  <si>
    <t>BOCOR BAN NO 3 (KM 32), ANTRI/MACET KM 2, ISTIRAHAT SHOLAT JUMAT</t>
  </si>
  <si>
    <t>BOCOR BAN, ANTRI/MACET KM 2, ISTIRAHAT SHOLAT JUMAT, SAMPLE TIMBANGAN TUTUP JAM 11:00 BUKA JAM 13:00)</t>
  </si>
  <si>
    <t>GANTI KARET TORQUE ROD ATAS BAWAH BELAKANG; TEKOR ANGIN (KALAU PAGI); STEL REM GENERAL, ANTRI/MACET KM 2, ISTIRAHAT SHOLAT JUMAT</t>
  </si>
  <si>
    <t>KAMPAS REM TROMOL NO 2 DAN 7 BERMASALAH (HABIS),
PERBAIKAN TAILGATE OTOMATIS, POTONG TAILGATE OTOMATIS, LAS TEMPAT SAFETY CONE, ANTRI/MACET KM 2, ISTIRAHAT SHOLAT JUMAT</t>
  </si>
  <si>
    <t>BOCOR BAN NO. 7, RETARDER BERMASALAH (HILANG HILANG), ANTRI/MACET KM 2, ISTIRAHAT SHOLAT JUMAT</t>
  </si>
  <si>
    <t>BOCOR BAN NO. 3 (LOADING POINT NAKULA), ANTRI/MACET KM 2, ISTIRAHAT SHOLAT JUMAT</t>
  </si>
  <si>
    <t>GANTI BAN NO. 9, ANTRI/MACET KM 2, ISTIRAHAT SHOLAT JUMAT</t>
  </si>
  <si>
    <t>GANTI KAMPAS NO. 4; BOCOR SIL HUB TROMOL NO. 4; STOPER BUAMPER BELAKANG; PATAH SPRING NO. 8 BELAKANG KANAN; LAMPU STOP BELAKANG MATI, ANTRI/MACET KM 2, ISTIRAHAT SHOLAT JUMAT</t>
  </si>
  <si>
    <t>CEK KAMPAS  GENERAL;KAMPAS NO. 7.8 RETAK; ADD OLI HUB, PECAH VLEG NO. 9, ANTRI/MACET KM 2, ISTIRAHAT SHOLAT JUMAT</t>
  </si>
  <si>
    <t>BOCOR BAN NO. 6.7.8, ANTRI/MACET KM 2, ISTIRAHAT SHOLAT JUMAT</t>
  </si>
  <si>
    <t>PATAH BAUT RODA TROMOL NO. 7 DAN 8, ANTRI/MACET KM 2, ISTIRAHAT SHOLAT JUMAT</t>
  </si>
  <si>
    <t>CEK REM GENERAL;TAMBAH OLI RETARDER, ANTRI/MACET KM 2, ISTIRAHAT SHOLAT JUMAT</t>
  </si>
  <si>
    <t>PATAH CENTER PEN BELAKANG KANAN; CEK CENTER PEN DEPAN KANAN; SAFETY KARTER KANDAS, ANTRI/MACET KM 2, ISTIRAHAT SHOLAT JUMAT, SAMPLE TIMBANGAN TUTUP JAM 11:00 BUKA JAM 13:00)</t>
  </si>
  <si>
    <t>PATAH SPRING BELAAKNG KANAN NO. 6.10; PASANG NEPEL, ANTRI/MACET KM 2, ISTIRAHAT SHOLAT JUMAT, SAMPLE TIMBANGAN TUTUP JAM 11:00 BUKA JAM 13:00)</t>
  </si>
  <si>
    <t>UNIT PENGGANTI,DT 525,  ANTRI/MACET KM 2, ISTIRAHAT SHOLAT JUMAT, SAMPLE TIMBANGAN TUTUP JAM 11:00 BUKA JAM 13:00)</t>
  </si>
  <si>
    <t>DOBLE BERAT BERMASALAH; CEK OLI RETARDER; STEL REM GENERAL; BERSIHKAN SARINGAN UDARA, ANTRI/MACET KM 2, ISTIRAHAT SHOLAT JUMAT, SAMPLE TIMBANGAN TUTUP JAM 11:00 BUKA JAM 13:00)</t>
  </si>
  <si>
    <t>BOCOR BAN NO 12, PASANG PLAT PEMECAH BATU, ANTRI/MACET KM 2, ISTIRAHAT SHOLAT JUMAT, SAMPLE TIMBANGAN TUTUP JAM 11:00 BUKA JAM 13:00)</t>
  </si>
  <si>
    <t>BOCOR BAN NO. 8 (TIMBANGAN BUKIT), ANTRI/MACET KM 2, ISTIRAHAT SHOLAT JUMAT, SAMPLE TIMBANGAN TUTUP JAM 11:00 BUKA JAM 13:00)</t>
  </si>
  <si>
    <t>SERVICE KM , ANTRI/MACET KM 2, ISTIRAHAT SHOLAT JUMAT, SAMPLE TIMBANGAN TUTUP JAM 11:00 BUKA JAM 13:00)</t>
  </si>
  <si>
    <t>LAMPU SEN KANAN BERMASALAH, TAMBAH OLI RETARDER, ANTRI/MACET KM 2, ISTIRAHAT SHOLAT JUMAT, SAMPLE TIMBANGAN TUTUP JAM 11:00 BUKA JAM 13:00)</t>
  </si>
  <si>
    <t>PATAH BAUT RODA TROMOL NO 6, GANTI STOPLAMP KIRI DAN KANAN, ANTRI/MACET KM 2, ISTIRAHAT SHOLAT JUMAT)</t>
  </si>
  <si>
    <t>BOCOR SELANG ANGIN TABUNG (KM 5), ANTRI/MACET KM 2, ISTIRAHAT SHOLAT JUMAT,</t>
  </si>
  <si>
    <t>GANTI BAN NO. 8.11.12, LAMPU SEN MATI ALL (KERUSAKAN BERULANG)</t>
  </si>
  <si>
    <t>ANTRI/MACET DI ABRIK, ANTRI MACET DI KM 2</t>
  </si>
  <si>
    <t>PATAH SPRING NO 1 F2 RH, CEK CENTER PEN BELAKANG LH</t>
  </si>
  <si>
    <t>GANTI MUFFLER</t>
  </si>
  <si>
    <t>GANTI BAN N0. 7,8, LAMPU BELAKANG REM MATI; ADJUST REM GENERAL</t>
  </si>
  <si>
    <t>PATAH SPRING NO 11 BELAKANG KIRI,</t>
  </si>
  <si>
    <t>PATAH U BOLT DEPAN KANAN, GANTI SHOCK APSOBER</t>
  </si>
  <si>
    <t>CHAMBER F2 RH BOCOR, LONG TIEROD F2 RH LEPAS, BAUT RODA F2 RH LH, SPRING F2 RH NO 3 PATAH, CEK BUSHING TORQUEROD, CEK PROPELLER, CEK MOUNTING, GANTI KARET STOPPER</t>
  </si>
  <si>
    <t>LAS SPAKBOARD DEPAN KANAN;  TAILGATE MANUAL PATAH; LAS VESEL</t>
  </si>
  <si>
    <t>AC BERMASALAH, PENGIKAT TANKI HYDRAULIK LONGGAR, TAMBAH OLI HUB, INDIKATOR ANGIN BERMASALAH</t>
  </si>
  <si>
    <t>WIPER BERMASALAH; LAMPU STOP MATI; ADD OLI HUB ALL;</t>
  </si>
  <si>
    <t>FOOTSEP KANAN BERMASALAH (KERUSAKAN BERULANG), CEK CENTER BOLT KANAN (PATAH), DIFFLOCK BERMASALAH</t>
  </si>
  <si>
    <t>BOCOR BAN NO. 7 (BLOK 5)</t>
  </si>
  <si>
    <t>CEK KAMPAS GENERAL; STEL REM GENERAL; OLI HUB; GANTI BALON LAMPU UTAMA KANAN MATI</t>
  </si>
  <si>
    <t>BOCOR BAN NO. 9, SERVICE HM 3500, PATAH BAUT RODA TROMOL NO 5, PATAH SPRING DEPAN KANAN NO 5</t>
  </si>
  <si>
    <t>LAMPU DEPAN KIRI MATI; LAMPU PARKIE BELAKANG MATI; KOPLENG KERAS</t>
  </si>
  <si>
    <t>BOCOR BAN NO. 4</t>
  </si>
  <si>
    <t>BOCOR POWER STEARING, TAMBAH OLI RETARDER, WIPER BERMASALAH (AIR TIDAK KELUAR),</t>
  </si>
  <si>
    <t>STEL REM GENERAL; TAMBAH OLI RETADER</t>
  </si>
  <si>
    <t>TAMBAH OLI RETARDER, CEK KAMPAS REM GENERAL, STEL REM GENERAL, DOUBLE RINGAH TIDAK AKTIF</t>
  </si>
  <si>
    <t>SERVICE KM 5.000, STEL REM GENERAL,  BERSIHKAN SARINGAN UDARA</t>
  </si>
  <si>
    <t>DOL BAUT RODA TROMOL NO 3, TAMBAH OLI POWER STEARING, KLAKSON BERMASALAH, TARGET</t>
  </si>
  <si>
    <t>ANTRI/MACET DI ABRIK, ANTRI MACET DI KM 2, TARGET</t>
  </si>
  <si>
    <t>KECANGKAN BAUT TORQUE ROD BAWAH KIRI (KM 4) KERUSAKAN BERULANG; INDIKATOR ENGINE BERMASALAH, KUNCI BAUT TORQUE ROD BAWAH KIRI</t>
  </si>
  <si>
    <t>BOCOR BAN NO. 11,  BOCOR BAN NO. 12 (KM 10)</t>
  </si>
  <si>
    <t>, PATAH SPRING NO 6 DAN 7 BELAKANG KANAN, NIPPLE ADJUSTER, RME POSH 1 DAN 2 BERMASALAH,  TARGET</t>
  </si>
  <si>
    <t>BOCOR BAN NO. 8, TARGET</t>
  </si>
  <si>
    <t>GANTI BAN NO. 5,6, LAS CHASIS VESEL; KUPU-KUPU VESEL, ANTRI/MACET DI PABRIK, MAINTENANCE JALAN DI KM 2</t>
  </si>
  <si>
    <t>TAILGATE MANUAL KIRI BERMASALAH, SPAKBOARD TENGAH KIRI DAN KANAN GOYANG (PATAH), LAS PINTU VESSEL ATAS,TENGAH, BAWAH</t>
  </si>
  <si>
    <t>,BOCOR BAN NO. 5, PATAH BAUT RODA TROMOL NO. 6, ANTRI/MACET DI PABRIK, MAINTENANCE JALAN DI KM 2</t>
  </si>
  <si>
    <t>GANTI VLEG NO 5,STRING BERMASALAH; KABIN NOIS</t>
  </si>
  <si>
    <t>PATAH CENTER PEN F2 KANAN; LAMPU BELAKANG MATI, ANTRI/MACET DI PABRIK, MAINTENANCE JALAN DI KM 2</t>
  </si>
  <si>
    <t>LONGGAR BAUT RODA, ANTRI/MACET DI PABRIK, MAINTENANCE JALAN DI KM 2</t>
  </si>
  <si>
    <t>ADJUST BRAKE GENERAL, ANTRI/MACET DI PABRIK, MAINTENANCE JALAN DI KM 2</t>
  </si>
  <si>
    <t>SOLAR TIDAK CUKUP, ANTRI/MACET DI PABRIK, MAINTENANCE JALAN DI KM 2</t>
  </si>
  <si>
    <t>STEL REM GENERAL' CEK KAMPAS NO. 1.2.3.4 (LARI KIRI)</t>
  </si>
  <si>
    <t>PATAH SPRING BELAKANG KANAN NO. 4.5; LONGGAR BAUT U BOLT DEPAN F1; RAPIKAN PSRING F2;, ANTRI/MACET DI PABRIK, MAINTENANCE JALAN DI KM 2</t>
  </si>
  <si>
    <t>ANTRI/MACET DI PABRIK, MAINTENANCE JALAN DI KM 2</t>
  </si>
  <si>
    <t>BOCOR BAN NO. 4 (QMB), ANTRI/MACET DI PABRIK, MAINTENANCE JALAN DI KM 2</t>
  </si>
  <si>
    <t>PATAH BAUT RODA TROMOL NO. 6, ANTRI/MACET DI PABRIK, MAINTENANCE JALAN DI KM 2</t>
  </si>
  <si>
    <t>PATAH BAUT RODA TROMOL NO. 5, ANTRI/MACET DI PABRIK, MAINTENANCE JALAN DI KM 2</t>
  </si>
  <si>
    <t>PATAH BAUT RODA TROMOL NO 5, PATAH SPRING KIRI BELAKANG NO 6</t>
  </si>
  <si>
    <t>PATAH U BOLT KANAN BELAKANG; PATAH KNALPOT</t>
  </si>
  <si>
    <t>DOL BUAT RODA TROMOL NO 6, TUTUP TANKI FUEL BERAMASAKAH,BOCOR BAN NO. 7, ANTRI/MACET DI PABRIK, MAINTENANCE JALAN DI KM 2'</t>
  </si>
  <si>
    <t>KEBOCORANGAN ANGIN; STEL REM GENERAL; BOCOR MASTER KOPLENG, ANTRI/MACET DI PABRIK, MAINTENANCE JALAN DI KM 2</t>
  </si>
  <si>
    <t>PROBLEM ELEKTRIK; TIDAK BISA STATER, PEN VESEL PATAH; TAILGATE MANUAL BENGKOK, ANTRI/MACET DI PABRIK, MAINTENANCE JALAN DI KM 2</t>
  </si>
  <si>
    <t>BOCOR BAN NO. 5, TAMBAH OLI POWER STRING</t>
  </si>
  <si>
    <t>RATING MATI; TROUBLESHOOT, ANTRI/MACET DI PABRIK, MAINTENANCE JALAN DI KM 2</t>
  </si>
  <si>
    <t>DIFLOK BERMASALAH; FOD STEP KABIN KANAN; TANKI OLI YHYDROLIK BOCOR</t>
  </si>
  <si>
    <t>GANTI BAN NO. 7, LAMPU UTAMA DEPAN MATI; REM TIDAK MENAHAN, ANTRI/MACET DI PABRIK, MAINTENANCE JALAN DI KM 2</t>
  </si>
  <si>
    <t>KLAKSON MATI; LAMPU UTAMA KANAN MATI; AC BERMASALAH; TAMBAH OLI HUB F2 KIRI DEPAN; CEK CENTER PEN KIRI BELAKANG;BERSIHKAN SARINGAN UDARA;</t>
  </si>
  <si>
    <t>LONGGAR BAUT RODA TROMOL NO. 6; SUSPENSI KABIN KIRI LEPAS, BOCOR BAN O. 9, ANTRI/MACET DI PABRIK, MAINTENANCE JALAN DI KM 2</t>
  </si>
  <si>
    <t>GANTI BAN NO. 11, DOL BAUT RODA TROMOL NO. 8</t>
  </si>
  <si>
    <t>LAMPU SEN KIRI  MATI; LAMPU STOP MATI; CEK ANGIN</t>
  </si>
  <si>
    <t>BOCOR BAN NO. 9, TROUBLE ANGIN (KM 7), ANTRI/MACET DI PABRIK, MAINTENANCE JALAN DI KM 2</t>
  </si>
  <si>
    <t>LAS PINTU VESEL, ANTRI/MACET DI PABRIK, MAINTENANCE JALAN DI KM 2</t>
  </si>
  <si>
    <t>LAMPU UTAMA KIRI MATI;, BOCOR BAN NO. 7, ANTRI/MACET DI PABRIK, MAINTENANCE JALAN DI KM 2</t>
  </si>
  <si>
    <t>TARGET, ANTRI/MACET DI PABRIK, MAINTENANCE JALAN DI KM 2</t>
  </si>
  <si>
    <t>AC BERMASALAH, ANTRI/MACET DI PABRIK, MAINTENANCE JALAN DI KM 2</t>
  </si>
  <si>
    <t>TEST UNIT, ANTRI/MACET DI PABRIK, MAINTENANCE JALAN DI KM 2</t>
  </si>
  <si>
    <t>PATAH BAUT RODA POS 7, GREASE PELUMASAN, ANTRI/MACET DI PABRIK, MAINTENANCE JALAN DI KM 2</t>
  </si>
  <si>
    <t>STEL REM GENERAL, SPRING NO 8 POSH NO 3, CEK KAMPAS REM GENERAL</t>
  </si>
  <si>
    <t>BOCOR BAN NO. 12, PATAH BAUT RODA TROMOL NO 8, ANTRI/MACET DI PABRIK, MAINTENANCE JALAN DI KM 2</t>
  </si>
  <si>
    <t>BOCOR BAN NO 11 GANTI BAN NO 7 DAN 8, ANTRI/MACET DI PABRIK, MAINTENANCE JALAN DI KM 2</t>
  </si>
  <si>
    <t>BOCOR BAN NO 11, ANTRI MACET DI PABRIK, MAINTENANCE JALAN KM 2</t>
  </si>
  <si>
    <t>PERBAIKAN PINTU VESEL; PERBAIKAN REANTAI TAILGATE OTOMATIS, ANTRI MACET DI PABRIK, MAINTENANCE JALAN KM 2</t>
  </si>
  <si>
    <t>ANTRI MACET DI PABRIK, MAINTENANCE JALAN KM 2</t>
  </si>
  <si>
    <t>STEL REM GENERAL, ANTRI MACET DI PABRIK, MAINTENANCE JALAN KM 2</t>
  </si>
  <si>
    <t>MELEDAK BAN NO. 12 (BELAKANG HMSI),TAMBAH AIR RADIATOR, TAMBAH OLI POWER STEARING, ANTRI MACET DI PABRIK, MAINTENANCE JALAN KM 2</t>
  </si>
  <si>
    <t>SENSOR ANGIN BERMASALAH; PER TROMOL NO. 3 BERMASALAH; ANTRI MACET DI PABRIK, MAINTENANCE JALAN KM 2</t>
  </si>
  <si>
    <t>REPAIR MUFFLER (KERUSAKAN BERULANG); CEK OLI HUB, ANTRI MACET DI PABRIK, MAINTENANCE JALAN KM 2</t>
  </si>
  <si>
    <t>BOCOR BAN NO 9, ANTRI MACET DI PABRIK, MAINTENANCE JALAN KM 2</t>
  </si>
  <si>
    <t>PATAH PER NO. 1 BELAKANG KIRI PATAH PER CNETER BOLT KANAN BELAKANG; TAMBAH OLI HUB, ANTRI MACET DI PABRIK, MAINTENANCE JALAN KM 2 1.2.3.4</t>
  </si>
  <si>
    <t>LAS PINTU VESEL, ANTRI MACET DI PABRIK, MAINTENANCE JALAN KM 2</t>
  </si>
  <si>
    <t>BOCOR BAN NO 10, POMPA POWER STEARING BERMASALAH, ANTRI MACET DI PABRIK, MAINTENANCE JALAN KM 2</t>
  </si>
  <si>
    <t>ISI FREON, AC TODAK DINGIN,  ANTRI MACET DI PABRIK, MAINTENANCE JALAN KM 2</t>
  </si>
  <si>
    <t>PATAH CENTER BOLT KANAN BELAKANG; CEK LINING TROMOL NO. 6; CEK TRUNION, ANTRI MACET DI PABRIK, MAINTENANCE JALAN KM 2</t>
  </si>
  <si>
    <t>TANKI HYDRAULIK BERMASALAH, ANTRI MACET DI PABRIK, MAINTENANCE JALAN KM 2</t>
  </si>
  <si>
    <t>LAS BANCIAN,  ANTRI MACET DI PABRIK, MAINTENANCE JALAN KM 2</t>
  </si>
  <si>
    <t>CEK KAMPAS REM GENERAL, TAMBAH OLI HUB</t>
  </si>
  <si>
    <t>PATAH BAUT RODA TROMOL NO 5 DAN 6, GANTI KARET STOPPER DEPAN, REPAIR MUFFLER, GANTI KARET TORQUEROD ATAS, ANTRI MACET DI PABRIK, MAINTENANCE JALAN KM 2</t>
  </si>
  <si>
    <t>BOCOR BAN NO. 9 (LOADING POINT NAKULA), ANTRI MACET DI PABRIK, MAINTENANCE JALAN KM 2</t>
  </si>
  <si>
    <t>TARGET, ANTRI MACET DI PABRIK, MAINTENANCE JALAN KM 2</t>
  </si>
  <si>
    <t>PATAH SPRING NO 1 KANAN DEPAN, CENTER PEN KANAN BELAKANG, KOPLING KERAS,,ANTRI MACET DI PABRIK, MAINTENANCE JALAN KM 2</t>
  </si>
  <si>
    <t>PATAH SPRING NO 5 F2 KANAN (DEPAN), ANTRI MACET DI PABRIK, MAINTENANCE JALAN KM 2</t>
  </si>
  <si>
    <t>BAUT U BOLT LEPAS TENGAH KIRI ; CEK BAUT  U BOLT ALL; REM TROMOL NO. 1.2.7.8 KURANG MENAHAN, ANTRI MACET DI PABRIK, MAINTENANCE JALAN KM 2</t>
  </si>
  <si>
    <t>LAS MUFFLER (KERUSAKAN BERULANG); REPAIR MUFFLER, ANTRI MACET DI PABRIK, MAINTENANCE JALAN KM 2</t>
  </si>
  <si>
    <t>MELEDAK BAN NO. 8 (WS 6), PATAH BAUT RODA TROMOL NO 6, ANTRI MACET DI PABRIK, MAINTENANCE JALAN KM 2</t>
  </si>
  <si>
    <t>PATAH BAUT RODA TROMOL NO. 5; REPAIR MUFFLER, ANTRI MACET DI PABRIK, MAINTENANCE JALAN KM 2</t>
  </si>
  <si>
    <t>BAUT SEAT SPRING R1, ANTRI MACET DI PABRIK, MAINTENANCE JALAN KM 2</t>
  </si>
  <si>
    <t>BOCOR BAN NO. 6 (KM 10), ANTRI MACET DI PABRIK, MAINTENANCE JALAN KM 2</t>
  </si>
  <si>
    <t>BRAKET STABILIZER LH F1, U BOLT F2 RH LONGGAR, ANTRI MACET DI PABRIK, MAINTENANCE JALAN KM 2</t>
  </si>
  <si>
    <t>LAS PENGIKAT TANKI HYDROLIK, GANTI BAN NO. 7.8, ANTRI MACET DI PABRIK, MAINTENANCE JALAN KM 2</t>
  </si>
  <si>
    <t>PASANG BAUT STABLIZER BELAKANG KANAN; GANTI KARET STOPER; STEL REM GENERAL; PATAH PER DEPAN LH NO.12, ANTRI MACET DI PABRIK, MAINTENANCE JALAN KM 2</t>
  </si>
  <si>
    <t>GANTI BAN NO. 9.10, ANTRI MACET DI PABRIK, MAINTENANCE JALAN KM 2</t>
  </si>
  <si>
    <t>KAMPAS REM NO 8, ANTRI MACET DI PABRIK, MAINTENANCE JALAN KM 2</t>
  </si>
  <si>
    <t>PATAH BAUT RODA TROMOL NO. 7, ANTRI MACET DI PABRIK, MAINTENANCE JALAN KM 2</t>
  </si>
  <si>
    <t>KOPLING KERAS, ANTRI MACET DI PABRIK, MAINTENANCE JALAN KM 2</t>
  </si>
  <si>
    <t>SERVICE HM; PATAH CENTER BOLT BELAKANG KIRI; GANTI KAMPAS REM NO. 8, ANTRI MACET DI PABRIK, MAINTENANCE JALAN KM 2</t>
  </si>
  <si>
    <t>PATAH BAUT RODA TROMOL NO 5, ANTRI MACET DI PABRIK, MAINTENANCE JALAN KM 2</t>
  </si>
  <si>
    <t>BOCOR HOSE POWER STEARING (KIRI BAGIAN MESIN), TAMBAH OLI HUB, STEL REM GENERAL, ANTRI MACET DI PABRIK, MAINTENANCE JALAN KM 2</t>
  </si>
  <si>
    <t>PATAH SPRING NO. 1 RH  TROMOL NO. 4; (SIMPANG NAKULA), ANTRI MACET DI PABRIK, MAINTENANCE JALAN KM 2</t>
  </si>
  <si>
    <t>PATAH CENTER BOLT KANAN BELAKANG; TKOR ANGIN, ANTRI MACET DI PABRIK, MAINTENANCE JALAN KM 2</t>
  </si>
  <si>
    <t>AC BERMASALAH (KERUSAKAN BERULANG);,TAMBAH FREON, ANTRI MACET DI PABRIK, MAINTENANCE JALAN KM 2</t>
  </si>
  <si>
    <t>BOCOR BAN NO. 3, CEK BAWAH KABIN ( ADA BUNYI), ANTRI MACET DI PABRIK, MAINTENANCE JALAN KM 2</t>
  </si>
  <si>
    <t>GANTI BAN NO. 9, ANTRI MACET DI PABRIK, MAINTENANCE JALAN KM 2</t>
  </si>
  <si>
    <t>PATAH BAUT RODA TROMOL NO. 8; GANTI KARET STOPER; ADD OLI HUB, ANTRI MACET DI PABRIK, MAINTENANCE JALAN KM 2</t>
  </si>
  <si>
    <t>PECAH VLEG NO. 7 (GUNUNG BATU), FINAL DRIP LONGGAR KELUAR OLI; TAMBAH AIR RADIATRO; TAMBAH OLI RETARDER; BAAUT RODA LONGGAR TROMOL NO. 7, ANTRI MACET DI PABRIK, MAINTENANCE JALAN KM 2</t>
  </si>
  <si>
    <t>CEK OLI HUB ALL, CEK KAMPAS REM GENERAL, SPRING F2 LH (PATAH UJUNG NO 2), ANTRI MACET DI PABRIK, MAINTENANCE JALAN KM 2</t>
  </si>
  <si>
    <t>PATAH BAUT RODA TROMOL NO. 5, ANTRI MACET DI PABRIK, MAINTENANCE JALAN KM 2</t>
  </si>
  <si>
    <t>BOCOR BAN NO. 5 (KM 10), BOCOR BAN NO. 9</t>
  </si>
  <si>
    <t>ANTRI MACET DI PABRIK, MAINTENANCE JALAN KM 2, GREASE PELUMASAN</t>
  </si>
  <si>
    <t>GANTI BAN NO. 5.6, ANTRI MACET DI PABRIK, MAINTENANCE JALAN KM 2</t>
  </si>
  <si>
    <t>BOCOR BAN NO. 5 (JALAN BARU), ANTRI MACET DI PABRIK, MAINTENANCE JALAN KM 2</t>
  </si>
  <si>
    <t>GANTI VELGG NO. 11.12, SIL FINAL DRIP BOCOR; PATAH BAUT RODA TROMOL NO. 8 (10 PCS); ANTRI MACET DI PABRIK, MAINTENANCE JALAN KM 2</t>
  </si>
  <si>
    <t>BOCOR BAN NO. 9.10 (KM 3), ANTRI MACET DI PABRIK, MAINTENANCE JALAN KM 2</t>
  </si>
  <si>
    <t>SPRING F2 RH, CEK MOUNTING ENGINE, ANTRI MACET DI PABRIK, MAINTENANCE JALAN KM 2</t>
  </si>
  <si>
    <t>BAUT TORQUE ROD LONGGAR;GANTI KARET STOPER BELAKANG ALL; CEK KAMPAS REM GENERAL; STEL REM GENERAL, ANTRI MACET DI PABRIK, MAINTENANCE JALAN KM 2</t>
  </si>
  <si>
    <t>TAMBAH FREON, AC BERMASALAH (KERUSAKAN BERULANG MOHON DI CEK); RAPIKAN SPRING NO, 1,2,4; CEK KAMPAS REM GENERAL, ANTRI MACET DI PABRIK, MAINTENANCE JALAN KM 2</t>
  </si>
  <si>
    <t>TAMBAH OLI RETARDER; CEK KAMPAS REM GENERAL, CEK KAMPAS REM ; TAMBAH OLI RETARDER, ANTRI MACET DI PABRIK, MAINTENANCE JALAN KM 2</t>
  </si>
  <si>
    <t>GANTI LAMPU .DEPAN KIRI; TAMBAH OLI RETARDER, ANTRI MACET DI PABRIK, MAINTENANCE JALAN KM 2</t>
  </si>
  <si>
    <t>GANTI BAN NO. 1,2, RANTAI TAILGATE PUTUS, ANTRI MACET DI PABRIK, MAINTENANCE JALAN KM 2</t>
  </si>
  <si>
    <t>TARGET, GANTI BAN NO. 8,11,12, ANTRI MACET DI PABRIK, MAINTENANCE JALAN KM 2</t>
  </si>
  <si>
    <t>OLI POWER STRING BOCOR, TARGET, ANTRI MACET DI PABRIK, MAINTENANCE JALAN KM 2</t>
  </si>
  <si>
    <t>BOCOR BAN NO. 6, TARGET, ANTRI MACET DI PABRIK, MAINTENANCE JALAN KM 2</t>
  </si>
  <si>
    <t>STEL REM GENERAL; TAMBAH OLI RETARDER; GANTI KARET STOPER DEPAN, TARGET, ANTRI MACET DI PABRIK, MAINTENANCE JALAN KM 2</t>
  </si>
  <si>
    <t>NAMA USER</t>
  </si>
  <si>
    <t>ID</t>
  </si>
  <si>
    <t>PASSWORD</t>
  </si>
  <si>
    <t>Dicky</t>
  </si>
  <si>
    <t>AJFHWLihT08xDUj8TmbwKrx+TUOX0Z7Fswl00cBWIREIjlDpdtY0fFuZbfjdpBvHc1UOUQW8Y1Zi</t>
  </si>
  <si>
    <t>FATHUR</t>
  </si>
  <si>
    <t>AJFHWLhQ2MtL4tXeQONmqsNMWLkoLYykDxBbGdhmwt/NFq1oWsYRDxyYc5XT0DXd2q8RPE+NdeqU</t>
  </si>
  <si>
    <t>ANEPy/sQ0r+PHh3U5hnXHQBfiQWb7HnTq02/5GfsmpBWhSqDxcHrapmMP+5hg00sIKiyDoSu54Rn</t>
  </si>
  <si>
    <t>AEi/1rXUtvjMNbIwlBJvWWGNbWsDVBi4HV5I0t0Qmr5s/z9u6cT60jQaANpJuEyAwgKFJ2YMzeXn</t>
  </si>
  <si>
    <t>id</t>
  </si>
  <si>
    <t>project</t>
  </si>
  <si>
    <t>Dev. Camp Site</t>
  </si>
  <si>
    <t>Rental SEU</t>
  </si>
  <si>
    <t>Rental YOOSAN</t>
  </si>
  <si>
    <t>Rental MKG</t>
  </si>
  <si>
    <t>Rental PSSI</t>
  </si>
  <si>
    <t>Dev. Outter Project</t>
  </si>
  <si>
    <t>Rental MSM</t>
  </si>
  <si>
    <t>Galangan GBM - SA</t>
  </si>
  <si>
    <t>Equipment Category</t>
  </si>
  <si>
    <t>Equipment Name</t>
  </si>
  <si>
    <t>Name</t>
  </si>
  <si>
    <t>DUMP TRUCK</t>
  </si>
  <si>
    <t>HINO FM 260 JD</t>
  </si>
  <si>
    <t>xDT-118</t>
  </si>
  <si>
    <t>xDT-135</t>
  </si>
  <si>
    <t>xDT-168</t>
  </si>
  <si>
    <t>NISSAN CWA 260 X</t>
  </si>
  <si>
    <t>DT-01</t>
  </si>
  <si>
    <t>HINO FM 260 Ti</t>
  </si>
  <si>
    <t>DT-08</t>
  </si>
  <si>
    <t>DT-09</t>
  </si>
  <si>
    <t>DT-10</t>
  </si>
  <si>
    <t>DT-16</t>
  </si>
  <si>
    <t>DT-21</t>
  </si>
  <si>
    <t>DT-22</t>
  </si>
  <si>
    <t>DT-24</t>
  </si>
  <si>
    <t>DT-29</t>
  </si>
  <si>
    <t>DT-30</t>
  </si>
  <si>
    <t>DT-31</t>
  </si>
  <si>
    <t>DT-44</t>
  </si>
  <si>
    <t>DT-48</t>
  </si>
  <si>
    <t>DT-52</t>
  </si>
  <si>
    <t>DT-54</t>
  </si>
  <si>
    <t>DT-59</t>
  </si>
  <si>
    <t>DT-60</t>
  </si>
  <si>
    <t>DT-61</t>
  </si>
  <si>
    <t>DT-64</t>
  </si>
  <si>
    <t>DT-65</t>
  </si>
  <si>
    <t>DT-66</t>
  </si>
  <si>
    <t>DT-67</t>
  </si>
  <si>
    <t>DT-68</t>
  </si>
  <si>
    <t>DT-72</t>
  </si>
  <si>
    <t>DT-74</t>
  </si>
  <si>
    <t>DT-75</t>
  </si>
  <si>
    <t>DT-76</t>
  </si>
  <si>
    <t>DT-78</t>
  </si>
  <si>
    <t>DT-79</t>
  </si>
  <si>
    <t>DT-81</t>
  </si>
  <si>
    <t>DT-82</t>
  </si>
  <si>
    <t>DT-83</t>
  </si>
  <si>
    <t>DT-86</t>
  </si>
  <si>
    <t>MH-01</t>
  </si>
  <si>
    <t>DT-89</t>
  </si>
  <si>
    <t>DT-92</t>
  </si>
  <si>
    <t>DT-95</t>
  </si>
  <si>
    <t>DT-97</t>
  </si>
  <si>
    <t>DT-98</t>
  </si>
  <si>
    <t>DT-99</t>
  </si>
  <si>
    <t>DT-100</t>
  </si>
  <si>
    <t>DT-101</t>
  </si>
  <si>
    <t>DT-102</t>
  </si>
  <si>
    <t>DT-103</t>
  </si>
  <si>
    <t>DT-106</t>
  </si>
  <si>
    <t>DT-107</t>
  </si>
  <si>
    <t>DT-108</t>
  </si>
  <si>
    <t>DT-109</t>
  </si>
  <si>
    <t>DT-110</t>
  </si>
  <si>
    <t>DT-111</t>
  </si>
  <si>
    <t>DT-112</t>
  </si>
  <si>
    <t>DT-113</t>
  </si>
  <si>
    <t>DT-114</t>
  </si>
  <si>
    <t>DT-116</t>
  </si>
  <si>
    <t>DT-117</t>
  </si>
  <si>
    <t>DT-118</t>
  </si>
  <si>
    <t>FT-06</t>
  </si>
  <si>
    <t>DT-121</t>
  </si>
  <si>
    <t>DT-122</t>
  </si>
  <si>
    <t>DT-123</t>
  </si>
  <si>
    <t>DT-124</t>
  </si>
  <si>
    <t>DT-125</t>
  </si>
  <si>
    <t>DT-126</t>
  </si>
  <si>
    <t>DT-127</t>
  </si>
  <si>
    <t>DT-128</t>
  </si>
  <si>
    <t>DT-130</t>
  </si>
  <si>
    <t>DT-132</t>
  </si>
  <si>
    <t>DT-133</t>
  </si>
  <si>
    <t>DT-134</t>
  </si>
  <si>
    <t>DT-135</t>
  </si>
  <si>
    <t>DT-136</t>
  </si>
  <si>
    <t>DT-137</t>
  </si>
  <si>
    <t>DT-138</t>
  </si>
  <si>
    <t>DT-139</t>
  </si>
  <si>
    <t>DT-140</t>
  </si>
  <si>
    <t>DT-141</t>
  </si>
  <si>
    <t>DT-143</t>
  </si>
  <si>
    <t>DT-144</t>
  </si>
  <si>
    <t>DT-145</t>
  </si>
  <si>
    <t>DT-146</t>
  </si>
  <si>
    <t>DT-147</t>
  </si>
  <si>
    <t>DT-148</t>
  </si>
  <si>
    <t>DT-149</t>
  </si>
  <si>
    <t>DT-150</t>
  </si>
  <si>
    <t>DT-151</t>
  </si>
  <si>
    <t>DT-152</t>
  </si>
  <si>
    <t>DT-153</t>
  </si>
  <si>
    <t>DT-154</t>
  </si>
  <si>
    <t>FT-05</t>
  </si>
  <si>
    <t>DT-156</t>
  </si>
  <si>
    <t>DT-157</t>
  </si>
  <si>
    <t>DT-158</t>
  </si>
  <si>
    <t>DT-159</t>
  </si>
  <si>
    <t>DT-160</t>
  </si>
  <si>
    <t>DT-161</t>
  </si>
  <si>
    <t>DT-162</t>
  </si>
  <si>
    <t>DT-163</t>
  </si>
  <si>
    <t>DT-164</t>
  </si>
  <si>
    <t>DT-165</t>
  </si>
  <si>
    <t>DT-166</t>
  </si>
  <si>
    <t>DT-167</t>
  </si>
  <si>
    <t>DT-168</t>
  </si>
  <si>
    <t>DT-169</t>
  </si>
  <si>
    <t>DT-170</t>
  </si>
  <si>
    <t>DT-171</t>
  </si>
  <si>
    <t>DT-173</t>
  </si>
  <si>
    <t>DT-174</t>
  </si>
  <si>
    <t>DT-176</t>
  </si>
  <si>
    <t>DT-177</t>
  </si>
  <si>
    <t>DT-200</t>
  </si>
  <si>
    <t>DT-201</t>
  </si>
  <si>
    <t>DT-202</t>
  </si>
  <si>
    <t>DT-203</t>
  </si>
  <si>
    <t>DT-204</t>
  </si>
  <si>
    <t>DT-205</t>
  </si>
  <si>
    <t>DT-206</t>
  </si>
  <si>
    <t>DT-207</t>
  </si>
  <si>
    <t>DT-208</t>
  </si>
  <si>
    <t>DT-209</t>
  </si>
  <si>
    <t>DT-210</t>
  </si>
  <si>
    <t>DT-211</t>
  </si>
  <si>
    <t>DT-212</t>
  </si>
  <si>
    <t>DT-213</t>
  </si>
  <si>
    <t>DT-214</t>
  </si>
  <si>
    <t>DT-215</t>
  </si>
  <si>
    <t>DT-216</t>
  </si>
  <si>
    <t>DT-217</t>
  </si>
  <si>
    <t>DT-218</t>
  </si>
  <si>
    <t>DT-219</t>
  </si>
  <si>
    <t>DT-220</t>
  </si>
  <si>
    <t>DT-221</t>
  </si>
  <si>
    <t>DT-222</t>
  </si>
  <si>
    <t>DT-223</t>
  </si>
  <si>
    <t>DT-224</t>
  </si>
  <si>
    <t>DT-225</t>
  </si>
  <si>
    <t>DT-226</t>
  </si>
  <si>
    <t>DT-227</t>
  </si>
  <si>
    <t>DT-228</t>
  </si>
  <si>
    <t>DT-229</t>
  </si>
  <si>
    <t>DT-230</t>
  </si>
  <si>
    <t>DT-231</t>
  </si>
  <si>
    <t>DT-232</t>
  </si>
  <si>
    <t>DT-233</t>
  </si>
  <si>
    <t>DT-234</t>
  </si>
  <si>
    <t>DT-235</t>
  </si>
  <si>
    <t>DT-237</t>
  </si>
  <si>
    <t>DT-238</t>
  </si>
  <si>
    <t>DT-105</t>
  </si>
  <si>
    <t>DT-104</t>
  </si>
  <si>
    <t>DT-254</t>
  </si>
  <si>
    <t>HINO ZS1EPPD-XS</t>
  </si>
  <si>
    <t>DT-260</t>
  </si>
  <si>
    <t>DT-261</t>
  </si>
  <si>
    <t>DT-262</t>
  </si>
  <si>
    <t>DT-263</t>
  </si>
  <si>
    <t>DT-264</t>
  </si>
  <si>
    <t>DT-265</t>
  </si>
  <si>
    <t>DT-266</t>
  </si>
  <si>
    <t>DT-267</t>
  </si>
  <si>
    <t>DT-268</t>
  </si>
  <si>
    <t>DT-269</t>
  </si>
  <si>
    <t>DT-270</t>
  </si>
  <si>
    <t>DT-271</t>
  </si>
  <si>
    <t>DT-272</t>
  </si>
  <si>
    <t>DT-273</t>
  </si>
  <si>
    <t>DT-274</t>
  </si>
  <si>
    <t>DT-275</t>
  </si>
  <si>
    <t>DT-276</t>
  </si>
  <si>
    <t>DT-277</t>
  </si>
  <si>
    <t>DT-278</t>
  </si>
  <si>
    <t>DT-279</t>
  </si>
  <si>
    <t>DT-280</t>
  </si>
  <si>
    <t>DT-281</t>
  </si>
  <si>
    <t>DT-282</t>
  </si>
  <si>
    <t>DT-283</t>
  </si>
  <si>
    <t>DT-284</t>
  </si>
  <si>
    <t>DT-285</t>
  </si>
  <si>
    <t>DT-286</t>
  </si>
  <si>
    <t>DT-287</t>
  </si>
  <si>
    <t>DT-288</t>
  </si>
  <si>
    <t>DT-289</t>
  </si>
  <si>
    <t>DT-290</t>
  </si>
  <si>
    <t>DT-291</t>
  </si>
  <si>
    <t>DT-292</t>
  </si>
  <si>
    <t>DT-293</t>
  </si>
  <si>
    <t>DT-294</t>
  </si>
  <si>
    <t>DT-295</t>
  </si>
  <si>
    <t>DT-296</t>
  </si>
  <si>
    <t>DT-297</t>
  </si>
  <si>
    <t>DT-298</t>
  </si>
  <si>
    <t>DT-299</t>
  </si>
  <si>
    <t>DT-300</t>
  </si>
  <si>
    <t>DT-301</t>
  </si>
  <si>
    <t>DT-302</t>
  </si>
  <si>
    <t>DT-303</t>
  </si>
  <si>
    <t>DT-304</t>
  </si>
  <si>
    <t>DT-305</t>
  </si>
  <si>
    <t>DT-306</t>
  </si>
  <si>
    <t>DT-307</t>
  </si>
  <si>
    <t>DT-308</t>
  </si>
  <si>
    <t>DT-309</t>
  </si>
  <si>
    <t>HINO ZY1EWPD-XS</t>
  </si>
  <si>
    <t>DT-311</t>
  </si>
  <si>
    <t>DT-312</t>
  </si>
  <si>
    <t>DT-313</t>
  </si>
  <si>
    <t>DT-314</t>
  </si>
  <si>
    <t>DT-319</t>
  </si>
  <si>
    <t>DT-320</t>
  </si>
  <si>
    <t>DT-321</t>
  </si>
  <si>
    <t>DT-322</t>
  </si>
  <si>
    <t>DT-323</t>
  </si>
  <si>
    <t>DT-325</t>
  </si>
  <si>
    <t>DT-341</t>
  </si>
  <si>
    <t>DT-345</t>
  </si>
  <si>
    <t>DT-350</t>
  </si>
  <si>
    <t>DT-351</t>
  </si>
  <si>
    <t>DT-356</t>
  </si>
  <si>
    <t>DT-364</t>
  </si>
  <si>
    <t>SUPPORT</t>
  </si>
  <si>
    <t>TAFT GT/F70</t>
  </si>
  <si>
    <t>JEEP-01</t>
  </si>
  <si>
    <t>TOYOTA LC VX HDJ80R/T4.2M</t>
  </si>
  <si>
    <t>LV-22</t>
  </si>
  <si>
    <t>TOYOTA HILUX 2400</t>
  </si>
  <si>
    <t>LV-23</t>
  </si>
  <si>
    <t>PAJERO SPORT</t>
  </si>
  <si>
    <t>LV-06</t>
  </si>
  <si>
    <t>LV-24</t>
  </si>
  <si>
    <t>MAZDA 2500</t>
  </si>
  <si>
    <t>LV-03</t>
  </si>
  <si>
    <t>TOYOTA HILUX 2500</t>
  </si>
  <si>
    <t>LV-04</t>
  </si>
  <si>
    <t>LV-05</t>
  </si>
  <si>
    <t>LV-07</t>
  </si>
  <si>
    <t>IZUSU D'MAX PICK UP</t>
  </si>
  <si>
    <t>LV-08</t>
  </si>
  <si>
    <t>PAJERO</t>
  </si>
  <si>
    <t>LV-09</t>
  </si>
  <si>
    <t>TOYOTA HILUX VNT</t>
  </si>
  <si>
    <t>LV-10</t>
  </si>
  <si>
    <t>LV-11</t>
  </si>
  <si>
    <t>DAIHATSU TAFT</t>
  </si>
  <si>
    <t>LV-12</t>
  </si>
  <si>
    <t>FORD RANGER</t>
  </si>
  <si>
    <t>LV-14</t>
  </si>
  <si>
    <t>PAJERO SPORT AT</t>
  </si>
  <si>
    <t>LV-15</t>
  </si>
  <si>
    <t>LV-17</t>
  </si>
  <si>
    <t>LV-18</t>
  </si>
  <si>
    <t>LV-19</t>
  </si>
  <si>
    <t>LV-20</t>
  </si>
  <si>
    <t>PAJERO SPORT PAJSPO25LGLX-H4X45 MT</t>
  </si>
  <si>
    <t>LV-21</t>
  </si>
  <si>
    <t>FT-01</t>
  </si>
  <si>
    <t>FT-02</t>
  </si>
  <si>
    <t>FT-03</t>
  </si>
  <si>
    <t>FT-04</t>
  </si>
  <si>
    <t>WT-02</t>
  </si>
  <si>
    <t>WT-03</t>
  </si>
  <si>
    <t>HINO 130 HD</t>
  </si>
  <si>
    <t>LT-02</t>
  </si>
  <si>
    <t>DYNA RINO</t>
  </si>
  <si>
    <t>LT-03</t>
  </si>
  <si>
    <t>HINO TRONTON (6X4)</t>
  </si>
  <si>
    <t>MH-02</t>
  </si>
  <si>
    <t>HINO 130 HT</t>
  </si>
  <si>
    <t>BUS BESAR-01</t>
  </si>
  <si>
    <t>MITSUBISHI PS 120</t>
  </si>
  <si>
    <t>BUS BESAR-02</t>
  </si>
  <si>
    <t>IZUSU ELF 2.8</t>
  </si>
  <si>
    <t>LT-05</t>
  </si>
  <si>
    <t>WT-01</t>
  </si>
  <si>
    <t>LT-04</t>
  </si>
  <si>
    <t>MANHAUL</t>
  </si>
  <si>
    <t>HINO WU352R-HKMRJD8B (130MDBL)</t>
  </si>
  <si>
    <t>BUS-03</t>
  </si>
  <si>
    <t>HINO WU352R-HKMRJD3L (130MDL)</t>
  </si>
  <si>
    <t>BUS-04</t>
  </si>
  <si>
    <t>LV-01</t>
  </si>
  <si>
    <t>TOYOTA LC VX HDJ80R</t>
  </si>
  <si>
    <t>LV-26</t>
  </si>
  <si>
    <t>MITSUBISHI TRITON</t>
  </si>
  <si>
    <t>LV-APP-10</t>
  </si>
  <si>
    <t>LV-27</t>
  </si>
  <si>
    <t>LV-28</t>
  </si>
  <si>
    <t>LV-30</t>
  </si>
  <si>
    <t>LT-06</t>
  </si>
  <si>
    <t>LT-07</t>
  </si>
  <si>
    <t>HINO SS1EKLA-WA (6x4)</t>
  </si>
  <si>
    <t>LOWBOY-01</t>
  </si>
  <si>
    <t>HEAVY EQUIPMENT</t>
  </si>
  <si>
    <t>XGMA LOADER XG955-III</t>
  </si>
  <si>
    <t>LOADER-01</t>
  </si>
  <si>
    <t>KOMATSU LOADER WA 380-3</t>
  </si>
  <si>
    <t>LOADER-02</t>
  </si>
  <si>
    <t>KOMATSU BW211D-40</t>
  </si>
  <si>
    <t>BW211-06</t>
  </si>
  <si>
    <t>KOMATSU D65P-12</t>
  </si>
  <si>
    <t>D65-04</t>
  </si>
  <si>
    <t>D65-03</t>
  </si>
  <si>
    <t>D65-02</t>
  </si>
  <si>
    <t>D65-07</t>
  </si>
  <si>
    <t>D65-01</t>
  </si>
  <si>
    <t>KOMATSU D85ESS-2</t>
  </si>
  <si>
    <t>D85-06</t>
  </si>
  <si>
    <t>D85-05</t>
  </si>
  <si>
    <t>D85-03</t>
  </si>
  <si>
    <t>D85-02</t>
  </si>
  <si>
    <t>D85-04</t>
  </si>
  <si>
    <t>D85-01</t>
  </si>
  <si>
    <t>KOMATSU D85E-SS-2</t>
  </si>
  <si>
    <t>D85-14</t>
  </si>
  <si>
    <t>KOBELCO SK 200-8</t>
  </si>
  <si>
    <t>SK200-02</t>
  </si>
  <si>
    <t>SK200-03</t>
  </si>
  <si>
    <t>SK200-04</t>
  </si>
  <si>
    <t>SK200-05</t>
  </si>
  <si>
    <t>KOMATSU GD511A-1</t>
  </si>
  <si>
    <t>GD-02</t>
  </si>
  <si>
    <t>GD-01</t>
  </si>
  <si>
    <t>KOMATSU GD535-5</t>
  </si>
  <si>
    <t>GD-12</t>
  </si>
  <si>
    <t>KOMATSU HM400-3R</t>
  </si>
  <si>
    <t>HM400-01</t>
  </si>
  <si>
    <t>HM400-02</t>
  </si>
  <si>
    <t>HM400-03</t>
  </si>
  <si>
    <t>HM400-04</t>
  </si>
  <si>
    <t>HM400-05</t>
  </si>
  <si>
    <t>KOMATSU HM400</t>
  </si>
  <si>
    <t>HM400-18</t>
  </si>
  <si>
    <t>HM400-19</t>
  </si>
  <si>
    <t>HM400-20</t>
  </si>
  <si>
    <t>HM400-21</t>
  </si>
  <si>
    <t>HM400-22</t>
  </si>
  <si>
    <t>KOMATSU PC195LC-8</t>
  </si>
  <si>
    <t>PC195-01</t>
  </si>
  <si>
    <t>PC195-02</t>
  </si>
  <si>
    <t>KOMATSU PC200-8</t>
  </si>
  <si>
    <t>PC200-09</t>
  </si>
  <si>
    <t>PC200-08</t>
  </si>
  <si>
    <t>PC200-06</t>
  </si>
  <si>
    <t>PC200-05</t>
  </si>
  <si>
    <t>PC200-04</t>
  </si>
  <si>
    <t>PC200-03</t>
  </si>
  <si>
    <t>PC200-07</t>
  </si>
  <si>
    <t>KOMATSU PC200-8M0</t>
  </si>
  <si>
    <t>PC200-10</t>
  </si>
  <si>
    <t>KOMATSU PC200-8M1</t>
  </si>
  <si>
    <t>PC200-12</t>
  </si>
  <si>
    <t>PC200-14</t>
  </si>
  <si>
    <t>PC200-15</t>
  </si>
  <si>
    <t>PC200-16</t>
  </si>
  <si>
    <t>PC200-18</t>
  </si>
  <si>
    <t>PC200-17</t>
  </si>
  <si>
    <t>PC200-21</t>
  </si>
  <si>
    <t>PC200-22</t>
  </si>
  <si>
    <t>PC200-23</t>
  </si>
  <si>
    <t>PC200-24</t>
  </si>
  <si>
    <t>PC200-20</t>
  </si>
  <si>
    <t>PC200-19</t>
  </si>
  <si>
    <t>PC200-25</t>
  </si>
  <si>
    <t>KOMATSU PC300SE-8</t>
  </si>
  <si>
    <t>PC300-06</t>
  </si>
  <si>
    <t>PC300-05</t>
  </si>
  <si>
    <t>PC300-04</t>
  </si>
  <si>
    <t>PC300-03</t>
  </si>
  <si>
    <t>PC300-07</t>
  </si>
  <si>
    <t>PC300-02</t>
  </si>
  <si>
    <t>KOMATSU PC300-8M0</t>
  </si>
  <si>
    <t>PC300-12</t>
  </si>
  <si>
    <t>PC300-14</t>
  </si>
  <si>
    <t>KOMATSU PC400LCSE-8</t>
  </si>
  <si>
    <t>PC400-03</t>
  </si>
  <si>
    <t>PC400-02</t>
  </si>
  <si>
    <t>PC400-04</t>
  </si>
  <si>
    <t>PC400-01</t>
  </si>
  <si>
    <t>KOMATSU PC500LC-10R</t>
  </si>
  <si>
    <t>PC500-01</t>
  </si>
  <si>
    <t>PC500-02</t>
  </si>
  <si>
    <t>PC500-03</t>
  </si>
  <si>
    <t>SAKAI SAKAI SV 525 D</t>
  </si>
  <si>
    <t>SAKAI-01</t>
  </si>
  <si>
    <t>SAKAI-02</t>
  </si>
  <si>
    <t>D65-12</t>
  </si>
  <si>
    <t>D65-11</t>
  </si>
  <si>
    <t>D65-10</t>
  </si>
  <si>
    <t>D65-13</t>
  </si>
  <si>
    <t>D65-14</t>
  </si>
  <si>
    <t>D65-15</t>
  </si>
  <si>
    <t>D65-16</t>
  </si>
  <si>
    <t>D65-17</t>
  </si>
  <si>
    <t>D65-18</t>
  </si>
  <si>
    <t>D85-12</t>
  </si>
  <si>
    <t>D85-11</t>
  </si>
  <si>
    <t>D85-10</t>
  </si>
  <si>
    <t>D85-15</t>
  </si>
  <si>
    <t>D85-16</t>
  </si>
  <si>
    <t>D85-17</t>
  </si>
  <si>
    <t>D85-18</t>
  </si>
  <si>
    <t>D85-19</t>
  </si>
  <si>
    <t>D85-20</t>
  </si>
  <si>
    <t>KOBELCO SK200-10</t>
  </si>
  <si>
    <t>SK200-10</t>
  </si>
  <si>
    <t>SK200-11</t>
  </si>
  <si>
    <t>SK200-12</t>
  </si>
  <si>
    <t>SK200-13</t>
  </si>
  <si>
    <t>SK200-14</t>
  </si>
  <si>
    <t>SK200-15</t>
  </si>
  <si>
    <t>SK200-16</t>
  </si>
  <si>
    <t>SK200-17</t>
  </si>
  <si>
    <t>SK200-18</t>
  </si>
  <si>
    <t>SK200-19</t>
  </si>
  <si>
    <t>SK200-20</t>
  </si>
  <si>
    <t>KOBELCO SK330-14</t>
  </si>
  <si>
    <t>SK330-10</t>
  </si>
  <si>
    <t>SK330-11</t>
  </si>
  <si>
    <t>SK330-12</t>
  </si>
  <si>
    <t>GD-03</t>
  </si>
  <si>
    <t>GD-10</t>
  </si>
  <si>
    <t>GD-11</t>
  </si>
  <si>
    <t>HM400-06</t>
  </si>
  <si>
    <t>HM400-07</t>
  </si>
  <si>
    <t>HM400-08</t>
  </si>
  <si>
    <t>HM400-09</t>
  </si>
  <si>
    <t>HM400-10</t>
  </si>
  <si>
    <t>HM400-11</t>
  </si>
  <si>
    <t>HM400-12</t>
  </si>
  <si>
    <t>HM400-13</t>
  </si>
  <si>
    <t>HM400-14</t>
  </si>
  <si>
    <t>HM400-15</t>
  </si>
  <si>
    <t>HM400-16</t>
  </si>
  <si>
    <t>HM400-17</t>
  </si>
  <si>
    <t>HM400-23</t>
  </si>
  <si>
    <t>HM400-24</t>
  </si>
  <si>
    <t>HM400-25</t>
  </si>
  <si>
    <t>KOMATSU PC300SE-8M0</t>
  </si>
  <si>
    <t>PC300-10</t>
  </si>
  <si>
    <t>KOMATSU PC300SE-8MO</t>
  </si>
  <si>
    <t>PC300-11</t>
  </si>
  <si>
    <t>PC300-16</t>
  </si>
  <si>
    <t>PC300-17</t>
  </si>
  <si>
    <t>PC300-15</t>
  </si>
  <si>
    <t>PC400-07</t>
  </si>
  <si>
    <t>PC400-06</t>
  </si>
  <si>
    <t>PC400-05</t>
  </si>
  <si>
    <t>PC500-04</t>
  </si>
  <si>
    <t>SAKAI-07</t>
  </si>
  <si>
    <t>KOBELCO SK 200-8 SX</t>
  </si>
  <si>
    <t>SK200-08</t>
  </si>
  <si>
    <t>D65-06</t>
  </si>
  <si>
    <t>D65-05</t>
  </si>
  <si>
    <t>SK200-06</t>
  </si>
  <si>
    <t>SK200-07</t>
  </si>
  <si>
    <t>KOBELCO SK 330-8</t>
  </si>
  <si>
    <t>SK330-01</t>
  </si>
  <si>
    <t>KOMATSU PC200-10/S21</t>
  </si>
  <si>
    <t>PC200-11</t>
  </si>
  <si>
    <t>SAKAI-05</t>
  </si>
  <si>
    <t>SAKAI-03</t>
  </si>
  <si>
    <t>SAKAI-04</t>
  </si>
  <si>
    <t>SAKAI-06</t>
  </si>
  <si>
    <t>SAKAI-08</t>
  </si>
  <si>
    <t>DT-057</t>
  </si>
  <si>
    <t>DT-366</t>
  </si>
  <si>
    <t>LV-31</t>
  </si>
  <si>
    <t>LT-08</t>
  </si>
  <si>
    <t>LT-10</t>
  </si>
  <si>
    <t>DT-372</t>
  </si>
  <si>
    <t>DT-377</t>
  </si>
  <si>
    <t>DT-381</t>
  </si>
  <si>
    <t>DT-383</t>
  </si>
  <si>
    <t>LV-32</t>
  </si>
  <si>
    <t>HINO 130 HDL</t>
  </si>
  <si>
    <t>LT-11</t>
  </si>
  <si>
    <t>LT-09</t>
  </si>
  <si>
    <t>LC-SA</t>
  </si>
  <si>
    <t>TOYOTA KIJANG SUPER</t>
  </si>
  <si>
    <t>LV-33</t>
  </si>
  <si>
    <t>TOYOTA NAV1</t>
  </si>
  <si>
    <t>LV-34</t>
  </si>
  <si>
    <t>SUZUKI</t>
  </si>
  <si>
    <t>LV-35</t>
  </si>
  <si>
    <t>HINO ZY1EWRN-XS</t>
  </si>
  <si>
    <t>DAIHATSU TERIOS</t>
  </si>
  <si>
    <t>LV-36</t>
  </si>
  <si>
    <t>TOYOTA LC HZ J80R 4184CC</t>
  </si>
  <si>
    <t>LV-37</t>
  </si>
  <si>
    <t>LEXUS LX 570 AT</t>
  </si>
  <si>
    <t>LV-38</t>
  </si>
  <si>
    <t>MERC BENZ GLC 250 AT (X253)</t>
  </si>
  <si>
    <t>LV-39</t>
  </si>
  <si>
    <t>NISSAN MARCH</t>
  </si>
  <si>
    <t>LV-40</t>
  </si>
  <si>
    <t>HONDA SEPEDA MOTOR SOLO</t>
  </si>
  <si>
    <t>SM-1</t>
  </si>
  <si>
    <t>SM-2</t>
  </si>
  <si>
    <t>HONGYAN KINKAN430</t>
  </si>
  <si>
    <t>HINO ZY1EWRD-XS</t>
  </si>
  <si>
    <t>DT-515</t>
  </si>
  <si>
    <t>KOMATSU FD 30-17</t>
  </si>
  <si>
    <t>FD 30-17-001</t>
  </si>
  <si>
    <t>LV-SA-33</t>
  </si>
  <si>
    <t>LV-SA-34</t>
  </si>
  <si>
    <t>LV-APP-35</t>
  </si>
  <si>
    <t>MH-03</t>
  </si>
  <si>
    <t>MH-04</t>
  </si>
  <si>
    <t>SAKAI SV-20-2-160</t>
  </si>
  <si>
    <t>SAKAI-09</t>
  </si>
  <si>
    <t>NIK</t>
  </si>
  <si>
    <t>Employee Name</t>
  </si>
  <si>
    <t>Age</t>
  </si>
  <si>
    <t>Agama</t>
  </si>
  <si>
    <t>Company</t>
  </si>
  <si>
    <t>Job Position</t>
  </si>
  <si>
    <t>Department</t>
  </si>
  <si>
    <t>Manager</t>
  </si>
  <si>
    <t>Spouse Birthdate</t>
  </si>
  <si>
    <t>A FADIL NUGRAHA PRATAMA</t>
  </si>
  <si>
    <t>Islam</t>
  </si>
  <si>
    <t>CV. SENTOSA ABADI</t>
  </si>
  <si>
    <t>JUNIOR MPE</t>
  </si>
  <si>
    <t>MPE</t>
  </si>
  <si>
    <t>[0102150007] EKY SIDIK PRATAMA, ST</t>
  </si>
  <si>
    <t>A.CHRISTI ARI WIBOWO</t>
  </si>
  <si>
    <t>Kristen Khatolik</t>
  </si>
  <si>
    <t>HEAD OF GRADE CONTROL</t>
  </si>
  <si>
    <t>GRADE CONTROL</t>
  </si>
  <si>
    <t>ABD DJALIL</t>
  </si>
  <si>
    <t>CV. Adil Prima Perkasa</t>
  </si>
  <si>
    <t>DRIVER LT</t>
  </si>
  <si>
    <t>KENDARAAN &amp; UNIT SUPPORT</t>
  </si>
  <si>
    <t>[0102150004] NAFTALI RARE'A, ST</t>
  </si>
  <si>
    <t>ABD HAKIM AZIS</t>
  </si>
  <si>
    <t>HELPER MEKANIK ALAT BERAT</t>
  </si>
  <si>
    <t>WORKSHOP</t>
  </si>
  <si>
    <t>[0106190928] NATAN KONDO</t>
  </si>
  <si>
    <t>ABD. ASIS</t>
  </si>
  <si>
    <t>MEKANIK ALAT BERAT</t>
  </si>
  <si>
    <t>ABD. RIFAI</t>
  </si>
  <si>
    <t>OPERATOR BULLDOZER</t>
  </si>
  <si>
    <t>PRODUKSI</t>
  </si>
  <si>
    <t>[0102130003] PURNAWAN</t>
  </si>
  <si>
    <t>ABDUL</t>
  </si>
  <si>
    <t>DRIVER DT H700ZY</t>
  </si>
  <si>
    <t>ABDUL HALIM</t>
  </si>
  <si>
    <t>CV. Monalisa</t>
  </si>
  <si>
    <t>SAFETY OFFICER</t>
  </si>
  <si>
    <t>HSE</t>
  </si>
  <si>
    <t>[0409230007] SLAMET WAHYUDI SAPUTRA</t>
  </si>
  <si>
    <t>ABDUL MUTTAQIEN</t>
  </si>
  <si>
    <t>CHECKER PRODUKSI</t>
  </si>
  <si>
    <t>ADE ILHAMZAH SALAM</t>
  </si>
  <si>
    <t>Kristen Protestan</t>
  </si>
  <si>
    <t>ASISTEN FOREMAN PRODUKSI</t>
  </si>
  <si>
    <t>ADHI PRANATA</t>
  </si>
  <si>
    <t>Hindu</t>
  </si>
  <si>
    <t>ADI PANGREKSO</t>
  </si>
  <si>
    <t>MEKANIK</t>
  </si>
  <si>
    <t>ADI PAWATAK</t>
  </si>
  <si>
    <t>HELPER MEKANIK LV</t>
  </si>
  <si>
    <t>ADRI</t>
  </si>
  <si>
    <t>ADRIANUS PATI OPENG</t>
  </si>
  <si>
    <t>DRIVER LV</t>
  </si>
  <si>
    <t>ADRIAWAN</t>
  </si>
  <si>
    <t>HELPER TYRE</t>
  </si>
  <si>
    <t>[0102120144] JUFRY KOMALING</t>
  </si>
  <si>
    <t>AGRIAWAN</t>
  </si>
  <si>
    <t>AGUNG YOGA PRATAMA</t>
  </si>
  <si>
    <t>STAFF HRD</t>
  </si>
  <si>
    <t>HRD &amp; GA</t>
  </si>
  <si>
    <t>[0108191037] ERNIE FRISLIA</t>
  </si>
  <si>
    <t>AGUS AMIRUDDIN</t>
  </si>
  <si>
    <t>FOREMAN PRODUKSI</t>
  </si>
  <si>
    <t>AGUS MULYADI</t>
  </si>
  <si>
    <t>CHECKER KENDARAAN</t>
  </si>
  <si>
    <t>AGUSMAN</t>
  </si>
  <si>
    <t>AGUSTINUS WIRIANA</t>
  </si>
  <si>
    <t>OPERATOR EXCAVATOR</t>
  </si>
  <si>
    <t>AHIRABIN TENGE</t>
  </si>
  <si>
    <t>HELPER MECHANIC DT OTR</t>
  </si>
  <si>
    <t>[0104211387] MIRZAL</t>
  </si>
  <si>
    <t>AHMAD ALFIAN LUBIS</t>
  </si>
  <si>
    <t>AHMAD ATKONI</t>
  </si>
  <si>
    <t>AHMAD ATKONI - 3566/APP/HRD/PKWT/VI/2024</t>
  </si>
  <si>
    <t>AHMAD SERANG</t>
  </si>
  <si>
    <t>AIDIL L. SARANANI</t>
  </si>
  <si>
    <t>AKMAL</t>
  </si>
  <si>
    <t>AKMAL ENHAS</t>
  </si>
  <si>
    <t>ALAM</t>
  </si>
  <si>
    <t>DRIVER DT H500</t>
  </si>
  <si>
    <t>ALBERT PALABURU</t>
  </si>
  <si>
    <t>ALBERTUS KAPONG</t>
  </si>
  <si>
    <t>FINANCE</t>
  </si>
  <si>
    <t>ALDY JIBRIEL PANE</t>
  </si>
  <si>
    <t>CREW SURVEY</t>
  </si>
  <si>
    <t>ALFI SAHRIN</t>
  </si>
  <si>
    <t>BAGIAN UMUM</t>
  </si>
  <si>
    <t>[0103231738] MARYA SUSAN SIMBANGU</t>
  </si>
  <si>
    <t>ALFRENDI LEONARD TANGGI</t>
  </si>
  <si>
    <t>WASHING MAN</t>
  </si>
  <si>
    <t>ALFRETH ALVIAN TIAKI</t>
  </si>
  <si>
    <t>[0101199001] Monita Febyanti</t>
  </si>
  <si>
    <t>ALKHISER M. LUMIMPUO</t>
  </si>
  <si>
    <t>FOREMAN KENDARAAN</t>
  </si>
  <si>
    <t>ALVIANUS DUMA'</t>
  </si>
  <si>
    <t>ALYMUDDIN TAMBA</t>
  </si>
  <si>
    <t>AMAL RAIS</t>
  </si>
  <si>
    <t>AMBO IRI</t>
  </si>
  <si>
    <t>AMBO ULENG</t>
  </si>
  <si>
    <t>DRIVER DT H700ZS</t>
  </si>
  <si>
    <t>AMINUDDIN</t>
  </si>
  <si>
    <t>[0305210064] JACKSON MATHINDAS</t>
  </si>
  <si>
    <t>AMIRUDDIN</t>
  </si>
  <si>
    <t>01.1120.9011</t>
  </si>
  <si>
    <t>ANDHIKA RATNASARI POBELA</t>
  </si>
  <si>
    <t>[0206189004] ALFRETH ALVIAN TIAKI</t>
  </si>
  <si>
    <t>ANDI</t>
  </si>
  <si>
    <t>ANDI ARIFIN</t>
  </si>
  <si>
    <t>ANDI B.</t>
  </si>
  <si>
    <t>ANDI HAMRIN</t>
  </si>
  <si>
    <t>ANDI WISANDI</t>
  </si>
  <si>
    <t>ANDILLA</t>
  </si>
  <si>
    <t>OPERATOR ADT</t>
  </si>
  <si>
    <t>ANDRE MINTI</t>
  </si>
  <si>
    <t>DRIVER DT</t>
  </si>
  <si>
    <t>ANDRE WILLIAM MANUSIWA</t>
  </si>
  <si>
    <t>HELPER FUEL</t>
  </si>
  <si>
    <t>ANDRI S. TARIFUDDIN</t>
  </si>
  <si>
    <t>ANGGI SIR HERYANTO</t>
  </si>
  <si>
    <t>ANI NURAINI</t>
  </si>
  <si>
    <t>STOCKER</t>
  </si>
  <si>
    <t>ANIL</t>
  </si>
  <si>
    <t>OFFICE BOY</t>
  </si>
  <si>
    <t>ANNA GLORIA SOMALINGGI</t>
  </si>
  <si>
    <t>ADMIN MPE</t>
  </si>
  <si>
    <t>ANSHAR</t>
  </si>
  <si>
    <t>ANTONIUS</t>
  </si>
  <si>
    <t>ANTONIUS RUPANG</t>
  </si>
  <si>
    <t>APENDI</t>
  </si>
  <si>
    <t>AQIL</t>
  </si>
  <si>
    <t>ARAFNAL</t>
  </si>
  <si>
    <t>ARDI</t>
  </si>
  <si>
    <t>ARDIAN</t>
  </si>
  <si>
    <t>ARDIANSYAH</t>
  </si>
  <si>
    <t>HELPER MECHANIC MAINTENANCE</t>
  </si>
  <si>
    <t>ARHAM</t>
  </si>
  <si>
    <t>HELPER MEKANIK</t>
  </si>
  <si>
    <t>ARIADI TURUSI</t>
  </si>
  <si>
    <t>ARIAI</t>
  </si>
  <si>
    <t>ARIEF MOWOSE</t>
  </si>
  <si>
    <t>ARIS</t>
  </si>
  <si>
    <t>ARIZAL</t>
  </si>
  <si>
    <t>ARLIANUS DAGUL</t>
  </si>
  <si>
    <t>CREW PREPARASI</t>
  </si>
  <si>
    <t>[0107201164] A.CHRISTI ARI WIBOWO</t>
  </si>
  <si>
    <t>ARMANSYAH</t>
  </si>
  <si>
    <t>ARSYAD</t>
  </si>
  <si>
    <t>ASKRA</t>
  </si>
  <si>
    <t>ASRIADY</t>
  </si>
  <si>
    <t>ASRIANTO</t>
  </si>
  <si>
    <t>ASRIN AHIMA</t>
  </si>
  <si>
    <t>ASRUL</t>
  </si>
  <si>
    <t>ASRUL SANDI</t>
  </si>
  <si>
    <t>ASSE</t>
  </si>
  <si>
    <t>ASTITI RAHAYU</t>
  </si>
  <si>
    <t>TREASURY (KASIR)</t>
  </si>
  <si>
    <t>AWALUDIN</t>
  </si>
  <si>
    <t>AWALUDIN MASAHENGKE</t>
  </si>
  <si>
    <t>SECURITY</t>
  </si>
  <si>
    <t>[0108221664] DEVI SIMAN</t>
  </si>
  <si>
    <t>AYUB</t>
  </si>
  <si>
    <t>Administrator</t>
  </si>
  <si>
    <t>BAHARUDDIN</t>
  </si>
  <si>
    <t>BAHARUDIN</t>
  </si>
  <si>
    <t>BAHRI</t>
  </si>
  <si>
    <t>BAKRI</t>
  </si>
  <si>
    <t>BAMBANG</t>
  </si>
  <si>
    <t>BARTOLOMEUS</t>
  </si>
  <si>
    <t>BENO SANDA TODING</t>
  </si>
  <si>
    <t>BENYAMIN BUTTU</t>
  </si>
  <si>
    <t>BOBBY TUMBOL</t>
  </si>
  <si>
    <t>BOBI YAENTU</t>
  </si>
  <si>
    <t>HEAD OF WELDER</t>
  </si>
  <si>
    <t>BUNASE</t>
  </si>
  <si>
    <t>BUSMAN</t>
  </si>
  <si>
    <t>BUSTAN</t>
  </si>
  <si>
    <t>CHANDRA KRISTOVEL LORE</t>
  </si>
  <si>
    <t>CORNELIUS RANNU RASYD</t>
  </si>
  <si>
    <t>CRISMAN PAMUSU</t>
  </si>
  <si>
    <t>DAHLAN BIN RABBI</t>
  </si>
  <si>
    <t>DANDI SAPUTRA</t>
  </si>
  <si>
    <t>HELPER MAINTENANCE</t>
  </si>
  <si>
    <t>DANIEL BENY MANTOUW</t>
  </si>
  <si>
    <t>DANIEL SAMPE TODING</t>
  </si>
  <si>
    <t>DANIEL TABANG</t>
  </si>
  <si>
    <t>DARMAN</t>
  </si>
  <si>
    <t>DASNAL PUTRA LANGGARA</t>
  </si>
  <si>
    <t>DAVID</t>
  </si>
  <si>
    <t>DEDI YUDHA K. T</t>
  </si>
  <si>
    <t>ADMIN WORKSHOP</t>
  </si>
  <si>
    <t>[0107150010] RINI PALINGGI,ST</t>
  </si>
  <si>
    <t>DEFRI AFRIANSA RETEA</t>
  </si>
  <si>
    <t>DELVIYANTO PERUPA</t>
  </si>
  <si>
    <t>DENI PENGKE</t>
  </si>
  <si>
    <t>DENIEL MOSIPATE</t>
  </si>
  <si>
    <t>DERIKSON LAUGI</t>
  </si>
  <si>
    <t>KOORDINATOR MAINTENANCE</t>
  </si>
  <si>
    <t>DEVERSON BUGI</t>
  </si>
  <si>
    <t>DEVI SIMAN</t>
  </si>
  <si>
    <t>HEAD OF SECURITY</t>
  </si>
  <si>
    <t>DEWA NYOMAN ARIWINATA</t>
  </si>
  <si>
    <t>DIVATD AGRISTO POLOWIWI</t>
  </si>
  <si>
    <t>DOMINGGUS</t>
  </si>
  <si>
    <t>DOMINGGUS PATIUNG</t>
  </si>
  <si>
    <t>DOMINIKUS MITEN LARANTUKAN</t>
  </si>
  <si>
    <t>HEAD OF FUEL</t>
  </si>
  <si>
    <t>DONI ARDIYANSAH</t>
  </si>
  <si>
    <t>DORIS TIKU PADANG</t>
  </si>
  <si>
    <t>STAF HUBUNGAN INDUSTRIAL</t>
  </si>
  <si>
    <t>DUAR KASWANDAR</t>
  </si>
  <si>
    <t>DWI RIANTO PANIDI PUTRA</t>
  </si>
  <si>
    <t>EDUARDUS KUTENG</t>
  </si>
  <si>
    <t>EDUARDUS NARANG</t>
  </si>
  <si>
    <t>OPERATOR COMPACTOR</t>
  </si>
  <si>
    <t>EFENDY</t>
  </si>
  <si>
    <t>EFRAN RARE'A</t>
  </si>
  <si>
    <t>EFRONIUS TEOK</t>
  </si>
  <si>
    <t>EKELESIA BALIGOMBO</t>
  </si>
  <si>
    <t>EKI SURAHMAN</t>
  </si>
  <si>
    <t>EKKI HIDIN</t>
  </si>
  <si>
    <t>EKY SIDIK PRATAMA, ST</t>
  </si>
  <si>
    <t>HEAD OF PPC</t>
  </si>
  <si>
    <t>03.0619.9010</t>
  </si>
  <si>
    <t>EL YASIB SAMAILI</t>
  </si>
  <si>
    <t>ELIM SIMON BIU</t>
  </si>
  <si>
    <t>ELSA SABE</t>
  </si>
  <si>
    <t>EMMA FEBRIANTI SINU</t>
  </si>
  <si>
    <t>EMMY</t>
  </si>
  <si>
    <t>ERNIE FRISLIA</t>
  </si>
  <si>
    <t>HEAD OF HRGA</t>
  </si>
  <si>
    <t>[101190758] ERWIN PASALI</t>
  </si>
  <si>
    <t>ERNUS ESAN</t>
  </si>
  <si>
    <t>ERWIN</t>
  </si>
  <si>
    <t>ERWIN PASALI</t>
  </si>
  <si>
    <t>ERWIN SAPA</t>
  </si>
  <si>
    <t>FIELD ENGINEERING</t>
  </si>
  <si>
    <t>ERWINSYAH LAMBEJA</t>
  </si>
  <si>
    <t>FOREMAN GRADE CONTROL</t>
  </si>
  <si>
    <t>EVANTINUS IRWANDI MAHAL</t>
  </si>
  <si>
    <t>EVERSON LONTOE</t>
  </si>
  <si>
    <t>EVIL HARIANTO</t>
  </si>
  <si>
    <t>FADLI KUSDIATNO SIMBANGU</t>
  </si>
  <si>
    <t>HELPER BODY REPAIR</t>
  </si>
  <si>
    <t>FAIZAL RAMADHAN BAKRI</t>
  </si>
  <si>
    <t>ELECTRICIAN</t>
  </si>
  <si>
    <t>FAJA</t>
  </si>
  <si>
    <t>FAJAR BASRI</t>
  </si>
  <si>
    <t>STAFF GA</t>
  </si>
  <si>
    <t>FALDI HULOPI</t>
  </si>
  <si>
    <t>FARID S. NENTO</t>
  </si>
  <si>
    <t>FELISINO VINCENSIUS NAHAK</t>
  </si>
  <si>
    <t>ENGINEERING</t>
  </si>
  <si>
    <t>INFRASTRUKTUR</t>
  </si>
  <si>
    <t>FERDIANSYAH</t>
  </si>
  <si>
    <t>FERDINANDUS EGU</t>
  </si>
  <si>
    <t>FERIYANTO</t>
  </si>
  <si>
    <t>FERNANDA ALI CAKRAWANGSA</t>
  </si>
  <si>
    <t>CREW LOGISTIK</t>
  </si>
  <si>
    <t>LOGISTIC</t>
  </si>
  <si>
    <t>[0109170014] JENES R. MANOPPO</t>
  </si>
  <si>
    <t>FERRY FERNANDO NABABAN</t>
  </si>
  <si>
    <t>FIRMANSYAH</t>
  </si>
  <si>
    <t>ADMIN PRODUKSI</t>
  </si>
  <si>
    <t>FIRMANSYAH AJINU</t>
  </si>
  <si>
    <t>FOLCERIYANTO MUSA</t>
  </si>
  <si>
    <t>FORAL Z MAMARASI</t>
  </si>
  <si>
    <t>FRA.</t>
  </si>
  <si>
    <t>FRAIM VEKY MANITU</t>
  </si>
  <si>
    <t>FRAJA DANDURU</t>
  </si>
  <si>
    <t>FRANGKI STENLY LADAEE</t>
  </si>
  <si>
    <t>FRANKY TENGKENDE</t>
  </si>
  <si>
    <t>FRANSISKUS AHMAD</t>
  </si>
  <si>
    <t>FREGI YUNILSON LAGANI</t>
  </si>
  <si>
    <t>FRETS BADU</t>
  </si>
  <si>
    <t>GANDENSIUS RAMAN</t>
  </si>
  <si>
    <t>GEDE HERY JULIANTARA</t>
  </si>
  <si>
    <t>[0102150008] ERWIN SAPA</t>
  </si>
  <si>
    <t>GERALDY EICMAN LAKIU</t>
  </si>
  <si>
    <t>GERALDY HISKIA OROH</t>
  </si>
  <si>
    <t>GERSON MAABUAT</t>
  </si>
  <si>
    <t>HELPER WELDER</t>
  </si>
  <si>
    <t>GILBERT ANTHONIO PANGAI</t>
  </si>
  <si>
    <t>GUNANTO</t>
  </si>
  <si>
    <t>GUNAWAN</t>
  </si>
  <si>
    <t>CREW EXPLORASI</t>
  </si>
  <si>
    <t>GUSTAF BILHAM MOPASU</t>
  </si>
  <si>
    <t>GUSTI RANDA HUSAIN</t>
  </si>
  <si>
    <t>HAIRIL</t>
  </si>
  <si>
    <t>HAMDAN ALI</t>
  </si>
  <si>
    <t>HAMDI, A. Md</t>
  </si>
  <si>
    <t>HANI LARASATI</t>
  </si>
  <si>
    <t>ADMIN LOGISTIC</t>
  </si>
  <si>
    <t>HARDIAN AKANGKUNG</t>
  </si>
  <si>
    <t>HARIYANTO</t>
  </si>
  <si>
    <t>HARTONI LAPIAN</t>
  </si>
  <si>
    <t>SUPERVISI</t>
  </si>
  <si>
    <t>HARYADI ABDUL RAHIM</t>
  </si>
  <si>
    <t>HASAN LAATA</t>
  </si>
  <si>
    <t>HASAN SYAMSUDIN</t>
  </si>
  <si>
    <t>[0103110065] DOMINIKUS MITEN LARANTUKAN</t>
  </si>
  <si>
    <t>HASRUL</t>
  </si>
  <si>
    <t>HEIRUDDIN CHAIRIL</t>
  </si>
  <si>
    <t>HELIUS SALDINUS SERVIN NDAHU</t>
  </si>
  <si>
    <t>HENDRA</t>
  </si>
  <si>
    <t>DRIVER BUS</t>
  </si>
  <si>
    <t>HENDRA GUNAWAN DEWANTO</t>
  </si>
  <si>
    <t>HENDRAWAN</t>
  </si>
  <si>
    <t>HENDRIK</t>
  </si>
  <si>
    <t>HENDRIK SUBIA</t>
  </si>
  <si>
    <t>HENDRO</t>
  </si>
  <si>
    <t>HENIMUS YONSI</t>
  </si>
  <si>
    <t>HENITARDUS JURIMAN</t>
  </si>
  <si>
    <t>HERI ISWANTO</t>
  </si>
  <si>
    <t>HERLAN ABRIANTO SADAGO</t>
  </si>
  <si>
    <t>HERMIN LIA POLEALLO</t>
  </si>
  <si>
    <t>HERRY SUTRISNO</t>
  </si>
  <si>
    <t>MEKANIK LV</t>
  </si>
  <si>
    <t>HOTLAN FIRMANSIA TUKKA</t>
  </si>
  <si>
    <t>I NYOMAN RAI ANGGARA PUTRA</t>
  </si>
  <si>
    <t>01.1120.9010</t>
  </si>
  <si>
    <t>I PUTU PARI SUTRISNA</t>
  </si>
  <si>
    <t>ACCOUNTING</t>
  </si>
  <si>
    <t>I WAYAN RUDI YASTAWA</t>
  </si>
  <si>
    <t>IBRAHIM</t>
  </si>
  <si>
    <t>ICCANG</t>
  </si>
  <si>
    <t>IDRUS</t>
  </si>
  <si>
    <t>IGNASIUS YANTO SAKA</t>
  </si>
  <si>
    <t>IHSAN</t>
  </si>
  <si>
    <t>IKBAL</t>
  </si>
  <si>
    <t>IKSAN RUAKAU</t>
  </si>
  <si>
    <t>HELPER ELECTRICIAN</t>
  </si>
  <si>
    <t>ILHAM</t>
  </si>
  <si>
    <t>IMANUEL MONANGU</t>
  </si>
  <si>
    <t>WELDER</t>
  </si>
  <si>
    <t>IMER ABDI PUTRA TANDI LEMBANG</t>
  </si>
  <si>
    <t>INANG MARWATI</t>
  </si>
  <si>
    <t>INDO DARMA PETUNA</t>
  </si>
  <si>
    <t>OPERATOR LOADER</t>
  </si>
  <si>
    <t>IQBAR</t>
  </si>
  <si>
    <t>IRFAN</t>
  </si>
  <si>
    <t>ADMIN KENDARAAN</t>
  </si>
  <si>
    <t>IRFIAN LIANSYAH</t>
  </si>
  <si>
    <t>IRRA APRILIA CITRA</t>
  </si>
  <si>
    <t>ASISTEN MPE</t>
  </si>
  <si>
    <t>IRWAN</t>
  </si>
  <si>
    <t>IRYANTO SARES DAKURI</t>
  </si>
  <si>
    <t>ISKANDAR</t>
  </si>
  <si>
    <t>ISKARI</t>
  </si>
  <si>
    <t>ISMAIL</t>
  </si>
  <si>
    <t>OPERATOR GRADER</t>
  </si>
  <si>
    <t>ISMAN.M</t>
  </si>
  <si>
    <t>ISRUN AKANGKUNG</t>
  </si>
  <si>
    <t>ISWANDI</t>
  </si>
  <si>
    <t>JABAL</t>
  </si>
  <si>
    <t>JABL</t>
  </si>
  <si>
    <t>JAIN RAMDIANTO LUMOTO</t>
  </si>
  <si>
    <t>JAINAL TURUSI</t>
  </si>
  <si>
    <t>JAMALUDDIN</t>
  </si>
  <si>
    <t>JAMALUDDIN TALAMOA</t>
  </si>
  <si>
    <t>JAMALUDDIN. A</t>
  </si>
  <si>
    <t>JAMER SONGKO</t>
  </si>
  <si>
    <t>JASMAN</t>
  </si>
  <si>
    <t>JEANETTE HANNA IRENE WATUNA</t>
  </si>
  <si>
    <t>JEMRIS MENGGAU</t>
  </si>
  <si>
    <t>JENES R. MANOPPO</t>
  </si>
  <si>
    <t>HEAD OF LOGISTIC</t>
  </si>
  <si>
    <t>JESHUA EFRAEL</t>
  </si>
  <si>
    <t>02.0722.9007</t>
  </si>
  <si>
    <t>JESSIKA SETIAWAN</t>
  </si>
  <si>
    <t>JONI PESE</t>
  </si>
  <si>
    <t>JONI SALI</t>
  </si>
  <si>
    <t>JONI TAPPI</t>
  </si>
  <si>
    <t>JOYNAL SIMON</t>
  </si>
  <si>
    <t>JUFRY KOMALING</t>
  </si>
  <si>
    <t>HEAD OF TYRE</t>
  </si>
  <si>
    <t>JUNAIDI</t>
  </si>
  <si>
    <t>JUPRIANTO SAPUTRA</t>
  </si>
  <si>
    <t>JUSMAIL</t>
  </si>
  <si>
    <t>JUSRAN</t>
  </si>
  <si>
    <t>KADIR DG. KULLE</t>
  </si>
  <si>
    <t>KAHARUDDIN</t>
  </si>
  <si>
    <t>KAMARUDDIN</t>
  </si>
  <si>
    <t>KAMARUDDIN DG BUNDU</t>
  </si>
  <si>
    <t>KAROLIUS SEDA</t>
  </si>
  <si>
    <t>KAROLUS SEDA</t>
  </si>
  <si>
    <t>KAYSAR</t>
  </si>
  <si>
    <t>KERYO SAMANA</t>
  </si>
  <si>
    <t>KHAERUL SAPUTRA</t>
  </si>
  <si>
    <t>DRIVER MAINTENANCE</t>
  </si>
  <si>
    <t>KRISTIAN DWI JAYANTO</t>
  </si>
  <si>
    <t>LANTIF SUSENO</t>
  </si>
  <si>
    <t>LEFRAN PANGATI</t>
  </si>
  <si>
    <t>LESLI RENGKU</t>
  </si>
  <si>
    <t>LEXSY SUMBUNG</t>
  </si>
  <si>
    <t>LUDIA ASRI SIAMPA</t>
  </si>
  <si>
    <t>M. AKBAR</t>
  </si>
  <si>
    <t>M. NASIR YALE</t>
  </si>
  <si>
    <t>MAHALI BIN AHMAD</t>
  </si>
  <si>
    <t>MAING</t>
  </si>
  <si>
    <t>MARC</t>
  </si>
  <si>
    <t>MARCHO FRITS WOTULO</t>
  </si>
  <si>
    <t>MARDI</t>
  </si>
  <si>
    <t>MARIONO</t>
  </si>
  <si>
    <t>MARKUS PADANG</t>
  </si>
  <si>
    <t>MARSEL MOA'E</t>
  </si>
  <si>
    <t>MARSELUS JEMI</t>
  </si>
  <si>
    <t>MARSUKI</t>
  </si>
  <si>
    <t>MARTHEN KALATIKU YUSAKA</t>
  </si>
  <si>
    <t>MARTHINUS</t>
  </si>
  <si>
    <t>MARTINUS</t>
  </si>
  <si>
    <t>MARYA SUSAN SIMBANGU</t>
  </si>
  <si>
    <t>HEAD OF STOCKER</t>
  </si>
  <si>
    <t>[0112201306] FROLIS LABIRO</t>
  </si>
  <si>
    <t>MAYKEL JULSINTO DEKE</t>
  </si>
  <si>
    <t>MELKHIOR TIPO</t>
  </si>
  <si>
    <t>MICHAEL JONAS THOMPSON FREDHYK KARUNDENG</t>
  </si>
  <si>
    <t>MIDUN HULOPI</t>
  </si>
  <si>
    <t>MIFTAHUDDIN, ST</t>
  </si>
  <si>
    <t>MILTO ASTEFANO MAGANIA</t>
  </si>
  <si>
    <t>MIRZAL</t>
  </si>
  <si>
    <t>MOCHAMMAD SOEBARQAH ANDI PASO</t>
  </si>
  <si>
    <t>MOH FEBRIANSYAH</t>
  </si>
  <si>
    <t>MOH. FARDIANSAH</t>
  </si>
  <si>
    <t>ASISTEN FOREMAN KENDARAAN</t>
  </si>
  <si>
    <t>MOH. RAMADHAN</t>
  </si>
  <si>
    <t>MOHAMMAD RUDITO WIDAGDO</t>
  </si>
  <si>
    <t>DEPUTY PM SUPPORT</t>
  </si>
  <si>
    <t>PROJECT MANAGER</t>
  </si>
  <si>
    <t>MOSES ALO</t>
  </si>
  <si>
    <t>MUCHLIS</t>
  </si>
  <si>
    <t>MUH ARIF</t>
  </si>
  <si>
    <t>MUH ARIF DG NOMBONG</t>
  </si>
  <si>
    <t>MUH IQRAM NUR</t>
  </si>
  <si>
    <t>MUH SYAFAAT</t>
  </si>
  <si>
    <t>MUH TAUFIK PARINGKUAN</t>
  </si>
  <si>
    <t>MUH. ALDI RIFALDI</t>
  </si>
  <si>
    <t>MUH. BASRI</t>
  </si>
  <si>
    <t>MUH. FAISAL</t>
  </si>
  <si>
    <t>MUH. HAIKAL ADITYA</t>
  </si>
  <si>
    <t>MUH. RIFKI RESA</t>
  </si>
  <si>
    <t>MUH. SAFIT</t>
  </si>
  <si>
    <t>MUH. TAKDIR</t>
  </si>
  <si>
    <t>MUHAMMAD CHAIRIL FATAHILLAH ACHMAD</t>
  </si>
  <si>
    <t>MUHAMMAD FATHUR RACHMAN</t>
  </si>
  <si>
    <t>MUHAMMAD NUSRI</t>
  </si>
  <si>
    <t>MUHAMMAD RANGGA</t>
  </si>
  <si>
    <t>MUHAMMAD YASIN</t>
  </si>
  <si>
    <t>MUKSIN</t>
  </si>
  <si>
    <t>MUPADLI</t>
  </si>
  <si>
    <t>MURDOV MAINTI</t>
  </si>
  <si>
    <t>MURFA</t>
  </si>
  <si>
    <t>MUSAKKAR</t>
  </si>
  <si>
    <t>Monita Febyanti</t>
  </si>
  <si>
    <t>NAFTALI RARE'A, ST</t>
  </si>
  <si>
    <t>HEAD OF VEHICLE</t>
  </si>
  <si>
    <t>NASAR</t>
  </si>
  <si>
    <t>NASRUN</t>
  </si>
  <si>
    <t>NATAN KONDO</t>
  </si>
  <si>
    <t>HEAD OF WORKSHOP</t>
  </si>
  <si>
    <t>NATANIEL</t>
  </si>
  <si>
    <t>[0107190958] DIPINTO TANGKAMBU</t>
  </si>
  <si>
    <t>NOFRI FERDIANTO</t>
  </si>
  <si>
    <t>NOLDI POHU</t>
  </si>
  <si>
    <t>NORCE LATONTJE</t>
  </si>
  <si>
    <t>NUGIE</t>
  </si>
  <si>
    <t>NULDIN LAEME</t>
  </si>
  <si>
    <t>NUR USMAN BOLIS</t>
  </si>
  <si>
    <t>NUR VERI FADLI</t>
  </si>
  <si>
    <t>NUR YASIN SIDENG</t>
  </si>
  <si>
    <t>NURUDDIN FACHRIE</t>
  </si>
  <si>
    <t>OKTAVIANUS ANDRO USU</t>
  </si>
  <si>
    <t>OKTAVIANUS MAAK</t>
  </si>
  <si>
    <t>OVERUS SEDA</t>
  </si>
  <si>
    <t>PAHARUDDIN DG NGALLE</t>
  </si>
  <si>
    <t>PARAHAN</t>
  </si>
  <si>
    <t>PASKALIS JUANCI OJO</t>
  </si>
  <si>
    <t>PAULUS LIKI</t>
  </si>
  <si>
    <t>PERDIANTO PALIU</t>
  </si>
  <si>
    <t>PETRUS SULE</t>
  </si>
  <si>
    <t>PRISILIA PESIK</t>
  </si>
  <si>
    <t>PRITS SIRODI</t>
  </si>
  <si>
    <t>PURNAWAN</t>
  </si>
  <si>
    <t>HEAD OF PRODUCTION</t>
  </si>
  <si>
    <t>PURNOMO</t>
  </si>
  <si>
    <t>PUTRA FAISAL UGAKA</t>
  </si>
  <si>
    <t>PUTRAWAN PADJO</t>
  </si>
  <si>
    <t>PUTRI NOVITASARI LAGI</t>
  </si>
  <si>
    <t>RAFLIN AHMAD</t>
  </si>
  <si>
    <t>RAHMAN SUKARDI</t>
  </si>
  <si>
    <t>DRIVER FUEL MPE</t>
  </si>
  <si>
    <t>RAHMAT</t>
  </si>
  <si>
    <t>RAHMAT EVENDI</t>
  </si>
  <si>
    <t>RAOLINUS HENDRO HATU</t>
  </si>
  <si>
    <t>RASMAN</t>
  </si>
  <si>
    <t>REGI ADITIA</t>
  </si>
  <si>
    <t>REGIS SAMARA</t>
  </si>
  <si>
    <t>RENAL</t>
  </si>
  <si>
    <t>RENALDI</t>
  </si>
  <si>
    <t>RESKI BULELA</t>
  </si>
  <si>
    <t>RESKIJAYANTI HAMDI, ST</t>
  </si>
  <si>
    <t>RESKY</t>
  </si>
  <si>
    <t>REZKY TIKU PASANG</t>
  </si>
  <si>
    <t>RIANI LOBO</t>
  </si>
  <si>
    <t>RIANSYAH RETY</t>
  </si>
  <si>
    <t>RICHARD VALDO SADURI</t>
  </si>
  <si>
    <t>RICKO KURNIAWAN TOII</t>
  </si>
  <si>
    <t>RIDWAN SITUJU</t>
  </si>
  <si>
    <t>RIFKI RUSMANTO LAPANDI</t>
  </si>
  <si>
    <t>RIKARDUS NOGOR</t>
  </si>
  <si>
    <t>RIKI ISMANTO</t>
  </si>
  <si>
    <t>RINI PALINGGI,ST</t>
  </si>
  <si>
    <t>MAINTENANCE PLANNER</t>
  </si>
  <si>
    <t>RINO OKTAFIANUS TIBE</t>
  </si>
  <si>
    <t>RISFAL</t>
  </si>
  <si>
    <t>RISKI S. RAJULAINI P.</t>
  </si>
  <si>
    <t>RIYAN</t>
  </si>
  <si>
    <t>RIZALDI</t>
  </si>
  <si>
    <t>ROBITUS NAMAT</t>
  </si>
  <si>
    <t>ROFIK</t>
  </si>
  <si>
    <t>ROFINUS</t>
  </si>
  <si>
    <t>ROGEL TEODRA</t>
  </si>
  <si>
    <t>ROI MASSODE</t>
  </si>
  <si>
    <t>ROMI RAHAMIS</t>
  </si>
  <si>
    <t>RONAL TODING</t>
  </si>
  <si>
    <t>RONALD STANLAY IMBING</t>
  </si>
  <si>
    <t>RONIUS FALLO</t>
  </si>
  <si>
    <t>ROSMAN SADAT</t>
  </si>
  <si>
    <t>ROSNIATI</t>
  </si>
  <si>
    <t>ROY BARAU</t>
  </si>
  <si>
    <t>RUSDI</t>
  </si>
  <si>
    <t>RUSDIANTO ASKAR</t>
  </si>
  <si>
    <t>RUSLAN KALLA</t>
  </si>
  <si>
    <t>RUSLI HULOPI</t>
  </si>
  <si>
    <t>RUSNI TAHER</t>
  </si>
  <si>
    <t>RUSTAM USULU</t>
  </si>
  <si>
    <t>Rieki Yulianto</t>
  </si>
  <si>
    <t>SAHRUL</t>
  </si>
  <si>
    <t>SAID PETAA</t>
  </si>
  <si>
    <t>SALDI</t>
  </si>
  <si>
    <t>SAMUEL PAPA</t>
  </si>
  <si>
    <t>SANDI</t>
  </si>
  <si>
    <t>SANI</t>
  </si>
  <si>
    <t>SAPRIADI DG MALLI</t>
  </si>
  <si>
    <t>SARLIN</t>
  </si>
  <si>
    <t>SARTI BARUNG</t>
  </si>
  <si>
    <t>SATRULLAH</t>
  </si>
  <si>
    <t>SELLY HANDOKO</t>
  </si>
  <si>
    <t>SEPNIM. E. BALEBU</t>
  </si>
  <si>
    <t>SEPRI DAUD PAJULA</t>
  </si>
  <si>
    <t>SERVUS GIANTO</t>
  </si>
  <si>
    <t>SESARIUS JAHUS</t>
  </si>
  <si>
    <t>SEWARDI</t>
  </si>
  <si>
    <t>SIDANG</t>
  </si>
  <si>
    <t>SIMON</t>
  </si>
  <si>
    <t>SINYO NAYOAN</t>
  </si>
  <si>
    <t>SIRAJUDDIN</t>
  </si>
  <si>
    <t>SLAMET PURWADI</t>
  </si>
  <si>
    <t>04.0522.9004</t>
  </si>
  <si>
    <t>SOFIA A. RUSLI</t>
  </si>
  <si>
    <t>SOFYAN MOTEE</t>
  </si>
  <si>
    <t>SOLEMAN LATONTJE TALAMOA</t>
  </si>
  <si>
    <t>SRIYANTI BUBEN</t>
  </si>
  <si>
    <t>ADMIN MAINTENANCE</t>
  </si>
  <si>
    <t>STANISLAUS MILUS</t>
  </si>
  <si>
    <t>STEEFALDY JUNIOR TAPPANG</t>
  </si>
  <si>
    <t>STEFANUS EKFRIS BURINTI</t>
  </si>
  <si>
    <t>STEPHANIE SHANIA HERLAMBANG</t>
  </si>
  <si>
    <t>STEVANUS RAMEGAU</t>
  </si>
  <si>
    <t>SUAIB MUNANDAR</t>
  </si>
  <si>
    <t>SUBRI KURNIAWAN</t>
  </si>
  <si>
    <t>SULTAN</t>
  </si>
  <si>
    <t>SUPARDI</t>
  </si>
  <si>
    <t>SUPARDIE</t>
  </si>
  <si>
    <t>SUPRIONO AMAL</t>
  </si>
  <si>
    <t>SUPRIYADI DG NAKKU</t>
  </si>
  <si>
    <t>SURIANTO</t>
  </si>
  <si>
    <t>SURIYADI</t>
  </si>
  <si>
    <t>SURONO</t>
  </si>
  <si>
    <t>SUSILO AFRIYANTO PETA'A</t>
  </si>
  <si>
    <t>[0103180405] ALKHISER M. LUMIMPUO</t>
  </si>
  <si>
    <t>SUTRIYANTO ARMAN S.</t>
  </si>
  <si>
    <t>SYABIR</t>
  </si>
  <si>
    <t>SYAHDANG KURNIAWAN</t>
  </si>
  <si>
    <t>SYAMSIR</t>
  </si>
  <si>
    <t>SYAMSUL</t>
  </si>
  <si>
    <t>TANDU</t>
  </si>
  <si>
    <t>OPERATOR BUBUT</t>
  </si>
  <si>
    <t>TAUFIK MUSJINJA</t>
  </si>
  <si>
    <t>TAUFIQ HIDAYAT</t>
  </si>
  <si>
    <t>THAMRIN LAIDA</t>
  </si>
  <si>
    <t>THEOFILUS KALENGKE</t>
  </si>
  <si>
    <t>THOMAS TARU</t>
  </si>
  <si>
    <t>Tiara Maharani</t>
  </si>
  <si>
    <t>UJANG SETIAWAN</t>
  </si>
  <si>
    <t>VENDLY TADJAMAWO</t>
  </si>
  <si>
    <t>VIKTOR RARE`A</t>
  </si>
  <si>
    <t>WAHYU</t>
  </si>
  <si>
    <t>WAHYU HADI PURNOMO</t>
  </si>
  <si>
    <t>WAWAN IBRAHIM</t>
  </si>
  <si>
    <t>ADMIN GRADE CONTROL</t>
  </si>
  <si>
    <t>WELYANTO POHU</t>
  </si>
  <si>
    <t>WENI PASAMBAKA</t>
  </si>
  <si>
    <t>WILHELMUS WAWO</t>
  </si>
  <si>
    <t>WILLIAM HANDRI O</t>
  </si>
  <si>
    <t>WIWIN</t>
  </si>
  <si>
    <t>ASISTEN SURVEYOR</t>
  </si>
  <si>
    <t>YAFET SUMBOUW</t>
  </si>
  <si>
    <t>YAKMAN SUMA</t>
  </si>
  <si>
    <t>YAKUB</t>
  </si>
  <si>
    <t>YALDI MAULANA GUMELAR</t>
  </si>
  <si>
    <t>YAMIN</t>
  </si>
  <si>
    <t>YAMTAR R</t>
  </si>
  <si>
    <t>YANCE EFENDI SOLEMAN NUSA</t>
  </si>
  <si>
    <t>YANIS OTOLUWA</t>
  </si>
  <si>
    <t>YASMIN AKUBA</t>
  </si>
  <si>
    <t>YATMAN F PANGANDE</t>
  </si>
  <si>
    <t>YAYAN DARMAWAN</t>
  </si>
  <si>
    <t>YAYAN SETIAWAN</t>
  </si>
  <si>
    <t>YETTI</t>
  </si>
  <si>
    <t>YOEL MALAENY</t>
  </si>
  <si>
    <t>YOHAN MAKABA</t>
  </si>
  <si>
    <t>YOHANES ARDINI EGOR</t>
  </si>
  <si>
    <t>YOHANES BAHARI</t>
  </si>
  <si>
    <t>YOHANES BONGGA</t>
  </si>
  <si>
    <t>YOHANES JEREMIAS BEA RIA</t>
  </si>
  <si>
    <t>YOHANIS PAMINNAKAN</t>
  </si>
  <si>
    <t>YOSNAR ALO</t>
  </si>
  <si>
    <t>YOSRI EFANDI NCAONG</t>
  </si>
  <si>
    <t>YUDAS BINDAU</t>
  </si>
  <si>
    <t>YULIUS LAPU</t>
  </si>
  <si>
    <t>YULIUS WALEWANGKO</t>
  </si>
  <si>
    <t>YULTIN TENGASE</t>
  </si>
  <si>
    <t>YUNUS</t>
  </si>
  <si>
    <t>HELPER BUBUT</t>
  </si>
  <si>
    <t>YUSRIN</t>
  </si>
  <si>
    <t>YUSTISIO YAYAN PRABOWO</t>
  </si>
  <si>
    <t>YUSUF</t>
  </si>
  <si>
    <t>YUSUF RENDY SOLONG</t>
  </si>
  <si>
    <t>ZAINIR A. KOROMPOT</t>
  </si>
  <si>
    <t>ZETH</t>
  </si>
  <si>
    <t>ZULKIFLI</t>
  </si>
  <si>
    <t>ZULKIPLI TAHERONG</t>
  </si>
  <si>
    <t>[0206241946] AHMAD ATKONI - 3566/APP/HRD/PKWT/VI/2024</t>
  </si>
  <si>
    <t>ID EMPLOYEE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</si>
</sst>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yy H:mm:ss"/>
    <numFmt numFmtId="165" formatCode="M/d/yyyy"/>
    <numFmt numFmtId="166" formatCode="hh:mm"/>
    <numFmt numFmtId="167" formatCode="h:mm:ss am/pm"/>
    <numFmt numFmtId="168" formatCode="mm/dd/yyyy"/>
    <numFmt numFmtId="169" formatCode="yyyy-mm-dd"/>
  </numFmts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i/>
      <sz val="9.0"/>
      <color theme="1"/>
      <name val="Arial"/>
      <scheme val="minor"/>
    </font>
    <font>
      <i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b/>
      <color theme="1"/>
      <name val="Arial"/>
    </font>
    <font>
      <color theme="1"/>
      <name val="Arial"/>
    </font>
    <font>
      <b/>
      <sz val="11.0"/>
      <color rgb="FF000000"/>
      <name val="Calibri"/>
    </font>
  </fonts>
  <fills count="18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D5A6BD"/>
        <bgColor rgb="FFD5A6BD"/>
      </patternFill>
    </fill>
    <fill>
      <patternFill patternType="solid">
        <fgColor rgb="FF89B0ED"/>
        <bgColor rgb="FF89B0ED"/>
      </patternFill>
    </fill>
    <fill>
      <patternFill patternType="solid">
        <fgColor rgb="FF9FCD8A"/>
        <bgColor rgb="FF9FCD8A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DD7E6B"/>
        <bgColor rgb="FFDD7E6B"/>
      </patternFill>
    </fill>
    <fill>
      <patternFill patternType="solid">
        <fgColor rgb="FFF3F3F3"/>
        <bgColor rgb="FFF3F3F3"/>
      </patternFill>
    </fill>
    <fill>
      <patternFill patternType="solid">
        <fgColor rgb="FFFFE0C1"/>
        <bgColor rgb="FFFFE0C1"/>
      </patternFill>
    </fill>
    <fill>
      <patternFill patternType="solid">
        <fgColor rgb="FFEAD1DC"/>
        <bgColor rgb="FFEAD1DC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readingOrder="0" vertical="center"/>
    </xf>
    <xf borderId="0" fillId="2" fontId="2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 vertical="center"/>
    </xf>
    <xf borderId="0" fillId="4" fontId="2" numFmtId="165" xfId="0" applyAlignment="1" applyFill="1" applyFont="1" applyNumberFormat="1">
      <alignment horizontal="center" readingOrder="0" vertical="center"/>
    </xf>
    <xf borderId="0" fillId="5" fontId="2" numFmtId="0" xfId="0" applyAlignment="1" applyFill="1" applyFont="1">
      <alignment horizontal="center" readingOrder="0" vertical="center"/>
    </xf>
    <xf borderId="0" fillId="6" fontId="2" numFmtId="0" xfId="0" applyAlignment="1" applyFill="1" applyFont="1">
      <alignment horizontal="center" readingOrder="0" vertical="center"/>
    </xf>
    <xf borderId="0" fillId="7" fontId="2" numFmtId="0" xfId="0" applyAlignment="1" applyFill="1" applyFont="1">
      <alignment horizontal="center" readingOrder="0" vertical="center"/>
    </xf>
    <xf borderId="0" fillId="8" fontId="2" numFmtId="0" xfId="0" applyAlignment="1" applyFill="1" applyFont="1">
      <alignment horizontal="center" readingOrder="0" vertical="center"/>
    </xf>
    <xf borderId="0" fillId="9" fontId="2" numFmtId="0" xfId="0" applyAlignment="1" applyFill="1" applyFont="1">
      <alignment horizontal="center" readingOrder="0" shrinkToFit="0" vertical="center" wrapText="1"/>
    </xf>
    <xf borderId="0" fillId="9" fontId="2" numFmtId="0" xfId="0" applyAlignment="1" applyFont="1">
      <alignment horizontal="center" readingOrder="0" shrinkToFit="0" vertical="center" wrapText="0"/>
    </xf>
    <xf borderId="0" fillId="10" fontId="2" numFmtId="0" xfId="0" applyAlignment="1" applyFill="1" applyFont="1">
      <alignment horizontal="center" readingOrder="0" vertical="center"/>
    </xf>
    <xf borderId="0" fillId="11" fontId="3" numFmtId="0" xfId="0" applyAlignment="1" applyFill="1" applyFont="1">
      <alignment horizontal="center" readingOrder="0" vertical="center"/>
    </xf>
    <xf borderId="0" fillId="12" fontId="3" numFmtId="0" xfId="0" applyAlignment="1" applyFill="1" applyFont="1">
      <alignment horizontal="center" readingOrder="0" shrinkToFit="0" vertical="center" wrapText="1"/>
    </xf>
    <xf borderId="0" fillId="13" fontId="3" numFmtId="165" xfId="0" applyAlignment="1" applyFill="1" applyFont="1" applyNumberFormat="1">
      <alignment horizontal="center" readingOrder="0" shrinkToFit="0" vertical="center" wrapText="1"/>
    </xf>
    <xf borderId="0" fillId="14" fontId="3" numFmtId="0" xfId="0" applyAlignment="1" applyFill="1" applyFont="1">
      <alignment horizontal="center" readingOrder="0" shrinkToFit="0" vertical="center" wrapText="1"/>
    </xf>
    <xf borderId="0" fillId="15" fontId="3" numFmtId="0" xfId="0" applyAlignment="1" applyFill="1" applyFont="1">
      <alignment horizontal="center" readingOrder="0" shrinkToFit="0" vertical="center" wrapText="1"/>
    </xf>
    <xf borderId="0" fillId="16" fontId="3" numFmtId="0" xfId="0" applyAlignment="1" applyFill="1" applyFont="1">
      <alignment horizontal="center" readingOrder="0" shrinkToFit="0" vertical="center" wrapText="1"/>
    </xf>
    <xf borderId="0" fillId="17" fontId="3" numFmtId="0" xfId="0" applyAlignment="1" applyFill="1" applyFont="1">
      <alignment horizontal="center" readingOrder="0" shrinkToFit="0" vertical="center" wrapText="1"/>
    </xf>
    <xf borderId="0" fillId="17" fontId="3" numFmtId="0" xfId="0" applyAlignment="1" applyFont="1">
      <alignment horizontal="center" readingOrder="0" shrinkToFit="0" vertical="center" wrapText="0"/>
    </xf>
    <xf borderId="0" fillId="10" fontId="4" numFmtId="0" xfId="0" applyAlignment="1" applyFont="1">
      <alignment horizontal="center" readingOrder="0" shrinkToFit="0" vertical="center" wrapText="1"/>
    </xf>
    <xf borderId="0" fillId="0" fontId="5" numFmtId="164" xfId="0" applyAlignment="1" applyFont="1" applyNumberFormat="1">
      <alignment horizontal="center" vertical="center"/>
    </xf>
    <xf borderId="0" fillId="0" fontId="6" numFmtId="0" xfId="0" applyAlignment="1" applyFont="1">
      <alignment shrinkToFit="0" vertical="center" wrapText="0"/>
    </xf>
    <xf borderId="0" fillId="0" fontId="6" numFmtId="0" xfId="0" applyAlignment="1" applyFont="1">
      <alignment horizontal="left" readingOrder="0" shrinkToFit="0" vertical="center" wrapText="0"/>
    </xf>
    <xf borderId="0" fillId="0" fontId="6" numFmtId="165" xfId="0" applyAlignment="1" applyFont="1" applyNumberFormat="1">
      <alignment horizontal="center" readingOrder="0" shrinkToFit="0" vertical="center" wrapText="0"/>
    </xf>
    <xf borderId="0" fillId="0" fontId="6" numFmtId="166" xfId="0" applyAlignment="1" applyFont="1" applyNumberFormat="1">
      <alignment horizontal="center" readingOrder="0" shrinkToFit="0" vertical="center" wrapText="0"/>
    </xf>
    <xf borderId="0" fillId="0" fontId="6" numFmtId="20" xfId="0" applyAlignment="1" applyFont="1" applyNumberFormat="1">
      <alignment horizontal="center" readingOrder="0" shrinkToFit="0" vertical="center" wrapText="0"/>
    </xf>
    <xf borderId="0" fillId="0" fontId="5" numFmtId="166" xfId="0" applyAlignment="1" applyFont="1" applyNumberFormat="1">
      <alignment horizontal="center" vertical="center"/>
    </xf>
    <xf borderId="0" fillId="0" fontId="6" numFmtId="0" xfId="0" applyAlignment="1" applyFont="1">
      <alignment horizontal="center" readingOrder="0" shrinkToFit="0" vertical="center" wrapText="0"/>
    </xf>
    <xf borderId="0" fillId="0" fontId="6" numFmtId="0" xfId="0" applyAlignment="1" applyFont="1">
      <alignment readingOrder="0" shrinkToFit="0" vertical="center" wrapText="1"/>
    </xf>
    <xf borderId="0" fillId="0" fontId="5" numFmtId="0" xfId="0" applyAlignment="1" applyFont="1">
      <alignment horizontal="center" readingOrder="0" shrinkToFit="0" vertical="center" wrapText="0"/>
    </xf>
    <xf borderId="0" fillId="0" fontId="5" numFmtId="167" xfId="0" applyAlignment="1" applyFont="1" applyNumberFormat="1">
      <alignment horizontal="center" vertical="center"/>
    </xf>
    <xf borderId="0" fillId="0" fontId="6" numFmtId="0" xfId="0" applyAlignment="1" applyFont="1">
      <alignment readingOrder="0" shrinkToFit="0" vertical="center" wrapText="0"/>
    </xf>
    <xf borderId="0" fillId="0" fontId="6" numFmtId="21" xfId="0" applyAlignment="1" applyFont="1" applyNumberFormat="1">
      <alignment horizontal="center" readingOrder="0" shrinkToFit="0" vertical="center" wrapText="0"/>
    </xf>
    <xf borderId="0" fillId="0" fontId="6" numFmtId="166" xfId="0" applyAlignment="1" applyFont="1" applyNumberFormat="1">
      <alignment horizontal="center" shrinkToFit="0" vertical="center" wrapText="0"/>
    </xf>
    <xf borderId="0" fillId="0" fontId="6" numFmtId="0" xfId="0" applyAlignment="1" applyFont="1">
      <alignment shrinkToFit="0" vertical="center" wrapText="0"/>
    </xf>
    <xf borderId="0" fillId="0" fontId="6" numFmtId="0" xfId="0" applyAlignment="1" applyFont="1">
      <alignment horizontal="right" readingOrder="0" shrinkToFit="0" vertical="center" wrapText="1"/>
    </xf>
    <xf borderId="0" fillId="0" fontId="6" numFmtId="168" xfId="0" applyAlignment="1" applyFont="1" applyNumberFormat="1">
      <alignment horizontal="center" readingOrder="0" shrinkToFit="0" vertical="center" wrapText="0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vertical="center"/>
    </xf>
    <xf borderId="0" fillId="0" fontId="5" numFmtId="167" xfId="0" applyAlignment="1" applyFont="1" applyNumberFormat="1">
      <alignment horizontal="center" shrinkToFit="0" vertical="center" wrapText="0"/>
    </xf>
    <xf quotePrefix="1" borderId="0" fillId="0" fontId="6" numFmtId="0" xfId="0" applyAlignment="1" applyFont="1">
      <alignment horizontal="center" readingOrder="0" shrinkToFit="0" vertical="center" wrapText="1"/>
    </xf>
    <xf borderId="0" fillId="0" fontId="7" numFmtId="0" xfId="0" applyFont="1"/>
    <xf borderId="0" fillId="0" fontId="7" numFmtId="165" xfId="0" applyAlignment="1" applyFont="1" applyNumberFormat="1">
      <alignment horizontal="center"/>
    </xf>
    <xf borderId="0" fillId="0" fontId="7" numFmtId="165" xfId="0" applyAlignment="1" applyFont="1" applyNumberFormat="1">
      <alignment horizontal="center" vertical="bottom"/>
    </xf>
    <xf borderId="0" fillId="0" fontId="7" numFmtId="165" xfId="0" applyAlignment="1" applyFont="1" applyNumberFormat="1">
      <alignment horizontal="center" readingOrder="0" vertical="bottom"/>
    </xf>
    <xf borderId="0" fillId="2" fontId="8" numFmtId="0" xfId="0" applyAlignment="1" applyFont="1">
      <alignment horizontal="center" vertical="center"/>
    </xf>
    <xf borderId="0" fillId="7" fontId="8" numFmtId="0" xfId="0" applyAlignment="1" applyFont="1">
      <alignment horizontal="center" vertical="center"/>
    </xf>
    <xf borderId="0" fillId="6" fontId="8" numFmtId="0" xfId="0" applyAlignment="1" applyFont="1">
      <alignment horizontal="center" vertical="center"/>
    </xf>
    <xf borderId="0" fillId="8" fontId="8" numFmtId="0" xfId="0" applyAlignment="1" applyFont="1">
      <alignment horizontal="center" readingOrder="0" vertical="center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center"/>
    </xf>
    <xf borderId="0" fillId="0" fontId="9" numFmtId="0" xfId="0" applyAlignment="1" applyFont="1">
      <alignment readingOrder="0"/>
    </xf>
    <xf borderId="0" fillId="0" fontId="9" numFmtId="0" xfId="0" applyAlignment="1" applyFont="1">
      <alignment readingOrder="0" vertical="bottom"/>
    </xf>
    <xf borderId="0" fillId="0" fontId="9" numFmtId="0" xfId="0" applyFont="1"/>
    <xf borderId="0" fillId="0" fontId="9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10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vertical="bottom"/>
    </xf>
    <xf borderId="0" fillId="0" fontId="6" numFmtId="169" xfId="0" applyAlignment="1" applyFont="1" applyNumberFormat="1">
      <alignment horizontal="right" readingOrder="0" vertical="bottom"/>
    </xf>
    <xf borderId="0" fillId="0" fontId="6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8" numFmtId="0" xfId="0" applyAlignment="1" applyFont="1">
      <alignment horizontal="center" vertical="center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left" vertical="center"/>
    </xf>
    <xf borderId="0" fillId="0" fontId="5" numFmtId="169" xfId="0" applyAlignment="1" applyFont="1" applyNumberFormat="1">
      <alignment horizontal="left"/>
    </xf>
    <xf borderId="0" fillId="0" fontId="9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hidden="1" min="1" max="1" width="28.0"/>
    <col customWidth="1" min="2" max="2" width="47.88"/>
    <col customWidth="1" min="3" max="5" width="23.63"/>
    <col customWidth="1" min="6" max="7" width="18.63"/>
    <col customWidth="1" min="8" max="8" width="22.25"/>
    <col customWidth="1" min="9" max="9" width="22.88"/>
    <col customWidth="1" min="10" max="10" width="51.38"/>
    <col customWidth="1" hidden="1" min="11" max="11" width="18.0"/>
    <col customWidth="1" min="12" max="12" width="25.5"/>
  </cols>
  <sheetData>
    <row r="1" ht="26.2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</row>
    <row r="2">
      <c r="B2" s="12" t="s">
        <v>12</v>
      </c>
      <c r="C2" s="13" t="s">
        <v>13</v>
      </c>
      <c r="D2" s="13"/>
      <c r="E2" s="14" t="s">
        <v>14</v>
      </c>
      <c r="F2" s="15" t="s">
        <v>15</v>
      </c>
      <c r="H2" s="16" t="s">
        <v>16</v>
      </c>
      <c r="I2" s="17" t="s">
        <v>17</v>
      </c>
      <c r="J2" s="18" t="s">
        <v>18</v>
      </c>
      <c r="K2" s="19"/>
      <c r="L2" s="20" t="s">
        <v>19</v>
      </c>
    </row>
    <row r="3">
      <c r="A3" s="21" t="str">
        <f t="shared" ref="A3:A5793" si="1">IFS(B3="","",A3="",NOW(),TRUE,A3)</f>
        <v/>
      </c>
      <c r="B3" s="22"/>
      <c r="C3" s="23" t="s">
        <v>20</v>
      </c>
      <c r="D3" s="23" t="s">
        <v>21</v>
      </c>
      <c r="E3" s="24">
        <v>45395.0</v>
      </c>
      <c r="F3" s="25">
        <v>0.2548611111111111</v>
      </c>
      <c r="G3" s="26">
        <v>0.6162268518518519</v>
      </c>
      <c r="H3" s="27">
        <f t="shared" ref="H3:H5793" si="2">iferror(if(OR(G3="",F3=""),"",G3-F3),"")</f>
        <v>0.3613657407</v>
      </c>
      <c r="I3" s="28">
        <v>0.0</v>
      </c>
      <c r="J3" s="29" t="s">
        <v>22</v>
      </c>
      <c r="K3" s="30" t="s">
        <v>23</v>
      </c>
      <c r="L3" s="31" t="str">
        <f>IFERROR(__xludf.DUMMYFUNCTION("IF(OR(E3="""",K3=""""),"""",IFERROR(IF(K3="""","""",query('tbl user'!$A$2:$D10975,""SELECT A WHERE D = '""&amp;K3&amp;""'"")),""USER TIDAK DIKETAHUI""))"),"#REF!")</f>
        <v>#REF!</v>
      </c>
    </row>
    <row r="4">
      <c r="A4" s="21" t="str">
        <f t="shared" si="1"/>
        <v/>
      </c>
      <c r="B4" s="22"/>
      <c r="C4" s="23" t="s">
        <v>20</v>
      </c>
      <c r="D4" s="23" t="s">
        <v>21</v>
      </c>
      <c r="E4" s="24">
        <v>45395.0</v>
      </c>
      <c r="F4" s="26">
        <v>0.2548611111111111</v>
      </c>
      <c r="G4" s="26">
        <v>0.6141435185185186</v>
      </c>
      <c r="H4" s="27">
        <f t="shared" si="2"/>
        <v>0.3592824074</v>
      </c>
      <c r="I4" s="28">
        <v>0.0</v>
      </c>
      <c r="J4" s="29" t="s">
        <v>22</v>
      </c>
      <c r="K4" s="30" t="s">
        <v>23</v>
      </c>
      <c r="L4" s="31" t="str">
        <f>IFERROR(__xludf.DUMMYFUNCTION("IF(OR(E4="""",K4=""""),"""",IFERROR(IF(K4="""","""",query('tbl user'!$A$2:$D10975,""SELECT A WHERE D = '""&amp;K4&amp;""'"")),""USER TIDAK DIKETAHUI""))"),"#REF!")</f>
        <v>#REF!</v>
      </c>
    </row>
    <row r="5">
      <c r="A5" s="21">
        <f t="shared" si="1"/>
        <v>0</v>
      </c>
      <c r="B5" s="32" t="s">
        <v>24</v>
      </c>
      <c r="C5" s="23" t="s">
        <v>25</v>
      </c>
      <c r="D5" s="23" t="s">
        <v>21</v>
      </c>
      <c r="E5" s="24">
        <v>45395.0</v>
      </c>
      <c r="F5" s="25">
        <v>0.2111111111111111</v>
      </c>
      <c r="G5" s="25">
        <v>0.692974537037037</v>
      </c>
      <c r="H5" s="27">
        <f t="shared" si="2"/>
        <v>0.4818634259</v>
      </c>
      <c r="I5" s="28">
        <v>1.0</v>
      </c>
      <c r="J5" s="29" t="s">
        <v>26</v>
      </c>
      <c r="K5" s="30" t="s">
        <v>23</v>
      </c>
      <c r="L5" s="31" t="str">
        <f>IFERROR(__xludf.DUMMYFUNCTION("IF(OR(E5="""",K5=""""),"""",IFERROR(IF(K5="""","""",query('tbl user'!$A$2:$D10975,""SELECT A WHERE D = '""&amp;K5&amp;""'"")),""USER TIDAK DIKETAHUI""))"),"#REF!")</f>
        <v>#REF!</v>
      </c>
    </row>
    <row r="6">
      <c r="A6" s="21" t="str">
        <f t="shared" si="1"/>
        <v/>
      </c>
      <c r="B6" s="22"/>
      <c r="C6" s="23" t="s">
        <v>27</v>
      </c>
      <c r="D6" s="23" t="s">
        <v>21</v>
      </c>
      <c r="E6" s="24">
        <v>45395.0</v>
      </c>
      <c r="F6" s="25">
        <v>0.29097222222222224</v>
      </c>
      <c r="G6" s="25">
        <v>0.4088541666666667</v>
      </c>
      <c r="H6" s="27">
        <f t="shared" si="2"/>
        <v>0.1178819444</v>
      </c>
      <c r="I6" s="28">
        <v>0.0</v>
      </c>
      <c r="J6" s="29" t="s">
        <v>28</v>
      </c>
      <c r="K6" s="30" t="s">
        <v>23</v>
      </c>
      <c r="L6" s="31" t="str">
        <f>IFERROR(__xludf.DUMMYFUNCTION("IF(OR(E6="""",K6=""""),"""",IFERROR(IF(K6="""","""",query('tbl user'!$A$2:$D10975,""SELECT A WHERE D = '""&amp;K6&amp;""'"")),""USER TIDAK DIKETAHUI""))"),"#REF!")</f>
        <v>#REF!</v>
      </c>
    </row>
    <row r="7">
      <c r="A7" s="21">
        <f t="shared" si="1"/>
        <v>0</v>
      </c>
      <c r="B7" s="32" t="s">
        <v>24</v>
      </c>
      <c r="C7" s="23" t="s">
        <v>25</v>
      </c>
      <c r="D7" s="23" t="s">
        <v>21</v>
      </c>
      <c r="E7" s="24">
        <v>45396.0</v>
      </c>
      <c r="F7" s="25">
        <v>0.3854166666666667</v>
      </c>
      <c r="G7" s="33">
        <v>0.6462731481481482</v>
      </c>
      <c r="H7" s="27">
        <f t="shared" si="2"/>
        <v>0.2608564815</v>
      </c>
      <c r="I7" s="28">
        <v>2.0</v>
      </c>
      <c r="J7" s="29" t="s">
        <v>29</v>
      </c>
      <c r="K7" s="30" t="s">
        <v>23</v>
      </c>
      <c r="L7" s="31" t="str">
        <f>IFERROR(__xludf.DUMMYFUNCTION("IF(OR(E7="""",K7=""""),"""",IFERROR(IF(K7="""","""",query('tbl user'!$A$2:$D10975,""SELECT A WHERE D = '""&amp;K7&amp;""'"")),""USER TIDAK DIKETAHUI""))"),"#REF!")</f>
        <v>#REF!</v>
      </c>
    </row>
    <row r="8">
      <c r="A8" s="21">
        <f t="shared" si="1"/>
        <v>0</v>
      </c>
      <c r="B8" s="32" t="s">
        <v>24</v>
      </c>
      <c r="C8" s="23" t="s">
        <v>25</v>
      </c>
      <c r="D8" s="23" t="s">
        <v>21</v>
      </c>
      <c r="E8" s="24">
        <v>45396.0</v>
      </c>
      <c r="F8" s="25">
        <v>0.3854166666666667</v>
      </c>
      <c r="G8" s="25">
        <v>0.5745601851851851</v>
      </c>
      <c r="H8" s="27">
        <f t="shared" si="2"/>
        <v>0.1891435185</v>
      </c>
      <c r="I8" s="28">
        <v>2.0</v>
      </c>
      <c r="J8" s="29" t="s">
        <v>29</v>
      </c>
      <c r="K8" s="30" t="s">
        <v>23</v>
      </c>
      <c r="L8" s="31" t="str">
        <f>IFERROR(__xludf.DUMMYFUNCTION("IF(OR(E8="""",K8=""""),"""",IFERROR(IF(K8="""","""",query('tbl user'!$A$2:$D10975,""SELECT A WHERE D = '""&amp;K8&amp;""'"")),""USER TIDAK DIKETAHUI""))"),"#REF!")</f>
        <v>#REF!</v>
      </c>
    </row>
    <row r="9">
      <c r="A9" s="21">
        <f t="shared" si="1"/>
        <v>0</v>
      </c>
      <c r="B9" s="32" t="s">
        <v>30</v>
      </c>
      <c r="C9" s="23" t="s">
        <v>31</v>
      </c>
      <c r="D9" s="23" t="s">
        <v>32</v>
      </c>
      <c r="E9" s="24">
        <v>45396.0</v>
      </c>
      <c r="F9" s="25">
        <v>0.21319444444444444</v>
      </c>
      <c r="G9" s="25">
        <v>0.6652430555555555</v>
      </c>
      <c r="H9" s="27">
        <f t="shared" si="2"/>
        <v>0.4520486111</v>
      </c>
      <c r="I9" s="28">
        <v>3.0</v>
      </c>
      <c r="J9" s="29" t="s">
        <v>33</v>
      </c>
      <c r="K9" s="30" t="s">
        <v>23</v>
      </c>
      <c r="L9" s="31" t="str">
        <f>IFERROR(__xludf.DUMMYFUNCTION("IF(OR(E9="""",K9=""""),"""",IFERROR(IF(K9="""","""",query('tbl user'!$A$2:$D10975,""SELECT A WHERE D = '""&amp;K9&amp;""'"")),""USER TIDAK DIKETAHUI""))"),"#REF!")</f>
        <v>#REF!</v>
      </c>
    </row>
    <row r="10">
      <c r="A10" s="21">
        <f t="shared" si="1"/>
        <v>0</v>
      </c>
      <c r="B10" s="32" t="s">
        <v>34</v>
      </c>
      <c r="C10" s="23" t="s">
        <v>35</v>
      </c>
      <c r="D10" s="23" t="s">
        <v>21</v>
      </c>
      <c r="E10" s="24">
        <v>45398.0</v>
      </c>
      <c r="F10" s="25">
        <v>0.28125</v>
      </c>
      <c r="G10" s="25">
        <v>0.6396180555555555</v>
      </c>
      <c r="H10" s="27">
        <f t="shared" si="2"/>
        <v>0.3583680556</v>
      </c>
      <c r="I10" s="28">
        <v>1.0</v>
      </c>
      <c r="J10" s="29" t="s">
        <v>36</v>
      </c>
      <c r="K10" s="30" t="s">
        <v>23</v>
      </c>
      <c r="L10" s="31" t="str">
        <f>IFERROR(__xludf.DUMMYFUNCTION("IF(OR(E10="""",K10=""""),"""",IFERROR(IF(K10="""","""",query('tbl user'!$A$2:$D10975,""SELECT A WHERE D = '""&amp;K10&amp;""'"")),""USER TIDAK DIKETAHUI""))"),"#REF!")</f>
        <v>#REF!</v>
      </c>
    </row>
    <row r="11">
      <c r="A11" s="21">
        <f t="shared" si="1"/>
        <v>0</v>
      </c>
      <c r="B11" s="32" t="s">
        <v>37</v>
      </c>
      <c r="C11" s="23" t="s">
        <v>38</v>
      </c>
      <c r="D11" s="23" t="s">
        <v>21</v>
      </c>
      <c r="E11" s="24">
        <v>45398.0</v>
      </c>
      <c r="F11" s="25">
        <v>0.2722222222222222</v>
      </c>
      <c r="G11" s="25">
        <v>0.6308101851851852</v>
      </c>
      <c r="H11" s="27">
        <f t="shared" si="2"/>
        <v>0.358587963</v>
      </c>
      <c r="I11" s="28">
        <v>2.0</v>
      </c>
      <c r="J11" s="29" t="s">
        <v>39</v>
      </c>
      <c r="K11" s="30" t="s">
        <v>23</v>
      </c>
      <c r="L11" s="31" t="str">
        <f>IFERROR(__xludf.DUMMYFUNCTION("IF(OR(E11="""",K11=""""),"""",IFERROR(IF(K11="""","""",query('tbl user'!$A$2:$D10975,""SELECT A WHERE D = '""&amp;K11&amp;""'"")),""USER TIDAK DIKETAHUI""))"),"#REF!")</f>
        <v>#REF!</v>
      </c>
    </row>
    <row r="12">
      <c r="A12" s="21">
        <f t="shared" si="1"/>
        <v>0</v>
      </c>
      <c r="B12" s="32" t="s">
        <v>40</v>
      </c>
      <c r="C12" s="23" t="s">
        <v>41</v>
      </c>
      <c r="D12" s="23" t="s">
        <v>32</v>
      </c>
      <c r="E12" s="24">
        <v>45398.0</v>
      </c>
      <c r="F12" s="25">
        <v>0.2625</v>
      </c>
      <c r="G12" s="25">
        <v>0.6175694444444444</v>
      </c>
      <c r="H12" s="27">
        <f t="shared" si="2"/>
        <v>0.3550694444</v>
      </c>
      <c r="I12" s="28">
        <v>3.0</v>
      </c>
      <c r="J12" s="29" t="s">
        <v>42</v>
      </c>
      <c r="K12" s="30" t="s">
        <v>23</v>
      </c>
      <c r="L12" s="31" t="str">
        <f>IFERROR(__xludf.DUMMYFUNCTION("IF(OR(E12="""",K12=""""),"""",IFERROR(IF(K12="""","""",query('tbl user'!$A$2:$D10975,""SELECT A WHERE D = '""&amp;K12&amp;""'"")),""USER TIDAK DIKETAHUI""))"),"#REF!")</f>
        <v>#REF!</v>
      </c>
    </row>
    <row r="13">
      <c r="A13" s="21">
        <f t="shared" si="1"/>
        <v>0</v>
      </c>
      <c r="B13" s="32" t="s">
        <v>43</v>
      </c>
      <c r="C13" s="23" t="s">
        <v>44</v>
      </c>
      <c r="D13" s="23" t="s">
        <v>21</v>
      </c>
      <c r="E13" s="24">
        <v>45399.0</v>
      </c>
      <c r="F13" s="25">
        <v>0.2763888888888889</v>
      </c>
      <c r="G13" s="25">
        <v>0.5974884259259259</v>
      </c>
      <c r="H13" s="27">
        <f t="shared" si="2"/>
        <v>0.321099537</v>
      </c>
      <c r="I13" s="28">
        <v>1.0</v>
      </c>
      <c r="J13" s="29" t="s">
        <v>45</v>
      </c>
      <c r="K13" s="30" t="s">
        <v>23</v>
      </c>
      <c r="L13" s="31" t="str">
        <f>IFERROR(__xludf.DUMMYFUNCTION("IF(OR(E13="""",K13=""""),"""",IFERROR(IF(K13="""","""",query('tbl user'!$A$2:$D10975,""SELECT A WHERE D = '""&amp;K13&amp;""'"")),""USER TIDAK DIKETAHUI""))"),"#REF!")</f>
        <v>#REF!</v>
      </c>
    </row>
    <row r="14">
      <c r="A14" s="21">
        <f t="shared" si="1"/>
        <v>0</v>
      </c>
      <c r="B14" s="32" t="s">
        <v>46</v>
      </c>
      <c r="C14" s="23" t="s">
        <v>47</v>
      </c>
      <c r="D14" s="23" t="s">
        <v>32</v>
      </c>
      <c r="E14" s="24">
        <v>45399.0</v>
      </c>
      <c r="F14" s="25">
        <v>0.26458333333333334</v>
      </c>
      <c r="G14" s="25">
        <v>0.5566898148148148</v>
      </c>
      <c r="H14" s="27">
        <f t="shared" si="2"/>
        <v>0.2921064815</v>
      </c>
      <c r="I14" s="28">
        <v>2.0</v>
      </c>
      <c r="J14" s="29" t="s">
        <v>48</v>
      </c>
      <c r="K14" s="30" t="s">
        <v>23</v>
      </c>
      <c r="L14" s="31" t="str">
        <f>IFERROR(__xludf.DUMMYFUNCTION("IF(OR(E14="""",K14=""""),"""",IFERROR(IF(K14="""","""",query('tbl user'!$A$2:$D10975,""SELECT A WHERE D = '""&amp;K14&amp;""'"")),""USER TIDAK DIKETAHUI""))"),"#REF!")</f>
        <v>#REF!</v>
      </c>
    </row>
    <row r="15">
      <c r="A15" s="21" t="str">
        <f t="shared" si="1"/>
        <v/>
      </c>
      <c r="B15" s="22"/>
      <c r="C15" s="23" t="s">
        <v>25</v>
      </c>
      <c r="D15" s="23" t="s">
        <v>21</v>
      </c>
      <c r="E15" s="24">
        <v>45400.0</v>
      </c>
      <c r="F15" s="25">
        <v>0.25833333333333336</v>
      </c>
      <c r="G15" s="25">
        <v>0.2964351851851852</v>
      </c>
      <c r="H15" s="27">
        <f t="shared" si="2"/>
        <v>0.03810185185</v>
      </c>
      <c r="I15" s="28">
        <v>0.0</v>
      </c>
      <c r="J15" s="29" t="s">
        <v>49</v>
      </c>
      <c r="K15" s="30" t="s">
        <v>23</v>
      </c>
      <c r="L15" s="31" t="str">
        <f>IFERROR(__xludf.DUMMYFUNCTION("IF(OR(E15="""",K15=""""),"""",IFERROR(IF(K15="""","""",query('tbl user'!$A$2:$D10975,""SELECT A WHERE D = '""&amp;K15&amp;""'"")),""USER TIDAK DIKETAHUI""))"),"#REF!")</f>
        <v>#REF!</v>
      </c>
    </row>
    <row r="16">
      <c r="A16" s="21">
        <f t="shared" si="1"/>
        <v>0</v>
      </c>
      <c r="B16" s="32" t="s">
        <v>43</v>
      </c>
      <c r="C16" s="23" t="s">
        <v>44</v>
      </c>
      <c r="D16" s="23" t="s">
        <v>21</v>
      </c>
      <c r="E16" s="24">
        <v>45417.0</v>
      </c>
      <c r="F16" s="25">
        <v>0.42291666666666666</v>
      </c>
      <c r="G16" s="25">
        <v>0.6969328703703703</v>
      </c>
      <c r="H16" s="27">
        <f t="shared" si="2"/>
        <v>0.2740162037</v>
      </c>
      <c r="I16" s="28">
        <v>3.0</v>
      </c>
      <c r="J16" s="29" t="s">
        <v>50</v>
      </c>
      <c r="K16" s="30" t="s">
        <v>23</v>
      </c>
      <c r="L16" s="31" t="str">
        <f>IFERROR(__xludf.DUMMYFUNCTION("IF(OR(E16="""",K16=""""),"""",IFERROR(IF(K16="""","""",query('tbl user'!$A$2:$D10975,""SELECT A WHERE D = '""&amp;K16&amp;""'"")),""USER TIDAK DIKETAHUI""))"),"#REF!")</f>
        <v>#REF!</v>
      </c>
    </row>
    <row r="17">
      <c r="A17" s="21">
        <f t="shared" si="1"/>
        <v>0</v>
      </c>
      <c r="B17" s="32" t="s">
        <v>51</v>
      </c>
      <c r="C17" s="23" t="s">
        <v>27</v>
      </c>
      <c r="D17" s="23" t="s">
        <v>21</v>
      </c>
      <c r="E17" s="24">
        <v>45420.0</v>
      </c>
      <c r="F17" s="25">
        <v>0.2701388888888889</v>
      </c>
      <c r="G17" s="25">
        <v>0.6955787037037037</v>
      </c>
      <c r="H17" s="27">
        <f t="shared" si="2"/>
        <v>0.4254398148</v>
      </c>
      <c r="I17" s="28">
        <v>3.0</v>
      </c>
      <c r="J17" s="29" t="s">
        <v>52</v>
      </c>
      <c r="K17" s="30" t="s">
        <v>23</v>
      </c>
      <c r="L17" s="31" t="str">
        <f>IFERROR(__xludf.DUMMYFUNCTION("IF(OR(E17="""",K17=""""),"""",IFERROR(IF(K17="""","""",query('tbl user'!$A$2:$D10975,""SELECT A WHERE D = '""&amp;K17&amp;""'"")),""USER TIDAK DIKETAHUI""))"),"#REF!")</f>
        <v>#REF!</v>
      </c>
    </row>
    <row r="18">
      <c r="A18" s="21">
        <f t="shared" si="1"/>
        <v>0</v>
      </c>
      <c r="B18" s="32" t="s">
        <v>53</v>
      </c>
      <c r="C18" s="23" t="s">
        <v>54</v>
      </c>
      <c r="D18" s="23" t="s">
        <v>21</v>
      </c>
      <c r="E18" s="24">
        <v>45420.0</v>
      </c>
      <c r="F18" s="25">
        <v>0.2708333333333333</v>
      </c>
      <c r="G18" s="25">
        <v>0.6909722222222222</v>
      </c>
      <c r="H18" s="27">
        <f t="shared" si="2"/>
        <v>0.4201388889</v>
      </c>
      <c r="I18" s="28">
        <v>5.0</v>
      </c>
      <c r="J18" s="29" t="s">
        <v>55</v>
      </c>
      <c r="K18" s="30" t="s">
        <v>23</v>
      </c>
      <c r="L18" s="31" t="str">
        <f>IFERROR(__xludf.DUMMYFUNCTION("IF(OR(E18="""",K18=""""),"""",IFERROR(IF(K18="""","""",query('tbl user'!$A$2:$D10975,""SELECT A WHERE D = '""&amp;K18&amp;""'"")),""USER TIDAK DIKETAHUI""))"),"#REF!")</f>
        <v>#REF!</v>
      </c>
    </row>
    <row r="19">
      <c r="A19" s="21">
        <f t="shared" si="1"/>
        <v>0</v>
      </c>
      <c r="B19" s="32" t="s">
        <v>56</v>
      </c>
      <c r="C19" s="23" t="s">
        <v>57</v>
      </c>
      <c r="D19" s="23" t="s">
        <v>58</v>
      </c>
      <c r="E19" s="24">
        <v>45421.0</v>
      </c>
      <c r="F19" s="25">
        <v>0.27152777777777776</v>
      </c>
      <c r="G19" s="25">
        <v>0.5416666666666666</v>
      </c>
      <c r="H19" s="27">
        <f t="shared" si="2"/>
        <v>0.2701388889</v>
      </c>
      <c r="I19" s="28">
        <v>1.0</v>
      </c>
      <c r="J19" s="29" t="s">
        <v>59</v>
      </c>
      <c r="K19" s="30" t="s">
        <v>23</v>
      </c>
      <c r="L19" s="31" t="str">
        <f>IFERROR(__xludf.DUMMYFUNCTION("IF(OR(E19="""",K19=""""),"""",IFERROR(IF(K19="""","""",query('tbl user'!$A$2:$D10975,""SELECT A WHERE D = '""&amp;K19&amp;""'"")),""USER TIDAK DIKETAHUI""))"),"#REF!")</f>
        <v>#REF!</v>
      </c>
    </row>
    <row r="20">
      <c r="A20" s="21">
        <f t="shared" si="1"/>
        <v>0</v>
      </c>
      <c r="B20" s="32" t="s">
        <v>34</v>
      </c>
      <c r="C20" s="23" t="s">
        <v>35</v>
      </c>
      <c r="D20" s="23" t="s">
        <v>21</v>
      </c>
      <c r="E20" s="24">
        <v>45421.0</v>
      </c>
      <c r="F20" s="25">
        <v>0.28194444444444444</v>
      </c>
      <c r="G20" s="25">
        <v>0.546412037037037</v>
      </c>
      <c r="H20" s="27">
        <f t="shared" si="2"/>
        <v>0.2644675926</v>
      </c>
      <c r="I20" s="28">
        <v>3.0</v>
      </c>
      <c r="J20" s="29" t="s">
        <v>60</v>
      </c>
      <c r="K20" s="30" t="s">
        <v>23</v>
      </c>
      <c r="L20" s="31" t="str">
        <f>IFERROR(__xludf.DUMMYFUNCTION("IF(OR(E20="""",K20=""""),"""",IFERROR(IF(K20="""","""",query('tbl user'!$A$2:$D10975,""SELECT A WHERE D = '""&amp;K20&amp;""'"")),""USER TIDAK DIKETAHUI""))"),"#REF!")</f>
        <v>#REF!</v>
      </c>
    </row>
    <row r="21">
      <c r="A21" s="21">
        <f t="shared" si="1"/>
        <v>0</v>
      </c>
      <c r="B21" s="32" t="s">
        <v>61</v>
      </c>
      <c r="C21" s="23" t="s">
        <v>62</v>
      </c>
      <c r="D21" s="23" t="s">
        <v>21</v>
      </c>
      <c r="E21" s="24">
        <v>45421.0</v>
      </c>
      <c r="F21" s="25">
        <v>0.27291666666666664</v>
      </c>
      <c r="G21" s="25">
        <v>0.48097222222222225</v>
      </c>
      <c r="H21" s="27">
        <f t="shared" si="2"/>
        <v>0.2080555556</v>
      </c>
      <c r="I21" s="28">
        <v>1.0</v>
      </c>
      <c r="J21" s="29" t="s">
        <v>63</v>
      </c>
      <c r="K21" s="30" t="s">
        <v>23</v>
      </c>
      <c r="L21" s="31" t="str">
        <f>IFERROR(__xludf.DUMMYFUNCTION("IF(OR(E21="""",K21=""""),"""",IFERROR(IF(K21="""","""",query('tbl user'!$A$2:$D10975,""SELECT A WHERE D = '""&amp;K21&amp;""'"")),""USER TIDAK DIKETAHUI""))"),"#REF!")</f>
        <v>#REF!</v>
      </c>
    </row>
    <row r="22">
      <c r="A22" s="21">
        <f t="shared" si="1"/>
        <v>0</v>
      </c>
      <c r="B22" s="32" t="s">
        <v>64</v>
      </c>
      <c r="C22" s="23" t="s">
        <v>65</v>
      </c>
      <c r="D22" s="23" t="s">
        <v>21</v>
      </c>
      <c r="E22" s="24">
        <v>45422.0</v>
      </c>
      <c r="F22" s="25">
        <v>0.2673611111111111</v>
      </c>
      <c r="G22" s="25">
        <v>0.6214236111111111</v>
      </c>
      <c r="H22" s="27">
        <f t="shared" si="2"/>
        <v>0.3540625</v>
      </c>
      <c r="I22" s="28">
        <v>2.0</v>
      </c>
      <c r="J22" s="29" t="s">
        <v>66</v>
      </c>
      <c r="K22" s="30" t="s">
        <v>23</v>
      </c>
      <c r="L22" s="31" t="str">
        <f>IFERROR(__xludf.DUMMYFUNCTION("IF(OR(E22="""",K22=""""),"""",IFERROR(IF(K22="""","""",query('tbl user'!$A$2:$D10975,""SELECT A WHERE D = '""&amp;K22&amp;""'"")),""USER TIDAK DIKETAHUI""))"),"#REF!")</f>
        <v>#REF!</v>
      </c>
    </row>
    <row r="23">
      <c r="A23" s="21">
        <f t="shared" si="1"/>
        <v>0</v>
      </c>
      <c r="B23" s="32" t="s">
        <v>67</v>
      </c>
      <c r="C23" s="23" t="s">
        <v>68</v>
      </c>
      <c r="D23" s="23" t="s">
        <v>58</v>
      </c>
      <c r="E23" s="24">
        <v>45427.0</v>
      </c>
      <c r="F23" s="25">
        <v>0.26180555555555557</v>
      </c>
      <c r="G23" s="34"/>
      <c r="H23" s="27" t="str">
        <f t="shared" si="2"/>
        <v/>
      </c>
      <c r="I23" s="28">
        <v>3.0</v>
      </c>
      <c r="J23" s="29" t="s">
        <v>69</v>
      </c>
      <c r="K23" s="30" t="s">
        <v>23</v>
      </c>
      <c r="L23" s="31" t="str">
        <f>IFERROR(__xludf.DUMMYFUNCTION("IF(OR(E23="""",K23=""""),"""",IFERROR(IF(K23="""","""",query('tbl user'!$A$2:$D10975,""SELECT A WHERE D = '""&amp;K23&amp;""'"")),""USER TIDAK DIKETAHUI""))"),"#REF!")</f>
        <v>#REF!</v>
      </c>
    </row>
    <row r="24">
      <c r="A24" s="21">
        <f t="shared" si="1"/>
        <v>0</v>
      </c>
      <c r="B24" s="32" t="s">
        <v>37</v>
      </c>
      <c r="C24" s="23" t="s">
        <v>38</v>
      </c>
      <c r="D24" s="23" t="s">
        <v>21</v>
      </c>
      <c r="E24" s="24">
        <v>45428.0</v>
      </c>
      <c r="F24" s="25">
        <v>0.27569444444444446</v>
      </c>
      <c r="G24" s="25">
        <v>0.6546064814814815</v>
      </c>
      <c r="H24" s="27">
        <f t="shared" si="2"/>
        <v>0.378912037</v>
      </c>
      <c r="I24" s="28">
        <v>3.0</v>
      </c>
      <c r="J24" s="29" t="s">
        <v>70</v>
      </c>
      <c r="K24" s="30" t="s">
        <v>23</v>
      </c>
      <c r="L24" s="31" t="str">
        <f>IFERROR(__xludf.DUMMYFUNCTION("IF(OR(E24="""",K24=""""),"""",IFERROR(IF(K24="""","""",query('tbl user'!$A$2:$D10975,""SELECT A WHERE D = '""&amp;K24&amp;""'"")),""USER TIDAK DIKETAHUI""))"),"#REF!")</f>
        <v>#REF!</v>
      </c>
    </row>
    <row r="25">
      <c r="A25" s="21">
        <f t="shared" si="1"/>
        <v>0</v>
      </c>
      <c r="B25" s="32" t="s">
        <v>51</v>
      </c>
      <c r="C25" s="23" t="s">
        <v>27</v>
      </c>
      <c r="D25" s="23" t="s">
        <v>21</v>
      </c>
      <c r="E25" s="24">
        <v>45432.0</v>
      </c>
      <c r="F25" s="25">
        <v>0.26458333333333334</v>
      </c>
      <c r="G25" s="25">
        <v>0.6935300925925926</v>
      </c>
      <c r="H25" s="27">
        <f t="shared" si="2"/>
        <v>0.4289467593</v>
      </c>
      <c r="I25" s="28">
        <v>3.0</v>
      </c>
      <c r="J25" s="29" t="s">
        <v>71</v>
      </c>
      <c r="K25" s="30" t="s">
        <v>23</v>
      </c>
      <c r="L25" s="31" t="str">
        <f>IFERROR(__xludf.DUMMYFUNCTION("IF(OR(E25="""",K25=""""),"""",IFERROR(IF(K25="""","""",query('tbl user'!$A$2:$D10975,""SELECT A WHERE D = '""&amp;K25&amp;""'"")),""USER TIDAK DIKETAHUI""))"),"#REF!")</f>
        <v>#REF!</v>
      </c>
    </row>
    <row r="26">
      <c r="A26" s="21">
        <f t="shared" si="1"/>
        <v>0</v>
      </c>
      <c r="B26" s="32" t="s">
        <v>72</v>
      </c>
      <c r="C26" s="23" t="s">
        <v>73</v>
      </c>
      <c r="D26" s="23" t="s">
        <v>32</v>
      </c>
      <c r="E26" s="24">
        <v>45433.0</v>
      </c>
      <c r="F26" s="25">
        <v>0.2375</v>
      </c>
      <c r="G26" s="25">
        <v>0.6404861111111111</v>
      </c>
      <c r="H26" s="27">
        <f t="shared" si="2"/>
        <v>0.4029861111</v>
      </c>
      <c r="I26" s="28">
        <v>1.0</v>
      </c>
      <c r="J26" s="29" t="s">
        <v>74</v>
      </c>
      <c r="K26" s="30" t="s">
        <v>23</v>
      </c>
      <c r="L26" s="31" t="str">
        <f>IFERROR(__xludf.DUMMYFUNCTION("IF(OR(E26="""",K26=""""),"""",IFERROR(IF(K26="""","""",query('tbl user'!$A$2:$D10975,""SELECT A WHERE D = '""&amp;K26&amp;""'"")),""USER TIDAK DIKETAHUI""))"),"#REF!")</f>
        <v>#REF!</v>
      </c>
    </row>
    <row r="27">
      <c r="A27" s="21">
        <f t="shared" si="1"/>
        <v>0</v>
      </c>
      <c r="B27" s="32" t="s">
        <v>72</v>
      </c>
      <c r="C27" s="23" t="s">
        <v>73</v>
      </c>
      <c r="D27" s="23" t="s">
        <v>32</v>
      </c>
      <c r="E27" s="24">
        <v>45433.0</v>
      </c>
      <c r="F27" s="25">
        <v>0.2375</v>
      </c>
      <c r="G27" s="25">
        <v>0.5535069444444445</v>
      </c>
      <c r="H27" s="27">
        <f t="shared" si="2"/>
        <v>0.3160069444</v>
      </c>
      <c r="I27" s="28">
        <v>1.0</v>
      </c>
      <c r="J27" s="29" t="s">
        <v>74</v>
      </c>
      <c r="K27" s="30" t="s">
        <v>23</v>
      </c>
      <c r="L27" s="31" t="str">
        <f>IFERROR(__xludf.DUMMYFUNCTION("IF(OR(E27="""",K27=""""),"""",IFERROR(IF(K27="""","""",query('tbl user'!$A$2:$D10975,""SELECT A WHERE D = '""&amp;K27&amp;""'"")),""USER TIDAK DIKETAHUI""))"),"#REF!")</f>
        <v>#REF!</v>
      </c>
    </row>
    <row r="28">
      <c r="A28" s="21">
        <f t="shared" si="1"/>
        <v>0</v>
      </c>
      <c r="B28" s="32" t="s">
        <v>75</v>
      </c>
      <c r="C28" s="23" t="s">
        <v>76</v>
      </c>
      <c r="D28" s="23" t="s">
        <v>32</v>
      </c>
      <c r="E28" s="24">
        <v>45434.0</v>
      </c>
      <c r="F28" s="25">
        <v>0.2625</v>
      </c>
      <c r="G28" s="34"/>
      <c r="H28" s="27" t="str">
        <f t="shared" si="2"/>
        <v/>
      </c>
      <c r="I28" s="28">
        <v>2.0</v>
      </c>
      <c r="J28" s="29" t="s">
        <v>77</v>
      </c>
      <c r="K28" s="30" t="s">
        <v>23</v>
      </c>
      <c r="L28" s="31" t="str">
        <f>IFERROR(__xludf.DUMMYFUNCTION("IF(OR(E28="""",K28=""""),"""",IFERROR(IF(K28="""","""",query('tbl user'!$A$2:$D10975,""SELECT A WHERE D = '""&amp;K28&amp;""'"")),""USER TIDAK DIKETAHUI""))"),"#REF!")</f>
        <v>#REF!</v>
      </c>
    </row>
    <row r="29">
      <c r="A29" s="21">
        <f t="shared" si="1"/>
        <v>0</v>
      </c>
      <c r="B29" s="32" t="s">
        <v>78</v>
      </c>
      <c r="C29" s="23" t="s">
        <v>79</v>
      </c>
      <c r="D29" s="23" t="s">
        <v>32</v>
      </c>
      <c r="E29" s="24">
        <v>45437.0</v>
      </c>
      <c r="F29" s="25">
        <v>0.2881944444444444</v>
      </c>
      <c r="G29" s="25">
        <v>0.5938773148148148</v>
      </c>
      <c r="H29" s="27">
        <f t="shared" si="2"/>
        <v>0.3056828704</v>
      </c>
      <c r="I29" s="28">
        <v>1.0</v>
      </c>
      <c r="J29" s="29" t="s">
        <v>80</v>
      </c>
      <c r="K29" s="30" t="s">
        <v>23</v>
      </c>
      <c r="L29" s="31" t="str">
        <f>IFERROR(__xludf.DUMMYFUNCTION("IF(OR(E29="""",K29=""""),"""",IFERROR(IF(K29="""","""",query('tbl user'!$A$2:$D10975,""SELECT A WHERE D = '""&amp;K29&amp;""'"")),""USER TIDAK DIKETAHUI""))"),"#REF!")</f>
        <v>#REF!</v>
      </c>
    </row>
    <row r="30">
      <c r="A30" s="21">
        <f t="shared" si="1"/>
        <v>0</v>
      </c>
      <c r="B30" s="32" t="s">
        <v>81</v>
      </c>
      <c r="C30" s="23" t="s">
        <v>82</v>
      </c>
      <c r="D30" s="23" t="s">
        <v>58</v>
      </c>
      <c r="E30" s="24">
        <v>45438.0</v>
      </c>
      <c r="F30" s="25">
        <v>0.28055555555555556</v>
      </c>
      <c r="G30" s="25">
        <v>0.46586805555555555</v>
      </c>
      <c r="H30" s="27">
        <f t="shared" si="2"/>
        <v>0.1853125</v>
      </c>
      <c r="I30" s="28">
        <v>1.0</v>
      </c>
      <c r="J30" s="29" t="s">
        <v>83</v>
      </c>
      <c r="K30" s="30" t="s">
        <v>23</v>
      </c>
      <c r="L30" s="31" t="str">
        <f>IFERROR(__xludf.DUMMYFUNCTION("IF(OR(E30="""",K30=""""),"""",IFERROR(IF(K30="""","""",query('tbl user'!$A$2:$D10975,""SELECT A WHERE D = '""&amp;K30&amp;""'"")),""USER TIDAK DIKETAHUI""))"),"#REF!")</f>
        <v>#REF!</v>
      </c>
    </row>
    <row r="31">
      <c r="A31" s="21">
        <f t="shared" si="1"/>
        <v>0</v>
      </c>
      <c r="B31" s="32" t="s">
        <v>84</v>
      </c>
      <c r="C31" s="23" t="s">
        <v>85</v>
      </c>
      <c r="D31" s="23" t="s">
        <v>58</v>
      </c>
      <c r="E31" s="24">
        <v>45438.0</v>
      </c>
      <c r="F31" s="25">
        <v>0.28194444444444444</v>
      </c>
      <c r="G31" s="25">
        <v>0.6821643518518519</v>
      </c>
      <c r="H31" s="27">
        <f t="shared" si="2"/>
        <v>0.4002199074</v>
      </c>
      <c r="I31" s="28">
        <v>2.0</v>
      </c>
      <c r="J31" s="29" t="s">
        <v>86</v>
      </c>
      <c r="K31" s="30" t="s">
        <v>23</v>
      </c>
      <c r="L31" s="31" t="str">
        <f>IFERROR(__xludf.DUMMYFUNCTION("IF(OR(E31="""",K31=""""),"""",IFERROR(IF(K31="""","""",query('tbl user'!$A$2:$D10975,""SELECT A WHERE D = '""&amp;K31&amp;""'"")),""USER TIDAK DIKETAHUI""))"),"#REF!")</f>
        <v>#REF!</v>
      </c>
    </row>
    <row r="32">
      <c r="A32" s="21">
        <f t="shared" si="1"/>
        <v>0</v>
      </c>
      <c r="B32" s="32" t="s">
        <v>87</v>
      </c>
      <c r="C32" s="23" t="s">
        <v>88</v>
      </c>
      <c r="D32" s="23" t="s">
        <v>21</v>
      </c>
      <c r="E32" s="24">
        <v>45438.0</v>
      </c>
      <c r="F32" s="25">
        <v>0.2604166666666667</v>
      </c>
      <c r="G32" s="25">
        <v>0.5930092592592593</v>
      </c>
      <c r="H32" s="27">
        <f t="shared" si="2"/>
        <v>0.3325925926</v>
      </c>
      <c r="I32" s="28">
        <v>3.0</v>
      </c>
      <c r="J32" s="29" t="s">
        <v>89</v>
      </c>
      <c r="K32" s="30" t="s">
        <v>23</v>
      </c>
      <c r="L32" s="31" t="str">
        <f>IFERROR(__xludf.DUMMYFUNCTION("IF(OR(E32="""",K32=""""),"""",IFERROR(IF(K32="""","""",query('tbl user'!$A$2:$D10975,""SELECT A WHERE D = '""&amp;K32&amp;""'"")),""USER TIDAK DIKETAHUI""))"),"#REF!")</f>
        <v>#REF!</v>
      </c>
    </row>
    <row r="33">
      <c r="A33" s="21" t="str">
        <f t="shared" si="1"/>
        <v/>
      </c>
      <c r="B33" s="22"/>
      <c r="C33" s="23" t="s">
        <v>90</v>
      </c>
      <c r="D33" s="23" t="s">
        <v>32</v>
      </c>
      <c r="E33" s="24">
        <v>45439.0</v>
      </c>
      <c r="F33" s="25">
        <v>0.34930555555555554</v>
      </c>
      <c r="G33" s="34"/>
      <c r="H33" s="27" t="str">
        <f t="shared" si="2"/>
        <v/>
      </c>
      <c r="I33" s="28">
        <v>0.0</v>
      </c>
      <c r="J33" s="29" t="s">
        <v>91</v>
      </c>
      <c r="K33" s="30" t="s">
        <v>23</v>
      </c>
      <c r="L33" s="31" t="str">
        <f>IFERROR(__xludf.DUMMYFUNCTION("IF(OR(E33="""",K33=""""),"""",IFERROR(IF(K33="""","""",query('tbl user'!$A$2:$D10975,""SELECT A WHERE D = '""&amp;K33&amp;""'"")),""USER TIDAK DIKETAHUI""))"),"#REF!")</f>
        <v>#REF!</v>
      </c>
    </row>
    <row r="34">
      <c r="A34" s="21">
        <f t="shared" si="1"/>
        <v>0</v>
      </c>
      <c r="B34" s="32" t="s">
        <v>92</v>
      </c>
      <c r="C34" s="23" t="s">
        <v>93</v>
      </c>
      <c r="D34" s="23" t="s">
        <v>58</v>
      </c>
      <c r="E34" s="24">
        <v>45440.0</v>
      </c>
      <c r="F34" s="25">
        <v>0.27291666666666664</v>
      </c>
      <c r="G34" s="25">
        <v>0.5758796296296296</v>
      </c>
      <c r="H34" s="27">
        <f t="shared" si="2"/>
        <v>0.302962963</v>
      </c>
      <c r="I34" s="28">
        <v>1.0</v>
      </c>
      <c r="J34" s="29" t="s">
        <v>94</v>
      </c>
      <c r="K34" s="30" t="s">
        <v>23</v>
      </c>
      <c r="L34" s="31" t="str">
        <f>IFERROR(__xludf.DUMMYFUNCTION("IF(OR(E34="""",K34=""""),"""",IFERROR(IF(K34="""","""",query('tbl user'!$A$2:$D10975,""SELECT A WHERE D = '""&amp;K34&amp;""'"")),""USER TIDAK DIKETAHUI""))"),"#REF!")</f>
        <v>#REF!</v>
      </c>
    </row>
    <row r="35">
      <c r="A35" s="21">
        <f t="shared" si="1"/>
        <v>0</v>
      </c>
      <c r="B35" s="32" t="s">
        <v>67</v>
      </c>
      <c r="C35" s="23" t="s">
        <v>68</v>
      </c>
      <c r="D35" s="23" t="s">
        <v>58</v>
      </c>
      <c r="E35" s="24">
        <v>45440.0</v>
      </c>
      <c r="F35" s="25">
        <v>0.30625</v>
      </c>
      <c r="G35" s="25">
        <v>0.41199074074074077</v>
      </c>
      <c r="H35" s="27">
        <f t="shared" si="2"/>
        <v>0.1057407407</v>
      </c>
      <c r="I35" s="28">
        <v>2.0</v>
      </c>
      <c r="J35" s="29" t="s">
        <v>94</v>
      </c>
      <c r="K35" s="30" t="s">
        <v>23</v>
      </c>
      <c r="L35" s="31" t="str">
        <f>IFERROR(__xludf.DUMMYFUNCTION("IF(OR(E35="""",K35=""""),"""",IFERROR(IF(K35="""","""",query('tbl user'!$A$2:$D10975,""SELECT A WHERE D = '""&amp;K35&amp;""'"")),""USER TIDAK DIKETAHUI""))"),"#REF!")</f>
        <v>#REF!</v>
      </c>
    </row>
    <row r="36">
      <c r="A36" s="21">
        <f t="shared" si="1"/>
        <v>0</v>
      </c>
      <c r="B36" s="32" t="s">
        <v>95</v>
      </c>
      <c r="C36" s="23" t="s">
        <v>96</v>
      </c>
      <c r="D36" s="23" t="s">
        <v>32</v>
      </c>
      <c r="E36" s="24">
        <v>45440.0</v>
      </c>
      <c r="F36" s="25">
        <v>0.3145833333333333</v>
      </c>
      <c r="G36" s="25">
        <v>0.6561574074074074</v>
      </c>
      <c r="H36" s="27">
        <f t="shared" si="2"/>
        <v>0.3415740741</v>
      </c>
      <c r="I36" s="28">
        <v>2.0</v>
      </c>
      <c r="J36" s="29" t="s">
        <v>94</v>
      </c>
      <c r="K36" s="30" t="s">
        <v>23</v>
      </c>
      <c r="L36" s="31" t="str">
        <f>IFERROR(__xludf.DUMMYFUNCTION("IF(OR(E36="""",K36=""""),"""",IFERROR(IF(K36="""","""",query('tbl user'!$A$2:$D10975,""SELECT A WHERE D = '""&amp;K36&amp;""'"")),""USER TIDAK DIKETAHUI""))"),"#REF!")</f>
        <v>#REF!</v>
      </c>
    </row>
    <row r="37">
      <c r="A37" s="21">
        <f t="shared" si="1"/>
        <v>0</v>
      </c>
      <c r="B37" s="32" t="s">
        <v>84</v>
      </c>
      <c r="C37" s="23" t="s">
        <v>85</v>
      </c>
      <c r="D37" s="23" t="s">
        <v>58</v>
      </c>
      <c r="E37" s="24">
        <v>45442.0</v>
      </c>
      <c r="F37" s="25">
        <v>0.28958333333333336</v>
      </c>
      <c r="G37" s="34"/>
      <c r="H37" s="27" t="str">
        <f t="shared" si="2"/>
        <v/>
      </c>
      <c r="I37" s="28">
        <v>1.0</v>
      </c>
      <c r="J37" s="29" t="s">
        <v>97</v>
      </c>
      <c r="K37" s="30" t="s">
        <v>23</v>
      </c>
      <c r="L37" s="31" t="str">
        <f>IFERROR(__xludf.DUMMYFUNCTION("IF(OR(E37="""",K37=""""),"""",IFERROR(IF(K37="""","""",query('tbl user'!$A$2:$D10975,""SELECT A WHERE D = '""&amp;K37&amp;""'"")),""USER TIDAK DIKETAHUI""))"),"#REF!")</f>
        <v>#REF!</v>
      </c>
    </row>
    <row r="38">
      <c r="A38" s="21">
        <f t="shared" si="1"/>
        <v>0</v>
      </c>
      <c r="B38" s="32" t="s">
        <v>98</v>
      </c>
      <c r="C38" s="23" t="s">
        <v>99</v>
      </c>
      <c r="D38" s="23" t="s">
        <v>21</v>
      </c>
      <c r="E38" s="24">
        <v>45445.0</v>
      </c>
      <c r="F38" s="25">
        <v>0.2923611111111111</v>
      </c>
      <c r="G38" s="25">
        <v>0.6020717592592593</v>
      </c>
      <c r="H38" s="27">
        <f t="shared" si="2"/>
        <v>0.3097106481</v>
      </c>
      <c r="I38" s="28">
        <v>2.0</v>
      </c>
      <c r="J38" s="29" t="s">
        <v>100</v>
      </c>
      <c r="K38" s="30" t="s">
        <v>23</v>
      </c>
      <c r="L38" s="31" t="str">
        <f>IFERROR(__xludf.DUMMYFUNCTION("IF(OR(E38="""",K38=""""),"""",IFERROR(IF(K38="""","""",query('tbl user'!$A$2:$D10975,""SELECT A WHERE D = '""&amp;K38&amp;""'"")),""USER TIDAK DIKETAHUI""))"),"#REF!")</f>
        <v>#REF!</v>
      </c>
    </row>
    <row r="39">
      <c r="A39" s="21">
        <f t="shared" si="1"/>
        <v>0</v>
      </c>
      <c r="B39" s="32" t="s">
        <v>101</v>
      </c>
      <c r="C39" s="23" t="s">
        <v>102</v>
      </c>
      <c r="D39" s="23" t="s">
        <v>21</v>
      </c>
      <c r="E39" s="24">
        <v>45448.0</v>
      </c>
      <c r="F39" s="25">
        <v>0.29097222222222224</v>
      </c>
      <c r="G39" s="25">
        <v>0.6671527777777778</v>
      </c>
      <c r="H39" s="27">
        <f t="shared" si="2"/>
        <v>0.3761805556</v>
      </c>
      <c r="I39" s="28">
        <v>1.0</v>
      </c>
      <c r="J39" s="29" t="s">
        <v>103</v>
      </c>
      <c r="K39" s="30" t="s">
        <v>23</v>
      </c>
      <c r="L39" s="31" t="str">
        <f>IFERROR(__xludf.DUMMYFUNCTION("IF(OR(E39="""",K39=""""),"""",IFERROR(IF(K39="""","""",query('tbl user'!$A$2:$D10975,""SELECT A WHERE D = '""&amp;K39&amp;""'"")),""USER TIDAK DIKETAHUI""))"),"#REF!")</f>
        <v>#REF!</v>
      </c>
    </row>
    <row r="40">
      <c r="A40" s="21">
        <f t="shared" si="1"/>
        <v>0</v>
      </c>
      <c r="B40" s="32" t="s">
        <v>104</v>
      </c>
      <c r="C40" s="23" t="s">
        <v>105</v>
      </c>
      <c r="D40" s="23" t="s">
        <v>58</v>
      </c>
      <c r="E40" s="24">
        <v>45451.0</v>
      </c>
      <c r="F40" s="25">
        <v>0.27847222222222223</v>
      </c>
      <c r="G40" s="34"/>
      <c r="H40" s="27" t="str">
        <f t="shared" si="2"/>
        <v/>
      </c>
      <c r="I40" s="28">
        <v>2.0</v>
      </c>
      <c r="J40" s="29" t="s">
        <v>106</v>
      </c>
      <c r="K40" s="30" t="s">
        <v>23</v>
      </c>
      <c r="L40" s="31" t="str">
        <f>IFERROR(__xludf.DUMMYFUNCTION("IF(OR(E40="""",K40=""""),"""",IFERROR(IF(K40="""","""",query('tbl user'!$A$2:$D10975,""SELECT A WHERE D = '""&amp;K40&amp;""'"")),""USER TIDAK DIKETAHUI""))"),"#REF!")</f>
        <v>#REF!</v>
      </c>
    </row>
    <row r="41">
      <c r="A41" s="21">
        <f t="shared" si="1"/>
        <v>0</v>
      </c>
      <c r="B41" s="32" t="s">
        <v>104</v>
      </c>
      <c r="C41" s="23" t="s">
        <v>105</v>
      </c>
      <c r="D41" s="23" t="s">
        <v>58</v>
      </c>
      <c r="E41" s="24">
        <v>45452.0</v>
      </c>
      <c r="F41" s="25">
        <v>0.2638888888888889</v>
      </c>
      <c r="G41" s="25">
        <v>0.6598726851851852</v>
      </c>
      <c r="H41" s="27">
        <f t="shared" si="2"/>
        <v>0.3959837963</v>
      </c>
      <c r="I41" s="28">
        <v>1.0</v>
      </c>
      <c r="J41" s="29" t="s">
        <v>107</v>
      </c>
      <c r="K41" s="30" t="s">
        <v>23</v>
      </c>
      <c r="L41" s="31" t="str">
        <f>IFERROR(__xludf.DUMMYFUNCTION("IF(OR(E41="""",K41=""""),"""",IFERROR(IF(K41="""","""",query('tbl user'!$A$2:$D10975,""SELECT A WHERE D = '""&amp;K41&amp;""'"")),""USER TIDAK DIKETAHUI""))"),"#REF!")</f>
        <v>#REF!</v>
      </c>
    </row>
    <row r="42">
      <c r="A42" s="21">
        <f t="shared" si="1"/>
        <v>0</v>
      </c>
      <c r="B42" s="32" t="s">
        <v>104</v>
      </c>
      <c r="C42" s="23" t="s">
        <v>105</v>
      </c>
      <c r="D42" s="23" t="s">
        <v>58</v>
      </c>
      <c r="E42" s="24">
        <v>45452.0</v>
      </c>
      <c r="F42" s="25">
        <v>0.2638888888888889</v>
      </c>
      <c r="G42" s="25">
        <v>0.6182060185185185</v>
      </c>
      <c r="H42" s="27">
        <f t="shared" si="2"/>
        <v>0.3543171296</v>
      </c>
      <c r="I42" s="28">
        <v>1.0</v>
      </c>
      <c r="J42" s="29" t="s">
        <v>107</v>
      </c>
      <c r="K42" s="30" t="s">
        <v>23</v>
      </c>
      <c r="L42" s="31" t="str">
        <f>IFERROR(__xludf.DUMMYFUNCTION("IF(OR(E42="""",K42=""""),"""",IFERROR(IF(K42="""","""",query('tbl user'!$A$2:$D10975,""SELECT A WHERE D = '""&amp;K42&amp;""'"")),""USER TIDAK DIKETAHUI""))"),"#REF!")</f>
        <v>#REF!</v>
      </c>
    </row>
    <row r="43">
      <c r="A43" s="21">
        <f t="shared" si="1"/>
        <v>0</v>
      </c>
      <c r="B43" s="32" t="s">
        <v>24</v>
      </c>
      <c r="C43" s="23" t="s">
        <v>25</v>
      </c>
      <c r="D43" s="23" t="s">
        <v>21</v>
      </c>
      <c r="E43" s="24">
        <v>45452.0</v>
      </c>
      <c r="F43" s="25">
        <v>0.3659722222222222</v>
      </c>
      <c r="G43" s="25">
        <v>0.56625</v>
      </c>
      <c r="H43" s="27">
        <f t="shared" si="2"/>
        <v>0.2002777778</v>
      </c>
      <c r="I43" s="28">
        <v>1.0</v>
      </c>
      <c r="J43" s="29" t="s">
        <v>108</v>
      </c>
      <c r="K43" s="30" t="s">
        <v>23</v>
      </c>
      <c r="L43" s="31" t="str">
        <f>IFERROR(__xludf.DUMMYFUNCTION("IF(OR(E43="""",K43=""""),"""",IFERROR(IF(K43="""","""",query('tbl user'!$A$2:$D10975,""SELECT A WHERE D = '""&amp;K43&amp;""'"")),""USER TIDAK DIKETAHUI""))"),"#REF!")</f>
        <v>#REF!</v>
      </c>
    </row>
    <row r="44">
      <c r="A44" s="21">
        <f t="shared" si="1"/>
        <v>0</v>
      </c>
      <c r="B44" s="32" t="s">
        <v>30</v>
      </c>
      <c r="C44" s="23" t="s">
        <v>31</v>
      </c>
      <c r="D44" s="23" t="s">
        <v>32</v>
      </c>
      <c r="E44" s="24">
        <v>45454.0</v>
      </c>
      <c r="F44" s="25">
        <v>0.22291666666666668</v>
      </c>
      <c r="G44" s="25">
        <v>0.6013888888888889</v>
      </c>
      <c r="H44" s="27">
        <f t="shared" si="2"/>
        <v>0.3784722222</v>
      </c>
      <c r="I44" s="28">
        <v>2.0</v>
      </c>
      <c r="J44" s="29" t="s">
        <v>109</v>
      </c>
      <c r="K44" s="30" t="s">
        <v>23</v>
      </c>
      <c r="L44" s="31" t="str">
        <f>IFERROR(__xludf.DUMMYFUNCTION("IF(OR(E44="""",K44=""""),"""",IFERROR(IF(K44="""","""",query('tbl user'!$A$2:$D10975,""SELECT A WHERE D = '""&amp;K44&amp;""'"")),""USER TIDAK DIKETAHUI""))"),"#REF!")</f>
        <v>#REF!</v>
      </c>
    </row>
    <row r="45">
      <c r="A45" s="21">
        <f t="shared" si="1"/>
        <v>0</v>
      </c>
      <c r="B45" s="32" t="s">
        <v>110</v>
      </c>
      <c r="C45" s="23" t="s">
        <v>111</v>
      </c>
      <c r="D45" s="23" t="s">
        <v>112</v>
      </c>
      <c r="E45" s="24">
        <v>45449.0</v>
      </c>
      <c r="F45" s="25">
        <v>0.2916666666666667</v>
      </c>
      <c r="G45" s="25">
        <v>0.7083333333333334</v>
      </c>
      <c r="H45" s="27">
        <f t="shared" si="2"/>
        <v>0.4166666667</v>
      </c>
      <c r="I45" s="28">
        <v>4.0</v>
      </c>
      <c r="J45" s="29" t="s">
        <v>55</v>
      </c>
      <c r="K45" s="30" t="s">
        <v>23</v>
      </c>
      <c r="L45" s="31" t="str">
        <f>IFERROR(__xludf.DUMMYFUNCTION("IF(OR(E45="""",K45=""""),"""",IFERROR(IF(K45="""","""",query('tbl user'!$A$2:$D10975,""SELECT A WHERE D = '""&amp;K45&amp;""'"")),""USER TIDAK DIKETAHUI""))"),"#REF!")</f>
        <v>#REF!</v>
      </c>
    </row>
    <row r="46">
      <c r="A46" s="21">
        <f t="shared" si="1"/>
        <v>0</v>
      </c>
      <c r="B46" s="32" t="s">
        <v>113</v>
      </c>
      <c r="C46" s="23" t="s">
        <v>114</v>
      </c>
      <c r="D46" s="23" t="s">
        <v>32</v>
      </c>
      <c r="E46" s="24">
        <v>45449.0</v>
      </c>
      <c r="F46" s="25">
        <v>0.23958333333333334</v>
      </c>
      <c r="G46" s="25">
        <v>0.6798611111111111</v>
      </c>
      <c r="H46" s="27">
        <f t="shared" si="2"/>
        <v>0.4402777778</v>
      </c>
      <c r="I46" s="28">
        <v>5.0</v>
      </c>
      <c r="J46" s="29" t="s">
        <v>55</v>
      </c>
      <c r="K46" s="30" t="s">
        <v>23</v>
      </c>
      <c r="L46" s="31" t="str">
        <f>IFERROR(__xludf.DUMMYFUNCTION("IF(OR(E46="""",K46=""""),"""",IFERROR(IF(K46="""","""",query('tbl user'!$A$2:$D10975,""SELECT A WHERE D = '""&amp;K46&amp;""'"")),""USER TIDAK DIKETAHUI""))"),"#REF!")</f>
        <v>#REF!</v>
      </c>
    </row>
    <row r="47">
      <c r="A47" s="21">
        <f t="shared" si="1"/>
        <v>0</v>
      </c>
      <c r="B47" s="32" t="s">
        <v>115</v>
      </c>
      <c r="C47" s="23" t="s">
        <v>116</v>
      </c>
      <c r="D47" s="23" t="s">
        <v>32</v>
      </c>
      <c r="E47" s="24">
        <v>45449.0</v>
      </c>
      <c r="F47" s="25">
        <v>0.2701388888888889</v>
      </c>
      <c r="G47" s="25">
        <v>0.7</v>
      </c>
      <c r="H47" s="27">
        <f t="shared" si="2"/>
        <v>0.4298611111</v>
      </c>
      <c r="I47" s="28">
        <v>4.0</v>
      </c>
      <c r="J47" s="29" t="s">
        <v>55</v>
      </c>
      <c r="K47" s="30" t="s">
        <v>23</v>
      </c>
      <c r="L47" s="31" t="str">
        <f>IFERROR(__xludf.DUMMYFUNCTION("IF(OR(E47="""",K47=""""),"""",IFERROR(IF(K47="""","""",query('tbl user'!$A$2:$D10975,""SELECT A WHERE D = '""&amp;K47&amp;""'"")),""USER TIDAK DIKETAHUI""))"),"#REF!")</f>
        <v>#REF!</v>
      </c>
    </row>
    <row r="48">
      <c r="A48" s="21">
        <f t="shared" si="1"/>
        <v>0</v>
      </c>
      <c r="B48" s="32" t="s">
        <v>46</v>
      </c>
      <c r="C48" s="23" t="s">
        <v>47</v>
      </c>
      <c r="D48" s="23" t="s">
        <v>32</v>
      </c>
      <c r="E48" s="24">
        <v>45449.0</v>
      </c>
      <c r="F48" s="25">
        <v>0.2722222222222222</v>
      </c>
      <c r="G48" s="25">
        <v>0.6722222222222223</v>
      </c>
      <c r="H48" s="27">
        <f t="shared" si="2"/>
        <v>0.4</v>
      </c>
      <c r="I48" s="28">
        <v>3.0</v>
      </c>
      <c r="J48" s="29" t="s">
        <v>117</v>
      </c>
      <c r="K48" s="30" t="s">
        <v>23</v>
      </c>
      <c r="L48" s="31" t="str">
        <f>IFERROR(__xludf.DUMMYFUNCTION("IF(OR(E48="""",K48=""""),"""",IFERROR(IF(K48="""","""",query('tbl user'!$A$2:$D10975,""SELECT A WHERE D = '""&amp;K48&amp;""'"")),""USER TIDAK DIKETAHUI""))"),"#REF!")</f>
        <v>#REF!</v>
      </c>
    </row>
    <row r="49">
      <c r="A49" s="21">
        <f t="shared" si="1"/>
        <v>0</v>
      </c>
      <c r="B49" s="32" t="s">
        <v>118</v>
      </c>
      <c r="C49" s="23" t="s">
        <v>119</v>
      </c>
      <c r="D49" s="23" t="s">
        <v>32</v>
      </c>
      <c r="E49" s="24">
        <v>45449.0</v>
      </c>
      <c r="F49" s="25">
        <v>0.22916666666666666</v>
      </c>
      <c r="G49" s="25">
        <v>0.6729166666666667</v>
      </c>
      <c r="H49" s="27">
        <f t="shared" si="2"/>
        <v>0.44375</v>
      </c>
      <c r="I49" s="28">
        <v>4.0</v>
      </c>
      <c r="J49" s="29" t="s">
        <v>55</v>
      </c>
      <c r="K49" s="30" t="s">
        <v>23</v>
      </c>
      <c r="L49" s="31" t="str">
        <f>IFERROR(__xludf.DUMMYFUNCTION("IF(OR(E49="""",K49=""""),"""",IFERROR(IF(K49="""","""",query('tbl user'!$A$2:$D10975,""SELECT A WHERE D = '""&amp;K49&amp;""'"")),""USER TIDAK DIKETAHUI""))"),"#REF!")</f>
        <v>#REF!</v>
      </c>
    </row>
    <row r="50">
      <c r="A50" s="21">
        <f t="shared" si="1"/>
        <v>0</v>
      </c>
      <c r="B50" s="32" t="s">
        <v>120</v>
      </c>
      <c r="C50" s="23" t="s">
        <v>121</v>
      </c>
      <c r="D50" s="23" t="s">
        <v>32</v>
      </c>
      <c r="E50" s="24">
        <v>45449.0</v>
      </c>
      <c r="F50" s="25">
        <v>0.26875</v>
      </c>
      <c r="G50" s="25">
        <v>0.65</v>
      </c>
      <c r="H50" s="27">
        <f t="shared" si="2"/>
        <v>0.38125</v>
      </c>
      <c r="I50" s="28">
        <v>3.0</v>
      </c>
      <c r="J50" s="29" t="s">
        <v>122</v>
      </c>
      <c r="K50" s="30" t="s">
        <v>23</v>
      </c>
      <c r="L50" s="31" t="str">
        <f>IFERROR(__xludf.DUMMYFUNCTION("IF(OR(E50="""",K50=""""),"""",IFERROR(IF(K50="""","""",query('tbl user'!$A$2:$D10975,""SELECT A WHERE D = '""&amp;K50&amp;""'"")),""USER TIDAK DIKETAHUI""))"),"#REF!")</f>
        <v>#REF!</v>
      </c>
    </row>
    <row r="51">
      <c r="A51" s="21">
        <f t="shared" si="1"/>
        <v>0</v>
      </c>
      <c r="B51" s="32" t="s">
        <v>123</v>
      </c>
      <c r="C51" s="23" t="s">
        <v>124</v>
      </c>
      <c r="D51" s="23" t="s">
        <v>32</v>
      </c>
      <c r="E51" s="24">
        <v>45449.0</v>
      </c>
      <c r="F51" s="25">
        <v>0.25555555555555554</v>
      </c>
      <c r="G51" s="25">
        <v>0.7256944444444444</v>
      </c>
      <c r="H51" s="27">
        <f t="shared" si="2"/>
        <v>0.4701388889</v>
      </c>
      <c r="I51" s="28">
        <v>4.0</v>
      </c>
      <c r="J51" s="29" t="s">
        <v>55</v>
      </c>
      <c r="K51" s="30" t="s">
        <v>23</v>
      </c>
      <c r="L51" s="31" t="str">
        <f>IFERROR(__xludf.DUMMYFUNCTION("IF(OR(E51="""",K51=""""),"""",IFERROR(IF(K51="""","""",query('tbl user'!$A$2:$D10975,""SELECT A WHERE D = '""&amp;K51&amp;""'"")),""USER TIDAK DIKETAHUI""))"),"#REF!")</f>
        <v>#REF!</v>
      </c>
    </row>
    <row r="52">
      <c r="A52" s="21">
        <f t="shared" si="1"/>
        <v>0</v>
      </c>
      <c r="B52" s="32" t="s">
        <v>125</v>
      </c>
      <c r="C52" s="23" t="s">
        <v>126</v>
      </c>
      <c r="D52" s="23" t="s">
        <v>32</v>
      </c>
      <c r="E52" s="24">
        <v>45449.0</v>
      </c>
      <c r="F52" s="25">
        <v>0.27569444444444446</v>
      </c>
      <c r="G52" s="25">
        <v>0.7270833333333333</v>
      </c>
      <c r="H52" s="27">
        <f t="shared" si="2"/>
        <v>0.4513888889</v>
      </c>
      <c r="I52" s="28">
        <v>4.0</v>
      </c>
      <c r="J52" s="29" t="s">
        <v>55</v>
      </c>
      <c r="K52" s="30" t="s">
        <v>23</v>
      </c>
      <c r="L52" s="31" t="str">
        <f>IFERROR(__xludf.DUMMYFUNCTION("IF(OR(E52="""",K52=""""),"""",IFERROR(IF(K52="""","""",query('tbl user'!$A$2:$D10975,""SELECT A WHERE D = '""&amp;K52&amp;""'"")),""USER TIDAK DIKETAHUI""))"),"#REF!")</f>
        <v>#REF!</v>
      </c>
    </row>
    <row r="53">
      <c r="A53" s="21">
        <f t="shared" si="1"/>
        <v>0</v>
      </c>
      <c r="B53" s="32" t="s">
        <v>127</v>
      </c>
      <c r="C53" s="23" t="s">
        <v>128</v>
      </c>
      <c r="D53" s="23" t="s">
        <v>32</v>
      </c>
      <c r="E53" s="24">
        <v>45449.0</v>
      </c>
      <c r="F53" s="25">
        <v>0.28680555555555554</v>
      </c>
      <c r="G53" s="25">
        <v>0.42083333333333334</v>
      </c>
      <c r="H53" s="27">
        <f t="shared" si="2"/>
        <v>0.1340277778</v>
      </c>
      <c r="I53" s="28">
        <v>1.0</v>
      </c>
      <c r="J53" s="29" t="s">
        <v>129</v>
      </c>
      <c r="K53" s="30" t="s">
        <v>23</v>
      </c>
      <c r="L53" s="31" t="str">
        <f>IFERROR(__xludf.DUMMYFUNCTION("IF(OR(E53="""",K53=""""),"""",IFERROR(IF(K53="""","""",query('tbl user'!$A$2:$D10975,""SELECT A WHERE D = '""&amp;K53&amp;""'"")),""USER TIDAK DIKETAHUI""))"),"#REF!")</f>
        <v>#REF!</v>
      </c>
    </row>
    <row r="54">
      <c r="A54" s="21">
        <f t="shared" si="1"/>
        <v>0</v>
      </c>
      <c r="B54" s="32" t="s">
        <v>72</v>
      </c>
      <c r="C54" s="23" t="s">
        <v>73</v>
      </c>
      <c r="D54" s="23" t="s">
        <v>32</v>
      </c>
      <c r="E54" s="24">
        <v>45449.0</v>
      </c>
      <c r="F54" s="25">
        <v>0.2326388888888889</v>
      </c>
      <c r="G54" s="25">
        <v>0.6548611111111111</v>
      </c>
      <c r="H54" s="27">
        <f t="shared" si="2"/>
        <v>0.4222222222</v>
      </c>
      <c r="I54" s="28">
        <v>2.0</v>
      </c>
      <c r="J54" s="29" t="s">
        <v>130</v>
      </c>
      <c r="K54" s="30" t="s">
        <v>23</v>
      </c>
      <c r="L54" s="31" t="str">
        <f>IFERROR(__xludf.DUMMYFUNCTION("IF(OR(E54="""",K54=""""),"""",IFERROR(IF(K54="""","""",query('tbl user'!$A$2:$D10975,""SELECT A WHERE D = '""&amp;K54&amp;""'"")),""USER TIDAK DIKETAHUI""))"),"#REF!")</f>
        <v>#REF!</v>
      </c>
    </row>
    <row r="55">
      <c r="A55" s="21">
        <f t="shared" si="1"/>
        <v>0</v>
      </c>
      <c r="B55" s="32" t="s">
        <v>131</v>
      </c>
      <c r="C55" s="23" t="s">
        <v>132</v>
      </c>
      <c r="D55" s="23" t="s">
        <v>32</v>
      </c>
      <c r="E55" s="24">
        <v>45449.0</v>
      </c>
      <c r="F55" s="25">
        <v>0.24027777777777778</v>
      </c>
      <c r="G55" s="25">
        <v>0.6881944444444444</v>
      </c>
      <c r="H55" s="27">
        <f t="shared" si="2"/>
        <v>0.4479166667</v>
      </c>
      <c r="I55" s="28">
        <v>4.0</v>
      </c>
      <c r="J55" s="29" t="s">
        <v>55</v>
      </c>
      <c r="K55" s="30" t="s">
        <v>23</v>
      </c>
      <c r="L55" s="31" t="str">
        <f>IFERROR(__xludf.DUMMYFUNCTION("IF(OR(E55="""",K55=""""),"""",IFERROR(IF(K55="""","""",query('tbl user'!$A$2:$D10975,""SELECT A WHERE D = '""&amp;K55&amp;""'"")),""USER TIDAK DIKETAHUI""))"),"#REF!")</f>
        <v>#REF!</v>
      </c>
    </row>
    <row r="56">
      <c r="A56" s="21">
        <f t="shared" si="1"/>
        <v>0</v>
      </c>
      <c r="B56" s="32" t="s">
        <v>133</v>
      </c>
      <c r="C56" s="23" t="s">
        <v>134</v>
      </c>
      <c r="D56" s="23" t="s">
        <v>32</v>
      </c>
      <c r="E56" s="24">
        <v>45449.0</v>
      </c>
      <c r="F56" s="25">
        <v>0.2222222222222222</v>
      </c>
      <c r="G56" s="25">
        <v>0.6493055555555556</v>
      </c>
      <c r="H56" s="27">
        <f t="shared" si="2"/>
        <v>0.4270833333</v>
      </c>
      <c r="I56" s="28">
        <v>4.0</v>
      </c>
      <c r="J56" s="29" t="s">
        <v>55</v>
      </c>
      <c r="K56" s="30" t="s">
        <v>23</v>
      </c>
      <c r="L56" s="31" t="str">
        <f>IFERROR(__xludf.DUMMYFUNCTION("IF(OR(E56="""",K56=""""),"""",IFERROR(IF(K56="""","""",query('tbl user'!$A$2:$D10975,""SELECT A WHERE D = '""&amp;K56&amp;""'"")),""USER TIDAK DIKETAHUI""))"),"#REF!")</f>
        <v>#REF!</v>
      </c>
    </row>
    <row r="57">
      <c r="A57" s="21">
        <f t="shared" si="1"/>
        <v>0</v>
      </c>
      <c r="B57" s="32" t="s">
        <v>135</v>
      </c>
      <c r="C57" s="23" t="s">
        <v>136</v>
      </c>
      <c r="D57" s="23" t="s">
        <v>32</v>
      </c>
      <c r="E57" s="24">
        <v>45449.0</v>
      </c>
      <c r="F57" s="25">
        <v>0.27361111111111114</v>
      </c>
      <c r="G57" s="25">
        <v>0.7277777777777777</v>
      </c>
      <c r="H57" s="27">
        <f t="shared" si="2"/>
        <v>0.4541666667</v>
      </c>
      <c r="I57" s="28">
        <v>4.0</v>
      </c>
      <c r="J57" s="29" t="s">
        <v>55</v>
      </c>
      <c r="K57" s="30" t="s">
        <v>23</v>
      </c>
      <c r="L57" s="31" t="str">
        <f>IFERROR(__xludf.DUMMYFUNCTION("IF(OR(E57="""",K57=""""),"""",IFERROR(IF(K57="""","""",query('tbl user'!$A$2:$D10975,""SELECT A WHERE D = '""&amp;K57&amp;""'"")),""USER TIDAK DIKETAHUI""))"),"#REF!")</f>
        <v>#REF!</v>
      </c>
    </row>
    <row r="58">
      <c r="A58" s="21">
        <f t="shared" si="1"/>
        <v>0</v>
      </c>
      <c r="B58" s="32" t="s">
        <v>30</v>
      </c>
      <c r="C58" s="23" t="s">
        <v>31</v>
      </c>
      <c r="D58" s="23" t="s">
        <v>32</v>
      </c>
      <c r="E58" s="24">
        <v>45449.0</v>
      </c>
      <c r="F58" s="25">
        <v>0.2152777777777778</v>
      </c>
      <c r="G58" s="25">
        <v>0.7201388888888889</v>
      </c>
      <c r="H58" s="27">
        <f t="shared" si="2"/>
        <v>0.5048611111</v>
      </c>
      <c r="I58" s="28">
        <v>5.0</v>
      </c>
      <c r="J58" s="29" t="s">
        <v>55</v>
      </c>
      <c r="K58" s="30" t="s">
        <v>23</v>
      </c>
      <c r="L58" s="31" t="str">
        <f>IFERROR(__xludf.DUMMYFUNCTION("IF(OR(E58="""",K58=""""),"""",IFERROR(IF(K58="""","""",query('tbl user'!$A$2:$D10975,""SELECT A WHERE D = '""&amp;K58&amp;""'"")),""USER TIDAK DIKETAHUI""))"),"#REF!")</f>
        <v>#REF!</v>
      </c>
    </row>
    <row r="59">
      <c r="A59" s="21">
        <f t="shared" si="1"/>
        <v>0</v>
      </c>
      <c r="B59" s="32" t="s">
        <v>40</v>
      </c>
      <c r="C59" s="23" t="s">
        <v>41</v>
      </c>
      <c r="D59" s="23" t="s">
        <v>32</v>
      </c>
      <c r="E59" s="24">
        <v>45449.0</v>
      </c>
      <c r="F59" s="25">
        <v>0.2625</v>
      </c>
      <c r="G59" s="25">
        <v>0.6979166666666666</v>
      </c>
      <c r="H59" s="27">
        <f t="shared" si="2"/>
        <v>0.4354166667</v>
      </c>
      <c r="I59" s="28">
        <v>4.0</v>
      </c>
      <c r="J59" s="29" t="s">
        <v>55</v>
      </c>
      <c r="K59" s="30" t="s">
        <v>23</v>
      </c>
      <c r="L59" s="31" t="str">
        <f>IFERROR(__xludf.DUMMYFUNCTION("IF(OR(E59="""",K59=""""),"""",IFERROR(IF(K59="""","""",query('tbl user'!$A$2:$D10975,""SELECT A WHERE D = '""&amp;K59&amp;""'"")),""USER TIDAK DIKETAHUI""))"),"#REF!")</f>
        <v>#REF!</v>
      </c>
    </row>
    <row r="60">
      <c r="A60" s="21">
        <f t="shared" si="1"/>
        <v>0</v>
      </c>
      <c r="B60" s="32" t="s">
        <v>137</v>
      </c>
      <c r="C60" s="23" t="s">
        <v>138</v>
      </c>
      <c r="D60" s="23" t="s">
        <v>32</v>
      </c>
      <c r="E60" s="24">
        <v>45449.0</v>
      </c>
      <c r="F60" s="25">
        <v>0.24375</v>
      </c>
      <c r="G60" s="25">
        <v>0.6409722222222223</v>
      </c>
      <c r="H60" s="27">
        <f t="shared" si="2"/>
        <v>0.3972222222</v>
      </c>
      <c r="I60" s="28">
        <v>4.0</v>
      </c>
      <c r="J60" s="29" t="s">
        <v>55</v>
      </c>
      <c r="K60" s="30" t="s">
        <v>23</v>
      </c>
      <c r="L60" s="31" t="str">
        <f>IFERROR(__xludf.DUMMYFUNCTION("IF(OR(E60="""",K60=""""),"""",IFERROR(IF(K60="""","""",query('tbl user'!$A$2:$D10975,""SELECT A WHERE D = '""&amp;K60&amp;""'"")),""USER TIDAK DIKETAHUI""))"),"#REF!")</f>
        <v>#REF!</v>
      </c>
    </row>
    <row r="61">
      <c r="A61" s="21">
        <f t="shared" si="1"/>
        <v>0</v>
      </c>
      <c r="B61" s="32" t="s">
        <v>139</v>
      </c>
      <c r="C61" s="23" t="s">
        <v>96</v>
      </c>
      <c r="D61" s="23" t="s">
        <v>32</v>
      </c>
      <c r="E61" s="24">
        <v>45449.0</v>
      </c>
      <c r="F61" s="25">
        <v>0.4048611111111111</v>
      </c>
      <c r="G61" s="25">
        <v>0.7597222222222222</v>
      </c>
      <c r="H61" s="27">
        <f t="shared" si="2"/>
        <v>0.3548611111</v>
      </c>
      <c r="I61" s="28">
        <v>2.0</v>
      </c>
      <c r="J61" s="29" t="s">
        <v>140</v>
      </c>
      <c r="K61" s="30" t="s">
        <v>23</v>
      </c>
      <c r="L61" s="31" t="str">
        <f>IFERROR(__xludf.DUMMYFUNCTION("IF(OR(E61="""",K61=""""),"""",IFERROR(IF(K61="""","""",query('tbl user'!$A$2:$D10975,""SELECT A WHERE D = '""&amp;K61&amp;""'"")),""USER TIDAK DIKETAHUI""))"),"#REF!")</f>
        <v>#REF!</v>
      </c>
    </row>
    <row r="62">
      <c r="A62" s="21">
        <f t="shared" si="1"/>
        <v>0</v>
      </c>
      <c r="B62" s="32" t="s">
        <v>141</v>
      </c>
      <c r="C62" s="23" t="s">
        <v>142</v>
      </c>
      <c r="D62" s="23" t="s">
        <v>32</v>
      </c>
      <c r="E62" s="24">
        <v>45449.0</v>
      </c>
      <c r="F62" s="25">
        <v>0.2673611111111111</v>
      </c>
      <c r="G62" s="25">
        <v>0.6125</v>
      </c>
      <c r="H62" s="27">
        <f t="shared" si="2"/>
        <v>0.3451388889</v>
      </c>
      <c r="I62" s="28">
        <v>3.0</v>
      </c>
      <c r="J62" s="29" t="s">
        <v>143</v>
      </c>
      <c r="K62" s="30" t="s">
        <v>23</v>
      </c>
      <c r="L62" s="31" t="str">
        <f>IFERROR(__xludf.DUMMYFUNCTION("IF(OR(E62="""",K62=""""),"""",IFERROR(IF(K62="""","""",query('tbl user'!$A$2:$D10975,""SELECT A WHERE D = '""&amp;K62&amp;""'"")),""USER TIDAK DIKETAHUI""))"),"#REF!")</f>
        <v>#REF!</v>
      </c>
    </row>
    <row r="63">
      <c r="A63" s="21">
        <f t="shared" si="1"/>
        <v>0</v>
      </c>
      <c r="B63" s="32" t="s">
        <v>78</v>
      </c>
      <c r="C63" s="23" t="s">
        <v>79</v>
      </c>
      <c r="D63" s="23" t="s">
        <v>32</v>
      </c>
      <c r="E63" s="24">
        <v>45449.0</v>
      </c>
      <c r="F63" s="25">
        <v>0.2375</v>
      </c>
      <c r="G63" s="25">
        <v>0.7694444444444445</v>
      </c>
      <c r="H63" s="27">
        <f t="shared" si="2"/>
        <v>0.5319444444</v>
      </c>
      <c r="I63" s="28">
        <v>4.0</v>
      </c>
      <c r="J63" s="29" t="s">
        <v>55</v>
      </c>
      <c r="K63" s="30" t="s">
        <v>23</v>
      </c>
      <c r="L63" s="31" t="str">
        <f>IFERROR(__xludf.DUMMYFUNCTION("IF(OR(E63="""",K63=""""),"""",IFERROR(IF(K63="""","""",query('tbl user'!$A$2:$D10975,""SELECT A WHERE D = '""&amp;K63&amp;""'"")),""USER TIDAK DIKETAHUI""))"),"#REF!")</f>
        <v>#REF!</v>
      </c>
    </row>
    <row r="64">
      <c r="A64" s="21">
        <f t="shared" si="1"/>
        <v>0</v>
      </c>
      <c r="B64" s="32" t="s">
        <v>144</v>
      </c>
      <c r="C64" s="23" t="s">
        <v>145</v>
      </c>
      <c r="D64" s="23" t="s">
        <v>32</v>
      </c>
      <c r="E64" s="24">
        <v>45449.0</v>
      </c>
      <c r="F64" s="25">
        <v>0.27569444444444446</v>
      </c>
      <c r="G64" s="25">
        <v>0.7097222222222223</v>
      </c>
      <c r="H64" s="27">
        <f t="shared" si="2"/>
        <v>0.4340277778</v>
      </c>
      <c r="I64" s="28">
        <v>4.0</v>
      </c>
      <c r="J64" s="29" t="s">
        <v>55</v>
      </c>
      <c r="K64" s="30" t="s">
        <v>23</v>
      </c>
      <c r="L64" s="31" t="str">
        <f>IFERROR(__xludf.DUMMYFUNCTION("IF(OR(E64="""",K64=""""),"""",IFERROR(IF(K64="""","""",query('tbl user'!$A$2:$D10975,""SELECT A WHERE D = '""&amp;K64&amp;""'"")),""USER TIDAK DIKETAHUI""))"),"#REF!")</f>
        <v>#REF!</v>
      </c>
    </row>
    <row r="65">
      <c r="A65" s="21">
        <f t="shared" si="1"/>
        <v>0</v>
      </c>
      <c r="B65" s="32" t="s">
        <v>146</v>
      </c>
      <c r="C65" s="23" t="s">
        <v>147</v>
      </c>
      <c r="D65" s="23" t="s">
        <v>32</v>
      </c>
      <c r="E65" s="24">
        <v>45449.0</v>
      </c>
      <c r="F65" s="25">
        <v>0.2777777777777778</v>
      </c>
      <c r="G65" s="25">
        <v>0.6930555555555555</v>
      </c>
      <c r="H65" s="27">
        <f t="shared" si="2"/>
        <v>0.4152777778</v>
      </c>
      <c r="I65" s="28">
        <v>3.0</v>
      </c>
      <c r="J65" s="29" t="s">
        <v>148</v>
      </c>
      <c r="K65" s="30" t="s">
        <v>23</v>
      </c>
      <c r="L65" s="31" t="str">
        <f>IFERROR(__xludf.DUMMYFUNCTION("IF(OR(E65="""",K65=""""),"""",IFERROR(IF(K65="""","""",query('tbl user'!$A$2:$D10975,""SELECT A WHERE D = '""&amp;K65&amp;""'"")),""USER TIDAK DIKETAHUI""))"),"#REF!")</f>
        <v>#REF!</v>
      </c>
    </row>
    <row r="66">
      <c r="A66" s="21">
        <f t="shared" si="1"/>
        <v>0</v>
      </c>
      <c r="B66" s="32" t="s">
        <v>149</v>
      </c>
      <c r="C66" s="23" t="s">
        <v>150</v>
      </c>
      <c r="D66" s="23" t="s">
        <v>32</v>
      </c>
      <c r="E66" s="24">
        <v>45449.0</v>
      </c>
      <c r="F66" s="25">
        <v>0.2423611111111111</v>
      </c>
      <c r="G66" s="25">
        <v>0.6875</v>
      </c>
      <c r="H66" s="27">
        <f t="shared" si="2"/>
        <v>0.4451388889</v>
      </c>
      <c r="I66" s="28">
        <v>4.0</v>
      </c>
      <c r="J66" s="29" t="s">
        <v>55</v>
      </c>
      <c r="K66" s="30" t="s">
        <v>23</v>
      </c>
      <c r="L66" s="31" t="str">
        <f>IFERROR(__xludf.DUMMYFUNCTION("IF(OR(E66="""",K66=""""),"""",IFERROR(IF(K66="""","""",query('tbl user'!$A$2:$D10975,""SELECT A WHERE D = '""&amp;K66&amp;""'"")),""USER TIDAK DIKETAHUI""))"),"#REF!")</f>
        <v>#REF!</v>
      </c>
    </row>
    <row r="67">
      <c r="A67" s="21">
        <f t="shared" si="1"/>
        <v>0</v>
      </c>
      <c r="B67" s="32" t="s">
        <v>151</v>
      </c>
      <c r="C67" s="23" t="s">
        <v>152</v>
      </c>
      <c r="D67" s="23" t="s">
        <v>32</v>
      </c>
      <c r="E67" s="24">
        <v>45449.0</v>
      </c>
      <c r="F67" s="25">
        <v>0.2611111111111111</v>
      </c>
      <c r="G67" s="25">
        <v>0.6763888888888889</v>
      </c>
      <c r="H67" s="27">
        <f t="shared" si="2"/>
        <v>0.4152777778</v>
      </c>
      <c r="I67" s="28">
        <v>4.0</v>
      </c>
      <c r="J67" s="29" t="s">
        <v>55</v>
      </c>
      <c r="K67" s="30" t="s">
        <v>23</v>
      </c>
      <c r="L67" s="31" t="str">
        <f>IFERROR(__xludf.DUMMYFUNCTION("IF(OR(E67="""",K67=""""),"""",IFERROR(IF(K67="""","""",query('tbl user'!$A$2:$D10975,""SELECT A WHERE D = '""&amp;K67&amp;""'"")),""USER TIDAK DIKETAHUI""))"),"#REF!")</f>
        <v>#REF!</v>
      </c>
    </row>
    <row r="68">
      <c r="A68" s="21">
        <f t="shared" si="1"/>
        <v>0</v>
      </c>
      <c r="B68" s="32" t="s">
        <v>67</v>
      </c>
      <c r="C68" s="23" t="s">
        <v>68</v>
      </c>
      <c r="D68" s="23" t="s">
        <v>58</v>
      </c>
      <c r="E68" s="24">
        <v>45449.0</v>
      </c>
      <c r="F68" s="25">
        <v>0.2652777777777778</v>
      </c>
      <c r="G68" s="25">
        <v>0.7347222222222223</v>
      </c>
      <c r="H68" s="27">
        <f t="shared" si="2"/>
        <v>0.4694444444</v>
      </c>
      <c r="I68" s="28">
        <v>4.0</v>
      </c>
      <c r="J68" s="29" t="s">
        <v>55</v>
      </c>
      <c r="K68" s="30" t="s">
        <v>23</v>
      </c>
      <c r="L68" s="31" t="str">
        <f>IFERROR(__xludf.DUMMYFUNCTION("IF(OR(E68="""",K68=""""),"""",IFERROR(IF(K68="""","""",query('tbl user'!$A$2:$D10975,""SELECT A WHERE D = '""&amp;K68&amp;""'"")),""USER TIDAK DIKETAHUI""))"),"#REF!")</f>
        <v>#REF!</v>
      </c>
    </row>
    <row r="69">
      <c r="A69" s="21">
        <f t="shared" si="1"/>
        <v>0</v>
      </c>
      <c r="B69" s="32" t="s">
        <v>153</v>
      </c>
      <c r="C69" s="23" t="s">
        <v>154</v>
      </c>
      <c r="D69" s="23" t="s">
        <v>58</v>
      </c>
      <c r="E69" s="24">
        <v>45449.0</v>
      </c>
      <c r="F69" s="25">
        <v>0.38472222222222224</v>
      </c>
      <c r="G69" s="25">
        <v>0.5951388888888889</v>
      </c>
      <c r="H69" s="27">
        <f t="shared" si="2"/>
        <v>0.2104166667</v>
      </c>
      <c r="I69" s="28">
        <v>1.0</v>
      </c>
      <c r="J69" s="29" t="s">
        <v>155</v>
      </c>
      <c r="K69" s="30" t="s">
        <v>23</v>
      </c>
      <c r="L69" s="31" t="str">
        <f>IFERROR(__xludf.DUMMYFUNCTION("IF(OR(E69="""",K69=""""),"""",IFERROR(IF(K69="""","""",query('tbl user'!$A$2:$D10975,""SELECT A WHERE D = '""&amp;K69&amp;""'"")),""USER TIDAK DIKETAHUI""))"),"#REF!")</f>
        <v>#REF!</v>
      </c>
    </row>
    <row r="70">
      <c r="A70" s="21">
        <f t="shared" si="1"/>
        <v>0</v>
      </c>
      <c r="B70" s="32" t="s">
        <v>156</v>
      </c>
      <c r="C70" s="23" t="s">
        <v>157</v>
      </c>
      <c r="D70" s="23" t="s">
        <v>58</v>
      </c>
      <c r="E70" s="24">
        <v>45449.0</v>
      </c>
      <c r="F70" s="25">
        <v>0.38125</v>
      </c>
      <c r="G70" s="25">
        <v>0.5034722222222222</v>
      </c>
      <c r="H70" s="27">
        <f t="shared" si="2"/>
        <v>0.1222222222</v>
      </c>
      <c r="I70" s="28">
        <v>1.0</v>
      </c>
      <c r="J70" s="29" t="s">
        <v>158</v>
      </c>
      <c r="K70" s="30" t="s">
        <v>23</v>
      </c>
      <c r="L70" s="31" t="str">
        <f>IFERROR(__xludf.DUMMYFUNCTION("IF(OR(E70="""",K70=""""),"""",IFERROR(IF(K70="""","""",query('tbl user'!$A$2:$D10975,""SELECT A WHERE D = '""&amp;K70&amp;""'"")),""USER TIDAK DIKETAHUI""))"),"#REF!")</f>
        <v>#REF!</v>
      </c>
    </row>
    <row r="71">
      <c r="A71" s="21">
        <f t="shared" si="1"/>
        <v>0</v>
      </c>
      <c r="B71" s="32" t="s">
        <v>159</v>
      </c>
      <c r="C71" s="23" t="s">
        <v>160</v>
      </c>
      <c r="D71" s="23" t="s">
        <v>58</v>
      </c>
      <c r="E71" s="24">
        <v>45449.0</v>
      </c>
      <c r="F71" s="25">
        <v>0.29097222222222224</v>
      </c>
      <c r="G71" s="25">
        <v>0.5902777777777778</v>
      </c>
      <c r="H71" s="27">
        <f t="shared" si="2"/>
        <v>0.2993055556</v>
      </c>
      <c r="I71" s="28">
        <v>2.0</v>
      </c>
      <c r="J71" s="29" t="s">
        <v>161</v>
      </c>
      <c r="K71" s="30" t="s">
        <v>23</v>
      </c>
      <c r="L71" s="31" t="str">
        <f>IFERROR(__xludf.DUMMYFUNCTION("IF(OR(E71="""",K71=""""),"""",IFERROR(IF(K71="""","""",query('tbl user'!$A$2:$D10975,""SELECT A WHERE D = '""&amp;K71&amp;""'"")),""USER TIDAK DIKETAHUI""))"),"#REF!")</f>
        <v>#REF!</v>
      </c>
    </row>
    <row r="72">
      <c r="A72" s="21">
        <f t="shared" si="1"/>
        <v>0</v>
      </c>
      <c r="B72" s="32" t="s">
        <v>162</v>
      </c>
      <c r="C72" s="23" t="s">
        <v>163</v>
      </c>
      <c r="D72" s="23" t="s">
        <v>58</v>
      </c>
      <c r="E72" s="24">
        <v>45449.0</v>
      </c>
      <c r="F72" s="25">
        <v>0.2951388888888889</v>
      </c>
      <c r="G72" s="25">
        <v>0.4777777777777778</v>
      </c>
      <c r="H72" s="27">
        <f t="shared" si="2"/>
        <v>0.1826388889</v>
      </c>
      <c r="I72" s="28">
        <v>1.0</v>
      </c>
      <c r="J72" s="29" t="s">
        <v>164</v>
      </c>
      <c r="K72" s="30" t="s">
        <v>23</v>
      </c>
      <c r="L72" s="31" t="str">
        <f>IFERROR(__xludf.DUMMYFUNCTION("IF(OR(E72="""",K72=""""),"""",IFERROR(IF(K72="""","""",query('tbl user'!$A$2:$D10975,""SELECT A WHERE D = '""&amp;K72&amp;""'"")),""USER TIDAK DIKETAHUI""))"),"#REF!")</f>
        <v>#REF!</v>
      </c>
    </row>
    <row r="73">
      <c r="A73" s="21">
        <f t="shared" si="1"/>
        <v>0</v>
      </c>
      <c r="B73" s="32" t="s">
        <v>81</v>
      </c>
      <c r="C73" s="23" t="s">
        <v>165</v>
      </c>
      <c r="D73" s="23" t="s">
        <v>58</v>
      </c>
      <c r="E73" s="24">
        <v>45449.0</v>
      </c>
      <c r="F73" s="25">
        <v>0.2916666666666667</v>
      </c>
      <c r="G73" s="25">
        <v>0.5972222222222222</v>
      </c>
      <c r="H73" s="27">
        <f t="shared" si="2"/>
        <v>0.3055555556</v>
      </c>
      <c r="I73" s="28">
        <v>2.0</v>
      </c>
      <c r="J73" s="29" t="s">
        <v>166</v>
      </c>
      <c r="K73" s="30" t="s">
        <v>23</v>
      </c>
      <c r="L73" s="31" t="str">
        <f>IFERROR(__xludf.DUMMYFUNCTION("IF(OR(E73="""",K73=""""),"""",IFERROR(IF(K73="""","""",query('tbl user'!$A$2:$D10975,""SELECT A WHERE D = '""&amp;K73&amp;""'"")),""USER TIDAK DIKETAHUI""))"),"#REF!")</f>
        <v>#REF!</v>
      </c>
    </row>
    <row r="74">
      <c r="A74" s="21">
        <f t="shared" si="1"/>
        <v>0</v>
      </c>
      <c r="B74" s="32" t="s">
        <v>167</v>
      </c>
      <c r="C74" s="23" t="s">
        <v>168</v>
      </c>
      <c r="D74" s="23" t="s">
        <v>58</v>
      </c>
      <c r="E74" s="24">
        <v>45449.0</v>
      </c>
      <c r="F74" s="25">
        <v>0.28541666666666665</v>
      </c>
      <c r="G74" s="25">
        <v>0.7340277777777777</v>
      </c>
      <c r="H74" s="27">
        <f t="shared" si="2"/>
        <v>0.4486111111</v>
      </c>
      <c r="I74" s="28">
        <v>2.0</v>
      </c>
      <c r="J74" s="29" t="s">
        <v>169</v>
      </c>
      <c r="K74" s="30" t="s">
        <v>23</v>
      </c>
      <c r="L74" s="31" t="str">
        <f>IFERROR(__xludf.DUMMYFUNCTION("IF(OR(E74="""",K74=""""),"""",IFERROR(IF(K74="""","""",query('tbl user'!$A$2:$D10975,""SELECT A WHERE D = '""&amp;K74&amp;""'"")),""USER TIDAK DIKETAHUI""))"),"#REF!")</f>
        <v>#REF!</v>
      </c>
    </row>
    <row r="75">
      <c r="A75" s="21">
        <f t="shared" si="1"/>
        <v>0</v>
      </c>
      <c r="B75" s="32" t="s">
        <v>98</v>
      </c>
      <c r="C75" s="23" t="s">
        <v>170</v>
      </c>
      <c r="D75" s="23" t="s">
        <v>58</v>
      </c>
      <c r="E75" s="24">
        <v>45449.0</v>
      </c>
      <c r="F75" s="25">
        <v>0.2965277777777778</v>
      </c>
      <c r="G75" s="25">
        <v>0.6881944444444444</v>
      </c>
      <c r="H75" s="27">
        <f t="shared" si="2"/>
        <v>0.3916666667</v>
      </c>
      <c r="I75" s="28">
        <v>3.0</v>
      </c>
      <c r="J75" s="29" t="s">
        <v>171</v>
      </c>
      <c r="K75" s="30" t="s">
        <v>23</v>
      </c>
      <c r="L75" s="31" t="str">
        <f>IFERROR(__xludf.DUMMYFUNCTION("IF(OR(E75="""",K75=""""),"""",IFERROR(IF(K75="""","""",query('tbl user'!$A$2:$D10975,""SELECT A WHERE D = '""&amp;K75&amp;""'"")),""USER TIDAK DIKETAHUI""))"),"#REF!")</f>
        <v>#REF!</v>
      </c>
    </row>
    <row r="76">
      <c r="A76" s="21">
        <f t="shared" si="1"/>
        <v>0</v>
      </c>
      <c r="B76" s="32" t="s">
        <v>92</v>
      </c>
      <c r="C76" s="23" t="s">
        <v>93</v>
      </c>
      <c r="D76" s="23" t="s">
        <v>58</v>
      </c>
      <c r="E76" s="24">
        <v>45449.0</v>
      </c>
      <c r="F76" s="25">
        <v>0.2673611111111111</v>
      </c>
      <c r="G76" s="25">
        <v>0.6479166666666667</v>
      </c>
      <c r="H76" s="27">
        <f t="shared" si="2"/>
        <v>0.3805555556</v>
      </c>
      <c r="I76" s="28">
        <v>3.0</v>
      </c>
      <c r="J76" s="29" t="s">
        <v>171</v>
      </c>
      <c r="K76" s="30" t="s">
        <v>23</v>
      </c>
      <c r="L76" s="31" t="str">
        <f>IFERROR(__xludf.DUMMYFUNCTION("IF(OR(E76="""",K76=""""),"""",IFERROR(IF(K76="""","""",query('tbl user'!$A$2:$D10975,""SELECT A WHERE D = '""&amp;K76&amp;""'"")),""USER TIDAK DIKETAHUI""))"),"#REF!")</f>
        <v>#REF!</v>
      </c>
    </row>
    <row r="77">
      <c r="A77" s="21">
        <f t="shared" si="1"/>
        <v>0</v>
      </c>
      <c r="B77" s="32" t="s">
        <v>172</v>
      </c>
      <c r="C77" s="23" t="s">
        <v>173</v>
      </c>
      <c r="D77" s="23" t="s">
        <v>58</v>
      </c>
      <c r="E77" s="24">
        <v>45449.0</v>
      </c>
      <c r="F77" s="25">
        <v>0.20555555555555555</v>
      </c>
      <c r="G77" s="25">
        <v>0.5791666666666667</v>
      </c>
      <c r="H77" s="27">
        <f t="shared" si="2"/>
        <v>0.3736111111</v>
      </c>
      <c r="I77" s="28">
        <v>2.0</v>
      </c>
      <c r="J77" s="29" t="s">
        <v>174</v>
      </c>
      <c r="K77" s="30" t="s">
        <v>23</v>
      </c>
      <c r="L77" s="31" t="str">
        <f>IFERROR(__xludf.DUMMYFUNCTION("IF(OR(E77="""",K77=""""),"""",IFERROR(IF(K77="""","""",query('tbl user'!$A$2:$D10975,""SELECT A WHERE D = '""&amp;K77&amp;""'"")),""USER TIDAK DIKETAHUI""))"),"#REF!")</f>
        <v>#REF!</v>
      </c>
    </row>
    <row r="78">
      <c r="A78" s="21">
        <f t="shared" si="1"/>
        <v>0</v>
      </c>
      <c r="B78" s="32" t="s">
        <v>175</v>
      </c>
      <c r="C78" s="23" t="s">
        <v>176</v>
      </c>
      <c r="D78" s="23" t="s">
        <v>58</v>
      </c>
      <c r="E78" s="24">
        <v>45449.0</v>
      </c>
      <c r="F78" s="25">
        <v>0.23402777777777778</v>
      </c>
      <c r="G78" s="25">
        <v>0.5909722222222222</v>
      </c>
      <c r="H78" s="27">
        <f t="shared" si="2"/>
        <v>0.3569444444</v>
      </c>
      <c r="I78" s="28">
        <v>2.0</v>
      </c>
      <c r="J78" s="29" t="s">
        <v>177</v>
      </c>
      <c r="K78" s="30" t="s">
        <v>23</v>
      </c>
      <c r="L78" s="31" t="str">
        <f>IFERROR(__xludf.DUMMYFUNCTION("IF(OR(E78="""",K78=""""),"""",IFERROR(IF(K78="""","""",query('tbl user'!$A$2:$D10975,""SELECT A WHERE D = '""&amp;K78&amp;""'"")),""USER TIDAK DIKETAHUI""))"),"#REF!")</f>
        <v>#REF!</v>
      </c>
    </row>
    <row r="79">
      <c r="A79" s="21">
        <f t="shared" si="1"/>
        <v>0</v>
      </c>
      <c r="B79" s="32" t="s">
        <v>178</v>
      </c>
      <c r="C79" s="23" t="s">
        <v>82</v>
      </c>
      <c r="D79" s="23" t="s">
        <v>58</v>
      </c>
      <c r="E79" s="24">
        <v>45449.0</v>
      </c>
      <c r="F79" s="25">
        <v>0.28125</v>
      </c>
      <c r="G79" s="25">
        <v>0.5951388888888889</v>
      </c>
      <c r="H79" s="27">
        <f t="shared" si="2"/>
        <v>0.3138888889</v>
      </c>
      <c r="I79" s="28">
        <v>2.0</v>
      </c>
      <c r="J79" s="29" t="s">
        <v>179</v>
      </c>
      <c r="K79" s="30" t="s">
        <v>23</v>
      </c>
      <c r="L79" s="31" t="str">
        <f>IFERROR(__xludf.DUMMYFUNCTION("IF(OR(E79="""",K79=""""),"""",IFERROR(IF(K79="""","""",query('tbl user'!$A$2:$D10975,""SELECT A WHERE D = '""&amp;K79&amp;""'"")),""USER TIDAK DIKETAHUI""))"),"#REF!")</f>
        <v>#REF!</v>
      </c>
    </row>
    <row r="80">
      <c r="A80" s="21">
        <f t="shared" si="1"/>
        <v>0</v>
      </c>
      <c r="B80" s="32" t="s">
        <v>180</v>
      </c>
      <c r="C80" s="23" t="s">
        <v>181</v>
      </c>
      <c r="D80" s="23" t="s">
        <v>58</v>
      </c>
      <c r="E80" s="24">
        <v>45449.0</v>
      </c>
      <c r="F80" s="25">
        <v>0.21875</v>
      </c>
      <c r="G80" s="25">
        <v>0.6763888888888889</v>
      </c>
      <c r="H80" s="27">
        <f t="shared" si="2"/>
        <v>0.4576388889</v>
      </c>
      <c r="I80" s="28">
        <v>4.0</v>
      </c>
      <c r="J80" s="29" t="s">
        <v>55</v>
      </c>
      <c r="K80" s="30" t="s">
        <v>23</v>
      </c>
      <c r="L80" s="31" t="str">
        <f>IFERROR(__xludf.DUMMYFUNCTION("IF(OR(E80="""",K80=""""),"""",IFERROR(IF(K80="""","""",query('tbl user'!$A$2:$D10975,""SELECT A WHERE D = '""&amp;K80&amp;""'"")),""USER TIDAK DIKETAHUI""))"),"#REF!")</f>
        <v>#REF!</v>
      </c>
    </row>
    <row r="81">
      <c r="A81" s="21">
        <f t="shared" si="1"/>
        <v>0</v>
      </c>
      <c r="B81" s="32" t="s">
        <v>182</v>
      </c>
      <c r="C81" s="23" t="s">
        <v>183</v>
      </c>
      <c r="D81" s="23" t="s">
        <v>58</v>
      </c>
      <c r="E81" s="24">
        <v>45449.0</v>
      </c>
      <c r="F81" s="25">
        <v>0.26805555555555555</v>
      </c>
      <c r="G81" s="25">
        <v>0.7319444444444444</v>
      </c>
      <c r="H81" s="27">
        <f t="shared" si="2"/>
        <v>0.4638888889</v>
      </c>
      <c r="I81" s="28">
        <v>4.0</v>
      </c>
      <c r="J81" s="29" t="s">
        <v>55</v>
      </c>
      <c r="K81" s="30" t="s">
        <v>23</v>
      </c>
      <c r="L81" s="31" t="str">
        <f>IFERROR(__xludf.DUMMYFUNCTION("IF(OR(E81="""",K81=""""),"""",IFERROR(IF(K81="""","""",query('tbl user'!$A$2:$D10975,""SELECT A WHERE D = '""&amp;K81&amp;""'"")),""USER TIDAK DIKETAHUI""))"),"#REF!")</f>
        <v>#REF!</v>
      </c>
    </row>
    <row r="82">
      <c r="A82" s="21">
        <f t="shared" si="1"/>
        <v>0</v>
      </c>
      <c r="B82" s="32" t="s">
        <v>184</v>
      </c>
      <c r="C82" s="23" t="s">
        <v>185</v>
      </c>
      <c r="D82" s="23" t="s">
        <v>58</v>
      </c>
      <c r="E82" s="24">
        <v>45449.0</v>
      </c>
      <c r="F82" s="25">
        <v>0.2881944444444444</v>
      </c>
      <c r="G82" s="25">
        <v>0.6555555555555556</v>
      </c>
      <c r="H82" s="27">
        <f t="shared" si="2"/>
        <v>0.3673611111</v>
      </c>
      <c r="I82" s="28">
        <v>3.0</v>
      </c>
      <c r="J82" s="29" t="s">
        <v>186</v>
      </c>
      <c r="K82" s="30" t="s">
        <v>23</v>
      </c>
      <c r="L82" s="31" t="str">
        <f>IFERROR(__xludf.DUMMYFUNCTION("IF(OR(E82="""",K82=""""),"""",IFERROR(IF(K82="""","""",query('tbl user'!$A$2:$D10975,""SELECT A WHERE D = '""&amp;K82&amp;""'"")),""USER TIDAK DIKETAHUI""))"),"#REF!")</f>
        <v>#REF!</v>
      </c>
    </row>
    <row r="83">
      <c r="A83" s="21">
        <f t="shared" si="1"/>
        <v>0</v>
      </c>
      <c r="B83" s="32" t="s">
        <v>187</v>
      </c>
      <c r="C83" s="23" t="s">
        <v>188</v>
      </c>
      <c r="D83" s="23" t="s">
        <v>58</v>
      </c>
      <c r="E83" s="24">
        <v>45449.0</v>
      </c>
      <c r="F83" s="25">
        <v>0.2361111111111111</v>
      </c>
      <c r="G83" s="25">
        <v>0.6986111111111111</v>
      </c>
      <c r="H83" s="27">
        <f t="shared" si="2"/>
        <v>0.4625</v>
      </c>
      <c r="I83" s="28">
        <v>4.0</v>
      </c>
      <c r="J83" s="29" t="s">
        <v>55</v>
      </c>
      <c r="K83" s="30" t="s">
        <v>23</v>
      </c>
      <c r="L83" s="31" t="str">
        <f>IFERROR(__xludf.DUMMYFUNCTION("IF(OR(E83="""",K83=""""),"""",IFERROR(IF(K83="""","""",query('tbl user'!$A$2:$D10975,""SELECT A WHERE D = '""&amp;K83&amp;""'"")),""USER TIDAK DIKETAHUI""))"),"#REF!")</f>
        <v>#REF!</v>
      </c>
    </row>
    <row r="84">
      <c r="A84" s="21">
        <f t="shared" si="1"/>
        <v>0</v>
      </c>
      <c r="B84" s="32" t="s">
        <v>189</v>
      </c>
      <c r="C84" s="23" t="s">
        <v>190</v>
      </c>
      <c r="D84" s="23" t="s">
        <v>58</v>
      </c>
      <c r="E84" s="24">
        <v>45449.0</v>
      </c>
      <c r="F84" s="25">
        <v>0.25416666666666665</v>
      </c>
      <c r="G84" s="25">
        <v>0.7208333333333333</v>
      </c>
      <c r="H84" s="27">
        <f t="shared" si="2"/>
        <v>0.4666666667</v>
      </c>
      <c r="I84" s="28">
        <v>4.0</v>
      </c>
      <c r="J84" s="29" t="s">
        <v>55</v>
      </c>
      <c r="K84" s="30" t="s">
        <v>23</v>
      </c>
      <c r="L84" s="31" t="str">
        <f>IFERROR(__xludf.DUMMYFUNCTION("IF(OR(E84="""",K84=""""),"""",IFERROR(IF(K84="""","""",query('tbl user'!$A$2:$D10975,""SELECT A WHERE D = '""&amp;K84&amp;""'"")),""USER TIDAK DIKETAHUI""))"),"#REF!")</f>
        <v>#REF!</v>
      </c>
    </row>
    <row r="85">
      <c r="A85" s="21">
        <f t="shared" si="1"/>
        <v>0</v>
      </c>
      <c r="B85" s="32" t="s">
        <v>191</v>
      </c>
      <c r="C85" s="23" t="s">
        <v>192</v>
      </c>
      <c r="D85" s="23" t="s">
        <v>58</v>
      </c>
      <c r="E85" s="24">
        <v>45449.0</v>
      </c>
      <c r="F85" s="25">
        <v>0.2673611111111111</v>
      </c>
      <c r="G85" s="25">
        <v>0.5104166666666666</v>
      </c>
      <c r="H85" s="27">
        <f t="shared" si="2"/>
        <v>0.2430555556</v>
      </c>
      <c r="I85" s="28">
        <v>2.0</v>
      </c>
      <c r="J85" s="29" t="s">
        <v>193</v>
      </c>
      <c r="K85" s="30" t="s">
        <v>23</v>
      </c>
      <c r="L85" s="31" t="str">
        <f>IFERROR(__xludf.DUMMYFUNCTION("IF(OR(E85="""",K85=""""),"""",IFERROR(IF(K85="""","""",query('tbl user'!$A$2:$D10975,""SELECT A WHERE D = '""&amp;K85&amp;""'"")),""USER TIDAK DIKETAHUI""))"),"#REF!")</f>
        <v>#REF!</v>
      </c>
    </row>
    <row r="86">
      <c r="A86" s="21">
        <f t="shared" si="1"/>
        <v>0</v>
      </c>
      <c r="B86" s="32" t="s">
        <v>194</v>
      </c>
      <c r="C86" s="23" t="s">
        <v>195</v>
      </c>
      <c r="D86" s="23" t="s">
        <v>58</v>
      </c>
      <c r="E86" s="24">
        <v>45449.0</v>
      </c>
      <c r="F86" s="25">
        <v>0.21944444444444444</v>
      </c>
      <c r="G86" s="25">
        <v>0.4638888888888889</v>
      </c>
      <c r="H86" s="27">
        <f t="shared" si="2"/>
        <v>0.2444444444</v>
      </c>
      <c r="I86" s="28">
        <v>2.0</v>
      </c>
      <c r="J86" s="29" t="s">
        <v>196</v>
      </c>
      <c r="K86" s="30" t="s">
        <v>23</v>
      </c>
      <c r="L86" s="31" t="str">
        <f>IFERROR(__xludf.DUMMYFUNCTION("IF(OR(E86="""",K86=""""),"""",IFERROR(IF(K86="""","""",query('tbl user'!$A$2:$D10975,""SELECT A WHERE D = '""&amp;K86&amp;""'"")),""USER TIDAK DIKETAHUI""))"),"#REF!")</f>
        <v>#REF!</v>
      </c>
    </row>
    <row r="87">
      <c r="A87" s="21">
        <f t="shared" si="1"/>
        <v>0</v>
      </c>
      <c r="B87" s="32" t="s">
        <v>197</v>
      </c>
      <c r="C87" s="23" t="s">
        <v>198</v>
      </c>
      <c r="D87" s="23" t="s">
        <v>58</v>
      </c>
      <c r="E87" s="24">
        <v>45449.0</v>
      </c>
      <c r="F87" s="25">
        <v>0.2013888888888889</v>
      </c>
      <c r="G87" s="25">
        <v>0.5777777777777777</v>
      </c>
      <c r="H87" s="27">
        <f t="shared" si="2"/>
        <v>0.3763888889</v>
      </c>
      <c r="I87" s="28">
        <v>3.0</v>
      </c>
      <c r="J87" s="29" t="s">
        <v>199</v>
      </c>
      <c r="K87" s="30" t="s">
        <v>23</v>
      </c>
      <c r="L87" s="31" t="str">
        <f>IFERROR(__xludf.DUMMYFUNCTION("IF(OR(E87="""",K87=""""),"""",IFERROR(IF(K87="""","""",query('tbl user'!$A$2:$D10975,""SELECT A WHERE D = '""&amp;K87&amp;""'"")),""USER TIDAK DIKETAHUI""))"),"#REF!")</f>
        <v>#REF!</v>
      </c>
    </row>
    <row r="88">
      <c r="A88" s="21">
        <f t="shared" si="1"/>
        <v>0</v>
      </c>
      <c r="B88" s="32" t="s">
        <v>200</v>
      </c>
      <c r="C88" s="23" t="s">
        <v>201</v>
      </c>
      <c r="D88" s="23" t="s">
        <v>58</v>
      </c>
      <c r="E88" s="24">
        <v>45449.0</v>
      </c>
      <c r="F88" s="25">
        <v>0.2</v>
      </c>
      <c r="G88" s="25">
        <v>0.6826388888888889</v>
      </c>
      <c r="H88" s="27">
        <f t="shared" si="2"/>
        <v>0.4826388889</v>
      </c>
      <c r="I88" s="28">
        <v>3.0</v>
      </c>
      <c r="J88" s="29" t="s">
        <v>171</v>
      </c>
      <c r="K88" s="30" t="s">
        <v>23</v>
      </c>
      <c r="L88" s="31" t="str">
        <f>IFERROR(__xludf.DUMMYFUNCTION("IF(OR(E88="""",K88=""""),"""",IFERROR(IF(K88="""","""",query('tbl user'!$A$2:$D10975,""SELECT A WHERE D = '""&amp;K88&amp;""'"")),""USER TIDAK DIKETAHUI""))"),"#REF!")</f>
        <v>#REF!</v>
      </c>
    </row>
    <row r="89">
      <c r="A89" s="21">
        <f t="shared" si="1"/>
        <v>0</v>
      </c>
      <c r="B89" s="32" t="s">
        <v>104</v>
      </c>
      <c r="C89" s="23" t="s">
        <v>105</v>
      </c>
      <c r="D89" s="23" t="s">
        <v>58</v>
      </c>
      <c r="E89" s="24">
        <v>45449.0</v>
      </c>
      <c r="F89" s="25">
        <v>0.25069444444444444</v>
      </c>
      <c r="G89" s="25">
        <v>0.6902777777777778</v>
      </c>
      <c r="H89" s="27">
        <f t="shared" si="2"/>
        <v>0.4395833333</v>
      </c>
      <c r="I89" s="28">
        <v>3.0</v>
      </c>
      <c r="J89" s="29" t="s">
        <v>171</v>
      </c>
      <c r="K89" s="30" t="s">
        <v>23</v>
      </c>
      <c r="L89" s="31" t="str">
        <f>IFERROR(__xludf.DUMMYFUNCTION("IF(OR(E89="""",K89=""""),"""",IFERROR(IF(K89="""","""",query('tbl user'!$A$2:$D10975,""SELECT A WHERE D = '""&amp;K89&amp;""'"")),""USER TIDAK DIKETAHUI""))"),"#REF!")</f>
        <v>#REF!</v>
      </c>
    </row>
    <row r="90">
      <c r="A90" s="21">
        <f t="shared" si="1"/>
        <v>0</v>
      </c>
      <c r="B90" s="32" t="s">
        <v>202</v>
      </c>
      <c r="C90" s="23" t="s">
        <v>203</v>
      </c>
      <c r="D90" s="23" t="s">
        <v>58</v>
      </c>
      <c r="E90" s="24">
        <v>45449.0</v>
      </c>
      <c r="F90" s="25">
        <v>0.25277777777777777</v>
      </c>
      <c r="G90" s="25">
        <v>0.6055555555555555</v>
      </c>
      <c r="H90" s="27">
        <f t="shared" si="2"/>
        <v>0.3527777778</v>
      </c>
      <c r="I90" s="28">
        <v>3.0</v>
      </c>
      <c r="J90" s="29" t="s">
        <v>204</v>
      </c>
      <c r="K90" s="30" t="s">
        <v>23</v>
      </c>
      <c r="L90" s="31" t="str">
        <f>IFERROR(__xludf.DUMMYFUNCTION("IF(OR(E90="""",K90=""""),"""",IFERROR(IF(K90="""","""",query('tbl user'!$A$2:$D10975,""SELECT A WHERE D = '""&amp;K90&amp;""'"")),""USER TIDAK DIKETAHUI""))"),"#REF!")</f>
        <v>#REF!</v>
      </c>
    </row>
    <row r="91">
      <c r="A91" s="21">
        <f t="shared" si="1"/>
        <v>0</v>
      </c>
      <c r="B91" s="32" t="s">
        <v>205</v>
      </c>
      <c r="C91" s="23" t="s">
        <v>206</v>
      </c>
      <c r="D91" s="23" t="s">
        <v>58</v>
      </c>
      <c r="E91" s="24">
        <v>45449.0</v>
      </c>
      <c r="F91" s="25">
        <v>0.2986111111111111</v>
      </c>
      <c r="G91" s="25">
        <v>0.6493055555555556</v>
      </c>
      <c r="H91" s="27">
        <f t="shared" si="2"/>
        <v>0.3506944444</v>
      </c>
      <c r="I91" s="28">
        <v>2.0</v>
      </c>
      <c r="J91" s="29" t="s">
        <v>207</v>
      </c>
      <c r="K91" s="30" t="s">
        <v>23</v>
      </c>
      <c r="L91" s="31" t="str">
        <f>IFERROR(__xludf.DUMMYFUNCTION("IF(OR(E91="""",K91=""""),"""",IFERROR(IF(K91="""","""",query('tbl user'!$A$2:$D10975,""SELECT A WHERE D = '""&amp;K91&amp;""'"")),""USER TIDAK DIKETAHUI""))"),"#REF!")</f>
        <v>#REF!</v>
      </c>
    </row>
    <row r="92">
      <c r="A92" s="21">
        <f t="shared" si="1"/>
        <v>0</v>
      </c>
      <c r="B92" s="32" t="s">
        <v>95</v>
      </c>
      <c r="C92" s="23" t="s">
        <v>208</v>
      </c>
      <c r="D92" s="23" t="s">
        <v>58</v>
      </c>
      <c r="E92" s="24">
        <v>45449.0</v>
      </c>
      <c r="F92" s="25">
        <v>0.2548611111111111</v>
      </c>
      <c r="G92" s="25">
        <v>0.7069444444444445</v>
      </c>
      <c r="H92" s="27">
        <f t="shared" si="2"/>
        <v>0.4520833333</v>
      </c>
      <c r="I92" s="28">
        <v>4.0</v>
      </c>
      <c r="J92" s="29" t="s">
        <v>55</v>
      </c>
      <c r="K92" s="30" t="s">
        <v>23</v>
      </c>
      <c r="L92" s="31" t="str">
        <f>IFERROR(__xludf.DUMMYFUNCTION("IF(OR(E92="""",K92=""""),"""",IFERROR(IF(K92="""","""",query('tbl user'!$A$2:$D10975,""SELECT A WHERE D = '""&amp;K92&amp;""'"")),""USER TIDAK DIKETAHUI""))"),"#REF!")</f>
        <v>#REF!</v>
      </c>
    </row>
    <row r="93">
      <c r="A93" s="21">
        <f t="shared" si="1"/>
        <v>0</v>
      </c>
      <c r="B93" s="32" t="s">
        <v>209</v>
      </c>
      <c r="C93" s="23" t="s">
        <v>85</v>
      </c>
      <c r="D93" s="23" t="s">
        <v>58</v>
      </c>
      <c r="E93" s="24">
        <v>45449.0</v>
      </c>
      <c r="F93" s="25">
        <v>0.2708333333333333</v>
      </c>
      <c r="G93" s="25">
        <v>0.5798611111111112</v>
      </c>
      <c r="H93" s="27">
        <f t="shared" si="2"/>
        <v>0.3090277778</v>
      </c>
      <c r="I93" s="28">
        <v>2.0</v>
      </c>
      <c r="J93" s="29" t="s">
        <v>210</v>
      </c>
      <c r="K93" s="30" t="s">
        <v>23</v>
      </c>
      <c r="L93" s="31" t="str">
        <f>IFERROR(__xludf.DUMMYFUNCTION("IF(OR(E93="""",K93=""""),"""",IFERROR(IF(K93="""","""",query('tbl user'!$A$2:$D10975,""SELECT A WHERE D = '""&amp;K93&amp;""'"")),""USER TIDAK DIKETAHUI""))"),"#REF!")</f>
        <v>#REF!</v>
      </c>
    </row>
    <row r="94">
      <c r="A94" s="21">
        <f t="shared" si="1"/>
        <v>0</v>
      </c>
      <c r="B94" s="32" t="s">
        <v>67</v>
      </c>
      <c r="C94" s="23" t="s">
        <v>68</v>
      </c>
      <c r="D94" s="23" t="s">
        <v>58</v>
      </c>
      <c r="E94" s="24">
        <v>45383.0</v>
      </c>
      <c r="F94" s="25">
        <v>0.27361111111111114</v>
      </c>
      <c r="G94" s="25">
        <v>0.7118055555555556</v>
      </c>
      <c r="H94" s="27">
        <f t="shared" si="2"/>
        <v>0.4381944444</v>
      </c>
      <c r="I94" s="28">
        <v>3.0</v>
      </c>
      <c r="J94" s="29" t="s">
        <v>55</v>
      </c>
      <c r="K94" s="30" t="s">
        <v>23</v>
      </c>
      <c r="L94" s="31" t="str">
        <f>IFERROR(__xludf.DUMMYFUNCTION("IF(OR(E94="""",K94=""""),"""",IFERROR(IF(K94="""","""",query('tbl user'!$A$2:$D10975,""SELECT A WHERE D = '""&amp;K94&amp;""'"")),""USER TIDAK DIKETAHUI""))"),"#REF!")</f>
        <v>#REF!</v>
      </c>
    </row>
    <row r="95">
      <c r="A95" s="21" t="str">
        <f t="shared" si="1"/>
        <v/>
      </c>
      <c r="B95" s="35"/>
      <c r="C95" s="23" t="s">
        <v>211</v>
      </c>
      <c r="D95" s="23" t="s">
        <v>58</v>
      </c>
      <c r="E95" s="24">
        <v>45383.0</v>
      </c>
      <c r="F95" s="25">
        <v>0.29097222222222224</v>
      </c>
      <c r="G95" s="25">
        <v>0.5659722222222222</v>
      </c>
      <c r="H95" s="27">
        <f t="shared" si="2"/>
        <v>0.275</v>
      </c>
      <c r="I95" s="28">
        <v>1.0</v>
      </c>
      <c r="J95" s="29" t="s">
        <v>212</v>
      </c>
      <c r="K95" s="30" t="s">
        <v>23</v>
      </c>
      <c r="L95" s="31" t="str">
        <f>IFERROR(__xludf.DUMMYFUNCTION("IF(OR(E95="""",K95=""""),"""",IFERROR(IF(K95="""","""",query('tbl user'!$A$2:$D10975,""SELECT A WHERE D = '""&amp;K95&amp;""'"")),""USER TIDAK DIKETAHUI""))"),"#REF!")</f>
        <v>#REF!</v>
      </c>
    </row>
    <row r="96">
      <c r="A96" s="21">
        <f t="shared" si="1"/>
        <v>0</v>
      </c>
      <c r="B96" s="32" t="s">
        <v>120</v>
      </c>
      <c r="C96" s="23" t="s">
        <v>168</v>
      </c>
      <c r="D96" s="23" t="s">
        <v>58</v>
      </c>
      <c r="E96" s="24">
        <v>45383.0</v>
      </c>
      <c r="F96" s="25">
        <v>0.2833333333333333</v>
      </c>
      <c r="G96" s="25">
        <v>0.6597222222222222</v>
      </c>
      <c r="H96" s="27">
        <f t="shared" si="2"/>
        <v>0.3763888889</v>
      </c>
      <c r="I96" s="28">
        <v>2.0</v>
      </c>
      <c r="J96" s="29" t="s">
        <v>213</v>
      </c>
      <c r="K96" s="30" t="s">
        <v>23</v>
      </c>
      <c r="L96" s="31" t="str">
        <f>IFERROR(__xludf.DUMMYFUNCTION("IF(OR(E96="""",K96=""""),"""",IFERROR(IF(K96="""","""",query('tbl user'!$A$2:$D10975,""SELECT A WHERE D = '""&amp;K96&amp;""'"")),""USER TIDAK DIKETAHUI""))"),"#REF!")</f>
        <v>#REF!</v>
      </c>
    </row>
    <row r="97">
      <c r="A97" s="21">
        <f t="shared" si="1"/>
        <v>0</v>
      </c>
      <c r="B97" s="32" t="s">
        <v>214</v>
      </c>
      <c r="C97" s="23" t="s">
        <v>170</v>
      </c>
      <c r="D97" s="23" t="s">
        <v>58</v>
      </c>
      <c r="E97" s="24">
        <v>45383.0</v>
      </c>
      <c r="F97" s="25">
        <v>0.2923611111111111</v>
      </c>
      <c r="G97" s="25">
        <v>0.6715277777777777</v>
      </c>
      <c r="H97" s="27">
        <f t="shared" si="2"/>
        <v>0.3791666667</v>
      </c>
      <c r="I97" s="28">
        <v>2.0</v>
      </c>
      <c r="J97" s="29" t="s">
        <v>213</v>
      </c>
      <c r="K97" s="30" t="s">
        <v>23</v>
      </c>
      <c r="L97" s="31" t="str">
        <f>IFERROR(__xludf.DUMMYFUNCTION("IF(OR(E97="""",K97=""""),"""",IFERROR(IF(K97="""","""",query('tbl user'!$A$2:$D10975,""SELECT A WHERE D = '""&amp;K97&amp;""'"")),""USER TIDAK DIKETAHUI""))"),"#REF!")</f>
        <v>#REF!</v>
      </c>
    </row>
    <row r="98">
      <c r="A98" s="21">
        <f t="shared" si="1"/>
        <v>0</v>
      </c>
      <c r="B98" s="32" t="s">
        <v>92</v>
      </c>
      <c r="C98" s="23" t="s">
        <v>93</v>
      </c>
      <c r="D98" s="23" t="s">
        <v>58</v>
      </c>
      <c r="E98" s="24">
        <v>45383.0</v>
      </c>
      <c r="F98" s="25">
        <v>0.2708333333333333</v>
      </c>
      <c r="G98" s="25">
        <v>0.6951388888888889</v>
      </c>
      <c r="H98" s="27">
        <f t="shared" si="2"/>
        <v>0.4243055556</v>
      </c>
      <c r="I98" s="28">
        <v>3.0</v>
      </c>
      <c r="J98" s="29" t="s">
        <v>55</v>
      </c>
      <c r="K98" s="30" t="s">
        <v>23</v>
      </c>
      <c r="L98" s="31" t="str">
        <f>IFERROR(__xludf.DUMMYFUNCTION("IF(OR(E98="""",K98=""""),"""",IFERROR(IF(K98="""","""",query('tbl user'!$A$2:$D10975,""SELECT A WHERE D = '""&amp;K98&amp;""'"")),""USER TIDAK DIKETAHUI""))"),"#REF!")</f>
        <v>#REF!</v>
      </c>
    </row>
    <row r="99">
      <c r="A99" s="21">
        <f t="shared" si="1"/>
        <v>0</v>
      </c>
      <c r="B99" s="32" t="s">
        <v>215</v>
      </c>
      <c r="C99" s="23" t="s">
        <v>176</v>
      </c>
      <c r="D99" s="23" t="s">
        <v>58</v>
      </c>
      <c r="E99" s="24">
        <v>45383.0</v>
      </c>
      <c r="F99" s="25">
        <v>0.275</v>
      </c>
      <c r="G99" s="25">
        <v>0.7104166666666667</v>
      </c>
      <c r="H99" s="27">
        <f t="shared" si="2"/>
        <v>0.4354166667</v>
      </c>
      <c r="I99" s="28">
        <v>3.0</v>
      </c>
      <c r="J99" s="29" t="s">
        <v>55</v>
      </c>
      <c r="K99" s="30" t="s">
        <v>23</v>
      </c>
      <c r="L99" s="31" t="str">
        <f>IFERROR(__xludf.DUMMYFUNCTION("IF(OR(E99="""",K99=""""),"""",IFERROR(IF(K99="""","""",query('tbl user'!$A$2:$D10975,""SELECT A WHERE D = '""&amp;K99&amp;""'"")),""USER TIDAK DIKETAHUI""))"),"#REF!")</f>
        <v>#REF!</v>
      </c>
    </row>
    <row r="100">
      <c r="A100" s="21">
        <f t="shared" si="1"/>
        <v>0</v>
      </c>
      <c r="B100" s="32" t="s">
        <v>216</v>
      </c>
      <c r="C100" s="23" t="s">
        <v>57</v>
      </c>
      <c r="D100" s="23" t="s">
        <v>58</v>
      </c>
      <c r="E100" s="24">
        <v>45383.0</v>
      </c>
      <c r="F100" s="25">
        <v>0.2923611111111111</v>
      </c>
      <c r="G100" s="25">
        <v>0.6625</v>
      </c>
      <c r="H100" s="27">
        <f t="shared" si="2"/>
        <v>0.3701388889</v>
      </c>
      <c r="I100" s="28">
        <v>2.0</v>
      </c>
      <c r="J100" s="29" t="s">
        <v>213</v>
      </c>
      <c r="K100" s="30" t="s">
        <v>23</v>
      </c>
      <c r="L100" s="31" t="str">
        <f>IFERROR(__xludf.DUMMYFUNCTION("IF(OR(E100="""",K100=""""),"""",IFERROR(IF(K100="""","""",query('tbl user'!$A$2:$D10975,""SELECT A WHERE D = '""&amp;K100&amp;""'"")),""USER TIDAK DIKETAHUI""))"),"#REF!")</f>
        <v>#REF!</v>
      </c>
    </row>
    <row r="101">
      <c r="A101" s="21">
        <f t="shared" si="1"/>
        <v>0</v>
      </c>
      <c r="B101" s="32" t="s">
        <v>178</v>
      </c>
      <c r="C101" s="23" t="s">
        <v>82</v>
      </c>
      <c r="D101" s="23" t="s">
        <v>58</v>
      </c>
      <c r="E101" s="24">
        <v>45383.0</v>
      </c>
      <c r="F101" s="25">
        <v>0.2861111111111111</v>
      </c>
      <c r="G101" s="25">
        <v>0.6666666666666666</v>
      </c>
      <c r="H101" s="27">
        <f t="shared" si="2"/>
        <v>0.3805555556</v>
      </c>
      <c r="I101" s="28">
        <v>2.0</v>
      </c>
      <c r="J101" s="29" t="s">
        <v>213</v>
      </c>
      <c r="K101" s="30" t="s">
        <v>23</v>
      </c>
      <c r="L101" s="31" t="str">
        <f>IFERROR(__xludf.DUMMYFUNCTION("IF(OR(E101="""",K101=""""),"""",IFERROR(IF(K101="""","""",query('tbl user'!$A$2:$D10975,""SELECT A WHERE D = '""&amp;K101&amp;""'"")),""USER TIDAK DIKETAHUI""))"),"#REF!")</f>
        <v>#REF!</v>
      </c>
    </row>
    <row r="102">
      <c r="A102" s="21">
        <f t="shared" si="1"/>
        <v>0</v>
      </c>
      <c r="B102" s="32" t="s">
        <v>180</v>
      </c>
      <c r="C102" s="23" t="s">
        <v>181</v>
      </c>
      <c r="D102" s="23" t="s">
        <v>58</v>
      </c>
      <c r="E102" s="24">
        <v>45383.0</v>
      </c>
      <c r="F102" s="25">
        <v>0.26875</v>
      </c>
      <c r="G102" s="25">
        <v>0.6645833333333333</v>
      </c>
      <c r="H102" s="27">
        <f t="shared" si="2"/>
        <v>0.3958333333</v>
      </c>
      <c r="I102" s="28">
        <v>3.0</v>
      </c>
      <c r="J102" s="29" t="s">
        <v>55</v>
      </c>
      <c r="K102" s="30" t="s">
        <v>23</v>
      </c>
      <c r="L102" s="31" t="str">
        <f>IFERROR(__xludf.DUMMYFUNCTION("IF(OR(E102="""",K102=""""),"""",IFERROR(IF(K102="""","""",query('tbl user'!$A$2:$D10975,""SELECT A WHERE D = '""&amp;K102&amp;""'"")),""USER TIDAK DIKETAHUI""))"),"#REF!")</f>
        <v>#REF!</v>
      </c>
    </row>
    <row r="103">
      <c r="A103" s="21">
        <f t="shared" si="1"/>
        <v>0</v>
      </c>
      <c r="B103" s="32" t="s">
        <v>182</v>
      </c>
      <c r="C103" s="23" t="s">
        <v>183</v>
      </c>
      <c r="D103" s="23" t="s">
        <v>58</v>
      </c>
      <c r="E103" s="24">
        <v>45383.0</v>
      </c>
      <c r="F103" s="25">
        <v>0.2701388888888889</v>
      </c>
      <c r="G103" s="25">
        <v>0.6458333333333334</v>
      </c>
      <c r="H103" s="27">
        <f t="shared" si="2"/>
        <v>0.3756944444</v>
      </c>
      <c r="I103" s="28">
        <v>2.0</v>
      </c>
      <c r="J103" s="29" t="s">
        <v>217</v>
      </c>
      <c r="K103" s="30" t="s">
        <v>23</v>
      </c>
      <c r="L103" s="31" t="str">
        <f>IFERROR(__xludf.DUMMYFUNCTION("IF(OR(E103="""",K103=""""),"""",IFERROR(IF(K103="""","""",query('tbl user'!$A$2:$D10975,""SELECT A WHERE D = '""&amp;K103&amp;""'"")),""USER TIDAK DIKETAHUI""))"),"#REF!")</f>
        <v>#REF!</v>
      </c>
    </row>
    <row r="104">
      <c r="A104" s="21">
        <f t="shared" si="1"/>
        <v>0</v>
      </c>
      <c r="B104" s="32" t="s">
        <v>184</v>
      </c>
      <c r="C104" s="23" t="s">
        <v>185</v>
      </c>
      <c r="D104" s="23" t="s">
        <v>58</v>
      </c>
      <c r="E104" s="24">
        <v>45383.0</v>
      </c>
      <c r="F104" s="25">
        <v>0.2777777777777778</v>
      </c>
      <c r="G104" s="25">
        <v>0.7118055555555556</v>
      </c>
      <c r="H104" s="27">
        <f t="shared" si="2"/>
        <v>0.4340277778</v>
      </c>
      <c r="I104" s="28">
        <v>3.0</v>
      </c>
      <c r="J104" s="29" t="s">
        <v>55</v>
      </c>
      <c r="K104" s="30" t="s">
        <v>23</v>
      </c>
      <c r="L104" s="31" t="str">
        <f>IFERROR(__xludf.DUMMYFUNCTION("IF(OR(E104="""",K104=""""),"""",IFERROR(IF(K104="""","""",query('tbl user'!$A$2:$D10975,""SELECT A WHERE D = '""&amp;K104&amp;""'"")),""USER TIDAK DIKETAHUI""))"),"#REF!")</f>
        <v>#REF!</v>
      </c>
    </row>
    <row r="105">
      <c r="A105" s="21">
        <f t="shared" si="1"/>
        <v>0</v>
      </c>
      <c r="B105" s="32" t="s">
        <v>187</v>
      </c>
      <c r="C105" s="23" t="s">
        <v>188</v>
      </c>
      <c r="D105" s="23" t="s">
        <v>58</v>
      </c>
      <c r="E105" s="24">
        <v>45383.0</v>
      </c>
      <c r="F105" s="25">
        <v>0.27847222222222223</v>
      </c>
      <c r="G105" s="25">
        <v>0.5875</v>
      </c>
      <c r="H105" s="27">
        <f t="shared" si="2"/>
        <v>0.3090277778</v>
      </c>
      <c r="I105" s="28">
        <v>2.0</v>
      </c>
      <c r="J105" s="29" t="s">
        <v>218</v>
      </c>
      <c r="K105" s="30" t="s">
        <v>23</v>
      </c>
      <c r="L105" s="31" t="str">
        <f>IFERROR(__xludf.DUMMYFUNCTION("IF(OR(E105="""",K105=""""),"""",IFERROR(IF(K105="""","""",query('tbl user'!$A$2:$D10975,""SELECT A WHERE D = '""&amp;K105&amp;""'"")),""USER TIDAK DIKETAHUI""))"),"#REF!")</f>
        <v>#REF!</v>
      </c>
    </row>
    <row r="106">
      <c r="A106" s="21">
        <f t="shared" si="1"/>
        <v>0</v>
      </c>
      <c r="B106" s="32" t="s">
        <v>189</v>
      </c>
      <c r="C106" s="23" t="s">
        <v>190</v>
      </c>
      <c r="D106" s="23" t="s">
        <v>58</v>
      </c>
      <c r="E106" s="24">
        <v>45383.0</v>
      </c>
      <c r="F106" s="25">
        <v>0.2763888888888889</v>
      </c>
      <c r="G106" s="25">
        <v>0.6284722222222222</v>
      </c>
      <c r="H106" s="27">
        <f t="shared" si="2"/>
        <v>0.3520833333</v>
      </c>
      <c r="I106" s="28">
        <v>2.0</v>
      </c>
      <c r="J106" s="29" t="s">
        <v>213</v>
      </c>
      <c r="K106" s="30" t="s">
        <v>23</v>
      </c>
      <c r="L106" s="31" t="str">
        <f>IFERROR(__xludf.DUMMYFUNCTION("IF(OR(E106="""",K106=""""),"""",IFERROR(IF(K106="""","""",query('tbl user'!$A$2:$D10975,""SELECT A WHERE D = '""&amp;K106&amp;""'"")),""USER TIDAK DIKETAHUI""))"),"#REF!")</f>
        <v>#REF!</v>
      </c>
    </row>
    <row r="107">
      <c r="A107" s="21">
        <f t="shared" si="1"/>
        <v>0</v>
      </c>
      <c r="B107" s="32" t="s">
        <v>219</v>
      </c>
      <c r="C107" s="23" t="s">
        <v>192</v>
      </c>
      <c r="D107" s="23" t="s">
        <v>58</v>
      </c>
      <c r="E107" s="24">
        <v>45383.0</v>
      </c>
      <c r="F107" s="25">
        <v>0.28680555555555554</v>
      </c>
      <c r="G107" s="25">
        <v>0.7083333333333334</v>
      </c>
      <c r="H107" s="27">
        <f t="shared" si="2"/>
        <v>0.4215277778</v>
      </c>
      <c r="I107" s="28">
        <v>2.0</v>
      </c>
      <c r="J107" s="29" t="s">
        <v>213</v>
      </c>
      <c r="K107" s="30" t="s">
        <v>23</v>
      </c>
      <c r="L107" s="31" t="str">
        <f>IFERROR(__xludf.DUMMYFUNCTION("IF(OR(E107="""",K107=""""),"""",IFERROR(IF(K107="""","""",query('tbl user'!$A$2:$D10975,""SELECT A WHERE D = '""&amp;K107&amp;""'"")),""USER TIDAK DIKETAHUI""))"),"#REF!")</f>
        <v>#REF!</v>
      </c>
    </row>
    <row r="108">
      <c r="A108" s="21">
        <f t="shared" si="1"/>
        <v>0</v>
      </c>
      <c r="B108" s="32" t="s">
        <v>220</v>
      </c>
      <c r="C108" s="23" t="s">
        <v>192</v>
      </c>
      <c r="D108" s="23" t="s">
        <v>58</v>
      </c>
      <c r="E108" s="24">
        <v>45383.0</v>
      </c>
      <c r="F108" s="25">
        <v>0.28680555555555554</v>
      </c>
      <c r="G108" s="25">
        <v>0.7083333333333334</v>
      </c>
      <c r="H108" s="27">
        <f t="shared" si="2"/>
        <v>0.4215277778</v>
      </c>
      <c r="I108" s="28">
        <v>2.0</v>
      </c>
      <c r="J108" s="29" t="s">
        <v>213</v>
      </c>
      <c r="K108" s="30" t="s">
        <v>23</v>
      </c>
      <c r="L108" s="31" t="str">
        <f>IFERROR(__xludf.DUMMYFUNCTION("IF(OR(E108="""",K108=""""),"""",IFERROR(IF(K108="""","""",query('tbl user'!$A$2:$D10975,""SELECT A WHERE D = '""&amp;K108&amp;""'"")),""USER TIDAK DIKETAHUI""))"),"#REF!")</f>
        <v>#REF!</v>
      </c>
    </row>
    <row r="109">
      <c r="A109" s="21">
        <f t="shared" si="1"/>
        <v>0</v>
      </c>
      <c r="B109" s="32" t="s">
        <v>194</v>
      </c>
      <c r="C109" s="23" t="s">
        <v>195</v>
      </c>
      <c r="D109" s="23" t="s">
        <v>58</v>
      </c>
      <c r="E109" s="24">
        <v>45383.0</v>
      </c>
      <c r="F109" s="25">
        <v>0.26944444444444443</v>
      </c>
      <c r="G109" s="25">
        <v>0.5854166666666667</v>
      </c>
      <c r="H109" s="27">
        <f t="shared" si="2"/>
        <v>0.3159722222</v>
      </c>
      <c r="I109" s="28">
        <v>2.0</v>
      </c>
      <c r="J109" s="29" t="s">
        <v>221</v>
      </c>
      <c r="K109" s="30" t="s">
        <v>23</v>
      </c>
      <c r="L109" s="31" t="str">
        <f>IFERROR(__xludf.DUMMYFUNCTION("IF(OR(E109="""",K109=""""),"""",IFERROR(IF(K109="""","""",query('tbl user'!$A$2:$D10975,""SELECT A WHERE D = '""&amp;K109&amp;""'"")),""USER TIDAK DIKETAHUI""))"),"#REF!")</f>
        <v>#REF!</v>
      </c>
    </row>
    <row r="110">
      <c r="A110" s="21">
        <f t="shared" si="1"/>
        <v>0</v>
      </c>
      <c r="B110" s="32" t="s">
        <v>197</v>
      </c>
      <c r="C110" s="23" t="s">
        <v>198</v>
      </c>
      <c r="D110" s="23" t="s">
        <v>58</v>
      </c>
      <c r="E110" s="24">
        <v>45383.0</v>
      </c>
      <c r="F110" s="25">
        <v>0.2701388888888889</v>
      </c>
      <c r="G110" s="25">
        <v>0.7520833333333333</v>
      </c>
      <c r="H110" s="27">
        <f t="shared" si="2"/>
        <v>0.4819444444</v>
      </c>
      <c r="I110" s="28">
        <v>3.0</v>
      </c>
      <c r="J110" s="29" t="s">
        <v>55</v>
      </c>
      <c r="K110" s="30" t="s">
        <v>23</v>
      </c>
      <c r="L110" s="31" t="str">
        <f>IFERROR(__xludf.DUMMYFUNCTION("IF(OR(E110="""",K110=""""),"""",IFERROR(IF(K110="""","""",query('tbl user'!$A$2:$D10975,""SELECT A WHERE D = '""&amp;K110&amp;""'"")),""USER TIDAK DIKETAHUI""))"),"#REF!")</f>
        <v>#REF!</v>
      </c>
    </row>
    <row r="111">
      <c r="A111" s="21">
        <f t="shared" si="1"/>
        <v>0</v>
      </c>
      <c r="B111" s="32" t="s">
        <v>200</v>
      </c>
      <c r="C111" s="23" t="s">
        <v>201</v>
      </c>
      <c r="D111" s="23" t="s">
        <v>58</v>
      </c>
      <c r="E111" s="24">
        <v>45383.0</v>
      </c>
      <c r="F111" s="25">
        <v>0.275</v>
      </c>
      <c r="G111" s="25">
        <v>0.7159722222222222</v>
      </c>
      <c r="H111" s="27">
        <f t="shared" si="2"/>
        <v>0.4409722222</v>
      </c>
      <c r="I111" s="28">
        <v>3.0</v>
      </c>
      <c r="J111" s="29" t="s">
        <v>55</v>
      </c>
      <c r="K111" s="30" t="s">
        <v>23</v>
      </c>
      <c r="L111" s="31" t="str">
        <f>IFERROR(__xludf.DUMMYFUNCTION("IF(OR(E111="""",K111=""""),"""",IFERROR(IF(K111="""","""",query('tbl user'!$A$2:$D10975,""SELECT A WHERE D = '""&amp;K111&amp;""'"")),""USER TIDAK DIKETAHUI""))"),"#REF!")</f>
        <v>#REF!</v>
      </c>
    </row>
    <row r="112">
      <c r="A112" s="21">
        <f t="shared" si="1"/>
        <v>0</v>
      </c>
      <c r="B112" s="32" t="s">
        <v>104</v>
      </c>
      <c r="C112" s="23" t="s">
        <v>105</v>
      </c>
      <c r="D112" s="23" t="s">
        <v>58</v>
      </c>
      <c r="E112" s="24">
        <v>45383.0</v>
      </c>
      <c r="F112" s="25">
        <v>0.27291666666666664</v>
      </c>
      <c r="G112" s="25">
        <v>0.7166666666666667</v>
      </c>
      <c r="H112" s="27">
        <f t="shared" si="2"/>
        <v>0.44375</v>
      </c>
      <c r="I112" s="28">
        <v>2.0</v>
      </c>
      <c r="J112" s="29" t="s">
        <v>213</v>
      </c>
      <c r="K112" s="30" t="s">
        <v>23</v>
      </c>
      <c r="L112" s="31" t="str">
        <f>IFERROR(__xludf.DUMMYFUNCTION("IF(OR(E112="""",K112=""""),"""",IFERROR(IF(K112="""","""",query('tbl user'!$A$2:$D10975,""SELECT A WHERE D = '""&amp;K112&amp;""'"")),""USER TIDAK DIKETAHUI""))"),"#REF!")</f>
        <v>#REF!</v>
      </c>
    </row>
    <row r="113">
      <c r="A113" s="21">
        <f t="shared" si="1"/>
        <v>0</v>
      </c>
      <c r="B113" s="32" t="s">
        <v>209</v>
      </c>
      <c r="C113" s="23" t="s">
        <v>203</v>
      </c>
      <c r="D113" s="23" t="s">
        <v>58</v>
      </c>
      <c r="E113" s="24">
        <v>45383.0</v>
      </c>
      <c r="F113" s="25">
        <v>0.27569444444444446</v>
      </c>
      <c r="G113" s="25">
        <v>0.5638888888888889</v>
      </c>
      <c r="H113" s="27">
        <f t="shared" si="2"/>
        <v>0.2881944444</v>
      </c>
      <c r="I113" s="28">
        <v>1.0</v>
      </c>
      <c r="J113" s="29" t="s">
        <v>222</v>
      </c>
      <c r="K113" s="30" t="s">
        <v>23</v>
      </c>
      <c r="L113" s="31" t="str">
        <f>IFERROR(__xludf.DUMMYFUNCTION("IF(OR(E113="""",K113=""""),"""",IFERROR(IF(K113="""","""",query('tbl user'!$A$2:$D10975,""SELECT A WHERE D = '""&amp;K113&amp;""'"")),""USER TIDAK DIKETAHUI""))"),"#REF!")</f>
        <v>#REF!</v>
      </c>
    </row>
    <row r="114">
      <c r="A114" s="21">
        <f t="shared" si="1"/>
        <v>0</v>
      </c>
      <c r="B114" s="32" t="s">
        <v>118</v>
      </c>
      <c r="C114" s="23" t="s">
        <v>206</v>
      </c>
      <c r="D114" s="23" t="s">
        <v>58</v>
      </c>
      <c r="E114" s="24">
        <v>45383.0</v>
      </c>
      <c r="F114" s="25">
        <v>0.29375</v>
      </c>
      <c r="G114" s="25">
        <v>0.5520833333333334</v>
      </c>
      <c r="H114" s="27">
        <f t="shared" si="2"/>
        <v>0.2583333333</v>
      </c>
      <c r="I114" s="28">
        <v>1.0</v>
      </c>
      <c r="J114" s="29" t="s">
        <v>223</v>
      </c>
      <c r="K114" s="30" t="s">
        <v>23</v>
      </c>
      <c r="L114" s="31" t="str">
        <f>IFERROR(__xludf.DUMMYFUNCTION("IF(OR(E114="""",K114=""""),"""",IFERROR(IF(K114="""","""",query('tbl user'!$A$2:$D10975,""SELECT A WHERE D = '""&amp;K114&amp;""'"")),""USER TIDAK DIKETAHUI""))"),"#REF!")</f>
        <v>#REF!</v>
      </c>
    </row>
    <row r="115">
      <c r="A115" s="21">
        <f t="shared" si="1"/>
        <v>0</v>
      </c>
      <c r="B115" s="32" t="s">
        <v>224</v>
      </c>
      <c r="C115" s="23" t="s">
        <v>208</v>
      </c>
      <c r="D115" s="23" t="s">
        <v>58</v>
      </c>
      <c r="E115" s="24">
        <v>45383.0</v>
      </c>
      <c r="F115" s="25">
        <v>0.275</v>
      </c>
      <c r="G115" s="25">
        <v>0.6486111111111111</v>
      </c>
      <c r="H115" s="27">
        <f t="shared" si="2"/>
        <v>0.3736111111</v>
      </c>
      <c r="I115" s="28">
        <v>2.0</v>
      </c>
      <c r="J115" s="29" t="s">
        <v>213</v>
      </c>
      <c r="K115" s="30" t="s">
        <v>23</v>
      </c>
      <c r="L115" s="31" t="str">
        <f>IFERROR(__xludf.DUMMYFUNCTION("IF(OR(E115="""",K115=""""),"""",IFERROR(IF(K115="""","""",query('tbl user'!$A$2:$D10975,""SELECT A WHERE D = '""&amp;K115&amp;""'"")),""USER TIDAK DIKETAHUI""))"),"#REF!")</f>
        <v>#REF!</v>
      </c>
    </row>
    <row r="116">
      <c r="A116" s="21">
        <f t="shared" si="1"/>
        <v>0</v>
      </c>
      <c r="B116" s="32" t="s">
        <v>84</v>
      </c>
      <c r="C116" s="23" t="s">
        <v>85</v>
      </c>
      <c r="D116" s="23" t="s">
        <v>58</v>
      </c>
      <c r="E116" s="24">
        <v>45383.0</v>
      </c>
      <c r="F116" s="25">
        <v>0.2743055555555556</v>
      </c>
      <c r="G116" s="25">
        <v>0.7451388888888889</v>
      </c>
      <c r="H116" s="27">
        <f t="shared" si="2"/>
        <v>0.4708333333</v>
      </c>
      <c r="I116" s="28">
        <v>3.0</v>
      </c>
      <c r="J116" s="29" t="s">
        <v>55</v>
      </c>
      <c r="K116" s="30" t="s">
        <v>23</v>
      </c>
      <c r="L116" s="31" t="str">
        <f>IFERROR(__xludf.DUMMYFUNCTION("IF(OR(E116="""",K116=""""),"""",IFERROR(IF(K116="""","""",query('tbl user'!$A$2:$D10975,""SELECT A WHERE D = '""&amp;K116&amp;""'"")),""USER TIDAK DIKETAHUI""))"),"#REF!")</f>
        <v>#REF!</v>
      </c>
    </row>
    <row r="117">
      <c r="A117" s="21">
        <f t="shared" si="1"/>
        <v>0</v>
      </c>
      <c r="B117" s="32" t="s">
        <v>225</v>
      </c>
      <c r="C117" s="23" t="s">
        <v>20</v>
      </c>
      <c r="D117" s="23" t="s">
        <v>21</v>
      </c>
      <c r="E117" s="24">
        <v>45383.0</v>
      </c>
      <c r="F117" s="25">
        <v>0.2708333333333333</v>
      </c>
      <c r="G117" s="25">
        <v>0.6548611111111111</v>
      </c>
      <c r="H117" s="27">
        <f t="shared" si="2"/>
        <v>0.3840277778</v>
      </c>
      <c r="I117" s="28">
        <v>1.0</v>
      </c>
      <c r="J117" s="29" t="s">
        <v>226</v>
      </c>
      <c r="K117" s="30" t="s">
        <v>23</v>
      </c>
      <c r="L117" s="31" t="str">
        <f>IFERROR(__xludf.DUMMYFUNCTION("IF(OR(E117="""",K117=""""),"""",IFERROR(IF(K117="""","""",query('tbl user'!$A$2:$D10975,""SELECT A WHERE D = '""&amp;K117&amp;""'"")),""USER TIDAK DIKETAHUI""))"),"#REF!")</f>
        <v>#REF!</v>
      </c>
    </row>
    <row r="118">
      <c r="A118" s="21">
        <f t="shared" si="1"/>
        <v>0</v>
      </c>
      <c r="B118" s="32" t="s">
        <v>227</v>
      </c>
      <c r="C118" s="23" t="s">
        <v>99</v>
      </c>
      <c r="D118" s="23" t="s">
        <v>21</v>
      </c>
      <c r="E118" s="24">
        <v>45383.0</v>
      </c>
      <c r="F118" s="25">
        <v>0.29097222222222224</v>
      </c>
      <c r="G118" s="25">
        <v>0.5569444444444445</v>
      </c>
      <c r="H118" s="27">
        <f t="shared" si="2"/>
        <v>0.2659722222</v>
      </c>
      <c r="I118" s="28">
        <v>1.0</v>
      </c>
      <c r="J118" s="29" t="s">
        <v>228</v>
      </c>
      <c r="K118" s="30" t="s">
        <v>23</v>
      </c>
      <c r="L118" s="31" t="str">
        <f>IFERROR(__xludf.DUMMYFUNCTION("IF(OR(E118="""",K118=""""),"""",IFERROR(IF(K118="""","""",query('tbl user'!$A$2:$D10975,""SELECT A WHERE D = '""&amp;K118&amp;""'"")),""USER TIDAK DIKETAHUI""))"),"#REF!")</f>
        <v>#REF!</v>
      </c>
    </row>
    <row r="119">
      <c r="A119" s="21">
        <f t="shared" si="1"/>
        <v>0</v>
      </c>
      <c r="B119" s="32" t="s">
        <v>229</v>
      </c>
      <c r="C119" s="23" t="s">
        <v>44</v>
      </c>
      <c r="D119" s="23" t="s">
        <v>21</v>
      </c>
      <c r="E119" s="24">
        <v>45383.0</v>
      </c>
      <c r="F119" s="25">
        <v>0.29097222222222224</v>
      </c>
      <c r="G119" s="25">
        <v>0.5680555555555555</v>
      </c>
      <c r="H119" s="27">
        <f t="shared" si="2"/>
        <v>0.2770833333</v>
      </c>
      <c r="I119" s="28">
        <v>1.0</v>
      </c>
      <c r="J119" s="29" t="s">
        <v>230</v>
      </c>
      <c r="K119" s="30" t="s">
        <v>23</v>
      </c>
      <c r="L119" s="31" t="str">
        <f>IFERROR(__xludf.DUMMYFUNCTION("IF(OR(E119="""",K119=""""),"""",IFERROR(IF(K119="""","""",query('tbl user'!$A$2:$D10975,""SELECT A WHERE D = '""&amp;K119&amp;""'"")),""USER TIDAK DIKETAHUI""))"),"#REF!")</f>
        <v>#REF!</v>
      </c>
    </row>
    <row r="120">
      <c r="A120" s="21">
        <f t="shared" si="1"/>
        <v>0</v>
      </c>
      <c r="B120" s="32" t="s">
        <v>231</v>
      </c>
      <c r="C120" s="23" t="s">
        <v>232</v>
      </c>
      <c r="D120" s="23" t="s">
        <v>21</v>
      </c>
      <c r="E120" s="24">
        <v>45383.0</v>
      </c>
      <c r="F120" s="25">
        <v>0.2826388888888889</v>
      </c>
      <c r="G120" s="25">
        <v>0.5652777777777778</v>
      </c>
      <c r="H120" s="27">
        <f t="shared" si="2"/>
        <v>0.2826388889</v>
      </c>
      <c r="I120" s="28">
        <v>1.0</v>
      </c>
      <c r="J120" s="29" t="s">
        <v>233</v>
      </c>
      <c r="K120" s="30" t="s">
        <v>23</v>
      </c>
      <c r="L120" s="31" t="str">
        <f>IFERROR(__xludf.DUMMYFUNCTION("IF(OR(E120="""",K120=""""),"""",IFERROR(IF(K120="""","""",query('tbl user'!$A$2:$D10975,""SELECT A WHERE D = '""&amp;K120&amp;""'"")),""USER TIDAK DIKETAHUI""))"),"#REF!")</f>
        <v>#REF!</v>
      </c>
    </row>
    <row r="121">
      <c r="A121" s="21">
        <f t="shared" si="1"/>
        <v>0</v>
      </c>
      <c r="B121" s="32" t="s">
        <v>156</v>
      </c>
      <c r="C121" s="23" t="s">
        <v>234</v>
      </c>
      <c r="D121" s="23" t="s">
        <v>21</v>
      </c>
      <c r="E121" s="24">
        <v>45383.0</v>
      </c>
      <c r="F121" s="25">
        <v>0.2881944444444444</v>
      </c>
      <c r="G121" s="25">
        <v>0.5590277777777778</v>
      </c>
      <c r="H121" s="27">
        <f t="shared" si="2"/>
        <v>0.2708333333</v>
      </c>
      <c r="I121" s="28">
        <v>1.0</v>
      </c>
      <c r="J121" s="29" t="s">
        <v>235</v>
      </c>
      <c r="K121" s="30" t="s">
        <v>23</v>
      </c>
      <c r="L121" s="31" t="str">
        <f>IFERROR(__xludf.DUMMYFUNCTION("IF(OR(E121="""",K121=""""),"""",IFERROR(IF(K121="""","""",query('tbl user'!$A$2:$D10975,""SELECT A WHERE D = '""&amp;K121&amp;""'"")),""USER TIDAK DIKETAHUI""))"),"#REF!")</f>
        <v>#REF!</v>
      </c>
    </row>
    <row r="122">
      <c r="A122" s="21">
        <f t="shared" si="1"/>
        <v>0</v>
      </c>
      <c r="B122" s="32" t="s">
        <v>220</v>
      </c>
      <c r="C122" s="23" t="s">
        <v>236</v>
      </c>
      <c r="D122" s="23" t="s">
        <v>21</v>
      </c>
      <c r="E122" s="24">
        <v>45383.0</v>
      </c>
      <c r="F122" s="25">
        <v>0.2916666666666667</v>
      </c>
      <c r="G122" s="25">
        <v>0.5416666666666666</v>
      </c>
      <c r="H122" s="27">
        <f t="shared" si="2"/>
        <v>0.25</v>
      </c>
      <c r="I122" s="28">
        <v>1.0</v>
      </c>
      <c r="J122" s="29" t="s">
        <v>237</v>
      </c>
      <c r="K122" s="30" t="s">
        <v>23</v>
      </c>
      <c r="L122" s="31" t="str">
        <f>IFERROR(__xludf.DUMMYFUNCTION("IF(OR(E122="""",K122=""""),"""",IFERROR(IF(K122="""","""",query('tbl user'!$A$2:$D10975,""SELECT A WHERE D = '""&amp;K122&amp;""'"")),""USER TIDAK DIKETAHUI""))"),"#REF!")</f>
        <v>#REF!</v>
      </c>
    </row>
    <row r="123">
      <c r="A123" s="21">
        <f t="shared" si="1"/>
        <v>0</v>
      </c>
      <c r="B123" s="32" t="s">
        <v>238</v>
      </c>
      <c r="C123" s="23" t="s">
        <v>239</v>
      </c>
      <c r="D123" s="23" t="s">
        <v>21</v>
      </c>
      <c r="E123" s="24">
        <v>45383.0</v>
      </c>
      <c r="F123" s="25">
        <v>0.29305555555555557</v>
      </c>
      <c r="G123" s="25">
        <v>0.7263888888888889</v>
      </c>
      <c r="H123" s="27">
        <f t="shared" si="2"/>
        <v>0.4333333333</v>
      </c>
      <c r="I123" s="28">
        <v>2.0</v>
      </c>
      <c r="J123" s="29" t="s">
        <v>213</v>
      </c>
      <c r="K123" s="30" t="s">
        <v>23</v>
      </c>
      <c r="L123" s="31" t="str">
        <f>IFERROR(__xludf.DUMMYFUNCTION("IF(OR(E123="""",K123=""""),"""",IFERROR(IF(K123="""","""",query('tbl user'!$A$2:$D10975,""SELECT A WHERE D = '""&amp;K123&amp;""'"")),""USER TIDAK DIKETAHUI""))"),"#REF!")</f>
        <v>#REF!</v>
      </c>
    </row>
    <row r="124">
      <c r="A124" s="21">
        <f t="shared" si="1"/>
        <v>0</v>
      </c>
      <c r="B124" s="32" t="s">
        <v>240</v>
      </c>
      <c r="C124" s="23" t="s">
        <v>241</v>
      </c>
      <c r="D124" s="23" t="s">
        <v>21</v>
      </c>
      <c r="E124" s="24">
        <v>45383.0</v>
      </c>
      <c r="F124" s="25">
        <v>0.2951388888888889</v>
      </c>
      <c r="G124" s="25">
        <v>0.68125</v>
      </c>
      <c r="H124" s="27">
        <f t="shared" si="2"/>
        <v>0.3861111111</v>
      </c>
      <c r="I124" s="28">
        <v>2.0</v>
      </c>
      <c r="J124" s="29" t="s">
        <v>242</v>
      </c>
      <c r="K124" s="30" t="s">
        <v>23</v>
      </c>
      <c r="L124" s="31" t="str">
        <f>IFERROR(__xludf.DUMMYFUNCTION("IF(OR(E124="""",K124=""""),"""",IFERROR(IF(K124="""","""",query('tbl user'!$A$2:$D10975,""SELECT A WHERE D = '""&amp;K124&amp;""'"")),""USER TIDAK DIKETAHUI""))"),"#REF!")</f>
        <v>#REF!</v>
      </c>
    </row>
    <row r="125">
      <c r="A125" s="21">
        <f t="shared" si="1"/>
        <v>0</v>
      </c>
      <c r="B125" s="32" t="s">
        <v>243</v>
      </c>
      <c r="C125" s="23" t="s">
        <v>244</v>
      </c>
      <c r="D125" s="23" t="s">
        <v>21</v>
      </c>
      <c r="E125" s="24">
        <v>45383.0</v>
      </c>
      <c r="F125" s="25">
        <v>0.2923611111111111</v>
      </c>
      <c r="G125" s="25">
        <v>0.7138888888888889</v>
      </c>
      <c r="H125" s="27">
        <f t="shared" si="2"/>
        <v>0.4215277778</v>
      </c>
      <c r="I125" s="28">
        <v>2.0</v>
      </c>
      <c r="J125" s="29" t="s">
        <v>245</v>
      </c>
      <c r="K125" s="30" t="s">
        <v>23</v>
      </c>
      <c r="L125" s="31" t="str">
        <f>IFERROR(__xludf.DUMMYFUNCTION("IF(OR(E125="""",K125=""""),"""",IFERROR(IF(K125="""","""",query('tbl user'!$A$2:$D10975,""SELECT A WHERE D = '""&amp;K125&amp;""'"")),""USER TIDAK DIKETAHUI""))"),"#REF!")</f>
        <v>#REF!</v>
      </c>
    </row>
    <row r="126">
      <c r="A126" s="21">
        <f t="shared" si="1"/>
        <v>0</v>
      </c>
      <c r="B126" s="32" t="s">
        <v>246</v>
      </c>
      <c r="C126" s="23" t="s">
        <v>247</v>
      </c>
      <c r="D126" s="23" t="s">
        <v>21</v>
      </c>
      <c r="E126" s="24">
        <v>45383.0</v>
      </c>
      <c r="F126" s="25">
        <v>0.28680555555555554</v>
      </c>
      <c r="G126" s="25">
        <v>0.6444444444444445</v>
      </c>
      <c r="H126" s="27">
        <f t="shared" si="2"/>
        <v>0.3576388889</v>
      </c>
      <c r="I126" s="28">
        <v>2.0</v>
      </c>
      <c r="J126" s="29" t="s">
        <v>248</v>
      </c>
      <c r="K126" s="30" t="s">
        <v>23</v>
      </c>
      <c r="L126" s="31" t="str">
        <f>IFERROR(__xludf.DUMMYFUNCTION("IF(OR(E126="""",K126=""""),"""",IFERROR(IF(K126="""","""",query('tbl user'!$A$2:$D10975,""SELECT A WHERE D = '""&amp;K126&amp;""'"")),""USER TIDAK DIKETAHUI""))"),"#REF!")</f>
        <v>#REF!</v>
      </c>
    </row>
    <row r="127">
      <c r="A127" s="21">
        <f t="shared" si="1"/>
        <v>0</v>
      </c>
      <c r="B127" s="32" t="s">
        <v>24</v>
      </c>
      <c r="C127" s="23" t="s">
        <v>25</v>
      </c>
      <c r="D127" s="23" t="s">
        <v>21</v>
      </c>
      <c r="E127" s="24">
        <v>45383.0</v>
      </c>
      <c r="F127" s="25">
        <v>0.2875</v>
      </c>
      <c r="G127" s="25">
        <v>0.6215277777777778</v>
      </c>
      <c r="H127" s="27">
        <f t="shared" si="2"/>
        <v>0.3340277778</v>
      </c>
      <c r="I127" s="28">
        <v>2.0</v>
      </c>
      <c r="J127" s="29" t="s">
        <v>249</v>
      </c>
      <c r="K127" s="30" t="s">
        <v>23</v>
      </c>
      <c r="L127" s="31" t="str">
        <f>IFERROR(__xludf.DUMMYFUNCTION("IF(OR(E127="""",K127=""""),"""",IFERROR(IF(K127="""","""",query('tbl user'!$A$2:$D10975,""SELECT A WHERE D = '""&amp;K127&amp;""'"")),""USER TIDAK DIKETAHUI""))"),"#REF!")</f>
        <v>#REF!</v>
      </c>
    </row>
    <row r="128">
      <c r="A128" s="21">
        <f t="shared" si="1"/>
        <v>0</v>
      </c>
      <c r="B128" s="32" t="s">
        <v>250</v>
      </c>
      <c r="C128" s="23" t="s">
        <v>251</v>
      </c>
      <c r="D128" s="23" t="s">
        <v>21</v>
      </c>
      <c r="E128" s="24">
        <v>45383.0</v>
      </c>
      <c r="F128" s="25">
        <v>0.2916666666666667</v>
      </c>
      <c r="G128" s="25">
        <v>0.6861111111111111</v>
      </c>
      <c r="H128" s="27">
        <f t="shared" si="2"/>
        <v>0.3944444444</v>
      </c>
      <c r="I128" s="28">
        <v>2.0</v>
      </c>
      <c r="J128" s="29" t="s">
        <v>252</v>
      </c>
      <c r="K128" s="30" t="s">
        <v>23</v>
      </c>
      <c r="L128" s="31" t="str">
        <f>IFERROR(__xludf.DUMMYFUNCTION("IF(OR(E128="""",K128=""""),"""",IFERROR(IF(K128="""","""",query('tbl user'!$A$2:$D10975,""SELECT A WHERE D = '""&amp;K128&amp;""'"")),""USER TIDAK DIKETAHUI""))"),"#REF!")</f>
        <v>#REF!</v>
      </c>
    </row>
    <row r="129">
      <c r="A129" s="21">
        <f t="shared" si="1"/>
        <v>0</v>
      </c>
      <c r="B129" s="32" t="s">
        <v>253</v>
      </c>
      <c r="C129" s="23" t="s">
        <v>102</v>
      </c>
      <c r="D129" s="23" t="s">
        <v>21</v>
      </c>
      <c r="E129" s="24">
        <v>45383.0</v>
      </c>
      <c r="F129" s="25">
        <v>0.2847222222222222</v>
      </c>
      <c r="G129" s="25">
        <v>0.6763888888888889</v>
      </c>
      <c r="H129" s="27">
        <f t="shared" si="2"/>
        <v>0.3916666667</v>
      </c>
      <c r="I129" s="28">
        <v>2.0</v>
      </c>
      <c r="J129" s="29" t="s">
        <v>254</v>
      </c>
      <c r="K129" s="30" t="s">
        <v>23</v>
      </c>
      <c r="L129" s="31" t="str">
        <f>IFERROR(__xludf.DUMMYFUNCTION("IF(OR(E129="""",K129=""""),"""",IFERROR(IF(K129="""","""",query('tbl user'!$A$2:$D10975,""SELECT A WHERE D = '""&amp;K129&amp;""'"")),""USER TIDAK DIKETAHUI""))"),"#REF!")</f>
        <v>#REF!</v>
      </c>
    </row>
    <row r="130">
      <c r="A130" s="21">
        <f t="shared" si="1"/>
        <v>0</v>
      </c>
      <c r="B130" s="32" t="s">
        <v>255</v>
      </c>
      <c r="C130" s="23" t="s">
        <v>256</v>
      </c>
      <c r="D130" s="23" t="s">
        <v>21</v>
      </c>
      <c r="E130" s="24">
        <v>45383.0</v>
      </c>
      <c r="F130" s="25">
        <v>0.2791666666666667</v>
      </c>
      <c r="G130" s="25">
        <v>0.6368055555555555</v>
      </c>
      <c r="H130" s="27">
        <f t="shared" si="2"/>
        <v>0.3576388889</v>
      </c>
      <c r="I130" s="28">
        <v>2.0</v>
      </c>
      <c r="J130" s="29" t="s">
        <v>257</v>
      </c>
      <c r="K130" s="30" t="s">
        <v>23</v>
      </c>
      <c r="L130" s="31" t="str">
        <f>IFERROR(__xludf.DUMMYFUNCTION("IF(OR(E130="""",K130=""""),"""",IFERROR(IF(K130="""","""",query('tbl user'!$A$2:$D10975,""SELECT A WHERE D = '""&amp;K130&amp;""'"")),""USER TIDAK DIKETAHUI""))"),"#REF!")</f>
        <v>#REF!</v>
      </c>
    </row>
    <row r="131">
      <c r="A131" s="21">
        <f t="shared" si="1"/>
        <v>0</v>
      </c>
      <c r="B131" s="32" t="s">
        <v>258</v>
      </c>
      <c r="C131" s="23" t="s">
        <v>259</v>
      </c>
      <c r="D131" s="23" t="s">
        <v>21</v>
      </c>
      <c r="E131" s="24">
        <v>45383.0</v>
      </c>
      <c r="F131" s="25">
        <v>0.27569444444444446</v>
      </c>
      <c r="G131" s="25">
        <v>0.6479166666666667</v>
      </c>
      <c r="H131" s="27">
        <f t="shared" si="2"/>
        <v>0.3722222222</v>
      </c>
      <c r="I131" s="28">
        <v>2.0</v>
      </c>
      <c r="J131" s="29" t="s">
        <v>213</v>
      </c>
      <c r="K131" s="30" t="s">
        <v>23</v>
      </c>
      <c r="L131" s="31" t="str">
        <f>IFERROR(__xludf.DUMMYFUNCTION("IF(OR(E131="""",K131=""""),"""",IFERROR(IF(K131="""","""",query('tbl user'!$A$2:$D10975,""SELECT A WHERE D = '""&amp;K131&amp;""'"")),""USER TIDAK DIKETAHUI""))"),"#REF!")</f>
        <v>#REF!</v>
      </c>
    </row>
    <row r="132">
      <c r="A132" s="21">
        <f t="shared" si="1"/>
        <v>0</v>
      </c>
      <c r="B132" s="32" t="s">
        <v>260</v>
      </c>
      <c r="C132" s="23" t="s">
        <v>261</v>
      </c>
      <c r="D132" s="23" t="s">
        <v>21</v>
      </c>
      <c r="E132" s="24">
        <v>45383.0</v>
      </c>
      <c r="F132" s="25">
        <v>0.26875</v>
      </c>
      <c r="G132" s="25">
        <v>0.7222222222222222</v>
      </c>
      <c r="H132" s="27">
        <f t="shared" si="2"/>
        <v>0.4534722222</v>
      </c>
      <c r="I132" s="28">
        <v>3.0</v>
      </c>
      <c r="J132" s="29" t="s">
        <v>55</v>
      </c>
      <c r="K132" s="30" t="s">
        <v>23</v>
      </c>
      <c r="L132" s="31" t="str">
        <f>IFERROR(__xludf.DUMMYFUNCTION("IF(OR(E132="""",K132=""""),"""",IFERROR(IF(K132="""","""",query('tbl user'!$A$2:$D10975,""SELECT A WHERE D = '""&amp;K132&amp;""'"")),""USER TIDAK DIKETAHUI""))"),"#REF!")</f>
        <v>#REF!</v>
      </c>
    </row>
    <row r="133">
      <c r="A133" s="21">
        <f t="shared" si="1"/>
        <v>0</v>
      </c>
      <c r="B133" s="32" t="s">
        <v>151</v>
      </c>
      <c r="C133" s="23" t="s">
        <v>152</v>
      </c>
      <c r="D133" s="23" t="s">
        <v>32</v>
      </c>
      <c r="E133" s="24">
        <v>45383.0</v>
      </c>
      <c r="F133" s="25">
        <v>0.29097222222222224</v>
      </c>
      <c r="G133" s="25">
        <v>0.45416666666666666</v>
      </c>
      <c r="H133" s="27">
        <f t="shared" si="2"/>
        <v>0.1631944444</v>
      </c>
      <c r="I133" s="28">
        <v>1.0</v>
      </c>
      <c r="J133" s="29" t="s">
        <v>262</v>
      </c>
      <c r="K133" s="30" t="s">
        <v>23</v>
      </c>
      <c r="L133" s="31" t="str">
        <f>IFERROR(__xludf.DUMMYFUNCTION("IF(OR(E133="""",K133=""""),"""",IFERROR(IF(K133="""","""",query('tbl user'!$A$2:$D10975,""SELECT A WHERE D = '""&amp;K133&amp;""'"")),""USER TIDAK DIKETAHUI""))"),"#REF!")</f>
        <v>#REF!</v>
      </c>
    </row>
    <row r="134">
      <c r="A134" s="21">
        <f t="shared" si="1"/>
        <v>0</v>
      </c>
      <c r="B134" s="32" t="s">
        <v>263</v>
      </c>
      <c r="C134" s="23" t="s">
        <v>264</v>
      </c>
      <c r="D134" s="23" t="s">
        <v>32</v>
      </c>
      <c r="E134" s="24">
        <v>45383.0</v>
      </c>
      <c r="F134" s="25">
        <v>0.2916666666666667</v>
      </c>
      <c r="G134" s="25">
        <v>0.6673611111111111</v>
      </c>
      <c r="H134" s="27">
        <f t="shared" si="2"/>
        <v>0.3756944444</v>
      </c>
      <c r="I134" s="28">
        <v>3.0</v>
      </c>
      <c r="J134" s="29" t="s">
        <v>265</v>
      </c>
      <c r="K134" s="30" t="s">
        <v>23</v>
      </c>
      <c r="L134" s="31" t="str">
        <f>IFERROR(__xludf.DUMMYFUNCTION("IF(OR(E134="""",K134=""""),"""",IFERROR(IF(K134="""","""",query('tbl user'!$A$2:$D10975,""SELECT A WHERE D = '""&amp;K134&amp;""'"")),""USER TIDAK DIKETAHUI""))"),"#REF!")</f>
        <v>#REF!</v>
      </c>
    </row>
    <row r="135">
      <c r="A135" s="21">
        <f t="shared" si="1"/>
        <v>0</v>
      </c>
      <c r="B135" s="32" t="s">
        <v>123</v>
      </c>
      <c r="C135" s="23" t="s">
        <v>124</v>
      </c>
      <c r="D135" s="23" t="s">
        <v>32</v>
      </c>
      <c r="E135" s="24">
        <v>45383.0</v>
      </c>
      <c r="F135" s="25">
        <v>0.27847222222222223</v>
      </c>
      <c r="G135" s="25">
        <v>0.6916666666666667</v>
      </c>
      <c r="H135" s="27">
        <f t="shared" si="2"/>
        <v>0.4131944444</v>
      </c>
      <c r="I135" s="28">
        <v>3.0</v>
      </c>
      <c r="J135" s="29" t="s">
        <v>266</v>
      </c>
      <c r="K135" s="30" t="s">
        <v>23</v>
      </c>
      <c r="L135" s="31" t="str">
        <f>IFERROR(__xludf.DUMMYFUNCTION("IF(OR(E135="""",K135=""""),"""",IFERROR(IF(K135="""","""",query('tbl user'!$A$2:$D10975,""SELECT A WHERE D = '""&amp;K135&amp;""'"")),""USER TIDAK DIKETAHUI""))"),"#REF!")</f>
        <v>#REF!</v>
      </c>
    </row>
    <row r="136">
      <c r="A136" s="21">
        <f t="shared" si="1"/>
        <v>0</v>
      </c>
      <c r="B136" s="32" t="s">
        <v>267</v>
      </c>
      <c r="C136" s="23" t="s">
        <v>268</v>
      </c>
      <c r="D136" s="23" t="s">
        <v>32</v>
      </c>
      <c r="E136" s="24">
        <v>45383.0</v>
      </c>
      <c r="F136" s="25">
        <v>0.29930555555555555</v>
      </c>
      <c r="G136" s="25">
        <v>0.6923611111111111</v>
      </c>
      <c r="H136" s="27">
        <f t="shared" si="2"/>
        <v>0.3930555556</v>
      </c>
      <c r="I136" s="28">
        <v>3.0</v>
      </c>
      <c r="J136" s="29" t="s">
        <v>213</v>
      </c>
      <c r="K136" s="30" t="s">
        <v>23</v>
      </c>
      <c r="L136" s="31" t="str">
        <f>IFERROR(__xludf.DUMMYFUNCTION("IF(OR(E136="""",K136=""""),"""",IFERROR(IF(K136="""","""",query('tbl user'!$A$2:$D10975,""SELECT A WHERE D = '""&amp;K136&amp;""'"")),""USER TIDAK DIKETAHUI""))"),"#REF!")</f>
        <v>#REF!</v>
      </c>
    </row>
    <row r="137">
      <c r="A137" s="21">
        <f t="shared" si="1"/>
        <v>0</v>
      </c>
      <c r="B137" s="32" t="s">
        <v>269</v>
      </c>
      <c r="C137" s="23" t="s">
        <v>270</v>
      </c>
      <c r="D137" s="23" t="s">
        <v>32</v>
      </c>
      <c r="E137" s="24">
        <v>45383.0</v>
      </c>
      <c r="F137" s="25">
        <v>0.27152777777777776</v>
      </c>
      <c r="G137" s="25">
        <v>0.64375</v>
      </c>
      <c r="H137" s="27">
        <f t="shared" si="2"/>
        <v>0.3722222222</v>
      </c>
      <c r="I137" s="28">
        <v>3.0</v>
      </c>
      <c r="J137" s="29" t="s">
        <v>213</v>
      </c>
      <c r="K137" s="30" t="s">
        <v>23</v>
      </c>
      <c r="L137" s="31" t="str">
        <f>IFERROR(__xludf.DUMMYFUNCTION("IF(OR(E137="""",K137=""""),"""",IFERROR(IF(K137="""","""",query('tbl user'!$A$2:$D10975,""SELECT A WHERE D = '""&amp;K137&amp;""'"")),""USER TIDAK DIKETAHUI""))"),"#REF!")</f>
        <v>#REF!</v>
      </c>
    </row>
    <row r="138">
      <c r="A138" s="21">
        <f t="shared" si="1"/>
        <v>0</v>
      </c>
      <c r="B138" s="32" t="s">
        <v>78</v>
      </c>
      <c r="C138" s="23" t="s">
        <v>79</v>
      </c>
      <c r="D138" s="23" t="s">
        <v>32</v>
      </c>
      <c r="E138" s="24">
        <v>45383.0</v>
      </c>
      <c r="F138" s="25">
        <v>0.2798611111111111</v>
      </c>
      <c r="G138" s="25">
        <v>0.6756944444444445</v>
      </c>
      <c r="H138" s="27">
        <f t="shared" si="2"/>
        <v>0.3958333333</v>
      </c>
      <c r="I138" s="28">
        <v>3.0</v>
      </c>
      <c r="J138" s="29" t="s">
        <v>271</v>
      </c>
      <c r="K138" s="30" t="s">
        <v>23</v>
      </c>
      <c r="L138" s="31" t="str">
        <f>IFERROR(__xludf.DUMMYFUNCTION("IF(OR(E138="""",K138=""""),"""",IFERROR(IF(K138="""","""",query('tbl user'!$A$2:$D10975,""SELECT A WHERE D = '""&amp;K138&amp;""'"")),""USER TIDAK DIKETAHUI""))"),"#REF!")</f>
        <v>#REF!</v>
      </c>
    </row>
    <row r="139">
      <c r="A139" s="21">
        <f t="shared" si="1"/>
        <v>0</v>
      </c>
      <c r="B139" s="32" t="s">
        <v>146</v>
      </c>
      <c r="C139" s="23" t="s">
        <v>147</v>
      </c>
      <c r="D139" s="23" t="s">
        <v>32</v>
      </c>
      <c r="E139" s="24">
        <v>45383.0</v>
      </c>
      <c r="F139" s="25">
        <v>0.2743055555555556</v>
      </c>
      <c r="G139" s="25">
        <v>0.6423611111111112</v>
      </c>
      <c r="H139" s="27">
        <f t="shared" si="2"/>
        <v>0.3680555556</v>
      </c>
      <c r="I139" s="28">
        <v>3.0</v>
      </c>
      <c r="J139" s="29" t="s">
        <v>272</v>
      </c>
      <c r="K139" s="30" t="s">
        <v>23</v>
      </c>
      <c r="L139" s="31" t="str">
        <f>IFERROR(__xludf.DUMMYFUNCTION("IF(OR(E139="""",K139=""""),"""",IFERROR(IF(K139="""","""",query('tbl user'!$A$2:$D10975,""SELECT A WHERE D = '""&amp;K139&amp;""'"")),""USER TIDAK DIKETAHUI""))"),"#REF!")</f>
        <v>#REF!</v>
      </c>
    </row>
    <row r="140">
      <c r="A140" s="21">
        <f t="shared" si="1"/>
        <v>0</v>
      </c>
      <c r="B140" s="32" t="s">
        <v>149</v>
      </c>
      <c r="C140" s="23" t="s">
        <v>150</v>
      </c>
      <c r="D140" s="23" t="s">
        <v>32</v>
      </c>
      <c r="E140" s="24">
        <v>45383.0</v>
      </c>
      <c r="F140" s="25">
        <v>0.2777777777777778</v>
      </c>
      <c r="G140" s="25">
        <v>0.6409722222222223</v>
      </c>
      <c r="H140" s="27">
        <f t="shared" si="2"/>
        <v>0.3631944444</v>
      </c>
      <c r="I140" s="28">
        <v>3.0</v>
      </c>
      <c r="J140" s="29" t="s">
        <v>273</v>
      </c>
      <c r="K140" s="30" t="s">
        <v>23</v>
      </c>
      <c r="L140" s="31" t="str">
        <f>IFERROR(__xludf.DUMMYFUNCTION("IF(OR(E140="""",K140=""""),"""",IFERROR(IF(K140="""","""",query('tbl user'!$A$2:$D10975,""SELECT A WHERE D = '""&amp;K140&amp;""'"")),""USER TIDAK DIKETAHUI""))"),"#REF!")</f>
        <v>#REF!</v>
      </c>
    </row>
    <row r="141">
      <c r="A141" s="21">
        <f t="shared" si="1"/>
        <v>0</v>
      </c>
      <c r="B141" s="32" t="s">
        <v>274</v>
      </c>
      <c r="C141" s="23" t="s">
        <v>275</v>
      </c>
      <c r="D141" s="23" t="s">
        <v>32</v>
      </c>
      <c r="E141" s="24">
        <v>45383.0</v>
      </c>
      <c r="F141" s="25">
        <v>0.2722222222222222</v>
      </c>
      <c r="G141" s="25">
        <v>0.6520833333333333</v>
      </c>
      <c r="H141" s="27">
        <f t="shared" si="2"/>
        <v>0.3798611111</v>
      </c>
      <c r="I141" s="28">
        <v>3.0</v>
      </c>
      <c r="J141" s="29" t="s">
        <v>213</v>
      </c>
      <c r="K141" s="30" t="s">
        <v>23</v>
      </c>
      <c r="L141" s="31" t="str">
        <f>IFERROR(__xludf.DUMMYFUNCTION("IF(OR(E141="""",K141=""""),"""",IFERROR(IF(K141="""","""",query('tbl user'!$A$2:$D10975,""SELECT A WHERE D = '""&amp;K141&amp;""'"")),""USER TIDAK DIKETAHUI""))"),"#REF!")</f>
        <v>#REF!</v>
      </c>
    </row>
    <row r="142">
      <c r="A142" s="21">
        <f t="shared" si="1"/>
        <v>0</v>
      </c>
      <c r="B142" s="32" t="s">
        <v>125</v>
      </c>
      <c r="C142" s="23" t="s">
        <v>126</v>
      </c>
      <c r="D142" s="23" t="s">
        <v>32</v>
      </c>
      <c r="E142" s="24">
        <v>45383.0</v>
      </c>
      <c r="F142" s="25">
        <v>0.2847222222222222</v>
      </c>
      <c r="G142" s="25">
        <v>0.71875</v>
      </c>
      <c r="H142" s="27">
        <f t="shared" si="2"/>
        <v>0.4340277778</v>
      </c>
      <c r="I142" s="28">
        <v>4.0</v>
      </c>
      <c r="J142" s="29" t="s">
        <v>55</v>
      </c>
      <c r="K142" s="30" t="s">
        <v>23</v>
      </c>
      <c r="L142" s="31" t="str">
        <f>IFERROR(__xludf.DUMMYFUNCTION("IF(OR(E142="""",K142=""""),"""",IFERROR(IF(K142="""","""",query('tbl user'!$A$2:$D10975,""SELECT A WHERE D = '""&amp;K142&amp;""'"")),""USER TIDAK DIKETAHUI""))"),"#REF!")</f>
        <v>#REF!</v>
      </c>
    </row>
    <row r="143">
      <c r="A143" s="21">
        <f t="shared" si="1"/>
        <v>0</v>
      </c>
      <c r="B143" s="32" t="s">
        <v>72</v>
      </c>
      <c r="C143" s="23" t="s">
        <v>73</v>
      </c>
      <c r="D143" s="23" t="s">
        <v>32</v>
      </c>
      <c r="E143" s="24">
        <v>45383.0</v>
      </c>
      <c r="F143" s="25">
        <v>0.2743055555555556</v>
      </c>
      <c r="G143" s="25">
        <v>0.7291666666666666</v>
      </c>
      <c r="H143" s="27">
        <f t="shared" si="2"/>
        <v>0.4548611111</v>
      </c>
      <c r="I143" s="28">
        <v>4.0</v>
      </c>
      <c r="J143" s="29" t="s">
        <v>55</v>
      </c>
      <c r="K143" s="30" t="s">
        <v>23</v>
      </c>
      <c r="L143" s="31" t="str">
        <f>IFERROR(__xludf.DUMMYFUNCTION("IF(OR(E143="""",K143=""""),"""",IFERROR(IF(K143="""","""",query('tbl user'!$A$2:$D10975,""SELECT A WHERE D = '""&amp;K143&amp;""'"")),""USER TIDAK DIKETAHUI""))"),"#REF!")</f>
        <v>#REF!</v>
      </c>
    </row>
    <row r="144">
      <c r="A144" s="21">
        <f t="shared" si="1"/>
        <v>0</v>
      </c>
      <c r="B144" s="32" t="s">
        <v>276</v>
      </c>
      <c r="C144" s="23" t="s">
        <v>132</v>
      </c>
      <c r="D144" s="23" t="s">
        <v>32</v>
      </c>
      <c r="E144" s="24">
        <v>45383.0</v>
      </c>
      <c r="F144" s="25">
        <v>0.27708333333333335</v>
      </c>
      <c r="G144" s="25">
        <v>0.7131944444444445</v>
      </c>
      <c r="H144" s="27">
        <f t="shared" si="2"/>
        <v>0.4361111111</v>
      </c>
      <c r="I144" s="28">
        <v>4.0</v>
      </c>
      <c r="J144" s="29" t="s">
        <v>55</v>
      </c>
      <c r="K144" s="30" t="s">
        <v>23</v>
      </c>
      <c r="L144" s="31" t="str">
        <f>IFERROR(__xludf.DUMMYFUNCTION("IF(OR(E144="""",K144=""""),"""",IFERROR(IF(K144="""","""",query('tbl user'!$A$2:$D10975,""SELECT A WHERE D = '""&amp;K144&amp;""'"")),""USER TIDAK DIKETAHUI""))"),"#REF!")</f>
        <v>#REF!</v>
      </c>
    </row>
    <row r="145">
      <c r="A145" s="21">
        <f t="shared" si="1"/>
        <v>0</v>
      </c>
      <c r="B145" s="32" t="s">
        <v>133</v>
      </c>
      <c r="C145" s="23" t="s">
        <v>134</v>
      </c>
      <c r="D145" s="23" t="s">
        <v>32</v>
      </c>
      <c r="E145" s="24">
        <v>45383.0</v>
      </c>
      <c r="F145" s="25">
        <v>0.26944444444444443</v>
      </c>
      <c r="G145" s="25">
        <v>0.6791666666666667</v>
      </c>
      <c r="H145" s="27">
        <f t="shared" si="2"/>
        <v>0.4097222222</v>
      </c>
      <c r="I145" s="28">
        <v>4.0</v>
      </c>
      <c r="J145" s="29" t="s">
        <v>55</v>
      </c>
      <c r="K145" s="30" t="s">
        <v>23</v>
      </c>
      <c r="L145" s="31" t="str">
        <f>IFERROR(__xludf.DUMMYFUNCTION("IF(OR(E145="""",K145=""""),"""",IFERROR(IF(K145="""","""",query('tbl user'!$A$2:$D10975,""SELECT A WHERE D = '""&amp;K145&amp;""'"")),""USER TIDAK DIKETAHUI""))"),"#REF!")</f>
        <v>#REF!</v>
      </c>
    </row>
    <row r="146">
      <c r="A146" s="21">
        <f t="shared" si="1"/>
        <v>0</v>
      </c>
      <c r="B146" s="32" t="s">
        <v>135</v>
      </c>
      <c r="C146" s="23" t="s">
        <v>136</v>
      </c>
      <c r="D146" s="23" t="s">
        <v>32</v>
      </c>
      <c r="E146" s="24">
        <v>45383.0</v>
      </c>
      <c r="F146" s="25">
        <v>0.27152777777777776</v>
      </c>
      <c r="G146" s="25">
        <v>0.7201388888888889</v>
      </c>
      <c r="H146" s="27">
        <f t="shared" si="2"/>
        <v>0.4486111111</v>
      </c>
      <c r="I146" s="28">
        <v>4.0</v>
      </c>
      <c r="J146" s="29" t="s">
        <v>55</v>
      </c>
      <c r="K146" s="30" t="s">
        <v>23</v>
      </c>
      <c r="L146" s="31" t="str">
        <f>IFERROR(__xludf.DUMMYFUNCTION("IF(OR(E146="""",K146=""""),"""",IFERROR(IF(K146="""","""",query('tbl user'!$A$2:$D10975,""SELECT A WHERE D = '""&amp;K146&amp;""'"")),""USER TIDAK DIKETAHUI""))"),"#REF!")</f>
        <v>#REF!</v>
      </c>
    </row>
    <row r="147">
      <c r="A147" s="21">
        <f t="shared" si="1"/>
        <v>0</v>
      </c>
      <c r="B147" s="32" t="s">
        <v>30</v>
      </c>
      <c r="C147" s="23" t="s">
        <v>31</v>
      </c>
      <c r="D147" s="23" t="s">
        <v>32</v>
      </c>
      <c r="E147" s="24">
        <v>45383.0</v>
      </c>
      <c r="F147" s="25">
        <v>0.2701388888888889</v>
      </c>
      <c r="G147" s="25">
        <v>0.6875</v>
      </c>
      <c r="H147" s="27">
        <f t="shared" si="2"/>
        <v>0.4173611111</v>
      </c>
      <c r="I147" s="28">
        <v>4.0</v>
      </c>
      <c r="J147" s="29" t="s">
        <v>55</v>
      </c>
      <c r="K147" s="30" t="s">
        <v>23</v>
      </c>
      <c r="L147" s="31" t="str">
        <f>IFERROR(__xludf.DUMMYFUNCTION("IF(OR(E147="""",K147=""""),"""",IFERROR(IF(K147="""","""",query('tbl user'!$A$2:$D10975,""SELECT A WHERE D = '""&amp;K147&amp;""'"")),""USER TIDAK DIKETAHUI""))"),"#REF!")</f>
        <v>#REF!</v>
      </c>
    </row>
    <row r="148">
      <c r="A148" s="21">
        <f t="shared" si="1"/>
        <v>0</v>
      </c>
      <c r="B148" s="32" t="s">
        <v>40</v>
      </c>
      <c r="C148" s="23" t="s">
        <v>41</v>
      </c>
      <c r="D148" s="23" t="s">
        <v>32</v>
      </c>
      <c r="E148" s="24">
        <v>45383.0</v>
      </c>
      <c r="F148" s="25">
        <v>0.26458333333333334</v>
      </c>
      <c r="G148" s="25">
        <v>0.675</v>
      </c>
      <c r="H148" s="27">
        <f t="shared" si="2"/>
        <v>0.4104166667</v>
      </c>
      <c r="I148" s="28">
        <v>4.0</v>
      </c>
      <c r="J148" s="29" t="s">
        <v>55</v>
      </c>
      <c r="K148" s="30" t="s">
        <v>23</v>
      </c>
      <c r="L148" s="31" t="str">
        <f>IFERROR(__xludf.DUMMYFUNCTION("IF(OR(E148="""",K148=""""),"""",IFERROR(IF(K148="""","""",query('tbl user'!$A$2:$D10975,""SELECT A WHERE D = '""&amp;K148&amp;""'"")),""USER TIDAK DIKETAHUI""))"),"#REF!")</f>
        <v>#REF!</v>
      </c>
    </row>
    <row r="149">
      <c r="A149" s="21">
        <f t="shared" si="1"/>
        <v>0</v>
      </c>
      <c r="B149" s="32" t="s">
        <v>137</v>
      </c>
      <c r="C149" s="23" t="s">
        <v>138</v>
      </c>
      <c r="D149" s="23" t="s">
        <v>32</v>
      </c>
      <c r="E149" s="24">
        <v>45383.0</v>
      </c>
      <c r="F149" s="25">
        <v>0.27291666666666664</v>
      </c>
      <c r="G149" s="25">
        <v>0.7298611111111111</v>
      </c>
      <c r="H149" s="27">
        <f t="shared" si="2"/>
        <v>0.4569444444</v>
      </c>
      <c r="I149" s="28">
        <v>4.0</v>
      </c>
      <c r="J149" s="29" t="s">
        <v>55</v>
      </c>
      <c r="K149" s="30" t="s">
        <v>23</v>
      </c>
      <c r="L149" s="31" t="str">
        <f>IFERROR(__xludf.DUMMYFUNCTION("IF(OR(E149="""",K149=""""),"""",IFERROR(IF(K149="""","""",query('tbl user'!$A$2:$D10975,""SELECT A WHERE D = '""&amp;K149&amp;""'"")),""USER TIDAK DIKETAHUI""))"),"#REF!")</f>
        <v>#REF!</v>
      </c>
    </row>
    <row r="150">
      <c r="A150" s="21">
        <f t="shared" si="1"/>
        <v>0</v>
      </c>
      <c r="B150" s="32" t="s">
        <v>277</v>
      </c>
      <c r="C150" s="23" t="s">
        <v>278</v>
      </c>
      <c r="D150" s="23" t="s">
        <v>32</v>
      </c>
      <c r="E150" s="24">
        <v>45383.0</v>
      </c>
      <c r="F150" s="25">
        <v>0.2708333333333333</v>
      </c>
      <c r="G150" s="25">
        <v>0.7131944444444445</v>
      </c>
      <c r="H150" s="27">
        <f t="shared" si="2"/>
        <v>0.4423611111</v>
      </c>
      <c r="I150" s="28">
        <v>4.0</v>
      </c>
      <c r="J150" s="29" t="s">
        <v>55</v>
      </c>
      <c r="K150" s="30" t="s">
        <v>23</v>
      </c>
      <c r="L150" s="31" t="str">
        <f>IFERROR(__xludf.DUMMYFUNCTION("IF(OR(E150="""",K150=""""),"""",IFERROR(IF(K150="""","""",query('tbl user'!$A$2:$D10975,""SELECT A WHERE D = '""&amp;K150&amp;""'"")),""USER TIDAK DIKETAHUI""))"),"#REF!")</f>
        <v>#REF!</v>
      </c>
    </row>
    <row r="151">
      <c r="A151" s="21">
        <f t="shared" si="1"/>
        <v>0</v>
      </c>
      <c r="B151" s="32" t="s">
        <v>279</v>
      </c>
      <c r="C151" s="23" t="s">
        <v>280</v>
      </c>
      <c r="D151" s="23" t="s">
        <v>32</v>
      </c>
      <c r="E151" s="24">
        <v>45383.0</v>
      </c>
      <c r="F151" s="25">
        <v>0.27152777777777776</v>
      </c>
      <c r="G151" s="25">
        <v>0.7305555555555555</v>
      </c>
      <c r="H151" s="27">
        <f t="shared" si="2"/>
        <v>0.4590277778</v>
      </c>
      <c r="I151" s="28">
        <v>4.0</v>
      </c>
      <c r="J151" s="29" t="s">
        <v>55</v>
      </c>
      <c r="K151" s="30" t="s">
        <v>23</v>
      </c>
      <c r="L151" s="31" t="str">
        <f>IFERROR(__xludf.DUMMYFUNCTION("IF(OR(E151="""",K151=""""),"""",IFERROR(IF(K151="""","""",query('tbl user'!$A$2:$D10975,""SELECT A WHERE D = '""&amp;K151&amp;""'"")),""USER TIDAK DIKETAHUI""))"),"#REF!")</f>
        <v>#REF!</v>
      </c>
    </row>
    <row r="152">
      <c r="A152" s="21">
        <f t="shared" si="1"/>
        <v>0</v>
      </c>
      <c r="B152" s="32" t="s">
        <v>144</v>
      </c>
      <c r="C152" s="23" t="s">
        <v>145</v>
      </c>
      <c r="D152" s="23" t="s">
        <v>32</v>
      </c>
      <c r="E152" s="24">
        <v>45383.0</v>
      </c>
      <c r="F152" s="25">
        <v>0.27569444444444446</v>
      </c>
      <c r="G152" s="25">
        <v>0.73125</v>
      </c>
      <c r="H152" s="27">
        <f t="shared" si="2"/>
        <v>0.4555555556</v>
      </c>
      <c r="I152" s="28">
        <v>4.0</v>
      </c>
      <c r="J152" s="29" t="s">
        <v>55</v>
      </c>
      <c r="K152" s="30" t="s">
        <v>23</v>
      </c>
      <c r="L152" s="31" t="str">
        <f>IFERROR(__xludf.DUMMYFUNCTION("IF(OR(E152="""",K152=""""),"""",IFERROR(IF(K152="""","""",query('tbl user'!$A$2:$D10975,""SELECT A WHERE D = '""&amp;K152&amp;""'"")),""USER TIDAK DIKETAHUI""))"),"#REF!")</f>
        <v>#REF!</v>
      </c>
    </row>
    <row r="153">
      <c r="A153" s="21">
        <f t="shared" si="1"/>
        <v>0</v>
      </c>
      <c r="B153" s="32" t="s">
        <v>281</v>
      </c>
      <c r="C153" s="23" t="s">
        <v>282</v>
      </c>
      <c r="D153" s="23" t="s">
        <v>21</v>
      </c>
      <c r="E153" s="24">
        <v>45383.0</v>
      </c>
      <c r="F153" s="25">
        <v>0.2763888888888889</v>
      </c>
      <c r="G153" s="25">
        <v>0.6618055555555555</v>
      </c>
      <c r="H153" s="27">
        <f t="shared" si="2"/>
        <v>0.3854166667</v>
      </c>
      <c r="I153" s="28">
        <v>3.0</v>
      </c>
      <c r="J153" s="29" t="s">
        <v>283</v>
      </c>
      <c r="K153" s="30" t="s">
        <v>23</v>
      </c>
      <c r="L153" s="31" t="str">
        <f>IFERROR(__xludf.DUMMYFUNCTION("IF(OR(E153="""",K153=""""),"""",IFERROR(IF(K153="""","""",query('tbl user'!$A$2:$D10975,""SELECT A WHERE D = '""&amp;K153&amp;""'"")),""USER TIDAK DIKETAHUI""))"),"#REF!")</f>
        <v>#REF!</v>
      </c>
    </row>
    <row r="154">
      <c r="A154" s="21">
        <f t="shared" si="1"/>
        <v>0</v>
      </c>
      <c r="B154" s="32" t="s">
        <v>51</v>
      </c>
      <c r="C154" s="23" t="s">
        <v>27</v>
      </c>
      <c r="D154" s="23" t="s">
        <v>21</v>
      </c>
      <c r="E154" s="24">
        <v>45383.0</v>
      </c>
      <c r="F154" s="25">
        <v>0.2965277777777778</v>
      </c>
      <c r="G154" s="25">
        <v>0.6944444444444444</v>
      </c>
      <c r="H154" s="27">
        <f t="shared" si="2"/>
        <v>0.3979166667</v>
      </c>
      <c r="I154" s="28">
        <v>3.0</v>
      </c>
      <c r="J154" s="29" t="s">
        <v>283</v>
      </c>
      <c r="K154" s="30" t="s">
        <v>23</v>
      </c>
      <c r="L154" s="31" t="str">
        <f>IFERROR(__xludf.DUMMYFUNCTION("IF(OR(E154="""",K154=""""),"""",IFERROR(IF(K154="""","""",query('tbl user'!$A$2:$D10975,""SELECT A WHERE D = '""&amp;K154&amp;""'"")),""USER TIDAK DIKETAHUI""))"),"#REF!")</f>
        <v>#REF!</v>
      </c>
    </row>
    <row r="155">
      <c r="A155" s="21">
        <f t="shared" si="1"/>
        <v>0</v>
      </c>
      <c r="B155" s="32" t="s">
        <v>284</v>
      </c>
      <c r="C155" s="23" t="s">
        <v>285</v>
      </c>
      <c r="D155" s="23" t="s">
        <v>21</v>
      </c>
      <c r="E155" s="24">
        <v>45383.0</v>
      </c>
      <c r="F155" s="25">
        <v>0.2902777777777778</v>
      </c>
      <c r="G155" s="25">
        <v>0.6625</v>
      </c>
      <c r="H155" s="27">
        <f t="shared" si="2"/>
        <v>0.3722222222</v>
      </c>
      <c r="I155" s="28">
        <v>3.0</v>
      </c>
      <c r="J155" s="29" t="s">
        <v>283</v>
      </c>
      <c r="K155" s="30" t="s">
        <v>23</v>
      </c>
      <c r="L155" s="31" t="str">
        <f>IFERROR(__xludf.DUMMYFUNCTION("IF(OR(E155="""",K155=""""),"""",IFERROR(IF(K155="""","""",query('tbl user'!$A$2:$D10975,""SELECT A WHERE D = '""&amp;K155&amp;""'"")),""USER TIDAK DIKETAHUI""))"),"#REF!")</f>
        <v>#REF!</v>
      </c>
    </row>
    <row r="156">
      <c r="A156" s="21">
        <f t="shared" si="1"/>
        <v>0</v>
      </c>
      <c r="B156" s="32" t="s">
        <v>286</v>
      </c>
      <c r="C156" s="23" t="s">
        <v>287</v>
      </c>
      <c r="D156" s="23" t="s">
        <v>21</v>
      </c>
      <c r="E156" s="24">
        <v>45383.0</v>
      </c>
      <c r="F156" s="25">
        <v>0.26875</v>
      </c>
      <c r="G156" s="25">
        <v>0.6673611111111111</v>
      </c>
      <c r="H156" s="27">
        <f t="shared" si="2"/>
        <v>0.3986111111</v>
      </c>
      <c r="I156" s="28">
        <v>3.0</v>
      </c>
      <c r="J156" s="29" t="s">
        <v>288</v>
      </c>
      <c r="K156" s="30" t="s">
        <v>23</v>
      </c>
      <c r="L156" s="31" t="str">
        <f>IFERROR(__xludf.DUMMYFUNCTION("IF(OR(E156="""",K156=""""),"""",IFERROR(IF(K156="""","""",query('tbl user'!$A$2:$D10975,""SELECT A WHERE D = '""&amp;K156&amp;""'"")),""USER TIDAK DIKETAHUI""))"),"#REF!")</f>
        <v>#REF!</v>
      </c>
    </row>
    <row r="157">
      <c r="A157" s="21">
        <f t="shared" si="1"/>
        <v>0</v>
      </c>
      <c r="B157" s="32" t="s">
        <v>289</v>
      </c>
      <c r="C157" s="23" t="s">
        <v>290</v>
      </c>
      <c r="D157" s="23" t="s">
        <v>21</v>
      </c>
      <c r="E157" s="24">
        <v>45383.0</v>
      </c>
      <c r="F157" s="25">
        <v>0.27708333333333335</v>
      </c>
      <c r="G157" s="25">
        <v>0.7097222222222223</v>
      </c>
      <c r="H157" s="27">
        <f t="shared" si="2"/>
        <v>0.4326388889</v>
      </c>
      <c r="I157" s="28">
        <v>4.0</v>
      </c>
      <c r="J157" s="29" t="s">
        <v>55</v>
      </c>
      <c r="K157" s="30" t="s">
        <v>23</v>
      </c>
      <c r="L157" s="31" t="str">
        <f>IFERROR(__xludf.DUMMYFUNCTION("IF(OR(E157="""",K157=""""),"""",IFERROR(IF(K157="""","""",query('tbl user'!$A$2:$D10975,""SELECT A WHERE D = '""&amp;K157&amp;""'"")),""USER TIDAK DIKETAHUI""))"),"#REF!")</f>
        <v>#REF!</v>
      </c>
    </row>
    <row r="158">
      <c r="A158" s="21">
        <f t="shared" si="1"/>
        <v>0</v>
      </c>
      <c r="B158" s="32" t="s">
        <v>64</v>
      </c>
      <c r="C158" s="23" t="s">
        <v>65</v>
      </c>
      <c r="D158" s="23" t="s">
        <v>21</v>
      </c>
      <c r="E158" s="24">
        <v>45383.0</v>
      </c>
      <c r="F158" s="25">
        <v>0.2791666666666667</v>
      </c>
      <c r="G158" s="25">
        <v>0.6930555555555555</v>
      </c>
      <c r="H158" s="27">
        <f t="shared" si="2"/>
        <v>0.4138888889</v>
      </c>
      <c r="I158" s="28">
        <v>4.0</v>
      </c>
      <c r="J158" s="29" t="s">
        <v>55</v>
      </c>
      <c r="K158" s="30" t="s">
        <v>23</v>
      </c>
      <c r="L158" s="31" t="str">
        <f>IFERROR(__xludf.DUMMYFUNCTION("IF(OR(E158="""",K158=""""),"""",IFERROR(IF(K158="""","""",query('tbl user'!$A$2:$D10975,""SELECT A WHERE D = '""&amp;K158&amp;""'"")),""USER TIDAK DIKETAHUI""))"),"#REF!")</f>
        <v>#REF!</v>
      </c>
    </row>
    <row r="159">
      <c r="A159" s="21">
        <f t="shared" si="1"/>
        <v>0</v>
      </c>
      <c r="B159" s="32" t="s">
        <v>209</v>
      </c>
      <c r="C159" s="23" t="s">
        <v>203</v>
      </c>
      <c r="D159" s="23" t="s">
        <v>58</v>
      </c>
      <c r="E159" s="24">
        <v>45384.0</v>
      </c>
      <c r="F159" s="25">
        <v>0.26319444444444445</v>
      </c>
      <c r="G159" s="25">
        <v>0.5034722222222222</v>
      </c>
      <c r="H159" s="27">
        <f t="shared" si="2"/>
        <v>0.2402777778</v>
      </c>
      <c r="I159" s="28">
        <v>1.0</v>
      </c>
      <c r="J159" s="29" t="s">
        <v>291</v>
      </c>
      <c r="K159" s="30" t="s">
        <v>23</v>
      </c>
      <c r="L159" s="31" t="str">
        <f>IFERROR(__xludf.DUMMYFUNCTION("IF(OR(E159="""",K159=""""),"""",IFERROR(IF(K159="""","""",query('tbl user'!$A$2:$D10975,""SELECT A WHERE D = '""&amp;K159&amp;""'"")),""USER TIDAK DIKETAHUI""))"),"#REF!")</f>
        <v>#REF!</v>
      </c>
    </row>
    <row r="160">
      <c r="A160" s="21">
        <f t="shared" si="1"/>
        <v>0</v>
      </c>
      <c r="B160" s="32" t="s">
        <v>127</v>
      </c>
      <c r="C160" s="23" t="s">
        <v>206</v>
      </c>
      <c r="D160" s="23" t="s">
        <v>58</v>
      </c>
      <c r="E160" s="24">
        <v>45384.0</v>
      </c>
      <c r="F160" s="25">
        <v>0.31805555555555554</v>
      </c>
      <c r="G160" s="25">
        <v>0.6472222222222223</v>
      </c>
      <c r="H160" s="27">
        <f t="shared" si="2"/>
        <v>0.3291666667</v>
      </c>
      <c r="I160" s="28">
        <v>1.0</v>
      </c>
      <c r="J160" s="29" t="s">
        <v>292</v>
      </c>
      <c r="K160" s="30" t="s">
        <v>23</v>
      </c>
      <c r="L160" s="31" t="str">
        <f>IFERROR(__xludf.DUMMYFUNCTION("IF(OR(E160="""",K160=""""),"""",IFERROR(IF(K160="""","""",query('tbl user'!$A$2:$D10975,""SELECT A WHERE D = '""&amp;K160&amp;""'"")),""USER TIDAK DIKETAHUI""))"),"#REF!")</f>
        <v>#REF!</v>
      </c>
    </row>
    <row r="161">
      <c r="A161" s="21">
        <f t="shared" si="1"/>
        <v>0</v>
      </c>
      <c r="B161" s="32" t="s">
        <v>293</v>
      </c>
      <c r="C161" s="23" t="s">
        <v>211</v>
      </c>
      <c r="D161" s="23" t="s">
        <v>58</v>
      </c>
      <c r="E161" s="24">
        <v>45384.0</v>
      </c>
      <c r="F161" s="25">
        <v>0.2701388888888889</v>
      </c>
      <c r="G161" s="25">
        <v>0.5833333333333334</v>
      </c>
      <c r="H161" s="27">
        <f t="shared" si="2"/>
        <v>0.3131944444</v>
      </c>
      <c r="I161" s="28">
        <v>2.0</v>
      </c>
      <c r="J161" s="29" t="s">
        <v>294</v>
      </c>
      <c r="K161" s="30" t="s">
        <v>23</v>
      </c>
      <c r="L161" s="31" t="str">
        <f>IFERROR(__xludf.DUMMYFUNCTION("IF(OR(E161="""",K161=""""),"""",IFERROR(IF(K161="""","""",query('tbl user'!$A$2:$D10975,""SELECT A WHERE D = '""&amp;K161&amp;""'"")),""USER TIDAK DIKETAHUI""))"),"#REF!")</f>
        <v>#REF!</v>
      </c>
    </row>
    <row r="162">
      <c r="A162" s="21">
        <f t="shared" si="1"/>
        <v>0</v>
      </c>
      <c r="B162" s="32" t="s">
        <v>167</v>
      </c>
      <c r="C162" s="23" t="s">
        <v>168</v>
      </c>
      <c r="D162" s="23" t="s">
        <v>58</v>
      </c>
      <c r="E162" s="24">
        <v>45384.0</v>
      </c>
      <c r="F162" s="25">
        <v>0.2902777777777778</v>
      </c>
      <c r="G162" s="25">
        <v>0.5895833333333333</v>
      </c>
      <c r="H162" s="27">
        <f t="shared" si="2"/>
        <v>0.2993055556</v>
      </c>
      <c r="I162" s="28">
        <v>2.0</v>
      </c>
      <c r="J162" s="29" t="s">
        <v>213</v>
      </c>
      <c r="K162" s="30" t="s">
        <v>23</v>
      </c>
      <c r="L162" s="31" t="str">
        <f>IFERROR(__xludf.DUMMYFUNCTION("IF(OR(E162="""",K162=""""),"""",IFERROR(IF(K162="""","""",query('tbl user'!$A$2:$D10975,""SELECT A WHERE D = '""&amp;K162&amp;""'"")),""USER TIDAK DIKETAHUI""))"),"#REF!")</f>
        <v>#REF!</v>
      </c>
    </row>
    <row r="163">
      <c r="A163" s="21">
        <f t="shared" si="1"/>
        <v>0</v>
      </c>
      <c r="B163" s="32" t="s">
        <v>214</v>
      </c>
      <c r="C163" s="23" t="s">
        <v>170</v>
      </c>
      <c r="D163" s="23" t="s">
        <v>58</v>
      </c>
      <c r="E163" s="24">
        <v>45384.0</v>
      </c>
      <c r="F163" s="25">
        <v>0.2916666666666667</v>
      </c>
      <c r="G163" s="25">
        <v>0.6222222222222222</v>
      </c>
      <c r="H163" s="27">
        <f t="shared" si="2"/>
        <v>0.3305555556</v>
      </c>
      <c r="I163" s="28">
        <v>2.0</v>
      </c>
      <c r="J163" s="29" t="s">
        <v>213</v>
      </c>
      <c r="K163" s="30" t="s">
        <v>23</v>
      </c>
      <c r="L163" s="31" t="str">
        <f>IFERROR(__xludf.DUMMYFUNCTION("IF(OR(E163="""",K163=""""),"""",IFERROR(IF(K163="""","""",query('tbl user'!$A$2:$D10975,""SELECT A WHERE D = '""&amp;K163&amp;""'"")),""USER TIDAK DIKETAHUI""))"),"#REF!")</f>
        <v>#REF!</v>
      </c>
    </row>
    <row r="164">
      <c r="A164" s="21">
        <f t="shared" si="1"/>
        <v>0</v>
      </c>
      <c r="B164" s="32" t="s">
        <v>215</v>
      </c>
      <c r="C164" s="23" t="s">
        <v>176</v>
      </c>
      <c r="D164" s="23" t="s">
        <v>58</v>
      </c>
      <c r="E164" s="24">
        <v>45384.0</v>
      </c>
      <c r="F164" s="25">
        <v>0.28541666666666665</v>
      </c>
      <c r="G164" s="25">
        <v>0.6375</v>
      </c>
      <c r="H164" s="27">
        <f t="shared" si="2"/>
        <v>0.3520833333</v>
      </c>
      <c r="I164" s="28">
        <v>2.0</v>
      </c>
      <c r="J164" s="29" t="s">
        <v>213</v>
      </c>
      <c r="K164" s="30" t="s">
        <v>23</v>
      </c>
      <c r="L164" s="31" t="str">
        <f>IFERROR(__xludf.DUMMYFUNCTION("IF(OR(E164="""",K164=""""),"""",IFERROR(IF(K164="""","""",query('tbl user'!$A$2:$D10975,""SELECT A WHERE D = '""&amp;K164&amp;""'"")),""USER TIDAK DIKETAHUI""))"),"#REF!")</f>
        <v>#REF!</v>
      </c>
    </row>
    <row r="165">
      <c r="A165" s="21">
        <f t="shared" si="1"/>
        <v>0</v>
      </c>
      <c r="B165" s="32" t="s">
        <v>56</v>
      </c>
      <c r="C165" s="23" t="s">
        <v>57</v>
      </c>
      <c r="D165" s="23" t="s">
        <v>58</v>
      </c>
      <c r="E165" s="24">
        <v>45384.0</v>
      </c>
      <c r="F165" s="25">
        <v>0.2916666666666667</v>
      </c>
      <c r="G165" s="25">
        <v>0.6270833333333333</v>
      </c>
      <c r="H165" s="27">
        <f t="shared" si="2"/>
        <v>0.3354166667</v>
      </c>
      <c r="I165" s="28">
        <v>2.0</v>
      </c>
      <c r="J165" s="29" t="s">
        <v>295</v>
      </c>
      <c r="K165" s="30" t="s">
        <v>23</v>
      </c>
      <c r="L165" s="31" t="str">
        <f>IFERROR(__xludf.DUMMYFUNCTION("IF(OR(E165="""",K165=""""),"""",IFERROR(IF(K165="""","""",query('tbl user'!$A$2:$D10975,""SELECT A WHERE D = '""&amp;K165&amp;""'"")),""USER TIDAK DIKETAHUI""))"),"#REF!")</f>
        <v>#REF!</v>
      </c>
    </row>
    <row r="166">
      <c r="A166" s="21">
        <f t="shared" si="1"/>
        <v>0</v>
      </c>
      <c r="B166" s="32" t="s">
        <v>178</v>
      </c>
      <c r="C166" s="23" t="s">
        <v>82</v>
      </c>
      <c r="D166" s="23" t="s">
        <v>58</v>
      </c>
      <c r="E166" s="24">
        <v>45384.0</v>
      </c>
      <c r="F166" s="25">
        <v>0.27152777777777776</v>
      </c>
      <c r="G166" s="25">
        <v>0.7597222222222222</v>
      </c>
      <c r="H166" s="27">
        <f t="shared" si="2"/>
        <v>0.4881944444</v>
      </c>
      <c r="I166" s="28">
        <v>2.0</v>
      </c>
      <c r="J166" s="29" t="s">
        <v>296</v>
      </c>
      <c r="K166" s="30" t="s">
        <v>23</v>
      </c>
      <c r="L166" s="31" t="str">
        <f>IFERROR(__xludf.DUMMYFUNCTION("IF(OR(E166="""",K166=""""),"""",IFERROR(IF(K166="""","""",query('tbl user'!$A$2:$D10975,""SELECT A WHERE D = '""&amp;K166&amp;""'"")),""USER TIDAK DIKETAHUI""))"),"#REF!")</f>
        <v>#REF!</v>
      </c>
    </row>
    <row r="167">
      <c r="A167" s="21">
        <f t="shared" si="1"/>
        <v>0</v>
      </c>
      <c r="B167" s="32" t="s">
        <v>297</v>
      </c>
      <c r="C167" s="23" t="s">
        <v>192</v>
      </c>
      <c r="D167" s="23" t="s">
        <v>58</v>
      </c>
      <c r="E167" s="24">
        <v>45384.0</v>
      </c>
      <c r="F167" s="25">
        <v>0.2923611111111111</v>
      </c>
      <c r="G167" s="25">
        <v>0.6215277777777778</v>
      </c>
      <c r="H167" s="27">
        <f t="shared" si="2"/>
        <v>0.3291666667</v>
      </c>
      <c r="I167" s="28">
        <v>2.0</v>
      </c>
      <c r="J167" s="29" t="s">
        <v>213</v>
      </c>
      <c r="K167" s="30" t="s">
        <v>23</v>
      </c>
      <c r="L167" s="31" t="str">
        <f>IFERROR(__xludf.DUMMYFUNCTION("IF(OR(E167="""",K167=""""),"""",IFERROR(IF(K167="""","""",query('tbl user'!$A$2:$D10975,""SELECT A WHERE D = '""&amp;K167&amp;""'"")),""USER TIDAK DIKETAHUI""))"),"#REF!")</f>
        <v>#REF!</v>
      </c>
    </row>
    <row r="168">
      <c r="A168" s="21">
        <f t="shared" si="1"/>
        <v>0</v>
      </c>
      <c r="B168" s="32" t="s">
        <v>104</v>
      </c>
      <c r="C168" s="23" t="s">
        <v>105</v>
      </c>
      <c r="D168" s="23" t="s">
        <v>58</v>
      </c>
      <c r="E168" s="24">
        <v>45384.0</v>
      </c>
      <c r="F168" s="25">
        <v>0.2361111111111111</v>
      </c>
      <c r="G168" s="25">
        <v>0.7013888888888888</v>
      </c>
      <c r="H168" s="27">
        <f t="shared" si="2"/>
        <v>0.4652777778</v>
      </c>
      <c r="I168" s="28">
        <v>2.0</v>
      </c>
      <c r="J168" s="29" t="s">
        <v>213</v>
      </c>
      <c r="K168" s="30" t="s">
        <v>23</v>
      </c>
      <c r="L168" s="31" t="str">
        <f>IFERROR(__xludf.DUMMYFUNCTION("IF(OR(E168="""",K168=""""),"""",IFERROR(IF(K168="""","""",query('tbl user'!$A$2:$D10975,""SELECT A WHERE D = '""&amp;K168&amp;""'"")),""USER TIDAK DIKETAHUI""))"),"#REF!")</f>
        <v>#REF!</v>
      </c>
    </row>
    <row r="169">
      <c r="A169" s="21">
        <f t="shared" si="1"/>
        <v>0</v>
      </c>
      <c r="B169" s="32" t="s">
        <v>84</v>
      </c>
      <c r="C169" s="23" t="s">
        <v>85</v>
      </c>
      <c r="D169" s="23" t="s">
        <v>58</v>
      </c>
      <c r="E169" s="24">
        <v>45384.0</v>
      </c>
      <c r="F169" s="25">
        <v>0.3</v>
      </c>
      <c r="G169" s="25">
        <v>0.7284722222222222</v>
      </c>
      <c r="H169" s="27">
        <f t="shared" si="2"/>
        <v>0.4284722222</v>
      </c>
      <c r="I169" s="28">
        <v>2.0</v>
      </c>
      <c r="J169" s="29" t="s">
        <v>213</v>
      </c>
      <c r="K169" s="30" t="s">
        <v>23</v>
      </c>
      <c r="L169" s="31" t="str">
        <f>IFERROR(__xludf.DUMMYFUNCTION("IF(OR(E169="""",K169=""""),"""",IFERROR(IF(K169="""","""",query('tbl user'!$A$2:$D10975,""SELECT A WHERE D = '""&amp;K169&amp;""'"")),""USER TIDAK DIKETAHUI""))"),"#REF!")</f>
        <v>#REF!</v>
      </c>
    </row>
    <row r="170">
      <c r="A170" s="21">
        <f t="shared" si="1"/>
        <v>0</v>
      </c>
      <c r="B170" s="32" t="s">
        <v>67</v>
      </c>
      <c r="C170" s="23" t="s">
        <v>68</v>
      </c>
      <c r="D170" s="23" t="s">
        <v>58</v>
      </c>
      <c r="E170" s="24">
        <v>45384.0</v>
      </c>
      <c r="F170" s="25">
        <v>0.25972222222222224</v>
      </c>
      <c r="G170" s="25">
        <v>0.7006944444444444</v>
      </c>
      <c r="H170" s="27">
        <f t="shared" si="2"/>
        <v>0.4409722222</v>
      </c>
      <c r="I170" s="28">
        <v>3.0</v>
      </c>
      <c r="J170" s="29" t="s">
        <v>55</v>
      </c>
      <c r="K170" s="30" t="s">
        <v>23</v>
      </c>
      <c r="L170" s="31" t="str">
        <f>IFERROR(__xludf.DUMMYFUNCTION("IF(OR(E170="""",K170=""""),"""",IFERROR(IF(K170="""","""",query('tbl user'!$A$2:$D10975,""SELECT A WHERE D = '""&amp;K170&amp;""'"")),""USER TIDAK DIKETAHUI""))"),"#REF!")</f>
        <v>#REF!</v>
      </c>
    </row>
    <row r="171">
      <c r="A171" s="21">
        <f t="shared" si="1"/>
        <v>0</v>
      </c>
      <c r="B171" s="32" t="s">
        <v>92</v>
      </c>
      <c r="C171" s="23" t="s">
        <v>93</v>
      </c>
      <c r="D171" s="23" t="s">
        <v>58</v>
      </c>
      <c r="E171" s="24">
        <v>45384.0</v>
      </c>
      <c r="F171" s="25">
        <v>0.24513888888888888</v>
      </c>
      <c r="G171" s="25">
        <v>0.7055555555555556</v>
      </c>
      <c r="H171" s="27">
        <f t="shared" si="2"/>
        <v>0.4604166667</v>
      </c>
      <c r="I171" s="28">
        <v>3.0</v>
      </c>
      <c r="J171" s="29" t="s">
        <v>55</v>
      </c>
      <c r="K171" s="30" t="s">
        <v>23</v>
      </c>
      <c r="L171" s="31" t="str">
        <f>IFERROR(__xludf.DUMMYFUNCTION("IF(OR(E171="""",K171=""""),"""",IFERROR(IF(K171="""","""",query('tbl user'!$A$2:$D10975,""SELECT A WHERE D = '""&amp;K171&amp;""'"")),""USER TIDAK DIKETAHUI""))"),"#REF!")</f>
        <v>#REF!</v>
      </c>
    </row>
    <row r="172">
      <c r="A172" s="21">
        <f t="shared" si="1"/>
        <v>0</v>
      </c>
      <c r="B172" s="32" t="s">
        <v>180</v>
      </c>
      <c r="C172" s="23" t="s">
        <v>181</v>
      </c>
      <c r="D172" s="23" t="s">
        <v>58</v>
      </c>
      <c r="E172" s="24">
        <v>45384.0</v>
      </c>
      <c r="F172" s="25">
        <v>0.22152777777777777</v>
      </c>
      <c r="G172" s="25">
        <v>0.66875</v>
      </c>
      <c r="H172" s="27">
        <f t="shared" si="2"/>
        <v>0.4472222222</v>
      </c>
      <c r="I172" s="28">
        <v>3.0</v>
      </c>
      <c r="J172" s="29" t="s">
        <v>55</v>
      </c>
      <c r="K172" s="30" t="s">
        <v>23</v>
      </c>
      <c r="L172" s="31" t="str">
        <f>IFERROR(__xludf.DUMMYFUNCTION("IF(OR(E172="""",K172=""""),"""",IFERROR(IF(K172="""","""",query('tbl user'!$A$2:$D10975,""SELECT A WHERE D = '""&amp;K172&amp;""'"")),""USER TIDAK DIKETAHUI""))"),"#REF!")</f>
        <v>#REF!</v>
      </c>
    </row>
    <row r="173">
      <c r="A173" s="21">
        <f t="shared" si="1"/>
        <v>0</v>
      </c>
      <c r="B173" s="32" t="s">
        <v>182</v>
      </c>
      <c r="C173" s="23" t="s">
        <v>183</v>
      </c>
      <c r="D173" s="23" t="s">
        <v>58</v>
      </c>
      <c r="E173" s="24">
        <v>45384.0</v>
      </c>
      <c r="F173" s="25">
        <v>0.23194444444444445</v>
      </c>
      <c r="G173" s="25">
        <v>0.6916666666666667</v>
      </c>
      <c r="H173" s="27">
        <f t="shared" si="2"/>
        <v>0.4597222222</v>
      </c>
      <c r="I173" s="28">
        <v>3.0</v>
      </c>
      <c r="J173" s="29" t="s">
        <v>55</v>
      </c>
      <c r="K173" s="30" t="s">
        <v>23</v>
      </c>
      <c r="L173" s="31" t="str">
        <f>IFERROR(__xludf.DUMMYFUNCTION("IF(OR(E173="""",K173=""""),"""",IFERROR(IF(K173="""","""",query('tbl user'!$A$2:$D10975,""SELECT A WHERE D = '""&amp;K173&amp;""'"")),""USER TIDAK DIKETAHUI""))"),"#REF!")</f>
        <v>#REF!</v>
      </c>
    </row>
    <row r="174">
      <c r="A174" s="21">
        <f t="shared" si="1"/>
        <v>0</v>
      </c>
      <c r="B174" s="32" t="s">
        <v>184</v>
      </c>
      <c r="C174" s="23" t="s">
        <v>185</v>
      </c>
      <c r="D174" s="23" t="s">
        <v>58</v>
      </c>
      <c r="E174" s="24">
        <v>45384.0</v>
      </c>
      <c r="F174" s="25">
        <v>0.24375</v>
      </c>
      <c r="G174" s="25">
        <v>0.7388888888888889</v>
      </c>
      <c r="H174" s="27">
        <f t="shared" si="2"/>
        <v>0.4951388889</v>
      </c>
      <c r="I174" s="28">
        <v>3.0</v>
      </c>
      <c r="J174" s="29" t="s">
        <v>55</v>
      </c>
      <c r="K174" s="30" t="s">
        <v>23</v>
      </c>
      <c r="L174" s="31" t="str">
        <f>IFERROR(__xludf.DUMMYFUNCTION("IF(OR(E174="""",K174=""""),"""",IFERROR(IF(K174="""","""",query('tbl user'!$A$2:$D10975,""SELECT A WHERE D = '""&amp;K174&amp;""'"")),""USER TIDAK DIKETAHUI""))"),"#REF!")</f>
        <v>#REF!</v>
      </c>
    </row>
    <row r="175">
      <c r="A175" s="21">
        <f t="shared" si="1"/>
        <v>0</v>
      </c>
      <c r="B175" s="32" t="s">
        <v>187</v>
      </c>
      <c r="C175" s="23" t="s">
        <v>188</v>
      </c>
      <c r="D175" s="23" t="s">
        <v>58</v>
      </c>
      <c r="E175" s="24">
        <v>45384.0</v>
      </c>
      <c r="F175" s="25">
        <v>0.2423611111111111</v>
      </c>
      <c r="G175" s="25">
        <v>0.70625</v>
      </c>
      <c r="H175" s="27">
        <f t="shared" si="2"/>
        <v>0.4638888889</v>
      </c>
      <c r="I175" s="28">
        <v>3.0</v>
      </c>
      <c r="J175" s="29" t="s">
        <v>55</v>
      </c>
      <c r="K175" s="30" t="s">
        <v>23</v>
      </c>
      <c r="L175" s="31" t="str">
        <f>IFERROR(__xludf.DUMMYFUNCTION("IF(OR(E175="""",K175=""""),"""",IFERROR(IF(K175="""","""",query('tbl user'!$A$2:$D10975,""SELECT A WHERE D = '""&amp;K175&amp;""'"")),""USER TIDAK DIKETAHUI""))"),"#REF!")</f>
        <v>#REF!</v>
      </c>
    </row>
    <row r="176">
      <c r="A176" s="21">
        <f t="shared" si="1"/>
        <v>0</v>
      </c>
      <c r="B176" s="32" t="s">
        <v>189</v>
      </c>
      <c r="C176" s="23" t="s">
        <v>190</v>
      </c>
      <c r="D176" s="23" t="s">
        <v>58</v>
      </c>
      <c r="E176" s="24">
        <v>45384.0</v>
      </c>
      <c r="F176" s="25">
        <v>0.2611111111111111</v>
      </c>
      <c r="G176" s="25">
        <v>0.6826388888888889</v>
      </c>
      <c r="H176" s="27">
        <f t="shared" si="2"/>
        <v>0.4215277778</v>
      </c>
      <c r="I176" s="28">
        <v>3.0</v>
      </c>
      <c r="J176" s="29" t="s">
        <v>55</v>
      </c>
      <c r="K176" s="30" t="s">
        <v>23</v>
      </c>
      <c r="L176" s="31" t="str">
        <f>IFERROR(__xludf.DUMMYFUNCTION("IF(OR(E176="""",K176=""""),"""",IFERROR(IF(K176="""","""",query('tbl user'!$A$2:$D10975,""SELECT A WHERE D = '""&amp;K176&amp;""'"")),""USER TIDAK DIKETAHUI""))"),"#REF!")</f>
        <v>#REF!</v>
      </c>
    </row>
    <row r="177">
      <c r="A177" s="21">
        <f t="shared" si="1"/>
        <v>0</v>
      </c>
      <c r="B177" s="32" t="s">
        <v>216</v>
      </c>
      <c r="C177" s="23" t="s">
        <v>195</v>
      </c>
      <c r="D177" s="23" t="s">
        <v>58</v>
      </c>
      <c r="E177" s="24">
        <v>45384.0</v>
      </c>
      <c r="F177" s="25">
        <v>0.25763888888888886</v>
      </c>
      <c r="G177" s="25">
        <v>0.7409722222222223</v>
      </c>
      <c r="H177" s="27">
        <f t="shared" si="2"/>
        <v>0.4833333333</v>
      </c>
      <c r="I177" s="28">
        <v>3.0</v>
      </c>
      <c r="J177" s="29" t="s">
        <v>55</v>
      </c>
      <c r="K177" s="30" t="s">
        <v>23</v>
      </c>
      <c r="L177" s="31" t="str">
        <f>IFERROR(__xludf.DUMMYFUNCTION("IF(OR(E177="""",K177=""""),"""",IFERROR(IF(K177="""","""",query('tbl user'!$A$2:$D10975,""SELECT A WHERE D = '""&amp;K177&amp;""'"")),""USER TIDAK DIKETAHUI""))"),"#REF!")</f>
        <v>#REF!</v>
      </c>
    </row>
    <row r="178">
      <c r="A178" s="21">
        <f t="shared" si="1"/>
        <v>0</v>
      </c>
      <c r="B178" s="32" t="s">
        <v>197</v>
      </c>
      <c r="C178" s="23" t="s">
        <v>198</v>
      </c>
      <c r="D178" s="23" t="s">
        <v>58</v>
      </c>
      <c r="E178" s="24">
        <v>45384.0</v>
      </c>
      <c r="F178" s="25">
        <v>0.20555555555555555</v>
      </c>
      <c r="G178" s="25">
        <v>0.6569444444444444</v>
      </c>
      <c r="H178" s="27">
        <f t="shared" si="2"/>
        <v>0.4513888889</v>
      </c>
      <c r="I178" s="28">
        <v>3.0</v>
      </c>
      <c r="J178" s="29" t="s">
        <v>55</v>
      </c>
      <c r="K178" s="30" t="s">
        <v>23</v>
      </c>
      <c r="L178" s="31" t="str">
        <f>IFERROR(__xludf.DUMMYFUNCTION("IF(OR(E178="""",K178=""""),"""",IFERROR(IF(K178="""","""",query('tbl user'!$A$2:$D10975,""SELECT A WHERE D = '""&amp;K178&amp;""'"")),""USER TIDAK DIKETAHUI""))"),"#REF!")</f>
        <v>#REF!</v>
      </c>
    </row>
    <row r="179">
      <c r="A179" s="21">
        <f t="shared" si="1"/>
        <v>0</v>
      </c>
      <c r="B179" s="32" t="s">
        <v>200</v>
      </c>
      <c r="C179" s="23" t="s">
        <v>201</v>
      </c>
      <c r="D179" s="23" t="s">
        <v>58</v>
      </c>
      <c r="E179" s="24">
        <v>45384.0</v>
      </c>
      <c r="F179" s="25">
        <v>0.2048611111111111</v>
      </c>
      <c r="G179" s="25">
        <v>0.7048611111111112</v>
      </c>
      <c r="H179" s="27">
        <f t="shared" si="2"/>
        <v>0.5</v>
      </c>
      <c r="I179" s="28">
        <v>3.0</v>
      </c>
      <c r="J179" s="29" t="s">
        <v>55</v>
      </c>
      <c r="K179" s="30" t="s">
        <v>23</v>
      </c>
      <c r="L179" s="31" t="str">
        <f>IFERROR(__xludf.DUMMYFUNCTION("IF(OR(E179="""",K179=""""),"""",IFERROR(IF(K179="""","""",query('tbl user'!$A$2:$D10975,""SELECT A WHERE D = '""&amp;K179&amp;""'"")),""USER TIDAK DIKETAHUI""))"),"#REF!")</f>
        <v>#REF!</v>
      </c>
    </row>
    <row r="180">
      <c r="A180" s="21">
        <f t="shared" si="1"/>
        <v>0</v>
      </c>
      <c r="B180" s="32" t="s">
        <v>224</v>
      </c>
      <c r="C180" s="23" t="s">
        <v>208</v>
      </c>
      <c r="D180" s="23" t="s">
        <v>58</v>
      </c>
      <c r="E180" s="24">
        <v>45384.0</v>
      </c>
      <c r="F180" s="25">
        <v>0.2465277777777778</v>
      </c>
      <c r="G180" s="25">
        <v>0.6840277777777778</v>
      </c>
      <c r="H180" s="27">
        <f t="shared" si="2"/>
        <v>0.4375</v>
      </c>
      <c r="I180" s="28">
        <v>3.0</v>
      </c>
      <c r="J180" s="29" t="s">
        <v>55</v>
      </c>
      <c r="K180" s="30" t="s">
        <v>23</v>
      </c>
      <c r="L180" s="31" t="str">
        <f>IFERROR(__xludf.DUMMYFUNCTION("IF(OR(E180="""",K180=""""),"""",IFERROR(IF(K180="""","""",query('tbl user'!$A$2:$D10975,""SELECT A WHERE D = '""&amp;K180&amp;""'"")),""USER TIDAK DIKETAHUI""))"),"#REF!")</f>
        <v>#REF!</v>
      </c>
    </row>
    <row r="181">
      <c r="A181" s="21">
        <f t="shared" si="1"/>
        <v>0</v>
      </c>
      <c r="B181" s="32" t="s">
        <v>246</v>
      </c>
      <c r="C181" s="23" t="s">
        <v>247</v>
      </c>
      <c r="D181" s="23" t="s">
        <v>21</v>
      </c>
      <c r="E181" s="24">
        <v>45384.0</v>
      </c>
      <c r="F181" s="25">
        <v>0.29375</v>
      </c>
      <c r="G181" s="25">
        <v>0.6055555555555555</v>
      </c>
      <c r="H181" s="27">
        <f t="shared" si="2"/>
        <v>0.3118055556</v>
      </c>
      <c r="I181" s="28">
        <v>1.0</v>
      </c>
      <c r="J181" s="29" t="s">
        <v>298</v>
      </c>
      <c r="K181" s="30" t="s">
        <v>23</v>
      </c>
      <c r="L181" s="31" t="str">
        <f>IFERROR(__xludf.DUMMYFUNCTION("IF(OR(E181="""",K181=""""),"""",IFERROR(IF(K181="""","""",query('tbl user'!$A$2:$D10975,""SELECT A WHERE D = '""&amp;K181&amp;""'"")),""USER TIDAK DIKETAHUI""))"),"#REF!")</f>
        <v>#REF!</v>
      </c>
    </row>
    <row r="182">
      <c r="A182" s="21">
        <f t="shared" si="1"/>
        <v>0</v>
      </c>
      <c r="B182" s="32" t="s">
        <v>24</v>
      </c>
      <c r="C182" s="23" t="s">
        <v>25</v>
      </c>
      <c r="D182" s="23" t="s">
        <v>21</v>
      </c>
      <c r="E182" s="24">
        <v>45384.0</v>
      </c>
      <c r="F182" s="25">
        <v>0.2361111111111111</v>
      </c>
      <c r="G182" s="25">
        <v>0.5486111111111112</v>
      </c>
      <c r="H182" s="27">
        <f t="shared" si="2"/>
        <v>0.3125</v>
      </c>
      <c r="I182" s="28">
        <v>1.0</v>
      </c>
      <c r="J182" s="29" t="s">
        <v>299</v>
      </c>
      <c r="K182" s="30" t="s">
        <v>23</v>
      </c>
      <c r="L182" s="31" t="str">
        <f>IFERROR(__xludf.DUMMYFUNCTION("IF(OR(E182="""",K182=""""),"""",IFERROR(IF(K182="""","""",query('tbl user'!$A$2:$D10975,""SELECT A WHERE D = '""&amp;K182&amp;""'"")),""USER TIDAK DIKETAHUI""))"),"#REF!")</f>
        <v>#REF!</v>
      </c>
    </row>
    <row r="183">
      <c r="A183" s="21">
        <f t="shared" si="1"/>
        <v>0</v>
      </c>
      <c r="B183" s="32" t="s">
        <v>220</v>
      </c>
      <c r="C183" s="23" t="s">
        <v>236</v>
      </c>
      <c r="D183" s="23" t="s">
        <v>21</v>
      </c>
      <c r="E183" s="24">
        <v>45384.0</v>
      </c>
      <c r="F183" s="25">
        <v>0.38958333333333334</v>
      </c>
      <c r="G183" s="25">
        <v>0.5631944444444444</v>
      </c>
      <c r="H183" s="27">
        <f t="shared" si="2"/>
        <v>0.1736111111</v>
      </c>
      <c r="I183" s="28">
        <v>1.0</v>
      </c>
      <c r="J183" s="29" t="s">
        <v>300</v>
      </c>
      <c r="K183" s="30" t="s">
        <v>23</v>
      </c>
      <c r="L183" s="31" t="str">
        <f>IFERROR(__xludf.DUMMYFUNCTION("IF(OR(E183="""",K183=""""),"""",IFERROR(IF(K183="""","""",query('tbl user'!$A$2:$D10975,""SELECT A WHERE D = '""&amp;K183&amp;""'"")),""USER TIDAK DIKETAHUI""))"),"#REF!")</f>
        <v>#REF!</v>
      </c>
    </row>
    <row r="184">
      <c r="A184" s="21">
        <f t="shared" si="1"/>
        <v>0</v>
      </c>
      <c r="B184" s="32" t="s">
        <v>258</v>
      </c>
      <c r="C184" s="23" t="s">
        <v>259</v>
      </c>
      <c r="D184" s="23" t="s">
        <v>21</v>
      </c>
      <c r="E184" s="24">
        <v>45384.0</v>
      </c>
      <c r="F184" s="25">
        <v>0.25555555555555554</v>
      </c>
      <c r="G184" s="25">
        <v>0.4909722222222222</v>
      </c>
      <c r="H184" s="27">
        <f t="shared" si="2"/>
        <v>0.2354166667</v>
      </c>
      <c r="I184" s="28">
        <v>1.0</v>
      </c>
      <c r="J184" s="29" t="s">
        <v>301</v>
      </c>
      <c r="K184" s="30" t="s">
        <v>23</v>
      </c>
      <c r="L184" s="31" t="str">
        <f>IFERROR(__xludf.DUMMYFUNCTION("IF(OR(E184="""",K184=""""),"""",IFERROR(IF(K184="""","""",query('tbl user'!$A$2:$D10975,""SELECT A WHERE D = '""&amp;K184&amp;""'"")),""USER TIDAK DIKETAHUI""))"),"#REF!")</f>
        <v>#REF!</v>
      </c>
    </row>
    <row r="185">
      <c r="A185" s="21">
        <f t="shared" si="1"/>
        <v>0</v>
      </c>
      <c r="B185" s="32" t="s">
        <v>175</v>
      </c>
      <c r="C185" s="23" t="s">
        <v>35</v>
      </c>
      <c r="D185" s="23" t="s">
        <v>21</v>
      </c>
      <c r="E185" s="24">
        <v>45384.0</v>
      </c>
      <c r="F185" s="25">
        <v>0.22013888888888888</v>
      </c>
      <c r="G185" s="25">
        <v>0.6958333333333333</v>
      </c>
      <c r="H185" s="27">
        <f t="shared" si="2"/>
        <v>0.4756944444</v>
      </c>
      <c r="I185" s="28">
        <v>2.0</v>
      </c>
      <c r="J185" s="29" t="s">
        <v>302</v>
      </c>
      <c r="K185" s="30" t="s">
        <v>23</v>
      </c>
      <c r="L185" s="31" t="str">
        <f>IFERROR(__xludf.DUMMYFUNCTION("IF(OR(E185="""",K185=""""),"""",IFERROR(IF(K185="""","""",query('tbl user'!$A$2:$D10975,""SELECT A WHERE D = '""&amp;K185&amp;""'"")),""USER TIDAK DIKETAHUI""))"),"#REF!")</f>
        <v>#REF!</v>
      </c>
    </row>
    <row r="186">
      <c r="A186" s="21">
        <f t="shared" si="1"/>
        <v>0</v>
      </c>
      <c r="B186" s="32" t="s">
        <v>238</v>
      </c>
      <c r="C186" s="23" t="s">
        <v>239</v>
      </c>
      <c r="D186" s="23" t="s">
        <v>21</v>
      </c>
      <c r="E186" s="24">
        <v>45384.0</v>
      </c>
      <c r="F186" s="25">
        <v>0.2923611111111111</v>
      </c>
      <c r="G186" s="25">
        <v>0.7145833333333333</v>
      </c>
      <c r="H186" s="27">
        <f t="shared" si="2"/>
        <v>0.4222222222</v>
      </c>
      <c r="I186" s="28">
        <v>2.0</v>
      </c>
      <c r="J186" s="29" t="s">
        <v>213</v>
      </c>
      <c r="K186" s="30" t="s">
        <v>23</v>
      </c>
      <c r="L186" s="31" t="str">
        <f>IFERROR(__xludf.DUMMYFUNCTION("IF(OR(E186="""",K186=""""),"""",IFERROR(IF(K186="""","""",query('tbl user'!$A$2:$D10975,""SELECT A WHERE D = '""&amp;K186&amp;""'"")),""USER TIDAK DIKETAHUI""))"),"#REF!")</f>
        <v>#REF!</v>
      </c>
    </row>
    <row r="187">
      <c r="A187" s="21">
        <f t="shared" si="1"/>
        <v>0</v>
      </c>
      <c r="B187" s="32" t="s">
        <v>243</v>
      </c>
      <c r="C187" s="23" t="s">
        <v>244</v>
      </c>
      <c r="D187" s="23" t="s">
        <v>21</v>
      </c>
      <c r="E187" s="24">
        <v>45384.0</v>
      </c>
      <c r="F187" s="25">
        <v>0.24722222222222223</v>
      </c>
      <c r="G187" s="25">
        <v>0.6611111111111111</v>
      </c>
      <c r="H187" s="27">
        <f t="shared" si="2"/>
        <v>0.4138888889</v>
      </c>
      <c r="I187" s="28">
        <v>2.0</v>
      </c>
      <c r="J187" s="29" t="s">
        <v>213</v>
      </c>
      <c r="K187" s="30" t="s">
        <v>23</v>
      </c>
      <c r="L187" s="31" t="str">
        <f>IFERROR(__xludf.DUMMYFUNCTION("IF(OR(E187="""",K187=""""),"""",IFERROR(IF(K187="""","""",query('tbl user'!$A$2:$D10975,""SELECT A WHERE D = '""&amp;K187&amp;""'"")),""USER TIDAK DIKETAHUI""))"),"#REF!")</f>
        <v>#REF!</v>
      </c>
    </row>
    <row r="188">
      <c r="A188" s="21">
        <f t="shared" si="1"/>
        <v>0</v>
      </c>
      <c r="B188" s="32" t="s">
        <v>303</v>
      </c>
      <c r="C188" s="23" t="s">
        <v>251</v>
      </c>
      <c r="D188" s="23" t="s">
        <v>21</v>
      </c>
      <c r="E188" s="24">
        <v>45384.0</v>
      </c>
      <c r="F188" s="25">
        <v>0.2923611111111111</v>
      </c>
      <c r="G188" s="25">
        <v>0.7159722222222222</v>
      </c>
      <c r="H188" s="27">
        <f t="shared" si="2"/>
        <v>0.4236111111</v>
      </c>
      <c r="I188" s="28">
        <v>2.0</v>
      </c>
      <c r="J188" s="29" t="s">
        <v>213</v>
      </c>
      <c r="K188" s="30" t="s">
        <v>23</v>
      </c>
      <c r="L188" s="31" t="str">
        <f>IFERROR(__xludf.DUMMYFUNCTION("IF(OR(E188="""",K188=""""),"""",IFERROR(IF(K188="""","""",query('tbl user'!$A$2:$D10975,""SELECT A WHERE D = '""&amp;K188&amp;""'"")),""USER TIDAK DIKETAHUI""))"),"#REF!")</f>
        <v>#REF!</v>
      </c>
    </row>
    <row r="189">
      <c r="A189" s="21">
        <f t="shared" si="1"/>
        <v>0</v>
      </c>
      <c r="B189" s="32" t="s">
        <v>43</v>
      </c>
      <c r="C189" s="23" t="s">
        <v>44</v>
      </c>
      <c r="D189" s="23" t="s">
        <v>21</v>
      </c>
      <c r="E189" s="24">
        <v>45384.0</v>
      </c>
      <c r="F189" s="25">
        <v>0.27708333333333335</v>
      </c>
      <c r="G189" s="25">
        <v>0.6701388888888888</v>
      </c>
      <c r="H189" s="27">
        <f t="shared" si="2"/>
        <v>0.3930555556</v>
      </c>
      <c r="I189" s="28">
        <v>2.0</v>
      </c>
      <c r="J189" s="29" t="s">
        <v>304</v>
      </c>
      <c r="K189" s="30" t="s">
        <v>23</v>
      </c>
      <c r="L189" s="31" t="str">
        <f>IFERROR(__xludf.DUMMYFUNCTION("IF(OR(E189="""",K189=""""),"""",IFERROR(IF(K189="""","""",query('tbl user'!$A$2:$D10975,""SELECT A WHERE D = '""&amp;K189&amp;""'"")),""USER TIDAK DIKETAHUI""))"),"#REF!")</f>
        <v>#REF!</v>
      </c>
    </row>
    <row r="190">
      <c r="A190" s="21">
        <f t="shared" si="1"/>
        <v>0</v>
      </c>
      <c r="B190" s="32" t="s">
        <v>231</v>
      </c>
      <c r="C190" s="23" t="s">
        <v>232</v>
      </c>
      <c r="D190" s="23" t="s">
        <v>21</v>
      </c>
      <c r="E190" s="24">
        <v>45384.0</v>
      </c>
      <c r="F190" s="25">
        <v>0.2972222222222222</v>
      </c>
      <c r="G190" s="25">
        <v>0.6763888888888889</v>
      </c>
      <c r="H190" s="27">
        <f t="shared" si="2"/>
        <v>0.3791666667</v>
      </c>
      <c r="I190" s="28">
        <v>2.0</v>
      </c>
      <c r="J190" s="29" t="s">
        <v>213</v>
      </c>
      <c r="K190" s="30" t="s">
        <v>23</v>
      </c>
      <c r="L190" s="31" t="str">
        <f>IFERROR(__xludf.DUMMYFUNCTION("IF(OR(E190="""",K190=""""),"""",IFERROR(IF(K190="""","""",query('tbl user'!$A$2:$D10975,""SELECT A WHERE D = '""&amp;K190&amp;""'"")),""USER TIDAK DIKETAHUI""))"),"#REF!")</f>
        <v>#REF!</v>
      </c>
    </row>
    <row r="191">
      <c r="A191" s="21">
        <f t="shared" si="1"/>
        <v>0</v>
      </c>
      <c r="B191" s="32" t="s">
        <v>253</v>
      </c>
      <c r="C191" s="23" t="s">
        <v>102</v>
      </c>
      <c r="D191" s="23" t="s">
        <v>21</v>
      </c>
      <c r="E191" s="24">
        <v>45384.0</v>
      </c>
      <c r="F191" s="25">
        <v>0.26458333333333334</v>
      </c>
      <c r="G191" s="25">
        <v>0.7048611111111112</v>
      </c>
      <c r="H191" s="27">
        <f t="shared" si="2"/>
        <v>0.4402777778</v>
      </c>
      <c r="I191" s="28">
        <v>2.0</v>
      </c>
      <c r="J191" s="29" t="s">
        <v>213</v>
      </c>
      <c r="K191" s="30" t="s">
        <v>23</v>
      </c>
      <c r="L191" s="31" t="str">
        <f>IFERROR(__xludf.DUMMYFUNCTION("IF(OR(E191="""",K191=""""),"""",IFERROR(IF(K191="""","""",query('tbl user'!$A$2:$D10975,""SELECT A WHERE D = '""&amp;K191&amp;""'"")),""USER TIDAK DIKETAHUI""))"),"#REF!")</f>
        <v>#REF!</v>
      </c>
    </row>
    <row r="192">
      <c r="A192" s="21">
        <f t="shared" si="1"/>
        <v>0</v>
      </c>
      <c r="B192" s="32" t="s">
        <v>305</v>
      </c>
      <c r="C192" s="23" t="s">
        <v>306</v>
      </c>
      <c r="D192" s="23" t="s">
        <v>21</v>
      </c>
      <c r="E192" s="24">
        <v>45384.0</v>
      </c>
      <c r="F192" s="25">
        <v>0.23402777777777778</v>
      </c>
      <c r="G192" s="25">
        <v>0.6645833333333333</v>
      </c>
      <c r="H192" s="27">
        <f t="shared" si="2"/>
        <v>0.4305555556</v>
      </c>
      <c r="I192" s="28">
        <v>2.0</v>
      </c>
      <c r="J192" s="29" t="s">
        <v>307</v>
      </c>
      <c r="K192" s="30" t="s">
        <v>23</v>
      </c>
      <c r="L192" s="31" t="str">
        <f>IFERROR(__xludf.DUMMYFUNCTION("IF(OR(E192="""",K192=""""),"""",IFERROR(IF(K192="""","""",query('tbl user'!$A$2:$D10975,""SELECT A WHERE D = '""&amp;K192&amp;""'"")),""USER TIDAK DIKETAHUI""))"),"#REF!")</f>
        <v>#REF!</v>
      </c>
    </row>
    <row r="193">
      <c r="A193" s="21">
        <f t="shared" si="1"/>
        <v>0</v>
      </c>
      <c r="B193" s="32" t="s">
        <v>260</v>
      </c>
      <c r="C193" s="23" t="s">
        <v>261</v>
      </c>
      <c r="D193" s="23" t="s">
        <v>21</v>
      </c>
      <c r="E193" s="24">
        <v>45384.0</v>
      </c>
      <c r="F193" s="25">
        <v>0.39166666666666666</v>
      </c>
      <c r="G193" s="25">
        <v>0.7083333333333334</v>
      </c>
      <c r="H193" s="27">
        <f t="shared" si="2"/>
        <v>0.3166666667</v>
      </c>
      <c r="I193" s="28">
        <v>2.0</v>
      </c>
      <c r="J193" s="29" t="s">
        <v>213</v>
      </c>
      <c r="K193" s="30" t="s">
        <v>23</v>
      </c>
      <c r="L193" s="31" t="str">
        <f>IFERROR(__xludf.DUMMYFUNCTION("IF(OR(E193="""",K193=""""),"""",IFERROR(IF(K193="""","""",query('tbl user'!$A$2:$D10975,""SELECT A WHERE D = '""&amp;K193&amp;""'"")),""USER TIDAK DIKETAHUI""))"),"#REF!")</f>
        <v>#REF!</v>
      </c>
    </row>
    <row r="194">
      <c r="A194" s="21">
        <f t="shared" si="1"/>
        <v>0</v>
      </c>
      <c r="B194" s="32" t="s">
        <v>240</v>
      </c>
      <c r="C194" s="23" t="s">
        <v>241</v>
      </c>
      <c r="D194" s="23" t="s">
        <v>21</v>
      </c>
      <c r="E194" s="24">
        <v>45384.0</v>
      </c>
      <c r="F194" s="25">
        <v>0.20555555555555555</v>
      </c>
      <c r="G194" s="25">
        <v>0.75</v>
      </c>
      <c r="H194" s="27">
        <f t="shared" si="2"/>
        <v>0.5444444444</v>
      </c>
      <c r="I194" s="28">
        <v>3.0</v>
      </c>
      <c r="J194" s="29" t="s">
        <v>55</v>
      </c>
      <c r="K194" s="30" t="s">
        <v>23</v>
      </c>
      <c r="L194" s="31" t="str">
        <f>IFERROR(__xludf.DUMMYFUNCTION("IF(OR(E194="""",K194=""""),"""",IFERROR(IF(K194="""","""",query('tbl user'!$A$2:$D10975,""SELECT A WHERE D = '""&amp;K194&amp;""'"")),""USER TIDAK DIKETAHUI""))"),"#REF!")</f>
        <v>#REF!</v>
      </c>
    </row>
    <row r="195">
      <c r="A195" s="21">
        <f t="shared" si="1"/>
        <v>0</v>
      </c>
      <c r="B195" s="32" t="s">
        <v>255</v>
      </c>
      <c r="C195" s="23" t="s">
        <v>256</v>
      </c>
      <c r="D195" s="23" t="s">
        <v>21</v>
      </c>
      <c r="E195" s="24">
        <v>45384.0</v>
      </c>
      <c r="F195" s="25">
        <v>0.21041666666666667</v>
      </c>
      <c r="G195" s="25">
        <v>0.7472222222222222</v>
      </c>
      <c r="H195" s="27">
        <f t="shared" si="2"/>
        <v>0.5368055556</v>
      </c>
      <c r="I195" s="28">
        <v>3.0</v>
      </c>
      <c r="J195" s="29" t="s">
        <v>55</v>
      </c>
      <c r="K195" s="30" t="s">
        <v>23</v>
      </c>
      <c r="L195" s="31" t="str">
        <f>IFERROR(__xludf.DUMMYFUNCTION("IF(OR(E195="""",K195=""""),"""",IFERROR(IF(K195="""","""",query('tbl user'!$A$2:$D10975,""SELECT A WHERE D = '""&amp;K195&amp;""'"")),""USER TIDAK DIKETAHUI""))"),"#REF!")</f>
        <v>#REF!</v>
      </c>
    </row>
    <row r="196">
      <c r="A196" s="21">
        <f t="shared" si="1"/>
        <v>0</v>
      </c>
      <c r="B196" s="32" t="s">
        <v>51</v>
      </c>
      <c r="C196" s="23" t="s">
        <v>27</v>
      </c>
      <c r="D196" s="23" t="s">
        <v>21</v>
      </c>
      <c r="E196" s="24">
        <v>45384.0</v>
      </c>
      <c r="F196" s="25">
        <v>0.28125</v>
      </c>
      <c r="G196" s="25">
        <v>0.40555555555555556</v>
      </c>
      <c r="H196" s="27">
        <f t="shared" si="2"/>
        <v>0.1243055556</v>
      </c>
      <c r="I196" s="28">
        <v>1.0</v>
      </c>
      <c r="J196" s="29" t="s">
        <v>308</v>
      </c>
      <c r="K196" s="30" t="s">
        <v>23</v>
      </c>
      <c r="L196" s="31" t="str">
        <f>IFERROR(__xludf.DUMMYFUNCTION("IF(OR(E196="""",K196=""""),"""",IFERROR(IF(K196="""","""",query('tbl user'!$A$2:$D10975,""SELECT A WHERE D = '""&amp;K196&amp;""'"")),""USER TIDAK DIKETAHUI""))"),"#REF!")</f>
        <v>#REF!</v>
      </c>
    </row>
    <row r="197">
      <c r="A197" s="21">
        <f t="shared" si="1"/>
        <v>0</v>
      </c>
      <c r="B197" s="32" t="s">
        <v>37</v>
      </c>
      <c r="C197" s="23" t="s">
        <v>38</v>
      </c>
      <c r="D197" s="23" t="s">
        <v>21</v>
      </c>
      <c r="E197" s="24">
        <v>45384.0</v>
      </c>
      <c r="F197" s="25">
        <v>0.26805555555555555</v>
      </c>
      <c r="G197" s="25">
        <v>0.70625</v>
      </c>
      <c r="H197" s="27">
        <f t="shared" si="2"/>
        <v>0.4381944444</v>
      </c>
      <c r="I197" s="28">
        <v>4.0</v>
      </c>
      <c r="J197" s="29" t="s">
        <v>55</v>
      </c>
      <c r="K197" s="30" t="s">
        <v>23</v>
      </c>
      <c r="L197" s="31" t="str">
        <f>IFERROR(__xludf.DUMMYFUNCTION("IF(OR(E197="""",K197=""""),"""",IFERROR(IF(K197="""","""",query('tbl user'!$A$2:$D10975,""SELECT A WHERE D = '""&amp;K197&amp;""'"")),""USER TIDAK DIKETAHUI""))"),"#REF!")</f>
        <v>#REF!</v>
      </c>
    </row>
    <row r="198">
      <c r="A198" s="21">
        <f t="shared" si="1"/>
        <v>0</v>
      </c>
      <c r="B198" s="32" t="s">
        <v>281</v>
      </c>
      <c r="C198" s="23" t="s">
        <v>282</v>
      </c>
      <c r="D198" s="23" t="s">
        <v>21</v>
      </c>
      <c r="E198" s="24">
        <v>45384.0</v>
      </c>
      <c r="F198" s="25">
        <v>0.28958333333333336</v>
      </c>
      <c r="G198" s="25">
        <v>0.6402777777777777</v>
      </c>
      <c r="H198" s="27">
        <f t="shared" si="2"/>
        <v>0.3506944444</v>
      </c>
      <c r="I198" s="28">
        <v>3.0</v>
      </c>
      <c r="J198" s="29" t="s">
        <v>309</v>
      </c>
      <c r="K198" s="30" t="s">
        <v>23</v>
      </c>
      <c r="L198" s="31" t="str">
        <f>IFERROR(__xludf.DUMMYFUNCTION("IF(OR(E198="""",K198=""""),"""",IFERROR(IF(K198="""","""",query('tbl user'!$A$2:$D10975,""SELECT A WHERE D = '""&amp;K198&amp;""'"")),""USER TIDAK DIKETAHUI""))"),"#REF!")</f>
        <v>#REF!</v>
      </c>
    </row>
    <row r="199">
      <c r="A199" s="21">
        <f t="shared" si="1"/>
        <v>0</v>
      </c>
      <c r="B199" s="32" t="s">
        <v>289</v>
      </c>
      <c r="C199" s="23" t="s">
        <v>290</v>
      </c>
      <c r="D199" s="23" t="s">
        <v>21</v>
      </c>
      <c r="E199" s="24">
        <v>45384.0</v>
      </c>
      <c r="F199" s="25">
        <v>0.25833333333333336</v>
      </c>
      <c r="G199" s="25">
        <v>0.5923611111111111</v>
      </c>
      <c r="H199" s="27">
        <f t="shared" si="2"/>
        <v>0.3340277778</v>
      </c>
      <c r="I199" s="28">
        <v>3.0</v>
      </c>
      <c r="J199" s="29" t="s">
        <v>310</v>
      </c>
      <c r="K199" s="30" t="s">
        <v>23</v>
      </c>
      <c r="L199" s="31" t="str">
        <f>IFERROR(__xludf.DUMMYFUNCTION("IF(OR(E199="""",K199=""""),"""",IFERROR(IF(K199="""","""",query('tbl user'!$A$2:$D10975,""SELECT A WHERE D = '""&amp;K199&amp;""'"")),""USER TIDAK DIKETAHUI""))"),"#REF!")</f>
        <v>#REF!</v>
      </c>
    </row>
    <row r="200">
      <c r="A200" s="21">
        <f t="shared" si="1"/>
        <v>0</v>
      </c>
      <c r="B200" s="32" t="s">
        <v>64</v>
      </c>
      <c r="C200" s="23" t="s">
        <v>65</v>
      </c>
      <c r="D200" s="23" t="s">
        <v>21</v>
      </c>
      <c r="E200" s="24">
        <v>45384.0</v>
      </c>
      <c r="F200" s="25">
        <v>0.26875</v>
      </c>
      <c r="G200" s="25">
        <v>0.6652777777777777</v>
      </c>
      <c r="H200" s="27">
        <f t="shared" si="2"/>
        <v>0.3965277778</v>
      </c>
      <c r="I200" s="28">
        <v>4.0</v>
      </c>
      <c r="J200" s="29" t="s">
        <v>55</v>
      </c>
      <c r="K200" s="30" t="s">
        <v>23</v>
      </c>
      <c r="L200" s="31" t="str">
        <f>IFERROR(__xludf.DUMMYFUNCTION("IF(OR(E200="""",K200=""""),"""",IFERROR(IF(K200="""","""",query('tbl user'!$A$2:$D10975,""SELECT A WHERE D = '""&amp;K200&amp;""'"")),""USER TIDAK DIKETAHUI""))"),"#REF!")</f>
        <v>#REF!</v>
      </c>
    </row>
    <row r="201">
      <c r="A201" s="21">
        <f t="shared" si="1"/>
        <v>0</v>
      </c>
      <c r="B201" s="32" t="s">
        <v>284</v>
      </c>
      <c r="C201" s="23" t="s">
        <v>285</v>
      </c>
      <c r="D201" s="23" t="s">
        <v>21</v>
      </c>
      <c r="E201" s="24">
        <v>45384.0</v>
      </c>
      <c r="F201" s="25">
        <v>0.29097222222222224</v>
      </c>
      <c r="G201" s="25">
        <v>0.6305555555555555</v>
      </c>
      <c r="H201" s="27">
        <f t="shared" si="2"/>
        <v>0.3395833333</v>
      </c>
      <c r="I201" s="28">
        <v>3.0</v>
      </c>
      <c r="J201" s="29" t="s">
        <v>311</v>
      </c>
      <c r="K201" s="30" t="s">
        <v>23</v>
      </c>
      <c r="L201" s="31" t="str">
        <f>IFERROR(__xludf.DUMMYFUNCTION("IF(OR(E201="""",K201=""""),"""",IFERROR(IF(K201="""","""",query('tbl user'!$A$2:$D10975,""SELECT A WHERE D = '""&amp;K201&amp;""'"")),""USER TIDAK DIKETAHUI""))"),"#REF!")</f>
        <v>#REF!</v>
      </c>
    </row>
    <row r="202">
      <c r="A202" s="21">
        <f t="shared" si="1"/>
        <v>0</v>
      </c>
      <c r="B202" s="32" t="s">
        <v>286</v>
      </c>
      <c r="C202" s="23" t="s">
        <v>287</v>
      </c>
      <c r="D202" s="23" t="s">
        <v>21</v>
      </c>
      <c r="E202" s="24">
        <v>45384.0</v>
      </c>
      <c r="F202" s="25">
        <v>0.2604166666666667</v>
      </c>
      <c r="G202" s="25">
        <v>0.6652777777777777</v>
      </c>
      <c r="H202" s="27">
        <f t="shared" si="2"/>
        <v>0.4048611111</v>
      </c>
      <c r="I202" s="28">
        <v>4.0</v>
      </c>
      <c r="J202" s="29" t="s">
        <v>55</v>
      </c>
      <c r="K202" s="30" t="s">
        <v>23</v>
      </c>
      <c r="L202" s="31" t="str">
        <f>IFERROR(__xludf.DUMMYFUNCTION("IF(OR(E202="""",K202=""""),"""",IFERROR(IF(K202="""","""",query('tbl user'!$A$2:$D10975,""SELECT A WHERE D = '""&amp;K202&amp;""'"")),""USER TIDAK DIKETAHUI""))"),"#REF!")</f>
        <v>#REF!</v>
      </c>
    </row>
    <row r="203">
      <c r="A203" s="21">
        <f t="shared" si="1"/>
        <v>0</v>
      </c>
      <c r="B203" s="32" t="s">
        <v>312</v>
      </c>
      <c r="C203" s="23" t="s">
        <v>313</v>
      </c>
      <c r="D203" s="23" t="s">
        <v>32</v>
      </c>
      <c r="E203" s="24">
        <v>45384.0</v>
      </c>
      <c r="F203" s="25">
        <v>0.24444444444444444</v>
      </c>
      <c r="G203" s="25">
        <v>0.4826388888888889</v>
      </c>
      <c r="H203" s="27">
        <f t="shared" si="2"/>
        <v>0.2381944444</v>
      </c>
      <c r="I203" s="28">
        <v>2.0</v>
      </c>
      <c r="J203" s="29" t="s">
        <v>314</v>
      </c>
      <c r="K203" s="30" t="s">
        <v>23</v>
      </c>
      <c r="L203" s="31" t="str">
        <f>IFERROR(__xludf.DUMMYFUNCTION("IF(OR(E203="""",K203=""""),"""",IFERROR(IF(K203="""","""",query('tbl user'!$A$2:$D10975,""SELECT A WHERE D = '""&amp;K203&amp;""'"")),""USER TIDAK DIKETAHUI""))"),"#REF!")</f>
        <v>#REF!</v>
      </c>
    </row>
    <row r="204">
      <c r="A204" s="21">
        <f t="shared" si="1"/>
        <v>0</v>
      </c>
      <c r="B204" s="32" t="s">
        <v>113</v>
      </c>
      <c r="C204" s="23" t="s">
        <v>114</v>
      </c>
      <c r="D204" s="23" t="s">
        <v>32</v>
      </c>
      <c r="E204" s="24">
        <v>45384.0</v>
      </c>
      <c r="F204" s="25">
        <v>0.25625</v>
      </c>
      <c r="G204" s="25">
        <v>0.6756944444444445</v>
      </c>
      <c r="H204" s="27">
        <f t="shared" si="2"/>
        <v>0.4194444444</v>
      </c>
      <c r="I204" s="28">
        <v>4.0</v>
      </c>
      <c r="J204" s="29" t="s">
        <v>55</v>
      </c>
      <c r="K204" s="30" t="s">
        <v>23</v>
      </c>
      <c r="L204" s="31" t="str">
        <f>IFERROR(__xludf.DUMMYFUNCTION("IF(OR(E204="""",K204=""""),"""",IFERROR(IF(K204="""","""",query('tbl user'!$A$2:$D10975,""SELECT A WHERE D = '""&amp;K204&amp;""'"")),""USER TIDAK DIKETAHUI""))"),"#REF!")</f>
        <v>#REF!</v>
      </c>
    </row>
    <row r="205">
      <c r="A205" s="21">
        <f t="shared" si="1"/>
        <v>0</v>
      </c>
      <c r="B205" s="32" t="s">
        <v>46</v>
      </c>
      <c r="C205" s="23" t="s">
        <v>47</v>
      </c>
      <c r="D205" s="23" t="s">
        <v>32</v>
      </c>
      <c r="E205" s="24">
        <v>45384.0</v>
      </c>
      <c r="F205" s="25">
        <v>0.25625</v>
      </c>
      <c r="G205" s="25">
        <v>0.6909722222222222</v>
      </c>
      <c r="H205" s="27">
        <f t="shared" si="2"/>
        <v>0.4347222222</v>
      </c>
      <c r="I205" s="28">
        <v>4.0</v>
      </c>
      <c r="J205" s="29" t="s">
        <v>55</v>
      </c>
      <c r="K205" s="30" t="s">
        <v>23</v>
      </c>
      <c r="L205" s="31" t="str">
        <f>IFERROR(__xludf.DUMMYFUNCTION("IF(OR(E205="""",K205=""""),"""",IFERROR(IF(K205="""","""",query('tbl user'!$A$2:$D10975,""SELECT A WHERE D = '""&amp;K205&amp;""'"")),""USER TIDAK DIKETAHUI""))"),"#REF!")</f>
        <v>#REF!</v>
      </c>
    </row>
    <row r="206">
      <c r="A206" s="21">
        <f t="shared" si="1"/>
        <v>0</v>
      </c>
      <c r="B206" s="32" t="s">
        <v>120</v>
      </c>
      <c r="C206" s="23" t="s">
        <v>121</v>
      </c>
      <c r="D206" s="23" t="s">
        <v>32</v>
      </c>
      <c r="E206" s="24">
        <v>45384.0</v>
      </c>
      <c r="F206" s="25">
        <v>0.24166666666666667</v>
      </c>
      <c r="G206" s="25">
        <v>0.7</v>
      </c>
      <c r="H206" s="27">
        <f t="shared" si="2"/>
        <v>0.4583333333</v>
      </c>
      <c r="I206" s="28">
        <v>4.0</v>
      </c>
      <c r="J206" s="29" t="s">
        <v>55</v>
      </c>
      <c r="K206" s="30" t="s">
        <v>23</v>
      </c>
      <c r="L206" s="31" t="str">
        <f>IFERROR(__xludf.DUMMYFUNCTION("IF(OR(E206="""",K206=""""),"""",IFERROR(IF(K206="""","""",query('tbl user'!$A$2:$D10975,""SELECT A WHERE D = '""&amp;K206&amp;""'"")),""USER TIDAK DIKETAHUI""))"),"#REF!")</f>
        <v>#REF!</v>
      </c>
    </row>
    <row r="207">
      <c r="A207" s="21">
        <f t="shared" si="1"/>
        <v>0</v>
      </c>
      <c r="B207" s="32" t="s">
        <v>263</v>
      </c>
      <c r="C207" s="23" t="s">
        <v>264</v>
      </c>
      <c r="D207" s="23" t="s">
        <v>32</v>
      </c>
      <c r="E207" s="24">
        <v>45384.0</v>
      </c>
      <c r="F207" s="25">
        <v>0.23541666666666666</v>
      </c>
      <c r="G207" s="25">
        <v>0.6277777777777778</v>
      </c>
      <c r="H207" s="27">
        <f t="shared" si="2"/>
        <v>0.3923611111</v>
      </c>
      <c r="I207" s="28">
        <v>4.0</v>
      </c>
      <c r="J207" s="29" t="s">
        <v>55</v>
      </c>
      <c r="K207" s="30" t="s">
        <v>23</v>
      </c>
      <c r="L207" s="31" t="str">
        <f>IFERROR(__xludf.DUMMYFUNCTION("IF(OR(E207="""",K207=""""),"""",IFERROR(IF(K207="""","""",query('tbl user'!$A$2:$D10975,""SELECT A WHERE D = '""&amp;K207&amp;""'"")),""USER TIDAK DIKETAHUI""))"),"#REF!")</f>
        <v>#REF!</v>
      </c>
    </row>
    <row r="208">
      <c r="A208" s="21">
        <f t="shared" si="1"/>
        <v>0</v>
      </c>
      <c r="B208" s="32" t="s">
        <v>75</v>
      </c>
      <c r="C208" s="23" t="s">
        <v>76</v>
      </c>
      <c r="D208" s="23" t="s">
        <v>32</v>
      </c>
      <c r="E208" s="24">
        <v>45384.0</v>
      </c>
      <c r="F208" s="25">
        <v>0.23472222222222222</v>
      </c>
      <c r="G208" s="25">
        <v>0.6541666666666667</v>
      </c>
      <c r="H208" s="27">
        <f t="shared" si="2"/>
        <v>0.4194444444</v>
      </c>
      <c r="I208" s="28">
        <v>4.0</v>
      </c>
      <c r="J208" s="29" t="s">
        <v>55</v>
      </c>
      <c r="K208" s="30" t="s">
        <v>23</v>
      </c>
      <c r="L208" s="31" t="str">
        <f>IFERROR(__xludf.DUMMYFUNCTION("IF(OR(E208="""",K208=""""),"""",IFERROR(IF(K208="""","""",query('tbl user'!$A$2:$D10975,""SELECT A WHERE D = '""&amp;K208&amp;""'"")),""USER TIDAK DIKETAHUI""))"),"#REF!")</f>
        <v>#REF!</v>
      </c>
    </row>
    <row r="209">
      <c r="A209" s="21">
        <f t="shared" si="1"/>
        <v>0</v>
      </c>
      <c r="B209" s="32" t="s">
        <v>123</v>
      </c>
      <c r="C209" s="23" t="s">
        <v>124</v>
      </c>
      <c r="D209" s="23" t="s">
        <v>32</v>
      </c>
      <c r="E209" s="24">
        <v>45384.0</v>
      </c>
      <c r="F209" s="25">
        <v>0.25069444444444444</v>
      </c>
      <c r="G209" s="25">
        <v>0.6680555555555555</v>
      </c>
      <c r="H209" s="27">
        <f t="shared" si="2"/>
        <v>0.4173611111</v>
      </c>
      <c r="I209" s="28">
        <v>4.0</v>
      </c>
      <c r="J209" s="29" t="s">
        <v>55</v>
      </c>
      <c r="K209" s="30" t="s">
        <v>23</v>
      </c>
      <c r="L209" s="31" t="str">
        <f>IFERROR(__xludf.DUMMYFUNCTION("IF(OR(E209="""",K209=""""),"""",IFERROR(IF(K209="""","""",query('tbl user'!$A$2:$D10975,""SELECT A WHERE D = '""&amp;K209&amp;""'"")),""USER TIDAK DIKETAHUI""))"),"#REF!")</f>
        <v>#REF!</v>
      </c>
    </row>
    <row r="210">
      <c r="A210" s="21">
        <f t="shared" si="1"/>
        <v>0</v>
      </c>
      <c r="B210" s="32" t="s">
        <v>125</v>
      </c>
      <c r="C210" s="23" t="s">
        <v>126</v>
      </c>
      <c r="D210" s="23" t="s">
        <v>32</v>
      </c>
      <c r="E210" s="24">
        <v>45384.0</v>
      </c>
      <c r="F210" s="25">
        <v>0.2916666666666667</v>
      </c>
      <c r="G210" s="25">
        <v>0.6826388888888889</v>
      </c>
      <c r="H210" s="27">
        <f t="shared" si="2"/>
        <v>0.3909722222</v>
      </c>
      <c r="I210" s="28">
        <v>4.0</v>
      </c>
      <c r="J210" s="29" t="s">
        <v>55</v>
      </c>
      <c r="K210" s="30" t="s">
        <v>23</v>
      </c>
      <c r="L210" s="31" t="str">
        <f>IFERROR(__xludf.DUMMYFUNCTION("IF(OR(E210="""",K210=""""),"""",IFERROR(IF(K210="""","""",query('tbl user'!$A$2:$D10975,""SELECT A WHERE D = '""&amp;K210&amp;""'"")),""USER TIDAK DIKETAHUI""))"),"#REF!")</f>
        <v>#REF!</v>
      </c>
    </row>
    <row r="211">
      <c r="A211" s="21">
        <f t="shared" si="1"/>
        <v>0</v>
      </c>
      <c r="B211" s="32" t="s">
        <v>72</v>
      </c>
      <c r="C211" s="23" t="s">
        <v>73</v>
      </c>
      <c r="D211" s="23" t="s">
        <v>32</v>
      </c>
      <c r="E211" s="24">
        <v>45384.0</v>
      </c>
      <c r="F211" s="25">
        <v>0.2388888888888889</v>
      </c>
      <c r="G211" s="25">
        <v>0.6979166666666666</v>
      </c>
      <c r="H211" s="27">
        <f t="shared" si="2"/>
        <v>0.4590277778</v>
      </c>
      <c r="I211" s="28">
        <v>4.0</v>
      </c>
      <c r="J211" s="29" t="s">
        <v>55</v>
      </c>
      <c r="K211" s="30" t="s">
        <v>23</v>
      </c>
      <c r="L211" s="31" t="str">
        <f>IFERROR(__xludf.DUMMYFUNCTION("IF(OR(E211="""",K211=""""),"""",IFERROR(IF(K211="""","""",query('tbl user'!$A$2:$D10975,""SELECT A WHERE D = '""&amp;K211&amp;""'"")),""USER TIDAK DIKETAHUI""))"),"#REF!")</f>
        <v>#REF!</v>
      </c>
    </row>
    <row r="212">
      <c r="A212" s="21">
        <f t="shared" si="1"/>
        <v>0</v>
      </c>
      <c r="B212" s="32" t="s">
        <v>276</v>
      </c>
      <c r="C212" s="23" t="s">
        <v>132</v>
      </c>
      <c r="D212" s="23" t="s">
        <v>32</v>
      </c>
      <c r="E212" s="24">
        <v>45384.0</v>
      </c>
      <c r="F212" s="25">
        <v>0.2590277777777778</v>
      </c>
      <c r="G212" s="25">
        <v>0.6763888888888889</v>
      </c>
      <c r="H212" s="27">
        <f t="shared" si="2"/>
        <v>0.4173611111</v>
      </c>
      <c r="I212" s="28">
        <v>4.0</v>
      </c>
      <c r="J212" s="29" t="s">
        <v>55</v>
      </c>
      <c r="K212" s="30" t="s">
        <v>23</v>
      </c>
      <c r="L212" s="31" t="str">
        <f>IFERROR(__xludf.DUMMYFUNCTION("IF(OR(E212="""",K212=""""),"""",IFERROR(IF(K212="""","""",query('tbl user'!$A$2:$D10975,""SELECT A WHERE D = '""&amp;K212&amp;""'"")),""USER TIDAK DIKETAHUI""))"),"#REF!")</f>
        <v>#REF!</v>
      </c>
    </row>
    <row r="213">
      <c r="A213" s="21">
        <f t="shared" si="1"/>
        <v>0</v>
      </c>
      <c r="B213" s="32" t="s">
        <v>133</v>
      </c>
      <c r="C213" s="23" t="s">
        <v>134</v>
      </c>
      <c r="D213" s="23" t="s">
        <v>32</v>
      </c>
      <c r="E213" s="24">
        <v>45384.0</v>
      </c>
      <c r="F213" s="25">
        <v>0.20902777777777778</v>
      </c>
      <c r="G213" s="25">
        <v>0.6618055555555555</v>
      </c>
      <c r="H213" s="27">
        <f t="shared" si="2"/>
        <v>0.4527777778</v>
      </c>
      <c r="I213" s="28">
        <v>4.0</v>
      </c>
      <c r="J213" s="29" t="s">
        <v>55</v>
      </c>
      <c r="K213" s="30" t="s">
        <v>23</v>
      </c>
      <c r="L213" s="31" t="str">
        <f>IFERROR(__xludf.DUMMYFUNCTION("IF(OR(E213="""",K213=""""),"""",IFERROR(IF(K213="""","""",query('tbl user'!$A$2:$D10975,""SELECT A WHERE D = '""&amp;K213&amp;""'"")),""USER TIDAK DIKETAHUI""))"),"#REF!")</f>
        <v>#REF!</v>
      </c>
    </row>
    <row r="214">
      <c r="A214" s="21">
        <f t="shared" si="1"/>
        <v>0</v>
      </c>
      <c r="B214" s="32" t="s">
        <v>40</v>
      </c>
      <c r="C214" s="23" t="s">
        <v>41</v>
      </c>
      <c r="D214" s="23" t="s">
        <v>32</v>
      </c>
      <c r="E214" s="24">
        <v>45384.0</v>
      </c>
      <c r="F214" s="25">
        <v>0.22152777777777777</v>
      </c>
      <c r="G214" s="25">
        <v>0.6694444444444444</v>
      </c>
      <c r="H214" s="27">
        <f t="shared" si="2"/>
        <v>0.4479166667</v>
      </c>
      <c r="I214" s="28">
        <v>4.0</v>
      </c>
      <c r="J214" s="29" t="s">
        <v>55</v>
      </c>
      <c r="K214" s="30" t="s">
        <v>23</v>
      </c>
      <c r="L214" s="31" t="str">
        <f>IFERROR(__xludf.DUMMYFUNCTION("IF(OR(E214="""",K214=""""),"""",IFERROR(IF(K214="""","""",query('tbl user'!$A$2:$D10975,""SELECT A WHERE D = '""&amp;K214&amp;""'"")),""USER TIDAK DIKETAHUI""))"),"#REF!")</f>
        <v>#REF!</v>
      </c>
    </row>
    <row r="215">
      <c r="A215" s="21">
        <f t="shared" si="1"/>
        <v>0</v>
      </c>
      <c r="B215" s="32" t="s">
        <v>267</v>
      </c>
      <c r="C215" s="23" t="s">
        <v>268</v>
      </c>
      <c r="D215" s="23" t="s">
        <v>32</v>
      </c>
      <c r="E215" s="24">
        <v>45384.0</v>
      </c>
      <c r="F215" s="25">
        <v>0.29305555555555557</v>
      </c>
      <c r="G215" s="25">
        <v>0.7215277777777778</v>
      </c>
      <c r="H215" s="27">
        <f t="shared" si="2"/>
        <v>0.4284722222</v>
      </c>
      <c r="I215" s="28">
        <v>4.0</v>
      </c>
      <c r="J215" s="29" t="s">
        <v>55</v>
      </c>
      <c r="K215" s="30" t="s">
        <v>23</v>
      </c>
      <c r="L215" s="31" t="str">
        <f>IFERROR(__xludf.DUMMYFUNCTION("IF(OR(E215="""",K215=""""),"""",IFERROR(IF(K215="""","""",query('tbl user'!$A$2:$D10975,""SELECT A WHERE D = '""&amp;K215&amp;""'"")),""USER TIDAK DIKETAHUI""))"),"#REF!")</f>
        <v>#REF!</v>
      </c>
    </row>
    <row r="216">
      <c r="A216" s="21">
        <f t="shared" si="1"/>
        <v>0</v>
      </c>
      <c r="B216" s="32" t="s">
        <v>269</v>
      </c>
      <c r="C216" s="23" t="s">
        <v>270</v>
      </c>
      <c r="D216" s="23" t="s">
        <v>32</v>
      </c>
      <c r="E216" s="24">
        <v>45384.0</v>
      </c>
      <c r="F216" s="25">
        <v>0.2375</v>
      </c>
      <c r="G216" s="25">
        <v>0.6805555555555556</v>
      </c>
      <c r="H216" s="27">
        <f t="shared" si="2"/>
        <v>0.4430555556</v>
      </c>
      <c r="I216" s="28">
        <v>4.0</v>
      </c>
      <c r="J216" s="29" t="s">
        <v>55</v>
      </c>
      <c r="K216" s="30" t="s">
        <v>23</v>
      </c>
      <c r="L216" s="31" t="str">
        <f>IFERROR(__xludf.DUMMYFUNCTION("IF(OR(E216="""",K216=""""),"""",IFERROR(IF(K216="""","""",query('tbl user'!$A$2:$D10975,""SELECT A WHERE D = '""&amp;K216&amp;""'"")),""USER TIDAK DIKETAHUI""))"),"#REF!")</f>
        <v>#REF!</v>
      </c>
    </row>
    <row r="217">
      <c r="A217" s="21">
        <f t="shared" si="1"/>
        <v>0</v>
      </c>
      <c r="B217" s="32" t="s">
        <v>144</v>
      </c>
      <c r="C217" s="23" t="s">
        <v>145</v>
      </c>
      <c r="D217" s="23" t="s">
        <v>32</v>
      </c>
      <c r="E217" s="24">
        <v>45384.0</v>
      </c>
      <c r="F217" s="25">
        <v>0.2652777777777778</v>
      </c>
      <c r="G217" s="25">
        <v>0.6833333333333333</v>
      </c>
      <c r="H217" s="27">
        <f t="shared" si="2"/>
        <v>0.4180555556</v>
      </c>
      <c r="I217" s="28">
        <v>4.0</v>
      </c>
      <c r="J217" s="29" t="s">
        <v>55</v>
      </c>
      <c r="K217" s="30" t="s">
        <v>23</v>
      </c>
      <c r="L217" s="31" t="str">
        <f>IFERROR(__xludf.DUMMYFUNCTION("IF(OR(E217="""",K217=""""),"""",IFERROR(IF(K217="""","""",query('tbl user'!$A$2:$D10975,""SELECT A WHERE D = '""&amp;K217&amp;""'"")),""USER TIDAK DIKETAHUI""))"),"#REF!")</f>
        <v>#REF!</v>
      </c>
    </row>
    <row r="218">
      <c r="A218" s="21">
        <f t="shared" si="1"/>
        <v>0</v>
      </c>
      <c r="B218" s="32" t="s">
        <v>274</v>
      </c>
      <c r="C218" s="23" t="s">
        <v>275</v>
      </c>
      <c r="D218" s="23" t="s">
        <v>32</v>
      </c>
      <c r="E218" s="24">
        <v>45384.0</v>
      </c>
      <c r="F218" s="25">
        <v>0.2902777777777778</v>
      </c>
      <c r="G218" s="25">
        <v>0.6902777777777778</v>
      </c>
      <c r="H218" s="27">
        <f t="shared" si="2"/>
        <v>0.4</v>
      </c>
      <c r="I218" s="28">
        <v>4.0</v>
      </c>
      <c r="J218" s="29" t="s">
        <v>55</v>
      </c>
      <c r="K218" s="30" t="s">
        <v>23</v>
      </c>
      <c r="L218" s="31" t="str">
        <f>IFERROR(__xludf.DUMMYFUNCTION("IF(OR(E218="""",K218=""""),"""",IFERROR(IF(K218="""","""",query('tbl user'!$A$2:$D10975,""SELECT A WHERE D = '""&amp;K218&amp;""'"")),""USER TIDAK DIKETAHUI""))"),"#REF!")</f>
        <v>#REF!</v>
      </c>
    </row>
    <row r="219">
      <c r="A219" s="21">
        <f t="shared" si="1"/>
        <v>0</v>
      </c>
      <c r="B219" s="32" t="s">
        <v>250</v>
      </c>
      <c r="C219" s="23" t="s">
        <v>315</v>
      </c>
      <c r="D219" s="23" t="s">
        <v>32</v>
      </c>
      <c r="E219" s="24">
        <v>45384.0</v>
      </c>
      <c r="F219" s="25">
        <v>0.22777777777777777</v>
      </c>
      <c r="G219" s="25">
        <v>0.7034722222222223</v>
      </c>
      <c r="H219" s="27">
        <f t="shared" si="2"/>
        <v>0.4756944444</v>
      </c>
      <c r="I219" s="28">
        <v>5.0</v>
      </c>
      <c r="J219" s="29" t="s">
        <v>55</v>
      </c>
      <c r="K219" s="30" t="s">
        <v>23</v>
      </c>
      <c r="L219" s="31" t="str">
        <f>IFERROR(__xludf.DUMMYFUNCTION("IF(OR(E219="""",K219=""""),"""",IFERROR(IF(K219="""","""",query('tbl user'!$A$2:$D10975,""SELECT A WHERE D = '""&amp;K219&amp;""'"")),""USER TIDAK DIKETAHUI""))"),"#REF!")</f>
        <v>#REF!</v>
      </c>
    </row>
    <row r="220">
      <c r="A220" s="21">
        <f t="shared" si="1"/>
        <v>0</v>
      </c>
      <c r="B220" s="32" t="s">
        <v>110</v>
      </c>
      <c r="C220" s="23" t="s">
        <v>111</v>
      </c>
      <c r="D220" s="23" t="s">
        <v>32</v>
      </c>
      <c r="E220" s="24">
        <v>45384.0</v>
      </c>
      <c r="F220" s="25">
        <v>0.23819444444444443</v>
      </c>
      <c r="G220" s="25">
        <v>0.7201388888888889</v>
      </c>
      <c r="H220" s="27">
        <f t="shared" si="2"/>
        <v>0.4819444444</v>
      </c>
      <c r="I220" s="28">
        <v>5.0</v>
      </c>
      <c r="J220" s="29" t="s">
        <v>55</v>
      </c>
      <c r="K220" s="30" t="s">
        <v>23</v>
      </c>
      <c r="L220" s="31" t="str">
        <f>IFERROR(__xludf.DUMMYFUNCTION("IF(OR(E220="""",K220=""""),"""",IFERROR(IF(K220="""","""",query('tbl user'!$A$2:$D10975,""SELECT A WHERE D = '""&amp;K220&amp;""'"")),""USER TIDAK DIKETAHUI""))"),"#REF!")</f>
        <v>#REF!</v>
      </c>
    </row>
    <row r="221">
      <c r="A221" s="21">
        <f t="shared" si="1"/>
        <v>0</v>
      </c>
      <c r="B221" s="32" t="s">
        <v>118</v>
      </c>
      <c r="C221" s="23" t="s">
        <v>119</v>
      </c>
      <c r="D221" s="23" t="s">
        <v>32</v>
      </c>
      <c r="E221" s="24">
        <v>45384.0</v>
      </c>
      <c r="F221" s="25">
        <v>0.21736111111111112</v>
      </c>
      <c r="G221" s="25">
        <v>0.6923611111111111</v>
      </c>
      <c r="H221" s="27">
        <f t="shared" si="2"/>
        <v>0.475</v>
      </c>
      <c r="I221" s="28">
        <v>5.0</v>
      </c>
      <c r="J221" s="29" t="s">
        <v>55</v>
      </c>
      <c r="K221" s="30" t="s">
        <v>23</v>
      </c>
      <c r="L221" s="31" t="str">
        <f>IFERROR(__xludf.DUMMYFUNCTION("IF(OR(E221="""",K221=""""),"""",IFERROR(IF(K221="""","""",query('tbl user'!$A$2:$D10975,""SELECT A WHERE D = '""&amp;K221&amp;""'"")),""USER TIDAK DIKETAHUI""))"),"#REF!")</f>
        <v>#REF!</v>
      </c>
    </row>
    <row r="222">
      <c r="A222" s="21">
        <f t="shared" si="1"/>
        <v>0</v>
      </c>
      <c r="B222" s="32" t="s">
        <v>135</v>
      </c>
      <c r="C222" s="23" t="s">
        <v>136</v>
      </c>
      <c r="D222" s="23" t="s">
        <v>32</v>
      </c>
      <c r="E222" s="24">
        <v>45384.0</v>
      </c>
      <c r="F222" s="25">
        <v>0.2013888888888889</v>
      </c>
      <c r="G222" s="25">
        <v>0.7229166666666667</v>
      </c>
      <c r="H222" s="27">
        <f t="shared" si="2"/>
        <v>0.5215277778</v>
      </c>
      <c r="I222" s="28">
        <v>5.0</v>
      </c>
      <c r="J222" s="29" t="s">
        <v>55</v>
      </c>
      <c r="K222" s="30" t="s">
        <v>23</v>
      </c>
      <c r="L222" s="31" t="str">
        <f>IFERROR(__xludf.DUMMYFUNCTION("IF(OR(E222="""",K222=""""),"""",IFERROR(IF(K222="""","""",query('tbl user'!$A$2:$D10975,""SELECT A WHERE D = '""&amp;K222&amp;""'"")),""USER TIDAK DIKETAHUI""))"),"#REF!")</f>
        <v>#REF!</v>
      </c>
    </row>
    <row r="223">
      <c r="A223" s="21">
        <f t="shared" si="1"/>
        <v>0</v>
      </c>
      <c r="B223" s="32" t="s">
        <v>137</v>
      </c>
      <c r="C223" s="23" t="s">
        <v>138</v>
      </c>
      <c r="D223" s="23" t="s">
        <v>32</v>
      </c>
      <c r="E223" s="24">
        <v>45384.0</v>
      </c>
      <c r="F223" s="25">
        <v>0.20277777777777778</v>
      </c>
      <c r="G223" s="25">
        <v>0.725</v>
      </c>
      <c r="H223" s="27">
        <f t="shared" si="2"/>
        <v>0.5222222222</v>
      </c>
      <c r="I223" s="28">
        <v>5.0</v>
      </c>
      <c r="J223" s="29" t="s">
        <v>55</v>
      </c>
      <c r="K223" s="30" t="s">
        <v>23</v>
      </c>
      <c r="L223" s="31" t="str">
        <f>IFERROR(__xludf.DUMMYFUNCTION("IF(OR(E223="""",K223=""""),"""",IFERROR(IF(K223="""","""",query('tbl user'!$A$2:$D10975,""SELECT A WHERE D = '""&amp;K223&amp;""'"")),""USER TIDAK DIKETAHUI""))"),"#REF!")</f>
        <v>#REF!</v>
      </c>
    </row>
    <row r="224">
      <c r="A224" s="21">
        <f t="shared" si="1"/>
        <v>0</v>
      </c>
      <c r="B224" s="32" t="s">
        <v>95</v>
      </c>
      <c r="C224" s="23" t="s">
        <v>316</v>
      </c>
      <c r="D224" s="23" t="s">
        <v>21</v>
      </c>
      <c r="E224" s="24">
        <v>45384.0</v>
      </c>
      <c r="F224" s="25">
        <v>0.29097222222222224</v>
      </c>
      <c r="G224" s="25">
        <v>0.38333333333333336</v>
      </c>
      <c r="H224" s="27">
        <f t="shared" si="2"/>
        <v>0.09236111111</v>
      </c>
      <c r="I224" s="28">
        <v>1.0</v>
      </c>
      <c r="J224" s="29" t="s">
        <v>317</v>
      </c>
      <c r="K224" s="30" t="s">
        <v>23</v>
      </c>
      <c r="L224" s="31" t="str">
        <f>IFERROR(__xludf.DUMMYFUNCTION("IF(OR(E224="""",K224=""""),"""",IFERROR(IF(K224="""","""",query('tbl user'!$A$2:$D10975,""SELECT A WHERE D = '""&amp;K224&amp;""'"")),""USER TIDAK DIKETAHUI""))"),"#REF!")</f>
        <v>#REF!</v>
      </c>
    </row>
    <row r="225">
      <c r="A225" s="21">
        <f t="shared" si="1"/>
        <v>0</v>
      </c>
      <c r="B225" s="32" t="s">
        <v>225</v>
      </c>
      <c r="C225" s="23" t="s">
        <v>88</v>
      </c>
      <c r="D225" s="23" t="s">
        <v>21</v>
      </c>
      <c r="E225" s="24">
        <v>45384.0</v>
      </c>
      <c r="F225" s="25">
        <v>0.39791666666666664</v>
      </c>
      <c r="G225" s="25">
        <v>0.5708333333333333</v>
      </c>
      <c r="H225" s="27">
        <f t="shared" si="2"/>
        <v>0.1729166667</v>
      </c>
      <c r="I225" s="28">
        <v>1.0</v>
      </c>
      <c r="J225" s="29" t="s">
        <v>318</v>
      </c>
      <c r="K225" s="30" t="s">
        <v>23</v>
      </c>
      <c r="L225" s="31" t="str">
        <f>IFERROR(__xludf.DUMMYFUNCTION("IF(OR(E225="""",K225=""""),"""",IFERROR(IF(K225="""","""",query('tbl user'!$A$2:$D10975,""SELECT A WHERE D = '""&amp;K225&amp;""'"")),""USER TIDAK DIKETAHUI""))"),"#REF!")</f>
        <v>#REF!</v>
      </c>
    </row>
    <row r="226">
      <c r="A226" s="21">
        <f t="shared" si="1"/>
        <v>0</v>
      </c>
      <c r="B226" s="32" t="s">
        <v>319</v>
      </c>
      <c r="C226" s="23" t="s">
        <v>320</v>
      </c>
      <c r="D226" s="23" t="s">
        <v>21</v>
      </c>
      <c r="E226" s="24">
        <v>45384.0</v>
      </c>
      <c r="F226" s="25">
        <v>0.2777777777777778</v>
      </c>
      <c r="G226" s="25">
        <v>0.4826388888888889</v>
      </c>
      <c r="H226" s="27">
        <f t="shared" si="2"/>
        <v>0.2048611111</v>
      </c>
      <c r="I226" s="28">
        <v>2.0</v>
      </c>
      <c r="J226" s="29" t="s">
        <v>321</v>
      </c>
      <c r="K226" s="30" t="s">
        <v>23</v>
      </c>
      <c r="L226" s="31" t="str">
        <f>IFERROR(__xludf.DUMMYFUNCTION("IF(OR(E226="""",K226=""""),"""",IFERROR(IF(K226="""","""",query('tbl user'!$A$2:$D10975,""SELECT A WHERE D = '""&amp;K226&amp;""'"")),""USER TIDAK DIKETAHUI""))"),"#REF!")</f>
        <v>#REF!</v>
      </c>
    </row>
    <row r="227">
      <c r="A227" s="21">
        <f t="shared" si="1"/>
        <v>0</v>
      </c>
      <c r="B227" s="32" t="s">
        <v>322</v>
      </c>
      <c r="C227" s="23" t="s">
        <v>323</v>
      </c>
      <c r="D227" s="23" t="s">
        <v>21</v>
      </c>
      <c r="E227" s="24">
        <v>45384.0</v>
      </c>
      <c r="F227" s="25">
        <v>0.2763888888888889</v>
      </c>
      <c r="G227" s="25">
        <v>0.47638888888888886</v>
      </c>
      <c r="H227" s="27">
        <f t="shared" si="2"/>
        <v>0.2</v>
      </c>
      <c r="I227" s="28">
        <v>2.0</v>
      </c>
      <c r="J227" s="29" t="s">
        <v>324</v>
      </c>
      <c r="K227" s="30" t="s">
        <v>23</v>
      </c>
      <c r="L227" s="31" t="str">
        <f>IFERROR(__xludf.DUMMYFUNCTION("IF(OR(E227="""",K227=""""),"""",IFERROR(IF(K227="""","""",query('tbl user'!$A$2:$D10975,""SELECT A WHERE D = '""&amp;K227&amp;""'"")),""USER TIDAK DIKETAHUI""))"),"#REF!")</f>
        <v>#REF!</v>
      </c>
    </row>
    <row r="228">
      <c r="A228" s="21">
        <f t="shared" si="1"/>
        <v>0</v>
      </c>
      <c r="B228" s="32" t="s">
        <v>325</v>
      </c>
      <c r="C228" s="23" t="s">
        <v>326</v>
      </c>
      <c r="D228" s="23" t="s">
        <v>21</v>
      </c>
      <c r="E228" s="24">
        <v>45384.0</v>
      </c>
      <c r="F228" s="25">
        <v>0.26875</v>
      </c>
      <c r="G228" s="25">
        <v>0.5625</v>
      </c>
      <c r="H228" s="27">
        <f t="shared" si="2"/>
        <v>0.29375</v>
      </c>
      <c r="I228" s="28">
        <v>3.0</v>
      </c>
      <c r="J228" s="29" t="s">
        <v>327</v>
      </c>
      <c r="K228" s="30" t="s">
        <v>23</v>
      </c>
      <c r="L228" s="31" t="str">
        <f>IFERROR(__xludf.DUMMYFUNCTION("IF(OR(E228="""",K228=""""),"""",IFERROR(IF(K228="""","""",query('tbl user'!$A$2:$D10975,""SELECT A WHERE D = '""&amp;K228&amp;""'"")),""USER TIDAK DIKETAHUI""))"),"#REF!")</f>
        <v>#REF!</v>
      </c>
    </row>
    <row r="229">
      <c r="A229" s="21">
        <f t="shared" si="1"/>
        <v>0</v>
      </c>
      <c r="B229" s="32" t="s">
        <v>328</v>
      </c>
      <c r="C229" s="23" t="s">
        <v>329</v>
      </c>
      <c r="D229" s="23" t="s">
        <v>21</v>
      </c>
      <c r="E229" s="24">
        <v>45384.0</v>
      </c>
      <c r="F229" s="25">
        <v>0.23680555555555555</v>
      </c>
      <c r="G229" s="25">
        <v>0.625</v>
      </c>
      <c r="H229" s="27">
        <f t="shared" si="2"/>
        <v>0.3881944444</v>
      </c>
      <c r="I229" s="28">
        <v>4.0</v>
      </c>
      <c r="J229" s="29" t="s">
        <v>213</v>
      </c>
      <c r="K229" s="30" t="s">
        <v>23</v>
      </c>
      <c r="L229" s="31" t="str">
        <f>IFERROR(__xludf.DUMMYFUNCTION("IF(OR(E229="""",K229=""""),"""",IFERROR(IF(K229="""","""",query('tbl user'!$A$2:$D10975,""SELECT A WHERE D = '""&amp;K229&amp;""'"")),""USER TIDAK DIKETAHUI""))"),"#REF!")</f>
        <v>#REF!</v>
      </c>
    </row>
    <row r="230">
      <c r="A230" s="21">
        <f t="shared" si="1"/>
        <v>0</v>
      </c>
      <c r="B230" s="32" t="s">
        <v>229</v>
      </c>
      <c r="C230" s="23" t="s">
        <v>330</v>
      </c>
      <c r="D230" s="23" t="s">
        <v>21</v>
      </c>
      <c r="E230" s="24">
        <v>45384.0</v>
      </c>
      <c r="F230" s="25">
        <v>0.33541666666666664</v>
      </c>
      <c r="G230" s="25">
        <v>0.7076388888888889</v>
      </c>
      <c r="H230" s="27">
        <f t="shared" si="2"/>
        <v>0.3722222222</v>
      </c>
      <c r="I230" s="28">
        <v>4.0</v>
      </c>
      <c r="J230" s="29" t="s">
        <v>213</v>
      </c>
      <c r="K230" s="30" t="s">
        <v>23</v>
      </c>
      <c r="L230" s="31" t="str">
        <f>IFERROR(__xludf.DUMMYFUNCTION("IF(OR(E230="""",K230=""""),"""",IFERROR(IF(K230="""","""",query('tbl user'!$A$2:$D10975,""SELECT A WHERE D = '""&amp;K230&amp;""'"")),""USER TIDAK DIKETAHUI""))"),"#REF!")</f>
        <v>#REF!</v>
      </c>
    </row>
    <row r="231">
      <c r="A231" s="21">
        <f t="shared" si="1"/>
        <v>0</v>
      </c>
      <c r="B231" s="32" t="s">
        <v>331</v>
      </c>
      <c r="C231" s="23" t="s">
        <v>332</v>
      </c>
      <c r="D231" s="23" t="s">
        <v>21</v>
      </c>
      <c r="E231" s="24">
        <v>45384.0</v>
      </c>
      <c r="F231" s="25">
        <v>0.23958333333333334</v>
      </c>
      <c r="G231" s="25">
        <v>0.6736111111111112</v>
      </c>
      <c r="H231" s="27">
        <f t="shared" si="2"/>
        <v>0.4340277778</v>
      </c>
      <c r="I231" s="28">
        <v>5.0</v>
      </c>
      <c r="J231" s="29" t="s">
        <v>55</v>
      </c>
      <c r="K231" s="30" t="s">
        <v>23</v>
      </c>
      <c r="L231" s="31" t="str">
        <f>IFERROR(__xludf.DUMMYFUNCTION("IF(OR(E231="""",K231=""""),"""",IFERROR(IF(K231="""","""",query('tbl user'!$A$2:$D10975,""SELECT A WHERE D = '""&amp;K231&amp;""'"")),""USER TIDAK DIKETAHUI""))"),"#REF!")</f>
        <v>#REF!</v>
      </c>
    </row>
    <row r="232">
      <c r="A232" s="21">
        <f t="shared" si="1"/>
        <v>0</v>
      </c>
      <c r="B232" s="32" t="s">
        <v>333</v>
      </c>
      <c r="C232" s="23" t="s">
        <v>334</v>
      </c>
      <c r="D232" s="23" t="s">
        <v>21</v>
      </c>
      <c r="E232" s="24">
        <v>45384.0</v>
      </c>
      <c r="F232" s="25">
        <v>0.23680555555555555</v>
      </c>
      <c r="G232" s="25">
        <v>0.7166666666666667</v>
      </c>
      <c r="H232" s="27">
        <f t="shared" si="2"/>
        <v>0.4798611111</v>
      </c>
      <c r="I232" s="28">
        <v>5.0</v>
      </c>
      <c r="J232" s="29" t="s">
        <v>55</v>
      </c>
      <c r="K232" s="30" t="s">
        <v>23</v>
      </c>
      <c r="L232" s="31" t="str">
        <f>IFERROR(__xludf.DUMMYFUNCTION("IF(OR(E232="""",K232=""""),"""",IFERROR(IF(K232="""","""",query('tbl user'!$A$2:$D10975,""SELECT A WHERE D = '""&amp;K232&amp;""'"")),""USER TIDAK DIKETAHUI""))"),"#REF!")</f>
        <v>#REF!</v>
      </c>
    </row>
    <row r="233">
      <c r="A233" s="21">
        <f t="shared" si="1"/>
        <v>0</v>
      </c>
      <c r="B233" s="32" t="s">
        <v>335</v>
      </c>
      <c r="C233" s="23" t="s">
        <v>336</v>
      </c>
      <c r="D233" s="23" t="s">
        <v>21</v>
      </c>
      <c r="E233" s="24">
        <v>45384.0</v>
      </c>
      <c r="F233" s="25">
        <v>0.2916666666666667</v>
      </c>
      <c r="G233" s="25">
        <v>0.6645833333333333</v>
      </c>
      <c r="H233" s="27">
        <f t="shared" si="2"/>
        <v>0.3729166667</v>
      </c>
      <c r="I233" s="28">
        <v>5.0</v>
      </c>
      <c r="J233" s="29" t="s">
        <v>55</v>
      </c>
      <c r="K233" s="30" t="s">
        <v>23</v>
      </c>
      <c r="L233" s="31" t="str">
        <f>IFERROR(__xludf.DUMMYFUNCTION("IF(OR(E233="""",K233=""""),"""",IFERROR(IF(K233="""","""",query('tbl user'!$A$2:$D10975,""SELECT A WHERE D = '""&amp;K233&amp;""'"")),""USER TIDAK DIKETAHUI""))"),"#REF!")</f>
        <v>#REF!</v>
      </c>
    </row>
    <row r="234">
      <c r="A234" s="21">
        <f t="shared" si="1"/>
        <v>0</v>
      </c>
      <c r="B234" s="32" t="s">
        <v>337</v>
      </c>
      <c r="C234" s="23" t="s">
        <v>338</v>
      </c>
      <c r="D234" s="23" t="s">
        <v>21</v>
      </c>
      <c r="E234" s="24">
        <v>45384.0</v>
      </c>
      <c r="F234" s="25">
        <v>0.25833333333333336</v>
      </c>
      <c r="G234" s="25">
        <v>0.6743055555555556</v>
      </c>
      <c r="H234" s="27">
        <f t="shared" si="2"/>
        <v>0.4159722222</v>
      </c>
      <c r="I234" s="28">
        <v>5.0</v>
      </c>
      <c r="J234" s="29" t="s">
        <v>55</v>
      </c>
      <c r="K234" s="30" t="s">
        <v>23</v>
      </c>
      <c r="L234" s="31" t="str">
        <f>IFERROR(__xludf.DUMMYFUNCTION("IF(OR(E234="""",K234=""""),"""",IFERROR(IF(K234="""","""",query('tbl user'!$A$2:$D10975,""SELECT A WHERE D = '""&amp;K234&amp;""'"")),""USER TIDAK DIKETAHUI""))"),"#REF!")</f>
        <v>#REF!</v>
      </c>
    </row>
    <row r="235">
      <c r="A235" s="21">
        <f t="shared" si="1"/>
        <v>0</v>
      </c>
      <c r="B235" s="32" t="s">
        <v>153</v>
      </c>
      <c r="C235" s="23" t="s">
        <v>339</v>
      </c>
      <c r="D235" s="23" t="s">
        <v>21</v>
      </c>
      <c r="E235" s="24">
        <v>45384.0</v>
      </c>
      <c r="F235" s="25">
        <v>0.23472222222222222</v>
      </c>
      <c r="G235" s="25">
        <v>0.7159722222222222</v>
      </c>
      <c r="H235" s="27">
        <f t="shared" si="2"/>
        <v>0.48125</v>
      </c>
      <c r="I235" s="28">
        <v>6.0</v>
      </c>
      <c r="J235" s="29" t="s">
        <v>55</v>
      </c>
      <c r="K235" s="30" t="s">
        <v>23</v>
      </c>
      <c r="L235" s="31" t="str">
        <f>IFERROR(__xludf.DUMMYFUNCTION("IF(OR(E235="""",K235=""""),"""",IFERROR(IF(K235="""","""",query('tbl user'!$A$2:$D10975,""SELECT A WHERE D = '""&amp;K235&amp;""'"")),""USER TIDAK DIKETAHUI""))"),"#REF!")</f>
        <v>#REF!</v>
      </c>
    </row>
    <row r="236">
      <c r="A236" s="21">
        <f t="shared" si="1"/>
        <v>0</v>
      </c>
      <c r="B236" s="32" t="s">
        <v>219</v>
      </c>
      <c r="C236" s="23" t="s">
        <v>340</v>
      </c>
      <c r="D236" s="23" t="s">
        <v>21</v>
      </c>
      <c r="E236" s="24">
        <v>45384.0</v>
      </c>
      <c r="F236" s="25">
        <v>0.2569444444444444</v>
      </c>
      <c r="G236" s="25">
        <v>0.7027777777777777</v>
      </c>
      <c r="H236" s="27">
        <f t="shared" si="2"/>
        <v>0.4458333333</v>
      </c>
      <c r="I236" s="28">
        <v>6.0</v>
      </c>
      <c r="J236" s="29" t="s">
        <v>55</v>
      </c>
      <c r="K236" s="30" t="s">
        <v>23</v>
      </c>
      <c r="L236" s="31" t="str">
        <f>IFERROR(__xludf.DUMMYFUNCTION("IF(OR(E236="""",K236=""""),"""",IFERROR(IF(K236="""","""",query('tbl user'!$A$2:$D10975,""SELECT A WHERE D = '""&amp;K236&amp;""'"")),""USER TIDAK DIKETAHUI""))"),"#REF!")</f>
        <v>#REF!</v>
      </c>
    </row>
    <row r="237">
      <c r="A237" s="21">
        <f t="shared" si="1"/>
        <v>0</v>
      </c>
      <c r="B237" s="32" t="s">
        <v>53</v>
      </c>
      <c r="C237" s="23" t="s">
        <v>54</v>
      </c>
      <c r="D237" s="23" t="s">
        <v>21</v>
      </c>
      <c r="E237" s="24">
        <v>45384.0</v>
      </c>
      <c r="F237" s="25">
        <v>0.225</v>
      </c>
      <c r="G237" s="25">
        <v>0.6965277777777777</v>
      </c>
      <c r="H237" s="27">
        <f t="shared" si="2"/>
        <v>0.4715277778</v>
      </c>
      <c r="I237" s="28">
        <v>6.0</v>
      </c>
      <c r="J237" s="29" t="s">
        <v>55</v>
      </c>
      <c r="K237" s="30" t="s">
        <v>23</v>
      </c>
      <c r="L237" s="31" t="str">
        <f>IFERROR(__xludf.DUMMYFUNCTION("IF(OR(E237="""",K237=""""),"""",IFERROR(IF(K237="""","""",query('tbl user'!$A$2:$D10975,""SELECT A WHERE D = '""&amp;K237&amp;""'"")),""USER TIDAK DIKETAHUI""))"),"#REF!")</f>
        <v>#REF!</v>
      </c>
    </row>
    <row r="238">
      <c r="A238" s="21">
        <f t="shared" si="1"/>
        <v>0</v>
      </c>
      <c r="B238" s="32" t="s">
        <v>92</v>
      </c>
      <c r="C238" s="23" t="s">
        <v>93</v>
      </c>
      <c r="D238" s="23" t="s">
        <v>58</v>
      </c>
      <c r="E238" s="24">
        <v>45385.0</v>
      </c>
      <c r="F238" s="25">
        <v>0.25833333333333336</v>
      </c>
      <c r="G238" s="25">
        <v>0.35833333333333334</v>
      </c>
      <c r="H238" s="27">
        <f t="shared" si="2"/>
        <v>0.1</v>
      </c>
      <c r="I238" s="28">
        <v>1.0</v>
      </c>
      <c r="J238" s="29" t="s">
        <v>341</v>
      </c>
      <c r="K238" s="30" t="s">
        <v>23</v>
      </c>
      <c r="L238" s="31" t="str">
        <f>IFERROR(__xludf.DUMMYFUNCTION("IF(OR(E238="""",K238=""""),"""",IFERROR(IF(K238="""","""",query('tbl user'!$A$2:$D10975,""SELECT A WHERE D = '""&amp;K238&amp;""'"")),""USER TIDAK DIKETAHUI""))"),"#REF!")</f>
        <v>#REF!</v>
      </c>
    </row>
    <row r="239">
      <c r="A239" s="21">
        <f t="shared" si="1"/>
        <v>0</v>
      </c>
      <c r="B239" s="32" t="s">
        <v>40</v>
      </c>
      <c r="C239" s="23" t="s">
        <v>211</v>
      </c>
      <c r="D239" s="23" t="s">
        <v>58</v>
      </c>
      <c r="E239" s="24">
        <v>45385.0</v>
      </c>
      <c r="F239" s="25">
        <v>0.3840277777777778</v>
      </c>
      <c r="G239" s="25">
        <v>0.6798611111111111</v>
      </c>
      <c r="H239" s="27">
        <f t="shared" si="2"/>
        <v>0.2958333333</v>
      </c>
      <c r="I239" s="28">
        <v>2.0</v>
      </c>
      <c r="J239" s="29" t="s">
        <v>342</v>
      </c>
      <c r="K239" s="30" t="s">
        <v>23</v>
      </c>
      <c r="L239" s="31" t="str">
        <f>IFERROR(__xludf.DUMMYFUNCTION("IF(OR(E239="""",K239=""""),"""",IFERROR(IF(K239="""","""",query('tbl user'!$A$2:$D10975,""SELECT A WHERE D = '""&amp;K239&amp;""'"")),""USER TIDAK DIKETAHUI""))"),"#REF!")</f>
        <v>#REF!</v>
      </c>
    </row>
    <row r="240">
      <c r="A240" s="21">
        <f t="shared" si="1"/>
        <v>0</v>
      </c>
      <c r="B240" s="32" t="s">
        <v>167</v>
      </c>
      <c r="C240" s="23" t="s">
        <v>168</v>
      </c>
      <c r="D240" s="23" t="s">
        <v>58</v>
      </c>
      <c r="E240" s="24">
        <v>45385.0</v>
      </c>
      <c r="F240" s="25">
        <v>0.2923611111111111</v>
      </c>
      <c r="G240" s="25">
        <v>0.5430555555555555</v>
      </c>
      <c r="H240" s="27">
        <f t="shared" si="2"/>
        <v>0.2506944444</v>
      </c>
      <c r="I240" s="28">
        <v>2.0</v>
      </c>
      <c r="J240" s="29" t="s">
        <v>343</v>
      </c>
      <c r="K240" s="30" t="s">
        <v>23</v>
      </c>
      <c r="L240" s="31" t="str">
        <f>IFERROR(__xludf.DUMMYFUNCTION("IF(OR(E240="""",K240=""""),"""",IFERROR(IF(K240="""","""",query('tbl user'!$A$2:$D10975,""SELECT A WHERE D = '""&amp;K240&amp;""'"")),""USER TIDAK DIKETAHUI""))"),"#REF!")</f>
        <v>#REF!</v>
      </c>
    </row>
    <row r="241">
      <c r="A241" s="21">
        <f t="shared" si="1"/>
        <v>0</v>
      </c>
      <c r="B241" s="32" t="s">
        <v>216</v>
      </c>
      <c r="C241" s="23" t="s">
        <v>170</v>
      </c>
      <c r="D241" s="23" t="s">
        <v>58</v>
      </c>
      <c r="E241" s="24">
        <v>45385.0</v>
      </c>
      <c r="F241" s="25">
        <v>0.2951388888888889</v>
      </c>
      <c r="G241" s="25">
        <v>0.5763888888888888</v>
      </c>
      <c r="H241" s="27">
        <f t="shared" si="2"/>
        <v>0.28125</v>
      </c>
      <c r="I241" s="28">
        <v>2.0</v>
      </c>
      <c r="J241" s="29" t="s">
        <v>344</v>
      </c>
      <c r="K241" s="30" t="s">
        <v>23</v>
      </c>
      <c r="L241" s="31" t="str">
        <f>IFERROR(__xludf.DUMMYFUNCTION("IF(OR(E241="""",K241=""""),"""",IFERROR(IF(K241="""","""",query('tbl user'!$A$2:$D10975,""SELECT A WHERE D = '""&amp;K241&amp;""'"")),""USER TIDAK DIKETAHUI""))"),"#REF!")</f>
        <v>#REF!</v>
      </c>
    </row>
    <row r="242">
      <c r="A242" s="21">
        <f t="shared" si="1"/>
        <v>0</v>
      </c>
      <c r="B242" s="32" t="s">
        <v>184</v>
      </c>
      <c r="C242" s="23" t="s">
        <v>185</v>
      </c>
      <c r="D242" s="23" t="s">
        <v>58</v>
      </c>
      <c r="E242" s="24">
        <v>45385.0</v>
      </c>
      <c r="F242" s="25">
        <v>0.3888888888888889</v>
      </c>
      <c r="G242" s="25">
        <v>0.6388888888888888</v>
      </c>
      <c r="H242" s="27">
        <f t="shared" si="2"/>
        <v>0.25</v>
      </c>
      <c r="I242" s="28">
        <v>2.0</v>
      </c>
      <c r="J242" s="29" t="s">
        <v>345</v>
      </c>
      <c r="K242" s="30" t="s">
        <v>23</v>
      </c>
      <c r="L242" s="31" t="str">
        <f>IFERROR(__xludf.DUMMYFUNCTION("IF(OR(E242="""",K242=""""),"""",IFERROR(IF(K242="""","""",query('tbl user'!$A$2:$D10975,""SELECT A WHERE D = '""&amp;K242&amp;""'"")),""USER TIDAK DIKETAHUI""))"),"#REF!")</f>
        <v>#REF!</v>
      </c>
    </row>
    <row r="243">
      <c r="A243" s="21">
        <f t="shared" si="1"/>
        <v>0</v>
      </c>
      <c r="B243" s="32" t="s">
        <v>346</v>
      </c>
      <c r="C243" s="23" t="s">
        <v>192</v>
      </c>
      <c r="D243" s="23" t="s">
        <v>58</v>
      </c>
      <c r="E243" s="24">
        <v>45385.0</v>
      </c>
      <c r="F243" s="25">
        <v>0.28125</v>
      </c>
      <c r="G243" s="25">
        <v>0.6430555555555556</v>
      </c>
      <c r="H243" s="27">
        <f t="shared" si="2"/>
        <v>0.3618055556</v>
      </c>
      <c r="I243" s="28">
        <v>2.0</v>
      </c>
      <c r="J243" s="29" t="s">
        <v>347</v>
      </c>
      <c r="K243" s="30" t="s">
        <v>23</v>
      </c>
      <c r="L243" s="31" t="str">
        <f>IFERROR(__xludf.DUMMYFUNCTION("IF(OR(E243="""",K243=""""),"""",IFERROR(IF(K243="""","""",query('tbl user'!$A$2:$D10975,""SELECT A WHERE D = '""&amp;K243&amp;""'"")),""USER TIDAK DIKETAHUI""))"),"#REF!")</f>
        <v>#REF!</v>
      </c>
    </row>
    <row r="244">
      <c r="A244" s="21">
        <f t="shared" si="1"/>
        <v>0</v>
      </c>
      <c r="B244" s="32" t="s">
        <v>297</v>
      </c>
      <c r="C244" s="23" t="s">
        <v>348</v>
      </c>
      <c r="D244" s="23" t="s">
        <v>58</v>
      </c>
      <c r="E244" s="24">
        <v>45385.0</v>
      </c>
      <c r="F244" s="25">
        <v>0.29305555555555557</v>
      </c>
      <c r="G244" s="25">
        <v>0.5520833333333334</v>
      </c>
      <c r="H244" s="27">
        <f t="shared" si="2"/>
        <v>0.2590277778</v>
      </c>
      <c r="I244" s="28">
        <v>2.0</v>
      </c>
      <c r="J244" s="29" t="s">
        <v>237</v>
      </c>
      <c r="K244" s="30" t="s">
        <v>23</v>
      </c>
      <c r="L244" s="31" t="str">
        <f>IFERROR(__xludf.DUMMYFUNCTION("IF(OR(E244="""",K244=""""),"""",IFERROR(IF(K244="""","""",query('tbl user'!$A$2:$D10975,""SELECT A WHERE D = '""&amp;K244&amp;""'"")),""USER TIDAK DIKETAHUI""))"),"#REF!")</f>
        <v>#REF!</v>
      </c>
    </row>
    <row r="245">
      <c r="A245" s="21">
        <f t="shared" si="1"/>
        <v>0</v>
      </c>
      <c r="B245" s="32" t="s">
        <v>95</v>
      </c>
      <c r="C245" s="23" t="s">
        <v>206</v>
      </c>
      <c r="D245" s="23" t="s">
        <v>58</v>
      </c>
      <c r="E245" s="24">
        <v>45385.0</v>
      </c>
      <c r="F245" s="25">
        <v>0.2923611111111111</v>
      </c>
      <c r="G245" s="25">
        <v>0.5701388888888889</v>
      </c>
      <c r="H245" s="27">
        <f t="shared" si="2"/>
        <v>0.2777777778</v>
      </c>
      <c r="I245" s="28">
        <v>2.0</v>
      </c>
      <c r="J245" s="29" t="s">
        <v>349</v>
      </c>
      <c r="K245" s="30" t="s">
        <v>23</v>
      </c>
      <c r="L245" s="31" t="str">
        <f>IFERROR(__xludf.DUMMYFUNCTION("IF(OR(E245="""",K245=""""),"""",IFERROR(IF(K245="""","""",query('tbl user'!$A$2:$D10975,""SELECT A WHERE D = '""&amp;K245&amp;""'"")),""USER TIDAK DIKETAHUI""))"),"#REF!")</f>
        <v>#REF!</v>
      </c>
    </row>
    <row r="246">
      <c r="A246" s="21">
        <f t="shared" si="1"/>
        <v>0</v>
      </c>
      <c r="B246" s="32" t="s">
        <v>56</v>
      </c>
      <c r="C246" s="23" t="s">
        <v>57</v>
      </c>
      <c r="D246" s="23" t="s">
        <v>58</v>
      </c>
      <c r="E246" s="24">
        <v>45385.0</v>
      </c>
      <c r="F246" s="25">
        <v>0.2916666666666667</v>
      </c>
      <c r="G246" s="25">
        <v>0.6986111111111111</v>
      </c>
      <c r="H246" s="27">
        <f t="shared" si="2"/>
        <v>0.4069444444</v>
      </c>
      <c r="I246" s="28">
        <v>3.0</v>
      </c>
      <c r="J246" s="29" t="s">
        <v>55</v>
      </c>
      <c r="K246" s="30" t="s">
        <v>23</v>
      </c>
      <c r="L246" s="31" t="str">
        <f>IFERROR(__xludf.DUMMYFUNCTION("IF(OR(E246="""",K246=""""),"""",IFERROR(IF(K246="""","""",query('tbl user'!$A$2:$D10975,""SELECT A WHERE D = '""&amp;K246&amp;""'"")),""USER TIDAK DIKETAHUI""))"),"#REF!")</f>
        <v>#REF!</v>
      </c>
    </row>
    <row r="247">
      <c r="A247" s="21">
        <f t="shared" si="1"/>
        <v>0</v>
      </c>
      <c r="B247" s="32" t="s">
        <v>178</v>
      </c>
      <c r="C247" s="23" t="s">
        <v>82</v>
      </c>
      <c r="D247" s="23" t="s">
        <v>58</v>
      </c>
      <c r="E247" s="24">
        <v>45385.0</v>
      </c>
      <c r="F247" s="25">
        <v>0.2763888888888889</v>
      </c>
      <c r="G247" s="25">
        <v>0.6</v>
      </c>
      <c r="H247" s="27">
        <f t="shared" si="2"/>
        <v>0.3236111111</v>
      </c>
      <c r="I247" s="28">
        <v>3.0</v>
      </c>
      <c r="J247" s="29" t="s">
        <v>55</v>
      </c>
      <c r="K247" s="30" t="s">
        <v>23</v>
      </c>
      <c r="L247" s="31" t="str">
        <f>IFERROR(__xludf.DUMMYFUNCTION("IF(OR(E247="""",K247=""""),"""",IFERROR(IF(K247="""","""",query('tbl user'!$A$2:$D10975,""SELECT A WHERE D = '""&amp;K247&amp;""'"")),""USER TIDAK DIKETAHUI""))"),"#REF!")</f>
        <v>#REF!</v>
      </c>
    </row>
    <row r="248">
      <c r="A248" s="21">
        <f t="shared" si="1"/>
        <v>0</v>
      </c>
      <c r="B248" s="32" t="s">
        <v>104</v>
      </c>
      <c r="C248" s="23" t="s">
        <v>105</v>
      </c>
      <c r="D248" s="23" t="s">
        <v>58</v>
      </c>
      <c r="E248" s="24">
        <v>45385.0</v>
      </c>
      <c r="F248" s="25">
        <v>0.24097222222222223</v>
      </c>
      <c r="G248" s="25">
        <v>0.6805555555555556</v>
      </c>
      <c r="H248" s="27">
        <f t="shared" si="2"/>
        <v>0.4395833333</v>
      </c>
      <c r="I248" s="28">
        <v>3.0</v>
      </c>
      <c r="J248" s="29" t="s">
        <v>55</v>
      </c>
      <c r="K248" s="30" t="s">
        <v>23</v>
      </c>
      <c r="L248" s="31" t="str">
        <f>IFERROR(__xludf.DUMMYFUNCTION("IF(OR(E248="""",K248=""""),"""",IFERROR(IF(K248="""","""",query('tbl user'!$A$2:$D10975,""SELECT A WHERE D = '""&amp;K248&amp;""'"")),""USER TIDAK DIKETAHUI""))"),"#REF!")</f>
        <v>#REF!</v>
      </c>
    </row>
    <row r="249">
      <c r="A249" s="21">
        <f t="shared" si="1"/>
        <v>0</v>
      </c>
      <c r="B249" s="32" t="s">
        <v>276</v>
      </c>
      <c r="C249" s="23" t="s">
        <v>85</v>
      </c>
      <c r="D249" s="23" t="s">
        <v>58</v>
      </c>
      <c r="E249" s="24">
        <v>45385.0</v>
      </c>
      <c r="F249" s="25">
        <v>0.28541666666666665</v>
      </c>
      <c r="G249" s="25">
        <v>0.6909722222222222</v>
      </c>
      <c r="H249" s="27">
        <f t="shared" si="2"/>
        <v>0.4055555556</v>
      </c>
      <c r="I249" s="28">
        <v>3.0</v>
      </c>
      <c r="J249" s="29" t="s">
        <v>55</v>
      </c>
      <c r="K249" s="30" t="s">
        <v>23</v>
      </c>
      <c r="L249" s="31" t="str">
        <f>IFERROR(__xludf.DUMMYFUNCTION("IF(OR(E249="""",K249=""""),"""",IFERROR(IF(K249="""","""",query('tbl user'!$A$2:$D10975,""SELECT A WHERE D = '""&amp;K249&amp;""'"")),""USER TIDAK DIKETAHUI""))"),"#REF!")</f>
        <v>#REF!</v>
      </c>
    </row>
    <row r="250">
      <c r="A250" s="21">
        <f t="shared" si="1"/>
        <v>0</v>
      </c>
      <c r="B250" s="32" t="s">
        <v>67</v>
      </c>
      <c r="C250" s="23" t="s">
        <v>68</v>
      </c>
      <c r="D250" s="23" t="s">
        <v>58</v>
      </c>
      <c r="E250" s="24">
        <v>45385.0</v>
      </c>
      <c r="F250" s="25">
        <v>0.26666666666666666</v>
      </c>
      <c r="G250" s="25">
        <v>0.6840277777777778</v>
      </c>
      <c r="H250" s="27">
        <f t="shared" si="2"/>
        <v>0.4173611111</v>
      </c>
      <c r="I250" s="28">
        <v>4.0</v>
      </c>
      <c r="J250" s="29" t="s">
        <v>55</v>
      </c>
      <c r="K250" s="30" t="s">
        <v>23</v>
      </c>
      <c r="L250" s="31" t="str">
        <f>IFERROR(__xludf.DUMMYFUNCTION("IF(OR(E250="""",K250=""""),"""",IFERROR(IF(K250="""","""",query('tbl user'!$A$2:$D10975,""SELECT A WHERE D = '""&amp;K250&amp;""'"")),""USER TIDAK DIKETAHUI""))"),"#REF!")</f>
        <v>#REF!</v>
      </c>
    </row>
    <row r="251">
      <c r="A251" s="21">
        <f t="shared" si="1"/>
        <v>0</v>
      </c>
      <c r="B251" s="32" t="s">
        <v>215</v>
      </c>
      <c r="C251" s="23" t="s">
        <v>176</v>
      </c>
      <c r="D251" s="23" t="s">
        <v>58</v>
      </c>
      <c r="E251" s="24">
        <v>45385.0</v>
      </c>
      <c r="F251" s="25">
        <v>0.2722222222222222</v>
      </c>
      <c r="G251" s="25">
        <v>0.6944444444444444</v>
      </c>
      <c r="H251" s="27">
        <f t="shared" si="2"/>
        <v>0.4222222222</v>
      </c>
      <c r="I251" s="28">
        <v>4.0</v>
      </c>
      <c r="J251" s="29" t="s">
        <v>55</v>
      </c>
      <c r="K251" s="30" t="s">
        <v>23</v>
      </c>
      <c r="L251" s="31" t="str">
        <f>IFERROR(__xludf.DUMMYFUNCTION("IF(OR(E251="""",K251=""""),"""",IFERROR(IF(K251="""","""",query('tbl user'!$A$2:$D10975,""SELECT A WHERE D = '""&amp;K251&amp;""'"")),""USER TIDAK DIKETAHUI""))"),"#REF!")</f>
        <v>#REF!</v>
      </c>
    </row>
    <row r="252">
      <c r="A252" s="21">
        <f t="shared" si="1"/>
        <v>0</v>
      </c>
      <c r="B252" s="32" t="s">
        <v>180</v>
      </c>
      <c r="C252" s="23" t="s">
        <v>181</v>
      </c>
      <c r="D252" s="23" t="s">
        <v>58</v>
      </c>
      <c r="E252" s="24">
        <v>45385.0</v>
      </c>
      <c r="F252" s="25">
        <v>0.23541666666666666</v>
      </c>
      <c r="G252" s="25">
        <v>0.65625</v>
      </c>
      <c r="H252" s="27">
        <f t="shared" si="2"/>
        <v>0.4208333333</v>
      </c>
      <c r="I252" s="28">
        <v>4.0</v>
      </c>
      <c r="J252" s="29" t="s">
        <v>55</v>
      </c>
      <c r="K252" s="30" t="s">
        <v>23</v>
      </c>
      <c r="L252" s="31" t="str">
        <f>IFERROR(__xludf.DUMMYFUNCTION("IF(OR(E252="""",K252=""""),"""",IFERROR(IF(K252="""","""",query('tbl user'!$A$2:$D10975,""SELECT A WHERE D = '""&amp;K252&amp;""'"")),""USER TIDAK DIKETAHUI""))"),"#REF!")</f>
        <v>#REF!</v>
      </c>
    </row>
    <row r="253">
      <c r="A253" s="21">
        <f t="shared" si="1"/>
        <v>0</v>
      </c>
      <c r="B253" s="32" t="s">
        <v>182</v>
      </c>
      <c r="C253" s="23" t="s">
        <v>183</v>
      </c>
      <c r="D253" s="23" t="s">
        <v>58</v>
      </c>
      <c r="E253" s="24">
        <v>45385.0</v>
      </c>
      <c r="F253" s="25">
        <v>0.23333333333333334</v>
      </c>
      <c r="G253" s="25">
        <v>0.6659722222222222</v>
      </c>
      <c r="H253" s="27">
        <f t="shared" si="2"/>
        <v>0.4326388889</v>
      </c>
      <c r="I253" s="28">
        <v>4.0</v>
      </c>
      <c r="J253" s="29" t="s">
        <v>55</v>
      </c>
      <c r="K253" s="30" t="s">
        <v>23</v>
      </c>
      <c r="L253" s="31" t="str">
        <f>IFERROR(__xludf.DUMMYFUNCTION("IF(OR(E253="""",K253=""""),"""",IFERROR(IF(K253="""","""",query('tbl user'!$A$2:$D10975,""SELECT A WHERE D = '""&amp;K253&amp;""'"")),""USER TIDAK DIKETAHUI""))"),"#REF!")</f>
        <v>#REF!</v>
      </c>
    </row>
    <row r="254">
      <c r="A254" s="21">
        <f t="shared" si="1"/>
        <v>0</v>
      </c>
      <c r="B254" s="32" t="s">
        <v>187</v>
      </c>
      <c r="C254" s="23" t="s">
        <v>188</v>
      </c>
      <c r="D254" s="23" t="s">
        <v>58</v>
      </c>
      <c r="E254" s="24">
        <v>45385.0</v>
      </c>
      <c r="F254" s="25">
        <v>0.2708333333333333</v>
      </c>
      <c r="G254" s="25">
        <v>0.7020833333333333</v>
      </c>
      <c r="H254" s="27">
        <f t="shared" si="2"/>
        <v>0.43125</v>
      </c>
      <c r="I254" s="28">
        <v>4.0</v>
      </c>
      <c r="J254" s="29" t="s">
        <v>55</v>
      </c>
      <c r="K254" s="30" t="s">
        <v>23</v>
      </c>
      <c r="L254" s="31" t="str">
        <f>IFERROR(__xludf.DUMMYFUNCTION("IF(OR(E254="""",K254=""""),"""",IFERROR(IF(K254="""","""",query('tbl user'!$A$2:$D10975,""SELECT A WHERE D = '""&amp;K254&amp;""'"")),""USER TIDAK DIKETAHUI""))"),"#REF!")</f>
        <v>#REF!</v>
      </c>
    </row>
    <row r="255">
      <c r="A255" s="21">
        <f t="shared" si="1"/>
        <v>0</v>
      </c>
      <c r="B255" s="32" t="s">
        <v>189</v>
      </c>
      <c r="C255" s="23" t="s">
        <v>190</v>
      </c>
      <c r="D255" s="23" t="s">
        <v>58</v>
      </c>
      <c r="E255" s="24">
        <v>45385.0</v>
      </c>
      <c r="F255" s="25">
        <v>0.26180555555555557</v>
      </c>
      <c r="G255" s="25">
        <v>0.6729166666666667</v>
      </c>
      <c r="H255" s="27">
        <f t="shared" si="2"/>
        <v>0.4111111111</v>
      </c>
      <c r="I255" s="28">
        <v>4.0</v>
      </c>
      <c r="J255" s="29" t="s">
        <v>55</v>
      </c>
      <c r="K255" s="30" t="s">
        <v>23</v>
      </c>
      <c r="L255" s="31" t="str">
        <f>IFERROR(__xludf.DUMMYFUNCTION("IF(OR(E255="""",K255=""""),"""",IFERROR(IF(K255="""","""",query('tbl user'!$A$2:$D10975,""SELECT A WHERE D = '""&amp;K255&amp;""'"")),""USER TIDAK DIKETAHUI""))"),"#REF!")</f>
        <v>#REF!</v>
      </c>
    </row>
    <row r="256">
      <c r="A256" s="21">
        <f t="shared" si="1"/>
        <v>0</v>
      </c>
      <c r="B256" s="32" t="s">
        <v>84</v>
      </c>
      <c r="C256" s="23" t="s">
        <v>195</v>
      </c>
      <c r="D256" s="23" t="s">
        <v>58</v>
      </c>
      <c r="E256" s="24">
        <v>45385.0</v>
      </c>
      <c r="F256" s="25">
        <v>0.2763888888888889</v>
      </c>
      <c r="G256" s="25">
        <v>0.7069444444444445</v>
      </c>
      <c r="H256" s="27">
        <f t="shared" si="2"/>
        <v>0.4305555556</v>
      </c>
      <c r="I256" s="28">
        <v>4.0</v>
      </c>
      <c r="J256" s="29" t="s">
        <v>55</v>
      </c>
      <c r="K256" s="30" t="s">
        <v>23</v>
      </c>
      <c r="L256" s="31" t="str">
        <f>IFERROR(__xludf.DUMMYFUNCTION("IF(OR(E256="""",K256=""""),"""",IFERROR(IF(K256="""","""",query('tbl user'!$A$2:$D10975,""SELECT A WHERE D = '""&amp;K256&amp;""'"")),""USER TIDAK DIKETAHUI""))"),"#REF!")</f>
        <v>#REF!</v>
      </c>
    </row>
    <row r="257">
      <c r="A257" s="21">
        <f t="shared" si="1"/>
        <v>0</v>
      </c>
      <c r="B257" s="32" t="s">
        <v>197</v>
      </c>
      <c r="C257" s="23" t="s">
        <v>198</v>
      </c>
      <c r="D257" s="23" t="s">
        <v>58</v>
      </c>
      <c r="E257" s="24">
        <v>45385.0</v>
      </c>
      <c r="F257" s="25">
        <v>0.2048611111111111</v>
      </c>
      <c r="G257" s="25">
        <v>0.6409722222222223</v>
      </c>
      <c r="H257" s="27">
        <f t="shared" si="2"/>
        <v>0.4361111111</v>
      </c>
      <c r="I257" s="28">
        <v>4.0</v>
      </c>
      <c r="J257" s="29" t="s">
        <v>55</v>
      </c>
      <c r="K257" s="30" t="s">
        <v>23</v>
      </c>
      <c r="L257" s="31" t="str">
        <f>IFERROR(__xludf.DUMMYFUNCTION("IF(OR(E257="""",K257=""""),"""",IFERROR(IF(K257="""","""",query('tbl user'!$A$2:$D10975,""SELECT A WHERE D = '""&amp;K257&amp;""'"")),""USER TIDAK DIKETAHUI""))"),"#REF!")</f>
        <v>#REF!</v>
      </c>
    </row>
    <row r="258">
      <c r="A258" s="21">
        <f t="shared" si="1"/>
        <v>0</v>
      </c>
      <c r="B258" s="32" t="s">
        <v>200</v>
      </c>
      <c r="C258" s="23" t="s">
        <v>201</v>
      </c>
      <c r="D258" s="23" t="s">
        <v>58</v>
      </c>
      <c r="E258" s="24">
        <v>45385.0</v>
      </c>
      <c r="F258" s="25">
        <v>0.20347222222222222</v>
      </c>
      <c r="G258" s="25">
        <v>0.6618055555555555</v>
      </c>
      <c r="H258" s="27">
        <f t="shared" si="2"/>
        <v>0.4583333333</v>
      </c>
      <c r="I258" s="28">
        <v>4.0</v>
      </c>
      <c r="J258" s="29" t="s">
        <v>55</v>
      </c>
      <c r="K258" s="30" t="s">
        <v>23</v>
      </c>
      <c r="L258" s="31" t="str">
        <f>IFERROR(__xludf.DUMMYFUNCTION("IF(OR(E258="""",K258=""""),"""",IFERROR(IF(K258="""","""",query('tbl user'!$A$2:$D10975,""SELECT A WHERE D = '""&amp;K258&amp;""'"")),""USER TIDAK DIKETAHUI""))"),"#REF!")</f>
        <v>#REF!</v>
      </c>
    </row>
    <row r="259">
      <c r="A259" s="21">
        <f t="shared" si="1"/>
        <v>0</v>
      </c>
      <c r="B259" s="32" t="s">
        <v>209</v>
      </c>
      <c r="C259" s="23" t="s">
        <v>203</v>
      </c>
      <c r="D259" s="23" t="s">
        <v>58</v>
      </c>
      <c r="E259" s="24">
        <v>45385.0</v>
      </c>
      <c r="F259" s="25">
        <v>0.25833333333333336</v>
      </c>
      <c r="G259" s="25">
        <v>0.6944444444444444</v>
      </c>
      <c r="H259" s="27">
        <f t="shared" si="2"/>
        <v>0.4361111111</v>
      </c>
      <c r="I259" s="28">
        <v>4.0</v>
      </c>
      <c r="J259" s="29" t="s">
        <v>55</v>
      </c>
      <c r="K259" s="30" t="s">
        <v>23</v>
      </c>
      <c r="L259" s="31" t="str">
        <f>IFERROR(__xludf.DUMMYFUNCTION("IF(OR(E259="""",K259=""""),"""",IFERROR(IF(K259="""","""",query('tbl user'!$A$2:$D10975,""SELECT A WHERE D = '""&amp;K259&amp;""'"")),""USER TIDAK DIKETAHUI""))"),"#REF!")</f>
        <v>#REF!</v>
      </c>
    </row>
    <row r="260">
      <c r="A260" s="21">
        <f t="shared" si="1"/>
        <v>0</v>
      </c>
      <c r="B260" s="32" t="s">
        <v>224</v>
      </c>
      <c r="C260" s="23" t="s">
        <v>208</v>
      </c>
      <c r="D260" s="23" t="s">
        <v>58</v>
      </c>
      <c r="E260" s="24">
        <v>45385.0</v>
      </c>
      <c r="F260" s="25">
        <v>0.24930555555555556</v>
      </c>
      <c r="G260" s="25">
        <v>0.6652777777777777</v>
      </c>
      <c r="H260" s="27">
        <f t="shared" si="2"/>
        <v>0.4159722222</v>
      </c>
      <c r="I260" s="28">
        <v>4.0</v>
      </c>
      <c r="J260" s="29" t="s">
        <v>55</v>
      </c>
      <c r="K260" s="30" t="s">
        <v>23</v>
      </c>
      <c r="L260" s="31" t="str">
        <f>IFERROR(__xludf.DUMMYFUNCTION("IF(OR(E260="""",K260=""""),"""",IFERROR(IF(K260="""","""",query('tbl user'!$A$2:$D10975,""SELECT A WHERE D = '""&amp;K260&amp;""'"")),""USER TIDAK DIKETAHUI""))"),"#REF!")</f>
        <v>#REF!</v>
      </c>
    </row>
    <row r="261">
      <c r="A261" s="21">
        <f t="shared" si="1"/>
        <v>0</v>
      </c>
      <c r="B261" s="32" t="s">
        <v>238</v>
      </c>
      <c r="C261" s="23" t="s">
        <v>239</v>
      </c>
      <c r="D261" s="23" t="s">
        <v>21</v>
      </c>
      <c r="E261" s="24">
        <v>45385.0</v>
      </c>
      <c r="F261" s="25">
        <v>0.29375</v>
      </c>
      <c r="G261" s="25">
        <v>0.7347222222222223</v>
      </c>
      <c r="H261" s="27">
        <f t="shared" si="2"/>
        <v>0.4409722222</v>
      </c>
      <c r="I261" s="28">
        <v>2.0</v>
      </c>
      <c r="J261" s="29" t="s">
        <v>350</v>
      </c>
      <c r="K261" s="30" t="s">
        <v>23</v>
      </c>
      <c r="L261" s="31" t="str">
        <f>IFERROR(__xludf.DUMMYFUNCTION("IF(OR(E261="""",K261=""""),"""",IFERROR(IF(K261="""","""",query('tbl user'!$A$2:$D10975,""SELECT A WHERE D = '""&amp;K261&amp;""'"")),""USER TIDAK DIKETAHUI""))"),"#REF!")</f>
        <v>#REF!</v>
      </c>
    </row>
    <row r="262">
      <c r="A262" s="21">
        <f t="shared" si="1"/>
        <v>0</v>
      </c>
      <c r="B262" s="32" t="s">
        <v>240</v>
      </c>
      <c r="C262" s="23" t="s">
        <v>241</v>
      </c>
      <c r="D262" s="23" t="s">
        <v>21</v>
      </c>
      <c r="E262" s="24">
        <v>45385.0</v>
      </c>
      <c r="F262" s="25">
        <v>0.20208333333333334</v>
      </c>
      <c r="G262" s="25">
        <v>0.7645833333333333</v>
      </c>
      <c r="H262" s="27">
        <f t="shared" si="2"/>
        <v>0.5625</v>
      </c>
      <c r="I262" s="28">
        <v>3.0</v>
      </c>
      <c r="J262" s="29" t="s">
        <v>55</v>
      </c>
      <c r="K262" s="30" t="s">
        <v>23</v>
      </c>
      <c r="L262" s="31" t="str">
        <f>IFERROR(__xludf.DUMMYFUNCTION("IF(OR(E262="""",K262=""""),"""",IFERROR(IF(K262="""","""",query('tbl user'!$A$2:$D10975,""SELECT A WHERE D = '""&amp;K262&amp;""'"")),""USER TIDAK DIKETAHUI""))"),"#REF!")</f>
        <v>#REF!</v>
      </c>
    </row>
    <row r="263">
      <c r="A263" s="21">
        <f t="shared" si="1"/>
        <v>0</v>
      </c>
      <c r="B263" s="32" t="s">
        <v>243</v>
      </c>
      <c r="C263" s="23" t="s">
        <v>244</v>
      </c>
      <c r="D263" s="23" t="s">
        <v>21</v>
      </c>
      <c r="E263" s="24">
        <v>45385.0</v>
      </c>
      <c r="F263" s="25">
        <v>0.29444444444444445</v>
      </c>
      <c r="G263" s="25">
        <v>0.7020833333333333</v>
      </c>
      <c r="H263" s="27">
        <f t="shared" si="2"/>
        <v>0.4076388889</v>
      </c>
      <c r="I263" s="28">
        <v>2.0</v>
      </c>
      <c r="J263" s="29" t="s">
        <v>351</v>
      </c>
      <c r="K263" s="30" t="s">
        <v>23</v>
      </c>
      <c r="L263" s="31" t="str">
        <f>IFERROR(__xludf.DUMMYFUNCTION("IF(OR(E263="""",K263=""""),"""",IFERROR(IF(K263="""","""",query('tbl user'!$A$2:$D10975,""SELECT A WHERE D = '""&amp;K263&amp;""'"")),""USER TIDAK DIKETAHUI""))"),"#REF!")</f>
        <v>#REF!</v>
      </c>
    </row>
    <row r="264">
      <c r="A264" s="21">
        <f t="shared" si="1"/>
        <v>0</v>
      </c>
      <c r="B264" s="32" t="s">
        <v>24</v>
      </c>
      <c r="C264" s="23" t="s">
        <v>25</v>
      </c>
      <c r="D264" s="23" t="s">
        <v>21</v>
      </c>
      <c r="E264" s="24">
        <v>45385.0</v>
      </c>
      <c r="F264" s="25">
        <v>0.23055555555555557</v>
      </c>
      <c r="G264" s="25">
        <v>0.7534722222222222</v>
      </c>
      <c r="H264" s="27">
        <f t="shared" si="2"/>
        <v>0.5229166667</v>
      </c>
      <c r="I264" s="28">
        <v>3.0</v>
      </c>
      <c r="J264" s="29" t="s">
        <v>55</v>
      </c>
      <c r="K264" s="30" t="s">
        <v>23</v>
      </c>
      <c r="L264" s="31" t="str">
        <f>IFERROR(__xludf.DUMMYFUNCTION("IF(OR(E264="""",K264=""""),"""",IFERROR(IF(K264="""","""",query('tbl user'!$A$2:$D10975,""SELECT A WHERE D = '""&amp;K264&amp;""'"")),""USER TIDAK DIKETAHUI""))"),"#REF!")</f>
        <v>#REF!</v>
      </c>
    </row>
    <row r="265">
      <c r="A265" s="21">
        <f t="shared" si="1"/>
        <v>0</v>
      </c>
      <c r="B265" s="32" t="s">
        <v>43</v>
      </c>
      <c r="C265" s="23" t="s">
        <v>44</v>
      </c>
      <c r="D265" s="23" t="s">
        <v>21</v>
      </c>
      <c r="E265" s="24">
        <v>45385.0</v>
      </c>
      <c r="F265" s="25">
        <v>0.28888888888888886</v>
      </c>
      <c r="G265" s="25">
        <v>0.7076388888888889</v>
      </c>
      <c r="H265" s="27">
        <f t="shared" si="2"/>
        <v>0.41875</v>
      </c>
      <c r="I265" s="28">
        <v>2.0</v>
      </c>
      <c r="J265" s="29" t="s">
        <v>352</v>
      </c>
      <c r="K265" s="30" t="s">
        <v>23</v>
      </c>
      <c r="L265" s="31" t="str">
        <f>IFERROR(__xludf.DUMMYFUNCTION("IF(OR(E265="""",K265=""""),"""",IFERROR(IF(K265="""","""",query('tbl user'!$A$2:$D10975,""SELECT A WHERE D = '""&amp;K265&amp;""'"")),""USER TIDAK DIKETAHUI""))"),"#REF!")</f>
        <v>#REF!</v>
      </c>
    </row>
    <row r="266">
      <c r="A266" s="21">
        <f t="shared" si="1"/>
        <v>0</v>
      </c>
      <c r="B266" s="32" t="s">
        <v>175</v>
      </c>
      <c r="C266" s="23" t="s">
        <v>232</v>
      </c>
      <c r="D266" s="23" t="s">
        <v>21</v>
      </c>
      <c r="E266" s="24">
        <v>45385.0</v>
      </c>
      <c r="F266" s="25">
        <v>0.29305555555555557</v>
      </c>
      <c r="G266" s="25">
        <v>0.5715277777777777</v>
      </c>
      <c r="H266" s="27">
        <f t="shared" si="2"/>
        <v>0.2784722222</v>
      </c>
      <c r="I266" s="28">
        <v>1.0</v>
      </c>
      <c r="J266" s="29" t="s">
        <v>353</v>
      </c>
      <c r="K266" s="30" t="s">
        <v>23</v>
      </c>
      <c r="L266" s="31" t="str">
        <f>IFERROR(__xludf.DUMMYFUNCTION("IF(OR(E266="""",K266=""""),"""",IFERROR(IF(K266="""","""",query('tbl user'!$A$2:$D10975,""SELECT A WHERE D = '""&amp;K266&amp;""'"")),""USER TIDAK DIKETAHUI""))"),"#REF!")</f>
        <v>#REF!</v>
      </c>
    </row>
    <row r="267">
      <c r="A267" s="21">
        <f t="shared" si="1"/>
        <v>0</v>
      </c>
      <c r="B267" s="32" t="s">
        <v>253</v>
      </c>
      <c r="C267" s="23" t="s">
        <v>102</v>
      </c>
      <c r="D267" s="23" t="s">
        <v>21</v>
      </c>
      <c r="E267" s="24">
        <v>45385.0</v>
      </c>
      <c r="F267" s="25">
        <v>0.25972222222222224</v>
      </c>
      <c r="G267" s="25">
        <v>0.7305555555555555</v>
      </c>
      <c r="H267" s="27">
        <f t="shared" si="2"/>
        <v>0.4708333333</v>
      </c>
      <c r="I267" s="28">
        <v>2.0</v>
      </c>
      <c r="J267" s="29" t="s">
        <v>354</v>
      </c>
      <c r="K267" s="30" t="s">
        <v>23</v>
      </c>
      <c r="L267" s="31" t="str">
        <f>IFERROR(__xludf.DUMMYFUNCTION("IF(OR(E267="""",K267=""""),"""",IFERROR(IF(K267="""","""",query('tbl user'!$A$2:$D10975,""SELECT A WHERE D = '""&amp;K267&amp;""'"")),""USER TIDAK DIKETAHUI""))"),"#REF!")</f>
        <v>#REF!</v>
      </c>
    </row>
    <row r="268">
      <c r="A268" s="21">
        <f t="shared" si="1"/>
        <v>0</v>
      </c>
      <c r="B268" s="32" t="s">
        <v>156</v>
      </c>
      <c r="C268" s="23" t="s">
        <v>234</v>
      </c>
      <c r="D268" s="23" t="s">
        <v>21</v>
      </c>
      <c r="E268" s="24">
        <v>45385.0</v>
      </c>
      <c r="F268" s="25">
        <v>0.2881944444444444</v>
      </c>
      <c r="G268" s="25">
        <v>0.6402777777777777</v>
      </c>
      <c r="H268" s="27">
        <f t="shared" si="2"/>
        <v>0.3520833333</v>
      </c>
      <c r="I268" s="28">
        <v>2.0</v>
      </c>
      <c r="J268" s="29" t="s">
        <v>355</v>
      </c>
      <c r="K268" s="30" t="s">
        <v>23</v>
      </c>
      <c r="L268" s="31" t="str">
        <f>IFERROR(__xludf.DUMMYFUNCTION("IF(OR(E268="""",K268=""""),"""",IFERROR(IF(K268="""","""",query('tbl user'!$A$2:$D10975,""SELECT A WHERE D = '""&amp;K268&amp;""'"")),""USER TIDAK DIKETAHUI""))"),"#REF!")</f>
        <v>#REF!</v>
      </c>
    </row>
    <row r="269">
      <c r="A269" s="21">
        <f t="shared" si="1"/>
        <v>0</v>
      </c>
      <c r="B269" s="32" t="s">
        <v>305</v>
      </c>
      <c r="C269" s="23" t="s">
        <v>306</v>
      </c>
      <c r="D269" s="23" t="s">
        <v>21</v>
      </c>
      <c r="E269" s="24">
        <v>45385.0</v>
      </c>
      <c r="F269" s="25">
        <v>0.20555555555555555</v>
      </c>
      <c r="G269" s="25">
        <v>0.5993055555555555</v>
      </c>
      <c r="H269" s="27">
        <f t="shared" si="2"/>
        <v>0.39375</v>
      </c>
      <c r="I269" s="28">
        <v>2.0</v>
      </c>
      <c r="J269" s="29" t="s">
        <v>356</v>
      </c>
      <c r="K269" s="30" t="s">
        <v>23</v>
      </c>
      <c r="L269" s="31" t="str">
        <f>IFERROR(__xludf.DUMMYFUNCTION("IF(OR(E269="""",K269=""""),"""",IFERROR(IF(K269="""","""",query('tbl user'!$A$2:$D10975,""SELECT A WHERE D = '""&amp;K269&amp;""'"")),""USER TIDAK DIKETAHUI""))"),"#REF!")</f>
        <v>#REF!</v>
      </c>
    </row>
    <row r="270">
      <c r="A270" s="21">
        <f t="shared" si="1"/>
        <v>0</v>
      </c>
      <c r="B270" s="32" t="s">
        <v>255</v>
      </c>
      <c r="C270" s="23" t="s">
        <v>256</v>
      </c>
      <c r="D270" s="23" t="s">
        <v>21</v>
      </c>
      <c r="E270" s="24">
        <v>45385.0</v>
      </c>
      <c r="F270" s="25">
        <v>0.27361111111111114</v>
      </c>
      <c r="G270" s="25">
        <v>0.7652777777777777</v>
      </c>
      <c r="H270" s="27">
        <f t="shared" si="2"/>
        <v>0.4916666667</v>
      </c>
      <c r="I270" s="28">
        <v>3.0</v>
      </c>
      <c r="J270" s="29" t="s">
        <v>55</v>
      </c>
      <c r="K270" s="30" t="s">
        <v>23</v>
      </c>
      <c r="L270" s="31" t="str">
        <f>IFERROR(__xludf.DUMMYFUNCTION("IF(OR(E270="""",K270=""""),"""",IFERROR(IF(K270="""","""",query('tbl user'!$A$2:$D10975,""SELECT A WHERE D = '""&amp;K270&amp;""'"")),""USER TIDAK DIKETAHUI""))"),"#REF!")</f>
        <v>#REF!</v>
      </c>
    </row>
    <row r="271">
      <c r="A271" s="21">
        <f t="shared" si="1"/>
        <v>0</v>
      </c>
      <c r="B271" s="32" t="s">
        <v>225</v>
      </c>
      <c r="C271" s="23" t="s">
        <v>236</v>
      </c>
      <c r="D271" s="23" t="s">
        <v>21</v>
      </c>
      <c r="E271" s="24">
        <v>45385.0</v>
      </c>
      <c r="F271" s="25">
        <v>0.2902777777777778</v>
      </c>
      <c r="G271" s="25">
        <v>0.5486111111111112</v>
      </c>
      <c r="H271" s="27">
        <f t="shared" si="2"/>
        <v>0.2583333333</v>
      </c>
      <c r="I271" s="28">
        <v>1.0</v>
      </c>
      <c r="J271" s="29" t="s">
        <v>237</v>
      </c>
      <c r="K271" s="30" t="s">
        <v>23</v>
      </c>
      <c r="L271" s="31" t="str">
        <f>IFERROR(__xludf.DUMMYFUNCTION("IF(OR(E271="""",K271=""""),"""",IFERROR(IF(K271="""","""",query('tbl user'!$A$2:$D10975,""SELECT A WHERE D = '""&amp;K271&amp;""'"")),""USER TIDAK DIKETAHUI""))"),"#REF!")</f>
        <v>#REF!</v>
      </c>
    </row>
    <row r="272">
      <c r="A272" s="21">
        <f t="shared" si="1"/>
        <v>0</v>
      </c>
      <c r="B272" s="32" t="s">
        <v>258</v>
      </c>
      <c r="C272" s="23" t="s">
        <v>259</v>
      </c>
      <c r="D272" s="23" t="s">
        <v>21</v>
      </c>
      <c r="E272" s="24">
        <v>45385.0</v>
      </c>
      <c r="F272" s="25">
        <v>0.2534722222222222</v>
      </c>
      <c r="G272" s="25">
        <v>0.6645833333333333</v>
      </c>
      <c r="H272" s="27">
        <f t="shared" si="2"/>
        <v>0.4111111111</v>
      </c>
      <c r="I272" s="28">
        <v>2.0</v>
      </c>
      <c r="J272" s="29" t="s">
        <v>357</v>
      </c>
      <c r="K272" s="30" t="s">
        <v>23</v>
      </c>
      <c r="L272" s="31" t="str">
        <f>IFERROR(__xludf.DUMMYFUNCTION("IF(OR(E272="""",K272=""""),"""",IFERROR(IF(K272="""","""",query('tbl user'!$A$2:$D10975,""SELECT A WHERE D = '""&amp;K272&amp;""'"")),""USER TIDAK DIKETAHUI""))"),"#REF!")</f>
        <v>#REF!</v>
      </c>
    </row>
    <row r="273">
      <c r="A273" s="21">
        <f t="shared" si="1"/>
        <v>0</v>
      </c>
      <c r="B273" s="32" t="s">
        <v>260</v>
      </c>
      <c r="C273" s="23" t="s">
        <v>261</v>
      </c>
      <c r="D273" s="23" t="s">
        <v>21</v>
      </c>
      <c r="E273" s="24">
        <v>45385.0</v>
      </c>
      <c r="F273" s="25">
        <v>0.2375</v>
      </c>
      <c r="G273" s="25">
        <v>0.7361111111111112</v>
      </c>
      <c r="H273" s="27">
        <f t="shared" si="2"/>
        <v>0.4986111111</v>
      </c>
      <c r="I273" s="28">
        <v>3.0</v>
      </c>
      <c r="J273" s="29" t="s">
        <v>55</v>
      </c>
      <c r="K273" s="30" t="s">
        <v>23</v>
      </c>
      <c r="L273" s="31" t="str">
        <f>IFERROR(__xludf.DUMMYFUNCTION("IF(OR(E273="""",K273=""""),"""",IFERROR(IF(K273="""","""",query('tbl user'!$A$2:$D10975,""SELECT A WHERE D = '""&amp;K273&amp;""'"")),""USER TIDAK DIKETAHUI""))"),"#REF!")</f>
        <v>#REF!</v>
      </c>
    </row>
    <row r="274">
      <c r="A274" s="21">
        <f t="shared" si="1"/>
        <v>0</v>
      </c>
      <c r="B274" s="32" t="s">
        <v>37</v>
      </c>
      <c r="C274" s="23" t="s">
        <v>38</v>
      </c>
      <c r="D274" s="23" t="s">
        <v>21</v>
      </c>
      <c r="E274" s="24">
        <v>45385.0</v>
      </c>
      <c r="F274" s="25">
        <v>0.25763888888888886</v>
      </c>
      <c r="G274" s="25">
        <v>0.7090277777777778</v>
      </c>
      <c r="H274" s="27">
        <f t="shared" si="2"/>
        <v>0.4513888889</v>
      </c>
      <c r="I274" s="28">
        <v>4.0</v>
      </c>
      <c r="J274" s="29" t="s">
        <v>55</v>
      </c>
      <c r="K274" s="30" t="s">
        <v>23</v>
      </c>
      <c r="L274" s="31" t="str">
        <f>IFERROR(__xludf.DUMMYFUNCTION("IF(OR(E274="""",K274=""""),"""",IFERROR(IF(K274="""","""",query('tbl user'!$A$2:$D10975,""SELECT A WHERE D = '""&amp;K274&amp;""'"")),""USER TIDAK DIKETAHUI""))"),"#REF!")</f>
        <v>#REF!</v>
      </c>
    </row>
    <row r="275">
      <c r="A275" s="21">
        <f t="shared" si="1"/>
        <v>0</v>
      </c>
      <c r="B275" s="32" t="s">
        <v>61</v>
      </c>
      <c r="C275" s="23" t="s">
        <v>62</v>
      </c>
      <c r="D275" s="23" t="s">
        <v>21</v>
      </c>
      <c r="E275" s="24">
        <v>45385.0</v>
      </c>
      <c r="F275" s="25">
        <v>0.2875</v>
      </c>
      <c r="G275" s="25">
        <v>0.69375</v>
      </c>
      <c r="H275" s="27">
        <f t="shared" si="2"/>
        <v>0.40625</v>
      </c>
      <c r="I275" s="28">
        <v>4.0</v>
      </c>
      <c r="J275" s="29" t="s">
        <v>55</v>
      </c>
      <c r="K275" s="30" t="s">
        <v>23</v>
      </c>
      <c r="L275" s="31" t="str">
        <f>IFERROR(__xludf.DUMMYFUNCTION("IF(OR(E275="""",K275=""""),"""",IFERROR(IF(K275="""","""",query('tbl user'!$A$2:$D10975,""SELECT A WHERE D = '""&amp;K275&amp;""'"")),""USER TIDAK DIKETAHUI""))"),"#REF!")</f>
        <v>#REF!</v>
      </c>
    </row>
    <row r="276">
      <c r="A276" s="21">
        <f t="shared" si="1"/>
        <v>0</v>
      </c>
      <c r="B276" s="28" t="b">
        <v>0</v>
      </c>
      <c r="C276" s="23" t="s">
        <v>282</v>
      </c>
      <c r="D276" s="23" t="s">
        <v>21</v>
      </c>
      <c r="E276" s="24">
        <v>45385.0</v>
      </c>
      <c r="F276" s="25">
        <v>0.28055555555555556</v>
      </c>
      <c r="G276" s="25">
        <v>0.5708333333333333</v>
      </c>
      <c r="H276" s="27">
        <f t="shared" si="2"/>
        <v>0.2902777778</v>
      </c>
      <c r="I276" s="28">
        <v>2.0</v>
      </c>
      <c r="J276" s="29" t="s">
        <v>358</v>
      </c>
      <c r="K276" s="30" t="s">
        <v>23</v>
      </c>
      <c r="L276" s="31" t="str">
        <f>IFERROR(__xludf.DUMMYFUNCTION("IF(OR(E276="""",K276=""""),"""",IFERROR(IF(K276="""","""",query('tbl user'!$A$2:$D10975,""SELECT A WHERE D = '""&amp;K276&amp;""'"")),""USER TIDAK DIKETAHUI""))"),"#REF!")</f>
        <v>#REF!</v>
      </c>
    </row>
    <row r="277">
      <c r="A277" s="21">
        <f t="shared" si="1"/>
        <v>0</v>
      </c>
      <c r="B277" s="32" t="s">
        <v>289</v>
      </c>
      <c r="C277" s="23" t="s">
        <v>290</v>
      </c>
      <c r="D277" s="23" t="s">
        <v>21</v>
      </c>
      <c r="E277" s="24">
        <v>45385.0</v>
      </c>
      <c r="F277" s="25">
        <v>0.29375</v>
      </c>
      <c r="G277" s="25">
        <v>0.6666666666666666</v>
      </c>
      <c r="H277" s="27">
        <f t="shared" si="2"/>
        <v>0.3729166667</v>
      </c>
      <c r="I277" s="28">
        <v>3.0</v>
      </c>
      <c r="J277" s="29" t="s">
        <v>352</v>
      </c>
      <c r="K277" s="30" t="s">
        <v>23</v>
      </c>
      <c r="L277" s="31" t="str">
        <f>IFERROR(__xludf.DUMMYFUNCTION("IF(OR(E277="""",K277=""""),"""",IFERROR(IF(K277="""","""",query('tbl user'!$A$2:$D10975,""SELECT A WHERE D = '""&amp;K277&amp;""'"")),""USER TIDAK DIKETAHUI""))"),"#REF!")</f>
        <v>#REF!</v>
      </c>
    </row>
    <row r="278">
      <c r="A278" s="21">
        <f t="shared" si="1"/>
        <v>0</v>
      </c>
      <c r="B278" s="32" t="s">
        <v>64</v>
      </c>
      <c r="C278" s="23" t="s">
        <v>65</v>
      </c>
      <c r="D278" s="23" t="s">
        <v>21</v>
      </c>
      <c r="E278" s="24">
        <v>45385.0</v>
      </c>
      <c r="F278" s="25">
        <v>0.2708333333333333</v>
      </c>
      <c r="G278" s="25">
        <v>0.69375</v>
      </c>
      <c r="H278" s="27">
        <f t="shared" si="2"/>
        <v>0.4229166667</v>
      </c>
      <c r="I278" s="28">
        <v>4.0</v>
      </c>
      <c r="J278" s="29" t="s">
        <v>55</v>
      </c>
      <c r="K278" s="30" t="s">
        <v>23</v>
      </c>
      <c r="L278" s="31" t="str">
        <f>IFERROR(__xludf.DUMMYFUNCTION("IF(OR(E278="""",K278=""""),"""",IFERROR(IF(K278="""","""",query('tbl user'!$A$2:$D10975,""SELECT A WHERE D = '""&amp;K278&amp;""'"")),""USER TIDAK DIKETAHUI""))"),"#REF!")</f>
        <v>#REF!</v>
      </c>
    </row>
    <row r="279">
      <c r="A279" s="21">
        <f t="shared" si="1"/>
        <v>0</v>
      </c>
      <c r="B279" s="32" t="s">
        <v>51</v>
      </c>
      <c r="C279" s="23" t="s">
        <v>27</v>
      </c>
      <c r="D279" s="23" t="s">
        <v>21</v>
      </c>
      <c r="E279" s="24">
        <v>45385.0</v>
      </c>
      <c r="F279" s="25">
        <v>0.2875</v>
      </c>
      <c r="G279" s="25">
        <v>0.6229166666666667</v>
      </c>
      <c r="H279" s="27">
        <f t="shared" si="2"/>
        <v>0.3354166667</v>
      </c>
      <c r="I279" s="28">
        <v>3.0</v>
      </c>
      <c r="J279" s="29" t="s">
        <v>352</v>
      </c>
      <c r="K279" s="30" t="s">
        <v>23</v>
      </c>
      <c r="L279" s="31" t="str">
        <f>IFERROR(__xludf.DUMMYFUNCTION("IF(OR(E279="""",K279=""""),"""",IFERROR(IF(K279="""","""",query('tbl user'!$A$2:$D10975,""SELECT A WHERE D = '""&amp;K279&amp;""'"")),""USER TIDAK DIKETAHUI""))"),"#REF!")</f>
        <v>#REF!</v>
      </c>
    </row>
    <row r="280">
      <c r="A280" s="21">
        <f t="shared" si="1"/>
        <v>0</v>
      </c>
      <c r="B280" s="32" t="s">
        <v>286</v>
      </c>
      <c r="C280" s="23" t="s">
        <v>287</v>
      </c>
      <c r="D280" s="23" t="s">
        <v>21</v>
      </c>
      <c r="E280" s="24">
        <v>45385.0</v>
      </c>
      <c r="F280" s="25">
        <v>0.2652777777777778</v>
      </c>
      <c r="G280" s="25">
        <v>0.6152777777777778</v>
      </c>
      <c r="H280" s="27">
        <f t="shared" si="2"/>
        <v>0.35</v>
      </c>
      <c r="I280" s="28">
        <v>3.0</v>
      </c>
      <c r="J280" s="29" t="s">
        <v>352</v>
      </c>
      <c r="K280" s="30" t="s">
        <v>23</v>
      </c>
      <c r="L280" s="31" t="str">
        <f>IFERROR(__xludf.DUMMYFUNCTION("IF(OR(E280="""",K280=""""),"""",IFERROR(IF(K280="""","""",query('tbl user'!$A$2:$D10975,""SELECT A WHERE D = '""&amp;K280&amp;""'"")),""USER TIDAK DIKETAHUI""))"),"#REF!")</f>
        <v>#REF!</v>
      </c>
    </row>
    <row r="281">
      <c r="A281" s="21">
        <f t="shared" si="1"/>
        <v>0</v>
      </c>
      <c r="B281" s="32" t="s">
        <v>113</v>
      </c>
      <c r="C281" s="23" t="s">
        <v>114</v>
      </c>
      <c r="D281" s="23" t="s">
        <v>32</v>
      </c>
      <c r="E281" s="24">
        <v>45385.0</v>
      </c>
      <c r="F281" s="25">
        <v>0.25</v>
      </c>
      <c r="G281" s="25">
        <v>0.7027777777777777</v>
      </c>
      <c r="H281" s="27">
        <f t="shared" si="2"/>
        <v>0.4527777778</v>
      </c>
      <c r="I281" s="28">
        <v>0.0</v>
      </c>
      <c r="J281" s="29" t="s">
        <v>359</v>
      </c>
      <c r="K281" s="30" t="s">
        <v>23</v>
      </c>
      <c r="L281" s="31" t="str">
        <f>IFERROR(__xludf.DUMMYFUNCTION("IF(OR(E281="""",K281=""""),"""",IFERROR(IF(K281="""","""",query('tbl user'!$A$2:$D10975,""SELECT A WHERE D = '""&amp;K281&amp;""'"")),""USER TIDAK DIKETAHUI""))"),"#REF!")</f>
        <v>#REF!</v>
      </c>
    </row>
    <row r="282">
      <c r="A282" s="21">
        <f t="shared" si="1"/>
        <v>0</v>
      </c>
      <c r="B282" s="32" t="s">
        <v>113</v>
      </c>
      <c r="C282" s="23" t="s">
        <v>114</v>
      </c>
      <c r="D282" s="23" t="s">
        <v>32</v>
      </c>
      <c r="E282" s="24">
        <v>45385.0</v>
      </c>
      <c r="F282" s="25">
        <v>0.2548611111111111</v>
      </c>
      <c r="G282" s="25">
        <v>0.6097222222222223</v>
      </c>
      <c r="H282" s="27">
        <f t="shared" si="2"/>
        <v>0.3548611111</v>
      </c>
      <c r="I282" s="28">
        <v>3.0</v>
      </c>
      <c r="J282" s="29" t="s">
        <v>360</v>
      </c>
      <c r="K282" s="30" t="s">
        <v>23</v>
      </c>
      <c r="L282" s="31" t="str">
        <f>IFERROR(__xludf.DUMMYFUNCTION("IF(OR(E282="""",K282=""""),"""",IFERROR(IF(K282="""","""",query('tbl user'!$A$2:$D10975,""SELECT A WHERE D = '""&amp;K282&amp;""'"")),""USER TIDAK DIKETAHUI""))"),"#REF!")</f>
        <v>#REF!</v>
      </c>
    </row>
    <row r="283">
      <c r="A283" s="21">
        <f t="shared" si="1"/>
        <v>0</v>
      </c>
      <c r="B283" s="32" t="s">
        <v>46</v>
      </c>
      <c r="C283" s="23" t="s">
        <v>47</v>
      </c>
      <c r="D283" s="23" t="s">
        <v>32</v>
      </c>
      <c r="E283" s="24">
        <v>45385.0</v>
      </c>
      <c r="F283" s="25">
        <v>0.28680555555555554</v>
      </c>
      <c r="G283" s="25">
        <v>0.7041666666666667</v>
      </c>
      <c r="H283" s="27">
        <f t="shared" si="2"/>
        <v>0.4173611111</v>
      </c>
      <c r="I283" s="28">
        <v>3.0</v>
      </c>
      <c r="J283" s="29" t="s">
        <v>361</v>
      </c>
      <c r="K283" s="30" t="s">
        <v>23</v>
      </c>
      <c r="L283" s="31" t="str">
        <f>IFERROR(__xludf.DUMMYFUNCTION("IF(OR(E283="""",K283=""""),"""",IFERROR(IF(K283="""","""",query('tbl user'!$A$2:$D10975,""SELECT A WHERE D = '""&amp;K283&amp;""'"")),""USER TIDAK DIKETAHUI""))"),"#REF!")</f>
        <v>#REF!</v>
      </c>
    </row>
    <row r="284">
      <c r="A284" s="21">
        <f t="shared" si="1"/>
        <v>0</v>
      </c>
      <c r="B284" s="32" t="s">
        <v>263</v>
      </c>
      <c r="C284" s="23" t="s">
        <v>264</v>
      </c>
      <c r="D284" s="23" t="s">
        <v>32</v>
      </c>
      <c r="E284" s="24">
        <v>45385.0</v>
      </c>
      <c r="F284" s="25">
        <v>0.2513888888888889</v>
      </c>
      <c r="G284" s="25">
        <v>0.6458333333333334</v>
      </c>
      <c r="H284" s="27">
        <f t="shared" si="2"/>
        <v>0.3944444444</v>
      </c>
      <c r="I284" s="28">
        <v>3.0</v>
      </c>
      <c r="J284" s="29" t="s">
        <v>245</v>
      </c>
      <c r="K284" s="30" t="s">
        <v>23</v>
      </c>
      <c r="L284" s="31" t="str">
        <f>IFERROR(__xludf.DUMMYFUNCTION("IF(OR(E284="""",K284=""""),"""",IFERROR(IF(K284="""","""",query('tbl user'!$A$2:$D10975,""SELECT A WHERE D = '""&amp;K284&amp;""'"")),""USER TIDAK DIKETAHUI""))"),"#REF!")</f>
        <v>#REF!</v>
      </c>
    </row>
    <row r="285">
      <c r="A285" s="21">
        <f t="shared" si="1"/>
        <v>0</v>
      </c>
      <c r="B285" s="32" t="s">
        <v>123</v>
      </c>
      <c r="C285" s="23" t="s">
        <v>124</v>
      </c>
      <c r="D285" s="23" t="s">
        <v>32</v>
      </c>
      <c r="E285" s="24">
        <v>45385.0</v>
      </c>
      <c r="F285" s="25">
        <v>0.28958333333333336</v>
      </c>
      <c r="G285" s="25">
        <v>0.7472222222222222</v>
      </c>
      <c r="H285" s="27">
        <f t="shared" si="2"/>
        <v>0.4576388889</v>
      </c>
      <c r="I285" s="28">
        <v>3.0</v>
      </c>
      <c r="J285" s="29" t="s">
        <v>362</v>
      </c>
      <c r="K285" s="30" t="s">
        <v>23</v>
      </c>
      <c r="L285" s="31" t="str">
        <f>IFERROR(__xludf.DUMMYFUNCTION("IF(OR(E285="""",K285=""""),"""",IFERROR(IF(K285="""","""",query('tbl user'!$A$2:$D10975,""SELECT A WHERE D = '""&amp;K285&amp;""'"")),""USER TIDAK DIKETAHUI""))"),"#REF!")</f>
        <v>#REF!</v>
      </c>
    </row>
    <row r="286">
      <c r="A286" s="21">
        <f t="shared" si="1"/>
        <v>0</v>
      </c>
      <c r="B286" s="32" t="s">
        <v>363</v>
      </c>
      <c r="C286" s="23" t="s">
        <v>90</v>
      </c>
      <c r="D286" s="23" t="s">
        <v>32</v>
      </c>
      <c r="E286" s="24">
        <v>45385.0</v>
      </c>
      <c r="F286" s="25">
        <v>0.29375</v>
      </c>
      <c r="G286" s="25">
        <v>0.6465277777777778</v>
      </c>
      <c r="H286" s="27">
        <f t="shared" si="2"/>
        <v>0.3527777778</v>
      </c>
      <c r="I286" s="28">
        <v>3.0</v>
      </c>
      <c r="J286" s="29" t="s">
        <v>364</v>
      </c>
      <c r="K286" s="30" t="s">
        <v>23</v>
      </c>
      <c r="L286" s="31" t="str">
        <f>IFERROR(__xludf.DUMMYFUNCTION("IF(OR(E286="""",K286=""""),"""",IFERROR(IF(K286="""","""",query('tbl user'!$A$2:$D10975,""SELECT A WHERE D = '""&amp;K286&amp;""'"")),""USER TIDAK DIKETAHUI""))"),"#REF!")</f>
        <v>#REF!</v>
      </c>
    </row>
    <row r="287">
      <c r="A287" s="21">
        <f t="shared" si="1"/>
        <v>0</v>
      </c>
      <c r="B287" s="32" t="s">
        <v>30</v>
      </c>
      <c r="C287" s="23" t="s">
        <v>31</v>
      </c>
      <c r="D287" s="23" t="s">
        <v>32</v>
      </c>
      <c r="E287" s="24">
        <v>45385.0</v>
      </c>
      <c r="F287" s="25">
        <v>0.2861111111111111</v>
      </c>
      <c r="G287" s="25">
        <v>0.7479166666666667</v>
      </c>
      <c r="H287" s="27">
        <f t="shared" si="2"/>
        <v>0.4618055556</v>
      </c>
      <c r="I287" s="28">
        <v>3.0</v>
      </c>
      <c r="J287" s="29" t="s">
        <v>365</v>
      </c>
      <c r="K287" s="30" t="s">
        <v>23</v>
      </c>
      <c r="L287" s="31" t="str">
        <f>IFERROR(__xludf.DUMMYFUNCTION("IF(OR(E287="""",K287=""""),"""",IFERROR(IF(K287="""","""",query('tbl user'!$A$2:$D10975,""SELECT A WHERE D = '""&amp;K287&amp;""'"")),""USER TIDAK DIKETAHUI""))"),"#REF!")</f>
        <v>#REF!</v>
      </c>
    </row>
    <row r="288">
      <c r="A288" s="21">
        <f t="shared" si="1"/>
        <v>0</v>
      </c>
      <c r="B288" s="32" t="s">
        <v>125</v>
      </c>
      <c r="C288" s="23" t="s">
        <v>96</v>
      </c>
      <c r="D288" s="23" t="s">
        <v>32</v>
      </c>
      <c r="E288" s="24">
        <v>45385.0</v>
      </c>
      <c r="F288" s="25">
        <v>0.2902777777777778</v>
      </c>
      <c r="G288" s="25">
        <v>0.6222222222222222</v>
      </c>
      <c r="H288" s="27">
        <f t="shared" si="2"/>
        <v>0.3319444444</v>
      </c>
      <c r="I288" s="28">
        <v>3.0</v>
      </c>
      <c r="J288" s="29" t="s">
        <v>366</v>
      </c>
      <c r="K288" s="30" t="s">
        <v>23</v>
      </c>
      <c r="L288" s="31" t="str">
        <f>IFERROR(__xludf.DUMMYFUNCTION("IF(OR(E288="""",K288=""""),"""",IFERROR(IF(K288="""","""",query('tbl user'!$A$2:$D10975,""SELECT A WHERE D = '""&amp;K288&amp;""'"")),""USER TIDAK DIKETAHUI""))"),"#REF!")</f>
        <v>#REF!</v>
      </c>
    </row>
    <row r="289">
      <c r="A289" s="21">
        <f t="shared" si="1"/>
        <v>0</v>
      </c>
      <c r="B289" s="32" t="s">
        <v>110</v>
      </c>
      <c r="C289" s="23" t="s">
        <v>111</v>
      </c>
      <c r="D289" s="23" t="s">
        <v>32</v>
      </c>
      <c r="E289" s="24">
        <v>45385.0</v>
      </c>
      <c r="F289" s="25">
        <v>0.27152777777777776</v>
      </c>
      <c r="G289" s="25">
        <v>0.7090277777777778</v>
      </c>
      <c r="H289" s="27">
        <f t="shared" si="2"/>
        <v>0.4375</v>
      </c>
      <c r="I289" s="28">
        <v>4.0</v>
      </c>
      <c r="J289" s="29" t="s">
        <v>55</v>
      </c>
      <c r="K289" s="30" t="s">
        <v>23</v>
      </c>
      <c r="L289" s="31" t="str">
        <f>IFERROR(__xludf.DUMMYFUNCTION("IF(OR(E289="""",K289=""""),"""",IFERROR(IF(K289="""","""",query('tbl user'!$A$2:$D10975,""SELECT A WHERE D = '""&amp;K289&amp;""'"")),""USER TIDAK DIKETAHUI""))"),"#REF!")</f>
        <v>#REF!</v>
      </c>
    </row>
    <row r="290">
      <c r="A290" s="21">
        <f t="shared" si="1"/>
        <v>0</v>
      </c>
      <c r="B290" s="32" t="s">
        <v>118</v>
      </c>
      <c r="C290" s="23" t="s">
        <v>119</v>
      </c>
      <c r="D290" s="23" t="s">
        <v>32</v>
      </c>
      <c r="E290" s="24">
        <v>45385.0</v>
      </c>
      <c r="F290" s="25">
        <v>0.23472222222222222</v>
      </c>
      <c r="G290" s="25">
        <v>0.7486111111111111</v>
      </c>
      <c r="H290" s="27">
        <f t="shared" si="2"/>
        <v>0.5138888889</v>
      </c>
      <c r="I290" s="28">
        <v>4.0</v>
      </c>
      <c r="J290" s="29" t="s">
        <v>55</v>
      </c>
      <c r="K290" s="30" t="s">
        <v>23</v>
      </c>
      <c r="L290" s="31" t="str">
        <f>IFERROR(__xludf.DUMMYFUNCTION("IF(OR(E290="""",K290=""""),"""",IFERROR(IF(K290="""","""",query('tbl user'!$A$2:$D10975,""SELECT A WHERE D = '""&amp;K290&amp;""'"")),""USER TIDAK DIKETAHUI""))"),"#REF!")</f>
        <v>#REF!</v>
      </c>
    </row>
    <row r="291">
      <c r="A291" s="21">
        <f t="shared" si="1"/>
        <v>0</v>
      </c>
      <c r="B291" s="32" t="s">
        <v>120</v>
      </c>
      <c r="C291" s="23" t="s">
        <v>121</v>
      </c>
      <c r="D291" s="23" t="s">
        <v>32</v>
      </c>
      <c r="E291" s="24">
        <v>45385.0</v>
      </c>
      <c r="F291" s="25">
        <v>0.24791666666666667</v>
      </c>
      <c r="G291" s="25">
        <v>0.7513888888888889</v>
      </c>
      <c r="H291" s="27">
        <f t="shared" si="2"/>
        <v>0.5034722222</v>
      </c>
      <c r="I291" s="28">
        <v>4.0</v>
      </c>
      <c r="J291" s="29" t="s">
        <v>55</v>
      </c>
      <c r="K291" s="30" t="s">
        <v>23</v>
      </c>
      <c r="L291" s="31" t="str">
        <f>IFERROR(__xludf.DUMMYFUNCTION("IF(OR(E291="""",K291=""""),"""",IFERROR(IF(K291="""","""",query('tbl user'!$A$2:$D10975,""SELECT A WHERE D = '""&amp;K291&amp;""'"")),""USER TIDAK DIKETAHUI""))"),"#REF!")</f>
        <v>#REF!</v>
      </c>
    </row>
    <row r="292">
      <c r="A292" s="21">
        <f t="shared" si="1"/>
        <v>0</v>
      </c>
      <c r="B292" s="32" t="s">
        <v>137</v>
      </c>
      <c r="C292" s="23" t="s">
        <v>138</v>
      </c>
      <c r="D292" s="23" t="s">
        <v>32</v>
      </c>
      <c r="E292" s="24">
        <v>45385.0</v>
      </c>
      <c r="F292" s="25">
        <v>0.2951388888888889</v>
      </c>
      <c r="G292" s="25">
        <v>0.7465277777777778</v>
      </c>
      <c r="H292" s="27">
        <f t="shared" si="2"/>
        <v>0.4513888889</v>
      </c>
      <c r="I292" s="28">
        <v>4.0</v>
      </c>
      <c r="J292" s="29" t="s">
        <v>55</v>
      </c>
      <c r="K292" s="30" t="s">
        <v>23</v>
      </c>
      <c r="L292" s="31" t="str">
        <f>IFERROR(__xludf.DUMMYFUNCTION("IF(OR(E292="""",K292=""""),"""",IFERROR(IF(K292="""","""",query('tbl user'!$A$2:$D10975,""SELECT A WHERE D = '""&amp;K292&amp;""'"")),""USER TIDAK DIKETAHUI""))"),"#REF!")</f>
        <v>#REF!</v>
      </c>
    </row>
    <row r="293">
      <c r="A293" s="21">
        <f t="shared" si="1"/>
        <v>0</v>
      </c>
      <c r="B293" s="32" t="s">
        <v>269</v>
      </c>
      <c r="C293" s="23" t="s">
        <v>270</v>
      </c>
      <c r="D293" s="23" t="s">
        <v>32</v>
      </c>
      <c r="E293" s="24">
        <v>45385.0</v>
      </c>
      <c r="F293" s="25">
        <v>0.29097222222222224</v>
      </c>
      <c r="G293" s="25">
        <v>0.7395833333333334</v>
      </c>
      <c r="H293" s="27">
        <f t="shared" si="2"/>
        <v>0.4486111111</v>
      </c>
      <c r="I293" s="28">
        <v>4.0</v>
      </c>
      <c r="J293" s="29" t="s">
        <v>55</v>
      </c>
      <c r="K293" s="30" t="s">
        <v>23</v>
      </c>
      <c r="L293" s="31" t="str">
        <f>IFERROR(__xludf.DUMMYFUNCTION("IF(OR(E293="""",K293=""""),"""",IFERROR(IF(K293="""","""",query('tbl user'!$A$2:$D10975,""SELECT A WHERE D = '""&amp;K293&amp;""'"")),""USER TIDAK DIKETAHUI""))"),"#REF!")</f>
        <v>#REF!</v>
      </c>
    </row>
    <row r="294">
      <c r="A294" s="21">
        <f t="shared" si="1"/>
        <v>0</v>
      </c>
      <c r="B294" s="32" t="s">
        <v>277</v>
      </c>
      <c r="C294" s="23" t="s">
        <v>278</v>
      </c>
      <c r="D294" s="23" t="s">
        <v>32</v>
      </c>
      <c r="E294" s="24">
        <v>45385.0</v>
      </c>
      <c r="F294" s="25">
        <v>0.2590277777777778</v>
      </c>
      <c r="G294" s="25">
        <v>0.7236111111111111</v>
      </c>
      <c r="H294" s="27">
        <f t="shared" si="2"/>
        <v>0.4645833333</v>
      </c>
      <c r="I294" s="28">
        <v>4.0</v>
      </c>
      <c r="J294" s="29" t="s">
        <v>55</v>
      </c>
      <c r="K294" s="30" t="s">
        <v>23</v>
      </c>
      <c r="L294" s="31" t="str">
        <f>IFERROR(__xludf.DUMMYFUNCTION("IF(OR(E294="""",K294=""""),"""",IFERROR(IF(K294="""","""",query('tbl user'!$A$2:$D10975,""SELECT A WHERE D = '""&amp;K294&amp;""'"")),""USER TIDAK DIKETAHUI""))"),"#REF!")</f>
        <v>#REF!</v>
      </c>
    </row>
    <row r="295">
      <c r="A295" s="21">
        <f t="shared" si="1"/>
        <v>0</v>
      </c>
      <c r="B295" s="32" t="s">
        <v>279</v>
      </c>
      <c r="C295" s="23" t="s">
        <v>280</v>
      </c>
      <c r="D295" s="23" t="s">
        <v>32</v>
      </c>
      <c r="E295" s="24">
        <v>45385.0</v>
      </c>
      <c r="F295" s="25">
        <v>0.2861111111111111</v>
      </c>
      <c r="G295" s="25">
        <v>0.6944444444444444</v>
      </c>
      <c r="H295" s="27">
        <f t="shared" si="2"/>
        <v>0.4083333333</v>
      </c>
      <c r="I295" s="28">
        <v>4.0</v>
      </c>
      <c r="J295" s="29" t="s">
        <v>55</v>
      </c>
      <c r="K295" s="30" t="s">
        <v>23</v>
      </c>
      <c r="L295" s="31" t="str">
        <f>IFERROR(__xludf.DUMMYFUNCTION("IF(OR(E295="""",K295=""""),"""",IFERROR(IF(K295="""","""",query('tbl user'!$A$2:$D10975,""SELECT A WHERE D = '""&amp;K295&amp;""'"")),""USER TIDAK DIKETAHUI""))"),"#REF!")</f>
        <v>#REF!</v>
      </c>
    </row>
    <row r="296">
      <c r="A296" s="21">
        <f t="shared" si="1"/>
        <v>0</v>
      </c>
      <c r="B296" s="32" t="s">
        <v>144</v>
      </c>
      <c r="C296" s="23" t="s">
        <v>145</v>
      </c>
      <c r="D296" s="23" t="s">
        <v>32</v>
      </c>
      <c r="E296" s="24">
        <v>45385.0</v>
      </c>
      <c r="F296" s="25">
        <v>0.2902777777777778</v>
      </c>
      <c r="G296" s="25">
        <v>0.7465277777777778</v>
      </c>
      <c r="H296" s="27">
        <f t="shared" si="2"/>
        <v>0.45625</v>
      </c>
      <c r="I296" s="28">
        <v>4.0</v>
      </c>
      <c r="J296" s="29" t="s">
        <v>55</v>
      </c>
      <c r="K296" s="30" t="s">
        <v>23</v>
      </c>
      <c r="L296" s="31" t="str">
        <f>IFERROR(__xludf.DUMMYFUNCTION("IF(OR(E296="""",K296=""""),"""",IFERROR(IF(K296="""","""",query('tbl user'!$A$2:$D10975,""SELECT A WHERE D = '""&amp;K296&amp;""'"")),""USER TIDAK DIKETAHUI""))"),"#REF!")</f>
        <v>#REF!</v>
      </c>
    </row>
    <row r="297">
      <c r="A297" s="21">
        <f t="shared" si="1"/>
        <v>0</v>
      </c>
      <c r="B297" s="32" t="s">
        <v>146</v>
      </c>
      <c r="C297" s="23" t="s">
        <v>147</v>
      </c>
      <c r="D297" s="23" t="s">
        <v>32</v>
      </c>
      <c r="E297" s="24">
        <v>45385.0</v>
      </c>
      <c r="F297" s="25">
        <v>0.2465277777777778</v>
      </c>
      <c r="G297" s="25">
        <v>0.7055555555555556</v>
      </c>
      <c r="H297" s="27">
        <f t="shared" si="2"/>
        <v>0.4590277778</v>
      </c>
      <c r="I297" s="28">
        <v>4.0</v>
      </c>
      <c r="J297" s="29" t="s">
        <v>55</v>
      </c>
      <c r="K297" s="30" t="s">
        <v>23</v>
      </c>
      <c r="L297" s="31" t="str">
        <f>IFERROR(__xludf.DUMMYFUNCTION("IF(OR(E297="""",K297=""""),"""",IFERROR(IF(K297="""","""",query('tbl user'!$A$2:$D10975,""SELECT A WHERE D = '""&amp;K297&amp;""'"")),""USER TIDAK DIKETAHUI""))"),"#REF!")</f>
        <v>#REF!</v>
      </c>
    </row>
    <row r="298">
      <c r="A298" s="21">
        <f t="shared" si="1"/>
        <v>0</v>
      </c>
      <c r="B298" s="32" t="s">
        <v>149</v>
      </c>
      <c r="C298" s="23" t="s">
        <v>150</v>
      </c>
      <c r="D298" s="23" t="s">
        <v>32</v>
      </c>
      <c r="E298" s="24">
        <v>45385.0</v>
      </c>
      <c r="F298" s="25">
        <v>0.21944444444444444</v>
      </c>
      <c r="G298" s="25">
        <v>0.6944444444444444</v>
      </c>
      <c r="H298" s="27">
        <f t="shared" si="2"/>
        <v>0.475</v>
      </c>
      <c r="I298" s="28">
        <v>4.0</v>
      </c>
      <c r="J298" s="29" t="s">
        <v>55</v>
      </c>
      <c r="K298" s="30" t="s">
        <v>23</v>
      </c>
      <c r="L298" s="31" t="str">
        <f>IFERROR(__xludf.DUMMYFUNCTION("IF(OR(E298="""",K298=""""),"""",IFERROR(IF(K298="""","""",query('tbl user'!$A$2:$D10975,""SELECT A WHERE D = '""&amp;K298&amp;""'"")),""USER TIDAK DIKETAHUI""))"),"#REF!")</f>
        <v>#REF!</v>
      </c>
    </row>
    <row r="299">
      <c r="A299" s="21">
        <f t="shared" si="1"/>
        <v>0</v>
      </c>
      <c r="B299" s="32" t="s">
        <v>274</v>
      </c>
      <c r="C299" s="23" t="s">
        <v>275</v>
      </c>
      <c r="D299" s="23" t="s">
        <v>32</v>
      </c>
      <c r="E299" s="24">
        <v>45385.0</v>
      </c>
      <c r="F299" s="25">
        <v>0.2625</v>
      </c>
      <c r="G299" s="25">
        <v>0.7423611111111111</v>
      </c>
      <c r="H299" s="27">
        <f t="shared" si="2"/>
        <v>0.4798611111</v>
      </c>
      <c r="I299" s="28">
        <v>4.0</v>
      </c>
      <c r="J299" s="29" t="s">
        <v>55</v>
      </c>
      <c r="K299" s="30" t="s">
        <v>23</v>
      </c>
      <c r="L299" s="31" t="str">
        <f>IFERROR(__xludf.DUMMYFUNCTION("IF(OR(E299="""",K299=""""),"""",IFERROR(IF(K299="""","""",query('tbl user'!$A$2:$D10975,""SELECT A WHERE D = '""&amp;K299&amp;""'"")),""USER TIDAK DIKETAHUI""))"),"#REF!")</f>
        <v>#REF!</v>
      </c>
    </row>
    <row r="300">
      <c r="A300" s="21">
        <f t="shared" si="1"/>
        <v>0</v>
      </c>
      <c r="B300" s="32" t="s">
        <v>151</v>
      </c>
      <c r="C300" s="23" t="s">
        <v>152</v>
      </c>
      <c r="D300" s="23" t="s">
        <v>32</v>
      </c>
      <c r="E300" s="24">
        <v>45385.0</v>
      </c>
      <c r="F300" s="25">
        <v>0.2520833333333333</v>
      </c>
      <c r="G300" s="25">
        <v>0.6534722222222222</v>
      </c>
      <c r="H300" s="27">
        <f t="shared" si="2"/>
        <v>0.4013888889</v>
      </c>
      <c r="I300" s="28">
        <v>4.0</v>
      </c>
      <c r="J300" s="29" t="s">
        <v>55</v>
      </c>
      <c r="K300" s="30" t="s">
        <v>23</v>
      </c>
      <c r="L300" s="31" t="str">
        <f>IFERROR(__xludf.DUMMYFUNCTION("IF(OR(E300="""",K300=""""),"""",IFERROR(IF(K300="""","""",query('tbl user'!$A$2:$D10975,""SELECT A WHERE D = '""&amp;K300&amp;""'"")),""USER TIDAK DIKETAHUI""))"),"#REF!")</f>
        <v>#REF!</v>
      </c>
    </row>
    <row r="301">
      <c r="A301" s="21">
        <f t="shared" si="1"/>
        <v>0</v>
      </c>
      <c r="B301" s="32" t="s">
        <v>250</v>
      </c>
      <c r="C301" s="23" t="s">
        <v>315</v>
      </c>
      <c r="D301" s="23" t="s">
        <v>32</v>
      </c>
      <c r="E301" s="24">
        <v>45385.0</v>
      </c>
      <c r="F301" s="25">
        <v>0.22569444444444445</v>
      </c>
      <c r="G301" s="25">
        <v>0.7847222222222222</v>
      </c>
      <c r="H301" s="27">
        <f t="shared" si="2"/>
        <v>0.5590277778</v>
      </c>
      <c r="I301" s="28">
        <v>5.0</v>
      </c>
      <c r="J301" s="29" t="s">
        <v>55</v>
      </c>
      <c r="K301" s="30" t="s">
        <v>23</v>
      </c>
      <c r="L301" s="31" t="str">
        <f>IFERROR(__xludf.DUMMYFUNCTION("IF(OR(E301="""",K301=""""),"""",IFERROR(IF(K301="""","""",query('tbl user'!$A$2:$D10975,""SELECT A WHERE D = '""&amp;K301&amp;""'"")),""USER TIDAK DIKETAHUI""))"),"#REF!")</f>
        <v>#REF!</v>
      </c>
    </row>
    <row r="302">
      <c r="A302" s="21">
        <f t="shared" si="1"/>
        <v>0</v>
      </c>
      <c r="B302" s="32" t="s">
        <v>335</v>
      </c>
      <c r="C302" s="23" t="s">
        <v>336</v>
      </c>
      <c r="D302" s="23" t="s">
        <v>21</v>
      </c>
      <c r="E302" s="24">
        <v>45385.0</v>
      </c>
      <c r="F302" s="25">
        <v>0.2875</v>
      </c>
      <c r="G302" s="25">
        <v>0.5868055555555556</v>
      </c>
      <c r="H302" s="27">
        <f t="shared" si="2"/>
        <v>0.2993055556</v>
      </c>
      <c r="I302" s="28">
        <v>4.0</v>
      </c>
      <c r="J302" s="29" t="s">
        <v>367</v>
      </c>
      <c r="K302" s="30" t="s">
        <v>23</v>
      </c>
      <c r="L302" s="31" t="str">
        <f>IFERROR(__xludf.DUMMYFUNCTION("IF(OR(E302="""",K302=""""),"""",IFERROR(IF(K302="""","""",query('tbl user'!$A$2:$D10975,""SELECT A WHERE D = '""&amp;K302&amp;""'"")),""USER TIDAK DIKETAHUI""))"),"#REF!")</f>
        <v>#REF!</v>
      </c>
    </row>
    <row r="303">
      <c r="A303" s="21">
        <f t="shared" si="1"/>
        <v>0</v>
      </c>
      <c r="B303" s="32" t="s">
        <v>328</v>
      </c>
      <c r="C303" s="23" t="s">
        <v>329</v>
      </c>
      <c r="D303" s="23" t="s">
        <v>21</v>
      </c>
      <c r="E303" s="24">
        <v>45385.0</v>
      </c>
      <c r="F303" s="25">
        <v>0.25069444444444444</v>
      </c>
      <c r="G303" s="25">
        <v>0.6201388888888889</v>
      </c>
      <c r="H303" s="27">
        <f t="shared" si="2"/>
        <v>0.3694444444</v>
      </c>
      <c r="I303" s="28">
        <v>4.0</v>
      </c>
      <c r="J303" s="29" t="s">
        <v>368</v>
      </c>
      <c r="K303" s="30" t="s">
        <v>23</v>
      </c>
      <c r="L303" s="31" t="str">
        <f>IFERROR(__xludf.DUMMYFUNCTION("IF(OR(E303="""",K303=""""),"""",IFERROR(IF(K303="""","""",query('tbl user'!$A$2:$D10975,""SELECT A WHERE D = '""&amp;K303&amp;""'"")),""USER TIDAK DIKETAHUI""))"),"#REF!")</f>
        <v>#REF!</v>
      </c>
    </row>
    <row r="304">
      <c r="A304" s="21">
        <f t="shared" si="1"/>
        <v>0</v>
      </c>
      <c r="B304" s="32" t="s">
        <v>331</v>
      </c>
      <c r="C304" s="23" t="s">
        <v>332</v>
      </c>
      <c r="D304" s="23" t="s">
        <v>21</v>
      </c>
      <c r="E304" s="24">
        <v>45385.0</v>
      </c>
      <c r="F304" s="25">
        <v>0.2875</v>
      </c>
      <c r="G304" s="25">
        <v>0.6409722222222223</v>
      </c>
      <c r="H304" s="27">
        <f t="shared" si="2"/>
        <v>0.3534722222</v>
      </c>
      <c r="I304" s="28">
        <v>5.0</v>
      </c>
      <c r="J304" s="29" t="s">
        <v>55</v>
      </c>
      <c r="K304" s="30" t="s">
        <v>23</v>
      </c>
      <c r="L304" s="31" t="str">
        <f>IFERROR(__xludf.DUMMYFUNCTION("IF(OR(E304="""",K304=""""),"""",IFERROR(IF(K304="""","""",query('tbl user'!$A$2:$D10975,""SELECT A WHERE D = '""&amp;K304&amp;""'"")),""USER TIDAK DIKETAHUI""))"),"#REF!")</f>
        <v>#REF!</v>
      </c>
    </row>
    <row r="305">
      <c r="A305" s="21">
        <f t="shared" si="1"/>
        <v>0</v>
      </c>
      <c r="B305" s="32" t="s">
        <v>333</v>
      </c>
      <c r="C305" s="23" t="s">
        <v>334</v>
      </c>
      <c r="D305" s="23" t="s">
        <v>21</v>
      </c>
      <c r="E305" s="24">
        <v>45385.0</v>
      </c>
      <c r="F305" s="25">
        <v>0.24791666666666667</v>
      </c>
      <c r="G305" s="25">
        <v>0.7277777777777777</v>
      </c>
      <c r="H305" s="27">
        <f t="shared" si="2"/>
        <v>0.4798611111</v>
      </c>
      <c r="I305" s="28">
        <v>5.0</v>
      </c>
      <c r="J305" s="29" t="s">
        <v>55</v>
      </c>
      <c r="K305" s="30" t="s">
        <v>23</v>
      </c>
      <c r="L305" s="31" t="str">
        <f>IFERROR(__xludf.DUMMYFUNCTION("IF(OR(E305="""",K305=""""),"""",IFERROR(IF(K305="""","""",query('tbl user'!$A$2:$D10975,""SELECT A WHERE D = '""&amp;K305&amp;""'"")),""USER TIDAK DIKETAHUI""))"),"#REF!")</f>
        <v>#REF!</v>
      </c>
    </row>
    <row r="306">
      <c r="A306" s="21">
        <f t="shared" si="1"/>
        <v>0</v>
      </c>
      <c r="B306" s="32" t="s">
        <v>319</v>
      </c>
      <c r="C306" s="23" t="s">
        <v>320</v>
      </c>
      <c r="D306" s="23" t="s">
        <v>21</v>
      </c>
      <c r="E306" s="24">
        <v>45385.0</v>
      </c>
      <c r="F306" s="25">
        <v>0.2902777777777778</v>
      </c>
      <c r="G306" s="25">
        <v>0.6743055555555556</v>
      </c>
      <c r="H306" s="27">
        <f t="shared" si="2"/>
        <v>0.3840277778</v>
      </c>
      <c r="I306" s="28">
        <v>5.0</v>
      </c>
      <c r="J306" s="29" t="s">
        <v>55</v>
      </c>
      <c r="K306" s="30" t="s">
        <v>23</v>
      </c>
      <c r="L306" s="31" t="str">
        <f>IFERROR(__xludf.DUMMYFUNCTION("IF(OR(E306="""",K306=""""),"""",IFERROR(IF(K306="""","""",query('tbl user'!$A$2:$D10975,""SELECT A WHERE D = '""&amp;K306&amp;""'"")),""USER TIDAK DIKETAHUI""))"),"#REF!")</f>
        <v>#REF!</v>
      </c>
    </row>
    <row r="307">
      <c r="A307" s="21">
        <f t="shared" si="1"/>
        <v>0</v>
      </c>
      <c r="B307" s="32" t="s">
        <v>172</v>
      </c>
      <c r="C307" s="23" t="s">
        <v>326</v>
      </c>
      <c r="D307" s="23" t="s">
        <v>21</v>
      </c>
      <c r="E307" s="24">
        <v>45385.0</v>
      </c>
      <c r="F307" s="25">
        <v>0.29097222222222224</v>
      </c>
      <c r="G307" s="25">
        <v>0.7236111111111111</v>
      </c>
      <c r="H307" s="27">
        <f t="shared" si="2"/>
        <v>0.4326388889</v>
      </c>
      <c r="I307" s="28">
        <v>5.0</v>
      </c>
      <c r="J307" s="29" t="s">
        <v>55</v>
      </c>
      <c r="K307" s="30" t="s">
        <v>23</v>
      </c>
      <c r="L307" s="31" t="str">
        <f>IFERROR(__xludf.DUMMYFUNCTION("IF(OR(E307="""",K307=""""),"""",IFERROR(IF(K307="""","""",query('tbl user'!$A$2:$D10975,""SELECT A WHERE D = '""&amp;K307&amp;""'"")),""USER TIDAK DIKETAHUI""))"),"#REF!")</f>
        <v>#REF!</v>
      </c>
    </row>
    <row r="308">
      <c r="A308" s="21">
        <f t="shared" si="1"/>
        <v>0</v>
      </c>
      <c r="B308" s="32" t="s">
        <v>229</v>
      </c>
      <c r="C308" s="23" t="s">
        <v>330</v>
      </c>
      <c r="D308" s="23" t="s">
        <v>21</v>
      </c>
      <c r="E308" s="24">
        <v>45385.0</v>
      </c>
      <c r="F308" s="25">
        <v>0.2861111111111111</v>
      </c>
      <c r="G308" s="25">
        <v>0.7340277777777777</v>
      </c>
      <c r="H308" s="27">
        <f t="shared" si="2"/>
        <v>0.4479166667</v>
      </c>
      <c r="I308" s="28">
        <v>5.0</v>
      </c>
      <c r="J308" s="29" t="s">
        <v>55</v>
      </c>
      <c r="K308" s="30" t="s">
        <v>23</v>
      </c>
      <c r="L308" s="31" t="str">
        <f>IFERROR(__xludf.DUMMYFUNCTION("IF(OR(E308="""",K308=""""),"""",IFERROR(IF(K308="""","""",query('tbl user'!$A$2:$D10975,""SELECT A WHERE D = '""&amp;K308&amp;""'"")),""USER TIDAK DIKETAHUI""))"),"#REF!")</f>
        <v>#REF!</v>
      </c>
    </row>
    <row r="309">
      <c r="A309" s="21">
        <f t="shared" si="1"/>
        <v>0</v>
      </c>
      <c r="B309" s="32" t="s">
        <v>322</v>
      </c>
      <c r="C309" s="23" t="s">
        <v>323</v>
      </c>
      <c r="D309" s="23" t="s">
        <v>21</v>
      </c>
      <c r="E309" s="24">
        <v>45385.0</v>
      </c>
      <c r="F309" s="25">
        <v>0.28680555555555554</v>
      </c>
      <c r="G309" s="25">
        <v>0.6944444444444444</v>
      </c>
      <c r="H309" s="27">
        <f t="shared" si="2"/>
        <v>0.4076388889</v>
      </c>
      <c r="I309" s="28">
        <v>5.0</v>
      </c>
      <c r="J309" s="29" t="s">
        <v>55</v>
      </c>
      <c r="K309" s="30" t="s">
        <v>23</v>
      </c>
      <c r="L309" s="31" t="str">
        <f>IFERROR(__xludf.DUMMYFUNCTION("IF(OR(E309="""",K309=""""),"""",IFERROR(IF(K309="""","""",query('tbl user'!$A$2:$D10975,""SELECT A WHERE D = '""&amp;K309&amp;""'"")),""USER TIDAK DIKETAHUI""))"),"#REF!")</f>
        <v>#REF!</v>
      </c>
    </row>
    <row r="310">
      <c r="A310" s="21">
        <f t="shared" si="1"/>
        <v>0</v>
      </c>
      <c r="B310" s="32" t="s">
        <v>153</v>
      </c>
      <c r="C310" s="23" t="s">
        <v>339</v>
      </c>
      <c r="D310" s="23" t="s">
        <v>21</v>
      </c>
      <c r="E310" s="24">
        <v>45385.0</v>
      </c>
      <c r="F310" s="25">
        <v>0.24027777777777778</v>
      </c>
      <c r="G310" s="25">
        <v>0.71875</v>
      </c>
      <c r="H310" s="27">
        <f t="shared" si="2"/>
        <v>0.4784722222</v>
      </c>
      <c r="I310" s="28">
        <v>6.0</v>
      </c>
      <c r="J310" s="29" t="s">
        <v>55</v>
      </c>
      <c r="K310" s="30" t="s">
        <v>23</v>
      </c>
      <c r="L310" s="31" t="str">
        <f>IFERROR(__xludf.DUMMYFUNCTION("IF(OR(E310="""",K310=""""),"""",IFERROR(IF(K310="""","""",query('tbl user'!$A$2:$D10975,""SELECT A WHERE D = '""&amp;K310&amp;""'"")),""USER TIDAK DIKETAHUI""))"),"#REF!")</f>
        <v>#REF!</v>
      </c>
    </row>
    <row r="311">
      <c r="A311" s="21">
        <f t="shared" si="1"/>
        <v>0</v>
      </c>
      <c r="B311" s="32" t="s">
        <v>53</v>
      </c>
      <c r="C311" s="23" t="s">
        <v>54</v>
      </c>
      <c r="D311" s="23" t="s">
        <v>21</v>
      </c>
      <c r="E311" s="24">
        <v>45385.0</v>
      </c>
      <c r="F311" s="25">
        <v>0.2361111111111111</v>
      </c>
      <c r="G311" s="25">
        <v>0.7013888888888888</v>
      </c>
      <c r="H311" s="27">
        <f t="shared" si="2"/>
        <v>0.4652777778</v>
      </c>
      <c r="I311" s="28">
        <v>6.0</v>
      </c>
      <c r="J311" s="29" t="s">
        <v>55</v>
      </c>
      <c r="K311" s="30" t="s">
        <v>23</v>
      </c>
      <c r="L311" s="31" t="str">
        <f>IFERROR(__xludf.DUMMYFUNCTION("IF(OR(E311="""",K311=""""),"""",IFERROR(IF(K311="""","""",query('tbl user'!$A$2:$D10975,""SELECT A WHERE D = '""&amp;K311&amp;""'"")),""USER TIDAK DIKETAHUI""))"),"#REF!")</f>
        <v>#REF!</v>
      </c>
    </row>
    <row r="312">
      <c r="A312" s="21">
        <f t="shared" si="1"/>
        <v>0</v>
      </c>
      <c r="B312" s="32" t="s">
        <v>337</v>
      </c>
      <c r="C312" s="23" t="s">
        <v>338</v>
      </c>
      <c r="D312" s="23" t="s">
        <v>21</v>
      </c>
      <c r="E312" s="24">
        <v>45385.0</v>
      </c>
      <c r="F312" s="25">
        <v>0.24375</v>
      </c>
      <c r="G312" s="25">
        <v>0.68125</v>
      </c>
      <c r="H312" s="27">
        <f t="shared" si="2"/>
        <v>0.4375</v>
      </c>
      <c r="I312" s="28">
        <v>6.0</v>
      </c>
      <c r="J312" s="29" t="s">
        <v>55</v>
      </c>
      <c r="K312" s="30" t="s">
        <v>23</v>
      </c>
      <c r="L312" s="31" t="str">
        <f>IFERROR(__xludf.DUMMYFUNCTION("IF(OR(E312="""",K312=""""),"""",IFERROR(IF(K312="""","""",query('tbl user'!$A$2:$D10975,""SELECT A WHERE D = '""&amp;K312&amp;""'"")),""USER TIDAK DIKETAHUI""))"),"#REF!")</f>
        <v>#REF!</v>
      </c>
    </row>
    <row r="313">
      <c r="A313" s="21">
        <f t="shared" si="1"/>
        <v>0</v>
      </c>
      <c r="B313" s="32" t="s">
        <v>214</v>
      </c>
      <c r="C313" s="23" t="s">
        <v>170</v>
      </c>
      <c r="D313" s="23" t="s">
        <v>58</v>
      </c>
      <c r="E313" s="24">
        <v>45386.0</v>
      </c>
      <c r="F313" s="25">
        <v>0.28541666666666665</v>
      </c>
      <c r="G313" s="25">
        <v>0.5013888888888889</v>
      </c>
      <c r="H313" s="27">
        <f t="shared" si="2"/>
        <v>0.2159722222</v>
      </c>
      <c r="I313" s="28">
        <v>2.0</v>
      </c>
      <c r="J313" s="29" t="s">
        <v>369</v>
      </c>
      <c r="K313" s="30" t="s">
        <v>23</v>
      </c>
      <c r="L313" s="31" t="str">
        <f>IFERROR(__xludf.DUMMYFUNCTION("IF(OR(E313="""",K313=""""),"""",IFERROR(IF(K313="""","""",query('tbl user'!$A$2:$D10975,""SELECT A WHERE D = '""&amp;K313&amp;""'"")),""USER TIDAK DIKETAHUI""))"),"#REF!")</f>
        <v>#REF!</v>
      </c>
    </row>
    <row r="314">
      <c r="A314" s="21">
        <f t="shared" si="1"/>
        <v>0</v>
      </c>
      <c r="B314" s="32" t="s">
        <v>189</v>
      </c>
      <c r="C314" s="23" t="s">
        <v>190</v>
      </c>
      <c r="D314" s="23" t="s">
        <v>58</v>
      </c>
      <c r="E314" s="24">
        <v>45386.0</v>
      </c>
      <c r="F314" s="25">
        <v>0.26458333333333334</v>
      </c>
      <c r="G314" s="25">
        <v>0.4875</v>
      </c>
      <c r="H314" s="27">
        <f t="shared" si="2"/>
        <v>0.2229166667</v>
      </c>
      <c r="I314" s="28">
        <v>2.0</v>
      </c>
      <c r="J314" s="29" t="s">
        <v>370</v>
      </c>
      <c r="K314" s="30" t="s">
        <v>23</v>
      </c>
      <c r="L314" s="31" t="str">
        <f>IFERROR(__xludf.DUMMYFUNCTION("IF(OR(E314="""",K314=""""),"""",IFERROR(IF(K314="""","""",query('tbl user'!$A$2:$D10975,""SELECT A WHERE D = '""&amp;K314&amp;""'"")),""USER TIDAK DIKETAHUI""))"),"#REF!")</f>
        <v>#REF!</v>
      </c>
    </row>
    <row r="315">
      <c r="A315" s="21">
        <f t="shared" si="1"/>
        <v>0</v>
      </c>
      <c r="B315" s="32" t="s">
        <v>293</v>
      </c>
      <c r="C315" s="23" t="s">
        <v>211</v>
      </c>
      <c r="D315" s="23" t="s">
        <v>58</v>
      </c>
      <c r="E315" s="24">
        <v>45386.0</v>
      </c>
      <c r="F315" s="25">
        <v>0.25069444444444444</v>
      </c>
      <c r="G315" s="25">
        <v>0.59375</v>
      </c>
      <c r="H315" s="27">
        <f t="shared" si="2"/>
        <v>0.3430555556</v>
      </c>
      <c r="I315" s="28">
        <v>3.0</v>
      </c>
      <c r="J315" s="29" t="s">
        <v>55</v>
      </c>
      <c r="K315" s="30" t="s">
        <v>23</v>
      </c>
      <c r="L315" s="31" t="str">
        <f>IFERROR(__xludf.DUMMYFUNCTION("IF(OR(E315="""",K315=""""),"""",IFERROR(IF(K315="""","""",query('tbl user'!$A$2:$D10975,""SELECT A WHERE D = '""&amp;K315&amp;""'"")),""USER TIDAK DIKETAHUI""))"),"#REF!")</f>
        <v>#REF!</v>
      </c>
    </row>
    <row r="316">
      <c r="A316" s="21">
        <f t="shared" si="1"/>
        <v>0</v>
      </c>
      <c r="B316" s="32" t="s">
        <v>215</v>
      </c>
      <c r="C316" s="23" t="s">
        <v>176</v>
      </c>
      <c r="D316" s="23" t="s">
        <v>58</v>
      </c>
      <c r="E316" s="24">
        <v>45386.0</v>
      </c>
      <c r="F316" s="25">
        <v>0.2673611111111111</v>
      </c>
      <c r="G316" s="25">
        <v>0.6409722222222223</v>
      </c>
      <c r="H316" s="27">
        <f t="shared" si="2"/>
        <v>0.3736111111</v>
      </c>
      <c r="I316" s="28">
        <v>3.0</v>
      </c>
      <c r="J316" s="29" t="s">
        <v>55</v>
      </c>
      <c r="K316" s="30" t="s">
        <v>23</v>
      </c>
      <c r="L316" s="31" t="str">
        <f>IFERROR(__xludf.DUMMYFUNCTION("IF(OR(E316="""",K316=""""),"""",IFERROR(IF(K316="""","""",query('tbl user'!$A$2:$D10975,""SELECT A WHERE D = '""&amp;K316&amp;""'"")),""USER TIDAK DIKETAHUI""))"),"#REF!")</f>
        <v>#REF!</v>
      </c>
    </row>
    <row r="317">
      <c r="A317" s="21">
        <f t="shared" si="1"/>
        <v>0</v>
      </c>
      <c r="B317" s="32" t="s">
        <v>56</v>
      </c>
      <c r="C317" s="23" t="s">
        <v>57</v>
      </c>
      <c r="D317" s="23" t="s">
        <v>58</v>
      </c>
      <c r="E317" s="24">
        <v>45386.0</v>
      </c>
      <c r="F317" s="25">
        <v>0.31527777777777777</v>
      </c>
      <c r="G317" s="25">
        <v>0.7</v>
      </c>
      <c r="H317" s="27">
        <f t="shared" si="2"/>
        <v>0.3847222222</v>
      </c>
      <c r="I317" s="28">
        <v>3.0</v>
      </c>
      <c r="J317" s="29" t="s">
        <v>55</v>
      </c>
      <c r="K317" s="30" t="s">
        <v>23</v>
      </c>
      <c r="L317" s="31" t="str">
        <f>IFERROR(__xludf.DUMMYFUNCTION("IF(OR(E317="""",K317=""""),"""",IFERROR(IF(K317="""","""",query('tbl user'!$A$2:$D10975,""SELECT A WHERE D = '""&amp;K317&amp;""'"")),""USER TIDAK DIKETAHUI""))"),"#REF!")</f>
        <v>#REF!</v>
      </c>
    </row>
    <row r="318">
      <c r="A318" s="21">
        <f t="shared" si="1"/>
        <v>0</v>
      </c>
      <c r="B318" s="32" t="s">
        <v>182</v>
      </c>
      <c r="C318" s="23" t="s">
        <v>183</v>
      </c>
      <c r="D318" s="23" t="s">
        <v>58</v>
      </c>
      <c r="E318" s="24">
        <v>45386.0</v>
      </c>
      <c r="F318" s="25">
        <v>0.2548611111111111</v>
      </c>
      <c r="G318" s="25">
        <v>0.6027777777777777</v>
      </c>
      <c r="H318" s="27">
        <f t="shared" si="2"/>
        <v>0.3479166667</v>
      </c>
      <c r="I318" s="28">
        <v>3.0</v>
      </c>
      <c r="J318" s="29" t="s">
        <v>55</v>
      </c>
      <c r="K318" s="30" t="s">
        <v>23</v>
      </c>
      <c r="L318" s="31" t="str">
        <f>IFERROR(__xludf.DUMMYFUNCTION("IF(OR(E318="""",K318=""""),"""",IFERROR(IF(K318="""","""",query('tbl user'!$A$2:$D10975,""SELECT A WHERE D = '""&amp;K318&amp;""'"")),""USER TIDAK DIKETAHUI""))"),"#REF!")</f>
        <v>#REF!</v>
      </c>
    </row>
    <row r="319">
      <c r="A319" s="21">
        <f t="shared" si="1"/>
        <v>0</v>
      </c>
      <c r="B319" s="32" t="s">
        <v>216</v>
      </c>
      <c r="C319" s="23" t="s">
        <v>195</v>
      </c>
      <c r="D319" s="23" t="s">
        <v>58</v>
      </c>
      <c r="E319" s="24">
        <v>45386.0</v>
      </c>
      <c r="F319" s="25">
        <v>0.2111111111111111</v>
      </c>
      <c r="G319" s="25">
        <v>0.56875</v>
      </c>
      <c r="H319" s="27">
        <f t="shared" si="2"/>
        <v>0.3576388889</v>
      </c>
      <c r="I319" s="28">
        <v>3.0</v>
      </c>
      <c r="J319" s="29" t="s">
        <v>55</v>
      </c>
      <c r="K319" s="30" t="s">
        <v>23</v>
      </c>
      <c r="L319" s="31" t="str">
        <f>IFERROR(__xludf.DUMMYFUNCTION("IF(OR(E319="""",K319=""""),"""",IFERROR(IF(K319="""","""",query('tbl user'!$A$2:$D10975,""SELECT A WHERE D = '""&amp;K319&amp;""'"")),""USER TIDAK DIKETAHUI""))"),"#REF!")</f>
        <v>#REF!</v>
      </c>
    </row>
    <row r="320">
      <c r="A320" s="21">
        <f t="shared" si="1"/>
        <v>0</v>
      </c>
      <c r="B320" s="32" t="s">
        <v>209</v>
      </c>
      <c r="C320" s="23" t="s">
        <v>203</v>
      </c>
      <c r="D320" s="23" t="s">
        <v>58</v>
      </c>
      <c r="E320" s="24">
        <v>45386.0</v>
      </c>
      <c r="F320" s="25">
        <v>0.25069444444444444</v>
      </c>
      <c r="G320" s="25">
        <v>0.6854166666666667</v>
      </c>
      <c r="H320" s="27">
        <f t="shared" si="2"/>
        <v>0.4347222222</v>
      </c>
      <c r="I320" s="28">
        <v>3.0</v>
      </c>
      <c r="J320" s="29" t="s">
        <v>55</v>
      </c>
      <c r="K320" s="30" t="s">
        <v>23</v>
      </c>
      <c r="L320" s="31" t="str">
        <f>IFERROR(__xludf.DUMMYFUNCTION("IF(OR(E320="""",K320=""""),"""",IFERROR(IF(K320="""","""",query('tbl user'!$A$2:$D10975,""SELECT A WHERE D = '""&amp;K320&amp;""'"")),""USER TIDAK DIKETAHUI""))"),"#REF!")</f>
        <v>#REF!</v>
      </c>
    </row>
    <row r="321">
      <c r="A321" s="21">
        <f t="shared" si="1"/>
        <v>0</v>
      </c>
      <c r="B321" s="32" t="s">
        <v>250</v>
      </c>
      <c r="C321" s="23" t="s">
        <v>348</v>
      </c>
      <c r="D321" s="23" t="s">
        <v>58</v>
      </c>
      <c r="E321" s="24">
        <v>45386.0</v>
      </c>
      <c r="F321" s="25">
        <v>0.30277777777777776</v>
      </c>
      <c r="G321" s="25">
        <v>0.7388888888888889</v>
      </c>
      <c r="H321" s="27">
        <f t="shared" si="2"/>
        <v>0.4361111111</v>
      </c>
      <c r="I321" s="28">
        <v>3.0</v>
      </c>
      <c r="J321" s="29" t="s">
        <v>55</v>
      </c>
      <c r="K321" s="30" t="s">
        <v>23</v>
      </c>
      <c r="L321" s="31" t="str">
        <f>IFERROR(__xludf.DUMMYFUNCTION("IF(OR(E321="""",K321=""""),"""",IFERROR(IF(K321="""","""",query('tbl user'!$A$2:$D10975,""SELECT A WHERE D = '""&amp;K321&amp;""'"")),""USER TIDAK DIKETAHUI""))"),"#REF!")</f>
        <v>#REF!</v>
      </c>
    </row>
    <row r="322">
      <c r="A322" s="21">
        <f t="shared" si="1"/>
        <v>0</v>
      </c>
      <c r="B322" s="32" t="s">
        <v>67</v>
      </c>
      <c r="C322" s="23" t="s">
        <v>68</v>
      </c>
      <c r="D322" s="23" t="s">
        <v>58</v>
      </c>
      <c r="E322" s="24">
        <v>45386.0</v>
      </c>
      <c r="F322" s="25">
        <v>0.2625</v>
      </c>
      <c r="G322" s="25">
        <v>0.6659722222222222</v>
      </c>
      <c r="H322" s="27">
        <f t="shared" si="2"/>
        <v>0.4034722222</v>
      </c>
      <c r="I322" s="28">
        <v>4.0</v>
      </c>
      <c r="J322" s="29" t="s">
        <v>55</v>
      </c>
      <c r="K322" s="30" t="s">
        <v>23</v>
      </c>
      <c r="L322" s="31" t="str">
        <f>IFERROR(__xludf.DUMMYFUNCTION("IF(OR(E322="""",K322=""""),"""",IFERROR(IF(K322="""","""",query('tbl user'!$A$2:$D10975,""SELECT A WHERE D = '""&amp;K322&amp;""'"")),""USER TIDAK DIKETAHUI""))"),"#REF!")</f>
        <v>#REF!</v>
      </c>
    </row>
    <row r="323">
      <c r="A323" s="21">
        <f t="shared" si="1"/>
        <v>0</v>
      </c>
      <c r="B323" s="32" t="s">
        <v>167</v>
      </c>
      <c r="C323" s="23" t="s">
        <v>168</v>
      </c>
      <c r="D323" s="23" t="s">
        <v>58</v>
      </c>
      <c r="E323" s="24">
        <v>45386.0</v>
      </c>
      <c r="F323" s="25">
        <v>0.23125</v>
      </c>
      <c r="G323" s="25">
        <v>0.7229166666666667</v>
      </c>
      <c r="H323" s="27">
        <f t="shared" si="2"/>
        <v>0.4916666667</v>
      </c>
      <c r="I323" s="28">
        <v>4.0</v>
      </c>
      <c r="J323" s="29" t="s">
        <v>55</v>
      </c>
      <c r="K323" s="30" t="s">
        <v>23</v>
      </c>
      <c r="L323" s="31" t="str">
        <f>IFERROR(__xludf.DUMMYFUNCTION("IF(OR(E323="""",K323=""""),"""",IFERROR(IF(K323="""","""",query('tbl user'!$A$2:$D10975,""SELECT A WHERE D = '""&amp;K323&amp;""'"")),""USER TIDAK DIKETAHUI""))"),"#REF!")</f>
        <v>#REF!</v>
      </c>
    </row>
    <row r="324">
      <c r="A324" s="21">
        <f t="shared" si="1"/>
        <v>0</v>
      </c>
      <c r="B324" s="32" t="s">
        <v>178</v>
      </c>
      <c r="C324" s="23" t="s">
        <v>82</v>
      </c>
      <c r="D324" s="23" t="s">
        <v>58</v>
      </c>
      <c r="E324" s="24">
        <v>45386.0</v>
      </c>
      <c r="F324" s="25">
        <v>0.26458333333333334</v>
      </c>
      <c r="G324" s="25">
        <v>0.7131944444444445</v>
      </c>
      <c r="H324" s="27">
        <f t="shared" si="2"/>
        <v>0.4486111111</v>
      </c>
      <c r="I324" s="28">
        <v>4.0</v>
      </c>
      <c r="J324" s="29" t="s">
        <v>55</v>
      </c>
      <c r="K324" s="30" t="s">
        <v>23</v>
      </c>
      <c r="L324" s="31" t="str">
        <f>IFERROR(__xludf.DUMMYFUNCTION("IF(OR(E324="""",K324=""""),"""",IFERROR(IF(K324="""","""",query('tbl user'!$A$2:$D10975,""SELECT A WHERE D = '""&amp;K324&amp;""'"")),""USER TIDAK DIKETAHUI""))"),"#REF!")</f>
        <v>#REF!</v>
      </c>
    </row>
    <row r="325">
      <c r="A325" s="21">
        <f t="shared" si="1"/>
        <v>0</v>
      </c>
      <c r="B325" s="32" t="s">
        <v>180</v>
      </c>
      <c r="C325" s="23" t="s">
        <v>181</v>
      </c>
      <c r="D325" s="23" t="s">
        <v>58</v>
      </c>
      <c r="E325" s="24">
        <v>45386.0</v>
      </c>
      <c r="F325" s="25">
        <v>0.25972222222222224</v>
      </c>
      <c r="G325" s="25">
        <v>0.6631944444444444</v>
      </c>
      <c r="H325" s="27">
        <f t="shared" si="2"/>
        <v>0.4034722222</v>
      </c>
      <c r="I325" s="28">
        <v>4.0</v>
      </c>
      <c r="J325" s="29" t="s">
        <v>55</v>
      </c>
      <c r="K325" s="30" t="s">
        <v>23</v>
      </c>
      <c r="L325" s="31" t="str">
        <f>IFERROR(__xludf.DUMMYFUNCTION("IF(OR(E325="""",K325=""""),"""",IFERROR(IF(K325="""","""",query('tbl user'!$A$2:$D10975,""SELECT A WHERE D = '""&amp;K325&amp;""'"")),""USER TIDAK DIKETAHUI""))"),"#REF!")</f>
        <v>#REF!</v>
      </c>
    </row>
    <row r="326">
      <c r="A326" s="21">
        <f t="shared" si="1"/>
        <v>0</v>
      </c>
      <c r="B326" s="32" t="s">
        <v>184</v>
      </c>
      <c r="C326" s="23" t="s">
        <v>185</v>
      </c>
      <c r="D326" s="23" t="s">
        <v>58</v>
      </c>
      <c r="E326" s="24">
        <v>45386.0</v>
      </c>
      <c r="F326" s="25">
        <v>0.25555555555555554</v>
      </c>
      <c r="G326" s="25">
        <v>0.6375</v>
      </c>
      <c r="H326" s="27">
        <f t="shared" si="2"/>
        <v>0.3819444444</v>
      </c>
      <c r="I326" s="28">
        <v>4.0</v>
      </c>
      <c r="J326" s="29" t="s">
        <v>55</v>
      </c>
      <c r="K326" s="30" t="s">
        <v>23</v>
      </c>
      <c r="L326" s="31" t="str">
        <f>IFERROR(__xludf.DUMMYFUNCTION("IF(OR(E326="""",K326=""""),"""",IFERROR(IF(K326="""","""",query('tbl user'!$A$2:$D10975,""SELECT A WHERE D = '""&amp;K326&amp;""'"")),""USER TIDAK DIKETAHUI""))"),"#REF!")</f>
        <v>#REF!</v>
      </c>
    </row>
    <row r="327">
      <c r="A327" s="21">
        <f t="shared" si="1"/>
        <v>0</v>
      </c>
      <c r="B327" s="32" t="s">
        <v>187</v>
      </c>
      <c r="C327" s="23" t="s">
        <v>188</v>
      </c>
      <c r="D327" s="23" t="s">
        <v>58</v>
      </c>
      <c r="E327" s="24">
        <v>45386.0</v>
      </c>
      <c r="F327" s="25">
        <v>0.24305555555555555</v>
      </c>
      <c r="G327" s="25">
        <v>0.6465277777777778</v>
      </c>
      <c r="H327" s="27">
        <f t="shared" si="2"/>
        <v>0.4034722222</v>
      </c>
      <c r="I327" s="28">
        <v>4.0</v>
      </c>
      <c r="J327" s="29" t="s">
        <v>55</v>
      </c>
      <c r="K327" s="30" t="s">
        <v>23</v>
      </c>
      <c r="L327" s="31" t="str">
        <f>IFERROR(__xludf.DUMMYFUNCTION("IF(OR(E327="""",K327=""""),"""",IFERROR(IF(K327="""","""",query('tbl user'!$A$2:$D10975,""SELECT A WHERE D = '""&amp;K327&amp;""'"")),""USER TIDAK DIKETAHUI""))"),"#REF!")</f>
        <v>#REF!</v>
      </c>
    </row>
    <row r="328">
      <c r="A328" s="21">
        <f t="shared" si="1"/>
        <v>0</v>
      </c>
      <c r="B328" s="32" t="s">
        <v>346</v>
      </c>
      <c r="C328" s="23" t="s">
        <v>192</v>
      </c>
      <c r="D328" s="23" t="s">
        <v>58</v>
      </c>
      <c r="E328" s="24">
        <v>45386.0</v>
      </c>
      <c r="F328" s="25">
        <v>0.2923611111111111</v>
      </c>
      <c r="G328" s="25">
        <v>0.6722222222222223</v>
      </c>
      <c r="H328" s="27">
        <f t="shared" si="2"/>
        <v>0.3798611111</v>
      </c>
      <c r="I328" s="28">
        <v>4.0</v>
      </c>
      <c r="J328" s="29" t="s">
        <v>55</v>
      </c>
      <c r="K328" s="30" t="s">
        <v>23</v>
      </c>
      <c r="L328" s="31" t="str">
        <f>IFERROR(__xludf.DUMMYFUNCTION("IF(OR(E328="""",K328=""""),"""",IFERROR(IF(K328="""","""",query('tbl user'!$A$2:$D10975,""SELECT A WHERE D = '""&amp;K328&amp;""'"")),""USER TIDAK DIKETAHUI""))"),"#REF!")</f>
        <v>#REF!</v>
      </c>
    </row>
    <row r="329">
      <c r="A329" s="21">
        <f t="shared" si="1"/>
        <v>0</v>
      </c>
      <c r="B329" s="32" t="s">
        <v>200</v>
      </c>
      <c r="C329" s="23" t="s">
        <v>201</v>
      </c>
      <c r="D329" s="23" t="s">
        <v>58</v>
      </c>
      <c r="E329" s="24">
        <v>45386.0</v>
      </c>
      <c r="F329" s="25">
        <v>0.20277777777777778</v>
      </c>
      <c r="G329" s="25">
        <v>0.7048611111111112</v>
      </c>
      <c r="H329" s="27">
        <f t="shared" si="2"/>
        <v>0.5020833333</v>
      </c>
      <c r="I329" s="28">
        <v>4.0</v>
      </c>
      <c r="J329" s="29" t="s">
        <v>55</v>
      </c>
      <c r="K329" s="30" t="s">
        <v>23</v>
      </c>
      <c r="L329" s="31" t="str">
        <f>IFERROR(__xludf.DUMMYFUNCTION("IF(OR(E329="""",K329=""""),"""",IFERROR(IF(K329="""","""",query('tbl user'!$A$2:$D10975,""SELECT A WHERE D = '""&amp;K329&amp;""'"")),""USER TIDAK DIKETAHUI""))"),"#REF!")</f>
        <v>#REF!</v>
      </c>
    </row>
    <row r="330">
      <c r="A330" s="21">
        <f t="shared" si="1"/>
        <v>0</v>
      </c>
      <c r="B330" s="32" t="s">
        <v>104</v>
      </c>
      <c r="C330" s="23" t="s">
        <v>105</v>
      </c>
      <c r="D330" s="23" t="s">
        <v>58</v>
      </c>
      <c r="E330" s="24">
        <v>45386.0</v>
      </c>
      <c r="F330" s="25">
        <v>0.25</v>
      </c>
      <c r="G330" s="25">
        <v>0.69375</v>
      </c>
      <c r="H330" s="27">
        <f t="shared" si="2"/>
        <v>0.44375</v>
      </c>
      <c r="I330" s="28">
        <v>4.0</v>
      </c>
      <c r="J330" s="29" t="s">
        <v>55</v>
      </c>
      <c r="K330" s="30" t="s">
        <v>23</v>
      </c>
      <c r="L330" s="31" t="str">
        <f>IFERROR(__xludf.DUMMYFUNCTION("IF(OR(E330="""",K330=""""),"""",IFERROR(IF(K330="""","""",query('tbl user'!$A$2:$D10975,""SELECT A WHERE D = '""&amp;K330&amp;""'"")),""USER TIDAK DIKETAHUI""))"),"#REF!")</f>
        <v>#REF!</v>
      </c>
    </row>
    <row r="331">
      <c r="A331" s="21">
        <f t="shared" si="1"/>
        <v>0</v>
      </c>
      <c r="B331" s="32" t="s">
        <v>95</v>
      </c>
      <c r="C331" s="23" t="s">
        <v>206</v>
      </c>
      <c r="D331" s="23" t="s">
        <v>58</v>
      </c>
      <c r="E331" s="24">
        <v>45386.0</v>
      </c>
      <c r="F331" s="25">
        <v>0.2951388888888889</v>
      </c>
      <c r="G331" s="25">
        <v>0.71875</v>
      </c>
      <c r="H331" s="27">
        <f t="shared" si="2"/>
        <v>0.4236111111</v>
      </c>
      <c r="I331" s="28">
        <v>4.0</v>
      </c>
      <c r="J331" s="29" t="s">
        <v>55</v>
      </c>
      <c r="K331" s="30" t="s">
        <v>23</v>
      </c>
      <c r="L331" s="31" t="str">
        <f>IFERROR(__xludf.DUMMYFUNCTION("IF(OR(E331="""",K331=""""),"""",IFERROR(IF(K331="""","""",query('tbl user'!$A$2:$D10975,""SELECT A WHERE D = '""&amp;K331&amp;""'"")),""USER TIDAK DIKETAHUI""))"),"#REF!")</f>
        <v>#REF!</v>
      </c>
    </row>
    <row r="332">
      <c r="A332" s="21">
        <f t="shared" si="1"/>
        <v>0</v>
      </c>
      <c r="B332" s="32" t="s">
        <v>224</v>
      </c>
      <c r="C332" s="23" t="s">
        <v>208</v>
      </c>
      <c r="D332" s="23" t="s">
        <v>58</v>
      </c>
      <c r="E332" s="24">
        <v>45386.0</v>
      </c>
      <c r="F332" s="25">
        <v>0.2513888888888889</v>
      </c>
      <c r="G332" s="25">
        <v>0.6666666666666666</v>
      </c>
      <c r="H332" s="27">
        <f t="shared" si="2"/>
        <v>0.4152777778</v>
      </c>
      <c r="I332" s="28">
        <v>4.0</v>
      </c>
      <c r="J332" s="29" t="s">
        <v>55</v>
      </c>
      <c r="K332" s="30" t="s">
        <v>23</v>
      </c>
      <c r="L332" s="31" t="str">
        <f>IFERROR(__xludf.DUMMYFUNCTION("IF(OR(E332="""",K332=""""),"""",IFERROR(IF(K332="""","""",query('tbl user'!$A$2:$D10975,""SELECT A WHERE D = '""&amp;K332&amp;""'"")),""USER TIDAK DIKETAHUI""))"),"#REF!")</f>
        <v>#REF!</v>
      </c>
    </row>
    <row r="333">
      <c r="A333" s="21">
        <f t="shared" si="1"/>
        <v>0</v>
      </c>
      <c r="B333" s="32" t="s">
        <v>84</v>
      </c>
      <c r="C333" s="23" t="s">
        <v>85</v>
      </c>
      <c r="D333" s="23" t="s">
        <v>58</v>
      </c>
      <c r="E333" s="24">
        <v>45386.0</v>
      </c>
      <c r="F333" s="25">
        <v>0.2263888888888889</v>
      </c>
      <c r="G333" s="25">
        <v>0.7319444444444444</v>
      </c>
      <c r="H333" s="27">
        <f t="shared" si="2"/>
        <v>0.5055555556</v>
      </c>
      <c r="I333" s="28">
        <v>4.0</v>
      </c>
      <c r="J333" s="29" t="s">
        <v>55</v>
      </c>
      <c r="K333" s="30" t="s">
        <v>23</v>
      </c>
      <c r="L333" s="31" t="str">
        <f>IFERROR(__xludf.DUMMYFUNCTION("IF(OR(E333="""",K333=""""),"""",IFERROR(IF(K333="""","""",query('tbl user'!$A$2:$D10975,""SELECT A WHERE D = '""&amp;K333&amp;""'"")),""USER TIDAK DIKETAHUI""))"),"#REF!")</f>
        <v>#REF!</v>
      </c>
    </row>
    <row r="334">
      <c r="A334" s="21">
        <f t="shared" si="1"/>
        <v>0</v>
      </c>
      <c r="B334" s="32" t="s">
        <v>92</v>
      </c>
      <c r="C334" s="23" t="s">
        <v>93</v>
      </c>
      <c r="D334" s="23" t="s">
        <v>58</v>
      </c>
      <c r="E334" s="24">
        <v>45386.0</v>
      </c>
      <c r="F334" s="25">
        <v>0.24375</v>
      </c>
      <c r="G334" s="25">
        <v>0.7097222222222223</v>
      </c>
      <c r="H334" s="27">
        <f t="shared" si="2"/>
        <v>0.4659722222</v>
      </c>
      <c r="I334" s="28">
        <v>5.0</v>
      </c>
      <c r="J334" s="29" t="s">
        <v>55</v>
      </c>
      <c r="K334" s="30" t="s">
        <v>23</v>
      </c>
      <c r="L334" s="31" t="str">
        <f>IFERROR(__xludf.DUMMYFUNCTION("IF(OR(E334="""",K334=""""),"""",IFERROR(IF(K334="""","""",query('tbl user'!$A$2:$D10975,""SELECT A WHERE D = '""&amp;K334&amp;""'"")),""USER TIDAK DIKETAHUI""))"),"#REF!")</f>
        <v>#REF!</v>
      </c>
    </row>
    <row r="335">
      <c r="A335" s="21">
        <f t="shared" si="1"/>
        <v>0</v>
      </c>
      <c r="B335" s="32" t="s">
        <v>197</v>
      </c>
      <c r="C335" s="23" t="s">
        <v>198</v>
      </c>
      <c r="D335" s="23" t="s">
        <v>58</v>
      </c>
      <c r="E335" s="24">
        <v>45386.0</v>
      </c>
      <c r="F335" s="25">
        <v>0.22916666666666666</v>
      </c>
      <c r="G335" s="25">
        <v>0.6875</v>
      </c>
      <c r="H335" s="27">
        <f t="shared" si="2"/>
        <v>0.4583333333</v>
      </c>
      <c r="I335" s="28">
        <v>5.0</v>
      </c>
      <c r="J335" s="29" t="s">
        <v>55</v>
      </c>
      <c r="K335" s="30" t="s">
        <v>23</v>
      </c>
      <c r="L335" s="31" t="str">
        <f>IFERROR(__xludf.DUMMYFUNCTION("IF(OR(E335="""",K335=""""),"""",IFERROR(IF(K335="""","""",query('tbl user'!$A$2:$D10975,""SELECT A WHERE D = '""&amp;K335&amp;""'"")),""USER TIDAK DIKETAHUI""))"),"#REF!")</f>
        <v>#REF!</v>
      </c>
    </row>
    <row r="336">
      <c r="A336" s="21" t="str">
        <f t="shared" si="1"/>
        <v/>
      </c>
      <c r="B336" s="35"/>
      <c r="C336" s="23" t="s">
        <v>35</v>
      </c>
      <c r="D336" s="23" t="s">
        <v>21</v>
      </c>
      <c r="E336" s="24">
        <v>45386.0</v>
      </c>
      <c r="F336" s="25">
        <v>0.26319444444444445</v>
      </c>
      <c r="G336" s="25">
        <v>0.75</v>
      </c>
      <c r="H336" s="27">
        <f t="shared" si="2"/>
        <v>0.4868055556</v>
      </c>
      <c r="I336" s="28">
        <v>0.0</v>
      </c>
      <c r="J336" s="29" t="s">
        <v>371</v>
      </c>
      <c r="K336" s="30" t="s">
        <v>23</v>
      </c>
      <c r="L336" s="31" t="str">
        <f>IFERROR(__xludf.DUMMYFUNCTION("IF(OR(E336="""",K336=""""),"""",IFERROR(IF(K336="""","""",query('tbl user'!$A$2:$D10975,""SELECT A WHERE D = '""&amp;K336&amp;""'"")),""USER TIDAK DIKETAHUI""))"),"#REF!")</f>
        <v>#REF!</v>
      </c>
    </row>
    <row r="337">
      <c r="A337" s="21">
        <f t="shared" si="1"/>
        <v>0</v>
      </c>
      <c r="B337" s="32" t="s">
        <v>372</v>
      </c>
      <c r="C337" s="23" t="s">
        <v>236</v>
      </c>
      <c r="D337" s="23" t="s">
        <v>21</v>
      </c>
      <c r="E337" s="24">
        <v>45386.0</v>
      </c>
      <c r="F337" s="25">
        <v>0.2791666666666667</v>
      </c>
      <c r="G337" s="25">
        <v>0.5798611111111112</v>
      </c>
      <c r="H337" s="27">
        <f t="shared" si="2"/>
        <v>0.3006944444</v>
      </c>
      <c r="I337" s="28">
        <v>1.0</v>
      </c>
      <c r="J337" s="29" t="s">
        <v>373</v>
      </c>
      <c r="K337" s="30" t="s">
        <v>23</v>
      </c>
      <c r="L337" s="31" t="str">
        <f>IFERROR(__xludf.DUMMYFUNCTION("IF(OR(E337="""",K337=""""),"""",IFERROR(IF(K337="""","""",query('tbl user'!$A$2:$D10975,""SELECT A WHERE D = '""&amp;K337&amp;""'"")),""USER TIDAK DIKETAHUI""))"),"#REF!")</f>
        <v>#REF!</v>
      </c>
    </row>
    <row r="338">
      <c r="A338" s="21">
        <f t="shared" si="1"/>
        <v>0</v>
      </c>
      <c r="B338" s="32" t="s">
        <v>238</v>
      </c>
      <c r="C338" s="23" t="s">
        <v>239</v>
      </c>
      <c r="D338" s="23" t="s">
        <v>21</v>
      </c>
      <c r="E338" s="24">
        <v>45386.0</v>
      </c>
      <c r="F338" s="25">
        <v>0.2916666666666667</v>
      </c>
      <c r="G338" s="25">
        <v>0.6625</v>
      </c>
      <c r="H338" s="27">
        <f t="shared" si="2"/>
        <v>0.3708333333</v>
      </c>
      <c r="I338" s="28">
        <v>2.0</v>
      </c>
      <c r="J338" s="29" t="s">
        <v>213</v>
      </c>
      <c r="K338" s="30" t="s">
        <v>23</v>
      </c>
      <c r="L338" s="31" t="str">
        <f>IFERROR(__xludf.DUMMYFUNCTION("IF(OR(E338="""",K338=""""),"""",IFERROR(IF(K338="""","""",query('tbl user'!$A$2:$D10975,""SELECT A WHERE D = '""&amp;K338&amp;""'"")),""USER TIDAK DIKETAHUI""))"),"#REF!")</f>
        <v>#REF!</v>
      </c>
    </row>
    <row r="339">
      <c r="A339" s="21">
        <f t="shared" si="1"/>
        <v>0</v>
      </c>
      <c r="B339" s="32" t="s">
        <v>240</v>
      </c>
      <c r="C339" s="23" t="s">
        <v>241</v>
      </c>
      <c r="D339" s="23" t="s">
        <v>21</v>
      </c>
      <c r="E339" s="24">
        <v>45386.0</v>
      </c>
      <c r="F339" s="25">
        <v>0.2048611111111111</v>
      </c>
      <c r="G339" s="25">
        <v>0.6048611111111111</v>
      </c>
      <c r="H339" s="27">
        <f t="shared" si="2"/>
        <v>0.4</v>
      </c>
      <c r="I339" s="28">
        <v>2.0</v>
      </c>
      <c r="J339" s="29" t="s">
        <v>217</v>
      </c>
      <c r="K339" s="30" t="s">
        <v>23</v>
      </c>
      <c r="L339" s="31" t="str">
        <f>IFERROR(__xludf.DUMMYFUNCTION("IF(OR(E339="""",K339=""""),"""",IFERROR(IF(K339="""","""",query('tbl user'!$A$2:$D10975,""SELECT A WHERE D = '""&amp;K339&amp;""'"")),""USER TIDAK DIKETAHUI""))"),"#REF!")</f>
        <v>#REF!</v>
      </c>
    </row>
    <row r="340">
      <c r="A340" s="21">
        <f t="shared" si="1"/>
        <v>0</v>
      </c>
      <c r="B340" s="32" t="s">
        <v>246</v>
      </c>
      <c r="C340" s="23" t="s">
        <v>99</v>
      </c>
      <c r="D340" s="23" t="s">
        <v>21</v>
      </c>
      <c r="E340" s="24">
        <v>45386.0</v>
      </c>
      <c r="F340" s="25">
        <v>0.26180555555555557</v>
      </c>
      <c r="G340" s="25">
        <v>0.5944444444444444</v>
      </c>
      <c r="H340" s="27">
        <f t="shared" si="2"/>
        <v>0.3326388889</v>
      </c>
      <c r="I340" s="28">
        <v>2.0</v>
      </c>
      <c r="J340" s="29" t="s">
        <v>374</v>
      </c>
      <c r="K340" s="30" t="s">
        <v>23</v>
      </c>
      <c r="L340" s="31" t="str">
        <f>IFERROR(__xludf.DUMMYFUNCTION("IF(OR(E340="""",K340=""""),"""",IFERROR(IF(K340="""","""",query('tbl user'!$A$2:$D10975,""SELECT A WHERE D = '""&amp;K340&amp;""'"")),""USER TIDAK DIKETAHUI""))"),"#REF!")</f>
        <v>#REF!</v>
      </c>
    </row>
    <row r="341">
      <c r="A341" s="21">
        <f t="shared" si="1"/>
        <v>0</v>
      </c>
      <c r="B341" s="32" t="s">
        <v>24</v>
      </c>
      <c r="C341" s="23" t="s">
        <v>25</v>
      </c>
      <c r="D341" s="23" t="s">
        <v>21</v>
      </c>
      <c r="E341" s="24">
        <v>45386.0</v>
      </c>
      <c r="F341" s="25">
        <v>0.2076388888888889</v>
      </c>
      <c r="G341" s="25">
        <v>0.6291666666666667</v>
      </c>
      <c r="H341" s="27">
        <f t="shared" si="2"/>
        <v>0.4215277778</v>
      </c>
      <c r="I341" s="28">
        <v>2.0</v>
      </c>
      <c r="J341" s="29" t="s">
        <v>375</v>
      </c>
      <c r="K341" s="30" t="s">
        <v>23</v>
      </c>
      <c r="L341" s="31" t="str">
        <f>IFERROR(__xludf.DUMMYFUNCTION("IF(OR(E341="""",K341=""""),"""",IFERROR(IF(K341="""","""",query('tbl user'!$A$2:$D10975,""SELECT A WHERE D = '""&amp;K341&amp;""'"")),""USER TIDAK DIKETAHUI""))"),"#REF!")</f>
        <v>#REF!</v>
      </c>
    </row>
    <row r="342">
      <c r="A342" s="21">
        <f t="shared" si="1"/>
        <v>0</v>
      </c>
      <c r="B342" s="32" t="s">
        <v>101</v>
      </c>
      <c r="C342" s="23" t="s">
        <v>251</v>
      </c>
      <c r="D342" s="23" t="s">
        <v>21</v>
      </c>
      <c r="E342" s="24">
        <v>45386.0</v>
      </c>
      <c r="F342" s="25">
        <v>0.3</v>
      </c>
      <c r="G342" s="25">
        <v>0.6701388888888888</v>
      </c>
      <c r="H342" s="27">
        <f t="shared" si="2"/>
        <v>0.3701388889</v>
      </c>
      <c r="I342" s="28">
        <v>2.0</v>
      </c>
      <c r="J342" s="29" t="s">
        <v>213</v>
      </c>
      <c r="K342" s="30" t="s">
        <v>23</v>
      </c>
      <c r="L342" s="31" t="str">
        <f>IFERROR(__xludf.DUMMYFUNCTION("IF(OR(E342="""",K342=""""),"""",IFERROR(IF(K342="""","""",query('tbl user'!$A$2:$D10975,""SELECT A WHERE D = '""&amp;K342&amp;""'"")),""USER TIDAK DIKETAHUI""))"),"#REF!")</f>
        <v>#REF!</v>
      </c>
    </row>
    <row r="343">
      <c r="A343" s="21">
        <f t="shared" si="1"/>
        <v>0</v>
      </c>
      <c r="B343" s="32" t="s">
        <v>231</v>
      </c>
      <c r="C343" s="23" t="s">
        <v>232</v>
      </c>
      <c r="D343" s="23" t="s">
        <v>21</v>
      </c>
      <c r="E343" s="24">
        <v>45386.0</v>
      </c>
      <c r="F343" s="25">
        <v>0.275</v>
      </c>
      <c r="G343" s="25">
        <v>0.7013888888888888</v>
      </c>
      <c r="H343" s="27">
        <f t="shared" si="2"/>
        <v>0.4263888889</v>
      </c>
      <c r="I343" s="28">
        <v>2.0</v>
      </c>
      <c r="J343" s="29" t="s">
        <v>213</v>
      </c>
      <c r="K343" s="30" t="s">
        <v>23</v>
      </c>
      <c r="L343" s="31" t="str">
        <f>IFERROR(__xludf.DUMMYFUNCTION("IF(OR(E343="""",K343=""""),"""",IFERROR(IF(K343="""","""",query('tbl user'!$A$2:$D10975,""SELECT A WHERE D = '""&amp;K343&amp;""'"")),""USER TIDAK DIKETAHUI""))"),"#REF!")</f>
        <v>#REF!</v>
      </c>
    </row>
    <row r="344">
      <c r="A344" s="21">
        <f t="shared" si="1"/>
        <v>0</v>
      </c>
      <c r="B344" s="32" t="s">
        <v>253</v>
      </c>
      <c r="C344" s="23" t="s">
        <v>102</v>
      </c>
      <c r="D344" s="23" t="s">
        <v>21</v>
      </c>
      <c r="E344" s="24">
        <v>45386.0</v>
      </c>
      <c r="F344" s="25">
        <v>0.2534722222222222</v>
      </c>
      <c r="G344" s="25">
        <v>0.6666666666666666</v>
      </c>
      <c r="H344" s="27">
        <f t="shared" si="2"/>
        <v>0.4131944444</v>
      </c>
      <c r="I344" s="28">
        <v>2.0</v>
      </c>
      <c r="J344" s="29" t="s">
        <v>213</v>
      </c>
      <c r="K344" s="30" t="s">
        <v>23</v>
      </c>
      <c r="L344" s="31" t="str">
        <f>IFERROR(__xludf.DUMMYFUNCTION("IF(OR(E344="""",K344=""""),"""",IFERROR(IF(K344="""","""",query('tbl user'!$A$2:$D10975,""SELECT A WHERE D = '""&amp;K344&amp;""'"")),""USER TIDAK DIKETAHUI""))"),"#REF!")</f>
        <v>#REF!</v>
      </c>
    </row>
    <row r="345">
      <c r="A345" s="21">
        <f t="shared" si="1"/>
        <v>0</v>
      </c>
      <c r="B345" s="32" t="s">
        <v>305</v>
      </c>
      <c r="C345" s="23" t="s">
        <v>306</v>
      </c>
      <c r="D345" s="23" t="s">
        <v>21</v>
      </c>
      <c r="E345" s="24">
        <v>45386.0</v>
      </c>
      <c r="F345" s="25">
        <v>0.20347222222222222</v>
      </c>
      <c r="G345" s="25">
        <v>0.5930555555555556</v>
      </c>
      <c r="H345" s="27">
        <f t="shared" si="2"/>
        <v>0.3895833333</v>
      </c>
      <c r="I345" s="28">
        <v>2.0</v>
      </c>
      <c r="J345" s="29" t="s">
        <v>213</v>
      </c>
      <c r="K345" s="30" t="s">
        <v>23</v>
      </c>
      <c r="L345" s="31" t="str">
        <f>IFERROR(__xludf.DUMMYFUNCTION("IF(OR(E345="""",K345=""""),"""",IFERROR(IF(K345="""","""",query('tbl user'!$A$2:$D10975,""SELECT A WHERE D = '""&amp;K345&amp;""'"")),""USER TIDAK DIKETAHUI""))"),"#REF!")</f>
        <v>#REF!</v>
      </c>
    </row>
    <row r="346">
      <c r="A346" s="21">
        <f t="shared" si="1"/>
        <v>0</v>
      </c>
      <c r="B346" s="32" t="s">
        <v>243</v>
      </c>
      <c r="C346" s="23" t="s">
        <v>244</v>
      </c>
      <c r="D346" s="23" t="s">
        <v>21</v>
      </c>
      <c r="E346" s="24">
        <v>45386.0</v>
      </c>
      <c r="F346" s="25">
        <v>0.2847222222222222</v>
      </c>
      <c r="G346" s="25">
        <v>0.76875</v>
      </c>
      <c r="H346" s="27">
        <f t="shared" si="2"/>
        <v>0.4840277778</v>
      </c>
      <c r="I346" s="28">
        <v>3.0</v>
      </c>
      <c r="J346" s="29" t="s">
        <v>55</v>
      </c>
      <c r="K346" s="30" t="s">
        <v>23</v>
      </c>
      <c r="L346" s="31" t="str">
        <f>IFERROR(__xludf.DUMMYFUNCTION("IF(OR(E346="""",K346=""""),"""",IFERROR(IF(K346="""","""",query('tbl user'!$A$2:$D10975,""SELECT A WHERE D = '""&amp;K346&amp;""'"")),""USER TIDAK DIKETAHUI""))"),"#REF!")</f>
        <v>#REF!</v>
      </c>
    </row>
    <row r="347">
      <c r="A347" s="21">
        <f t="shared" si="1"/>
        <v>0</v>
      </c>
      <c r="B347" s="32" t="s">
        <v>43</v>
      </c>
      <c r="C347" s="23" t="s">
        <v>44</v>
      </c>
      <c r="D347" s="23" t="s">
        <v>21</v>
      </c>
      <c r="E347" s="24">
        <v>45386.0</v>
      </c>
      <c r="F347" s="25">
        <v>0.2659722222222222</v>
      </c>
      <c r="G347" s="25">
        <v>0.7256944444444444</v>
      </c>
      <c r="H347" s="27">
        <f t="shared" si="2"/>
        <v>0.4597222222</v>
      </c>
      <c r="I347" s="28">
        <v>3.0</v>
      </c>
      <c r="J347" s="29" t="s">
        <v>55</v>
      </c>
      <c r="K347" s="30" t="s">
        <v>23</v>
      </c>
      <c r="L347" s="31" t="str">
        <f>IFERROR(__xludf.DUMMYFUNCTION("IF(OR(E347="""",K347=""""),"""",IFERROR(IF(K347="""","""",query('tbl user'!$A$2:$D10975,""SELECT A WHERE D = '""&amp;K347&amp;""'"")),""USER TIDAK DIKETAHUI""))"),"#REF!")</f>
        <v>#REF!</v>
      </c>
    </row>
    <row r="348">
      <c r="A348" s="21">
        <f t="shared" si="1"/>
        <v>0</v>
      </c>
      <c r="B348" s="32" t="s">
        <v>156</v>
      </c>
      <c r="C348" s="23" t="s">
        <v>234</v>
      </c>
      <c r="D348" s="23" t="s">
        <v>21</v>
      </c>
      <c r="E348" s="24">
        <v>45386.0</v>
      </c>
      <c r="F348" s="25">
        <v>0.26666666666666666</v>
      </c>
      <c r="G348" s="25">
        <v>0.7138888888888889</v>
      </c>
      <c r="H348" s="27">
        <f t="shared" si="2"/>
        <v>0.4472222222</v>
      </c>
      <c r="I348" s="28">
        <v>3.0</v>
      </c>
      <c r="J348" s="29" t="s">
        <v>55</v>
      </c>
      <c r="K348" s="30" t="s">
        <v>23</v>
      </c>
      <c r="L348" s="31" t="str">
        <f>IFERROR(__xludf.DUMMYFUNCTION("IF(OR(E348="""",K348=""""),"""",IFERROR(IF(K348="""","""",query('tbl user'!$A$2:$D10975,""SELECT A WHERE D = '""&amp;K348&amp;""'"")),""USER TIDAK DIKETAHUI""))"),"#REF!")</f>
        <v>#REF!</v>
      </c>
    </row>
    <row r="349">
      <c r="A349" s="21">
        <f t="shared" si="1"/>
        <v>0</v>
      </c>
      <c r="B349" s="32" t="s">
        <v>255</v>
      </c>
      <c r="C349" s="23" t="s">
        <v>256</v>
      </c>
      <c r="D349" s="23" t="s">
        <v>21</v>
      </c>
      <c r="E349" s="24">
        <v>45386.0</v>
      </c>
      <c r="F349" s="25">
        <v>0.25277777777777777</v>
      </c>
      <c r="G349" s="25">
        <v>0.7027777777777777</v>
      </c>
      <c r="H349" s="27">
        <f t="shared" si="2"/>
        <v>0.45</v>
      </c>
      <c r="I349" s="28">
        <v>3.0</v>
      </c>
      <c r="J349" s="29" t="s">
        <v>55</v>
      </c>
      <c r="K349" s="30" t="s">
        <v>23</v>
      </c>
      <c r="L349" s="31" t="str">
        <f>IFERROR(__xludf.DUMMYFUNCTION("IF(OR(E349="""",K349=""""),"""",IFERROR(IF(K349="""","""",query('tbl user'!$A$2:$D10975,""SELECT A WHERE D = '""&amp;K349&amp;""'"")),""USER TIDAK DIKETAHUI""))"),"#REF!")</f>
        <v>#REF!</v>
      </c>
    </row>
    <row r="350">
      <c r="A350" s="21">
        <f t="shared" si="1"/>
        <v>0</v>
      </c>
      <c r="B350" s="32" t="s">
        <v>258</v>
      </c>
      <c r="C350" s="23" t="s">
        <v>259</v>
      </c>
      <c r="D350" s="23" t="s">
        <v>21</v>
      </c>
      <c r="E350" s="24">
        <v>45386.0</v>
      </c>
      <c r="F350" s="25">
        <v>0.25625</v>
      </c>
      <c r="G350" s="25">
        <v>0.7166666666666667</v>
      </c>
      <c r="H350" s="27">
        <f t="shared" si="2"/>
        <v>0.4604166667</v>
      </c>
      <c r="I350" s="28">
        <v>3.0</v>
      </c>
      <c r="J350" s="29" t="s">
        <v>55</v>
      </c>
      <c r="K350" s="30" t="s">
        <v>23</v>
      </c>
      <c r="L350" s="31" t="str">
        <f>IFERROR(__xludf.DUMMYFUNCTION("IF(OR(E350="""",K350=""""),"""",IFERROR(IF(K350="""","""",query('tbl user'!$A$2:$D10975,""SELECT A WHERE D = '""&amp;K350&amp;""'"")),""USER TIDAK DIKETAHUI""))"),"#REF!")</f>
        <v>#REF!</v>
      </c>
    </row>
    <row r="351">
      <c r="A351" s="21">
        <f t="shared" si="1"/>
        <v>0</v>
      </c>
      <c r="B351" s="32" t="s">
        <v>260</v>
      </c>
      <c r="C351" s="23" t="s">
        <v>261</v>
      </c>
      <c r="D351" s="23" t="s">
        <v>21</v>
      </c>
      <c r="E351" s="24">
        <v>45386.0</v>
      </c>
      <c r="F351" s="25">
        <v>0.24166666666666667</v>
      </c>
      <c r="G351" s="25">
        <v>0.7236111111111111</v>
      </c>
      <c r="H351" s="27">
        <f t="shared" si="2"/>
        <v>0.4819444444</v>
      </c>
      <c r="I351" s="28">
        <v>3.0</v>
      </c>
      <c r="J351" s="29" t="s">
        <v>55</v>
      </c>
      <c r="K351" s="30" t="s">
        <v>23</v>
      </c>
      <c r="L351" s="31" t="str">
        <f>IFERROR(__xludf.DUMMYFUNCTION("IF(OR(E351="""",K351=""""),"""",IFERROR(IF(K351="""","""",query('tbl user'!$A$2:$D10975,""SELECT A WHERE D = '""&amp;K351&amp;""'"")),""USER TIDAK DIKETAHUI""))"),"#REF!")</f>
        <v>#REF!</v>
      </c>
    </row>
    <row r="352">
      <c r="A352" s="21">
        <f t="shared" si="1"/>
        <v>0</v>
      </c>
      <c r="B352" s="32" t="s">
        <v>64</v>
      </c>
      <c r="C352" s="23" t="s">
        <v>65</v>
      </c>
      <c r="D352" s="23" t="s">
        <v>21</v>
      </c>
      <c r="E352" s="24">
        <v>45386.0</v>
      </c>
      <c r="F352" s="25">
        <v>0.2534722222222222</v>
      </c>
      <c r="G352" s="25">
        <v>0.6597222222222222</v>
      </c>
      <c r="H352" s="27">
        <f t="shared" si="2"/>
        <v>0.40625</v>
      </c>
      <c r="I352" s="28">
        <v>3.0</v>
      </c>
      <c r="J352" s="29" t="s">
        <v>376</v>
      </c>
      <c r="K352" s="30" t="s">
        <v>23</v>
      </c>
      <c r="L352" s="31" t="str">
        <f>IFERROR(__xludf.DUMMYFUNCTION("IF(OR(E352="""",K352=""""),"""",IFERROR(IF(K352="""","""",query('tbl user'!$A$2:$D10975,""SELECT A WHERE D = '""&amp;K352&amp;""'"")),""USER TIDAK DIKETAHUI""))"),"#REF!")</f>
        <v>#REF!</v>
      </c>
    </row>
    <row r="353">
      <c r="A353" s="21">
        <f t="shared" si="1"/>
        <v>0</v>
      </c>
      <c r="B353" s="32" t="s">
        <v>289</v>
      </c>
      <c r="C353" s="23" t="s">
        <v>290</v>
      </c>
      <c r="D353" s="23" t="s">
        <v>21</v>
      </c>
      <c r="E353" s="24">
        <v>45386.0</v>
      </c>
      <c r="F353" s="25">
        <v>0.26805555555555555</v>
      </c>
      <c r="G353" s="25">
        <v>0.7048611111111112</v>
      </c>
      <c r="H353" s="27">
        <f t="shared" si="2"/>
        <v>0.4368055556</v>
      </c>
      <c r="I353" s="28">
        <v>4.0</v>
      </c>
      <c r="J353" s="29" t="s">
        <v>55</v>
      </c>
      <c r="K353" s="30" t="s">
        <v>23</v>
      </c>
      <c r="L353" s="31" t="str">
        <f>IFERROR(__xludf.DUMMYFUNCTION("IF(OR(E353="""",K353=""""),"""",IFERROR(IF(K353="""","""",query('tbl user'!$A$2:$D10975,""SELECT A WHERE D = '""&amp;K353&amp;""'"")),""USER TIDAK DIKETAHUI""))"),"#REF!")</f>
        <v>#REF!</v>
      </c>
    </row>
    <row r="354">
      <c r="A354" s="21">
        <f t="shared" si="1"/>
        <v>0</v>
      </c>
      <c r="B354" s="32" t="s">
        <v>37</v>
      </c>
      <c r="C354" s="23" t="s">
        <v>38</v>
      </c>
      <c r="D354" s="23" t="s">
        <v>21</v>
      </c>
      <c r="E354" s="24">
        <v>45386.0</v>
      </c>
      <c r="F354" s="25">
        <v>0.2722222222222222</v>
      </c>
      <c r="G354" s="25">
        <v>0.6569444444444444</v>
      </c>
      <c r="H354" s="27">
        <f t="shared" si="2"/>
        <v>0.3847222222</v>
      </c>
      <c r="I354" s="28">
        <v>4.0</v>
      </c>
      <c r="J354" s="29" t="s">
        <v>55</v>
      </c>
      <c r="K354" s="30" t="s">
        <v>23</v>
      </c>
      <c r="L354" s="31" t="str">
        <f>IFERROR(__xludf.DUMMYFUNCTION("IF(OR(E354="""",K354=""""),"""",IFERROR(IF(K354="""","""",query('tbl user'!$A$2:$D10975,""SELECT A WHERE D = '""&amp;K354&amp;""'"")),""USER TIDAK DIKETAHUI""))"),"#REF!")</f>
        <v>#REF!</v>
      </c>
    </row>
    <row r="355">
      <c r="A355" s="21">
        <f t="shared" si="1"/>
        <v>0</v>
      </c>
      <c r="B355" s="32" t="s">
        <v>61</v>
      </c>
      <c r="C355" s="23" t="s">
        <v>62</v>
      </c>
      <c r="D355" s="23" t="s">
        <v>21</v>
      </c>
      <c r="E355" s="24">
        <v>45386.0</v>
      </c>
      <c r="F355" s="25">
        <v>0.28125</v>
      </c>
      <c r="G355" s="25">
        <v>0.7097222222222223</v>
      </c>
      <c r="H355" s="27">
        <f t="shared" si="2"/>
        <v>0.4284722222</v>
      </c>
      <c r="I355" s="28">
        <v>4.0</v>
      </c>
      <c r="J355" s="29" t="s">
        <v>55</v>
      </c>
      <c r="K355" s="30" t="s">
        <v>23</v>
      </c>
      <c r="L355" s="31" t="str">
        <f>IFERROR(__xludf.DUMMYFUNCTION("IF(OR(E355="""",K355=""""),"""",IFERROR(IF(K355="""","""",query('tbl user'!$A$2:$D10975,""SELECT A WHERE D = '""&amp;K355&amp;""'"")),""USER TIDAK DIKETAHUI""))"),"#REF!")</f>
        <v>#REF!</v>
      </c>
    </row>
    <row r="356">
      <c r="A356" s="21">
        <f t="shared" si="1"/>
        <v>0</v>
      </c>
      <c r="B356" s="32" t="s">
        <v>51</v>
      </c>
      <c r="C356" s="23" t="s">
        <v>27</v>
      </c>
      <c r="D356" s="23" t="s">
        <v>21</v>
      </c>
      <c r="E356" s="24">
        <v>45386.0</v>
      </c>
      <c r="F356" s="25">
        <v>0.2611111111111111</v>
      </c>
      <c r="G356" s="25">
        <v>0.625</v>
      </c>
      <c r="H356" s="27">
        <f t="shared" si="2"/>
        <v>0.3638888889</v>
      </c>
      <c r="I356" s="28">
        <v>4.0</v>
      </c>
      <c r="J356" s="29" t="s">
        <v>55</v>
      </c>
      <c r="K356" s="30" t="s">
        <v>23</v>
      </c>
      <c r="L356" s="31" t="str">
        <f>IFERROR(__xludf.DUMMYFUNCTION("IF(OR(E356="""",K356=""""),"""",IFERROR(IF(K356="""","""",query('tbl user'!$A$2:$D10975,""SELECT A WHERE D = '""&amp;K356&amp;""'"")),""USER TIDAK DIKETAHUI""))"),"#REF!")</f>
        <v>#REF!</v>
      </c>
    </row>
    <row r="357">
      <c r="A357" s="21">
        <f t="shared" si="1"/>
        <v>0</v>
      </c>
      <c r="B357" s="32" t="s">
        <v>286</v>
      </c>
      <c r="C357" s="23" t="s">
        <v>287</v>
      </c>
      <c r="D357" s="23" t="s">
        <v>21</v>
      </c>
      <c r="E357" s="24">
        <v>45386.0</v>
      </c>
      <c r="F357" s="25">
        <v>0.28888888888888886</v>
      </c>
      <c r="G357" s="25">
        <v>0.7020833333333333</v>
      </c>
      <c r="H357" s="27">
        <f t="shared" si="2"/>
        <v>0.4131944444</v>
      </c>
      <c r="I357" s="28">
        <v>4.0</v>
      </c>
      <c r="J357" s="29" t="s">
        <v>55</v>
      </c>
      <c r="K357" s="30" t="s">
        <v>23</v>
      </c>
      <c r="L357" s="31" t="str">
        <f>IFERROR(__xludf.DUMMYFUNCTION("IF(OR(E357="""",K357=""""),"""",IFERROR(IF(K357="""","""",query('tbl user'!$A$2:$D10975,""SELECT A WHERE D = '""&amp;K357&amp;""'"")),""USER TIDAK DIKETAHUI""))"),"#REF!")</f>
        <v>#REF!</v>
      </c>
    </row>
    <row r="358">
      <c r="A358" s="21">
        <f t="shared" si="1"/>
        <v>0</v>
      </c>
      <c r="B358" s="32" t="s">
        <v>110</v>
      </c>
      <c r="C358" s="23" t="s">
        <v>111</v>
      </c>
      <c r="D358" s="23" t="s">
        <v>32</v>
      </c>
      <c r="E358" s="24">
        <v>45386.0</v>
      </c>
      <c r="F358" s="25">
        <v>0.34930555555555554</v>
      </c>
      <c r="G358" s="25">
        <v>0.5770833333333333</v>
      </c>
      <c r="H358" s="27">
        <f t="shared" si="2"/>
        <v>0.2277777778</v>
      </c>
      <c r="I358" s="28">
        <v>2.0</v>
      </c>
      <c r="J358" s="29" t="s">
        <v>377</v>
      </c>
      <c r="K358" s="30" t="s">
        <v>23</v>
      </c>
      <c r="L358" s="31" t="str">
        <f>IFERROR(__xludf.DUMMYFUNCTION("IF(OR(E358="""",K358=""""),"""",IFERROR(IF(K358="""","""",query('tbl user'!$A$2:$D10975,""SELECT A WHERE D = '""&amp;K358&amp;""'"")),""USER TIDAK DIKETAHUI""))"),"#REF!")</f>
        <v>#REF!</v>
      </c>
    </row>
    <row r="359">
      <c r="A359" s="21">
        <f t="shared" si="1"/>
        <v>0</v>
      </c>
      <c r="B359" s="32" t="s">
        <v>137</v>
      </c>
      <c r="C359" s="23" t="s">
        <v>138</v>
      </c>
      <c r="D359" s="23" t="s">
        <v>32</v>
      </c>
      <c r="E359" s="24">
        <v>45386.0</v>
      </c>
      <c r="F359" s="25">
        <v>0.2638888888888889</v>
      </c>
      <c r="G359" s="25">
        <v>0.48194444444444445</v>
      </c>
      <c r="H359" s="27">
        <f t="shared" si="2"/>
        <v>0.2180555556</v>
      </c>
      <c r="I359" s="28">
        <v>2.0</v>
      </c>
      <c r="J359" s="29" t="s">
        <v>378</v>
      </c>
      <c r="K359" s="30" t="s">
        <v>23</v>
      </c>
      <c r="L359" s="31" t="str">
        <f>IFERROR(__xludf.DUMMYFUNCTION("IF(OR(E359="""",K359=""""),"""",IFERROR(IF(K359="""","""",query('tbl user'!$A$2:$D10975,""SELECT A WHERE D = '""&amp;K359&amp;""'"")),""USER TIDAK DIKETAHUI""))"),"#REF!")</f>
        <v>#REF!</v>
      </c>
    </row>
    <row r="360">
      <c r="A360" s="21">
        <f t="shared" si="1"/>
        <v>0</v>
      </c>
      <c r="B360" s="32" t="s">
        <v>269</v>
      </c>
      <c r="C360" s="23" t="s">
        <v>270</v>
      </c>
      <c r="D360" s="23" t="s">
        <v>32</v>
      </c>
      <c r="E360" s="24">
        <v>45386.0</v>
      </c>
      <c r="F360" s="25">
        <v>0.2520833333333333</v>
      </c>
      <c r="G360" s="25">
        <v>0.5020833333333333</v>
      </c>
      <c r="H360" s="27">
        <f t="shared" si="2"/>
        <v>0.25</v>
      </c>
      <c r="I360" s="28">
        <v>2.0</v>
      </c>
      <c r="J360" s="29" t="s">
        <v>379</v>
      </c>
      <c r="K360" s="30" t="s">
        <v>23</v>
      </c>
      <c r="L360" s="31" t="str">
        <f>IFERROR(__xludf.DUMMYFUNCTION("IF(OR(E360="""",K360=""""),"""",IFERROR(IF(K360="""","""",query('tbl user'!$A$2:$D10975,""SELECT A WHERE D = '""&amp;K360&amp;""'"")),""USER TIDAK DIKETAHUI""))"),"#REF!")</f>
        <v>#REF!</v>
      </c>
    </row>
    <row r="361">
      <c r="A361" s="21">
        <f t="shared" si="1"/>
        <v>0</v>
      </c>
      <c r="B361" s="32" t="s">
        <v>263</v>
      </c>
      <c r="C361" s="23" t="s">
        <v>264</v>
      </c>
      <c r="D361" s="23" t="s">
        <v>32</v>
      </c>
      <c r="E361" s="24">
        <v>45386.0</v>
      </c>
      <c r="F361" s="25">
        <v>0.2965277777777778</v>
      </c>
      <c r="G361" s="25">
        <v>0.73125</v>
      </c>
      <c r="H361" s="27">
        <f t="shared" si="2"/>
        <v>0.4347222222</v>
      </c>
      <c r="I361" s="28">
        <v>3.0</v>
      </c>
      <c r="J361" s="29" t="s">
        <v>213</v>
      </c>
      <c r="K361" s="30" t="s">
        <v>23</v>
      </c>
      <c r="L361" s="31" t="str">
        <f>IFERROR(__xludf.DUMMYFUNCTION("IF(OR(E361="""",K361=""""),"""",IFERROR(IF(K361="""","""",query('tbl user'!$A$2:$D10975,""SELECT A WHERE D = '""&amp;K361&amp;""'"")),""USER TIDAK DIKETAHUI""))"),"#REF!")</f>
        <v>#REF!</v>
      </c>
    </row>
    <row r="362">
      <c r="A362" s="21">
        <f t="shared" si="1"/>
        <v>0</v>
      </c>
      <c r="B362" s="32" t="s">
        <v>75</v>
      </c>
      <c r="C362" s="23" t="s">
        <v>76</v>
      </c>
      <c r="D362" s="23" t="s">
        <v>32</v>
      </c>
      <c r="E362" s="24">
        <v>45386.0</v>
      </c>
      <c r="F362" s="25">
        <v>0.2659722222222222</v>
      </c>
      <c r="G362" s="25">
        <v>0.6604166666666667</v>
      </c>
      <c r="H362" s="27">
        <f t="shared" si="2"/>
        <v>0.3944444444</v>
      </c>
      <c r="I362" s="28">
        <v>3.0</v>
      </c>
      <c r="J362" s="29" t="s">
        <v>213</v>
      </c>
      <c r="K362" s="30" t="s">
        <v>23</v>
      </c>
      <c r="L362" s="31" t="str">
        <f>IFERROR(__xludf.DUMMYFUNCTION("IF(OR(E362="""",K362=""""),"""",IFERROR(IF(K362="""","""",query('tbl user'!$A$2:$D10975,""SELECT A WHERE D = '""&amp;K362&amp;""'"")),""USER TIDAK DIKETAHUI""))"),"#REF!")</f>
        <v>#REF!</v>
      </c>
    </row>
    <row r="363">
      <c r="A363" s="21">
        <f t="shared" si="1"/>
        <v>0</v>
      </c>
      <c r="B363" s="32" t="s">
        <v>123</v>
      </c>
      <c r="C363" s="23" t="s">
        <v>124</v>
      </c>
      <c r="D363" s="23" t="s">
        <v>32</v>
      </c>
      <c r="E363" s="24">
        <v>45386.0</v>
      </c>
      <c r="F363" s="25">
        <v>0.29791666666666666</v>
      </c>
      <c r="G363" s="25">
        <v>0.6923611111111111</v>
      </c>
      <c r="H363" s="27">
        <f t="shared" si="2"/>
        <v>0.3944444444</v>
      </c>
      <c r="I363" s="28">
        <v>3.0</v>
      </c>
      <c r="J363" s="29" t="s">
        <v>213</v>
      </c>
      <c r="K363" s="30" t="s">
        <v>23</v>
      </c>
      <c r="L363" s="31" t="str">
        <f>IFERROR(__xludf.DUMMYFUNCTION("IF(OR(E363="""",K363=""""),"""",IFERROR(IF(K363="""","""",query('tbl user'!$A$2:$D10975,""SELECT A WHERE D = '""&amp;K363&amp;""'"")),""USER TIDAK DIKETAHUI""))"),"#REF!")</f>
        <v>#REF!</v>
      </c>
    </row>
    <row r="364">
      <c r="A364" s="21">
        <f t="shared" si="1"/>
        <v>0</v>
      </c>
      <c r="B364" s="32" t="s">
        <v>125</v>
      </c>
      <c r="C364" s="23" t="s">
        <v>126</v>
      </c>
      <c r="D364" s="23" t="s">
        <v>32</v>
      </c>
      <c r="E364" s="24">
        <v>45386.0</v>
      </c>
      <c r="F364" s="25">
        <v>0.2986111111111111</v>
      </c>
      <c r="G364" s="25">
        <v>0.6881944444444444</v>
      </c>
      <c r="H364" s="27">
        <f t="shared" si="2"/>
        <v>0.3895833333</v>
      </c>
      <c r="I364" s="28">
        <v>3.0</v>
      </c>
      <c r="J364" s="29" t="s">
        <v>213</v>
      </c>
      <c r="K364" s="30" t="s">
        <v>23</v>
      </c>
      <c r="L364" s="31" t="str">
        <f>IFERROR(__xludf.DUMMYFUNCTION("IF(OR(E364="""",K364=""""),"""",IFERROR(IF(K364="""","""",query('tbl user'!$A$2:$D10975,""SELECT A WHERE D = '""&amp;K364&amp;""'"")),""USER TIDAK DIKETAHUI""))"),"#REF!")</f>
        <v>#REF!</v>
      </c>
    </row>
    <row r="365">
      <c r="A365" s="21">
        <f t="shared" si="1"/>
        <v>0</v>
      </c>
      <c r="B365" s="32" t="s">
        <v>30</v>
      </c>
      <c r="C365" s="23" t="s">
        <v>31</v>
      </c>
      <c r="D365" s="23" t="s">
        <v>32</v>
      </c>
      <c r="E365" s="24">
        <v>45386.0</v>
      </c>
      <c r="F365" s="25">
        <v>0.2951388888888889</v>
      </c>
      <c r="G365" s="25">
        <v>0.6451388888888889</v>
      </c>
      <c r="H365" s="27">
        <f t="shared" si="2"/>
        <v>0.35</v>
      </c>
      <c r="I365" s="28">
        <v>3.0</v>
      </c>
      <c r="J365" s="29" t="s">
        <v>380</v>
      </c>
      <c r="K365" s="30" t="s">
        <v>23</v>
      </c>
      <c r="L365" s="31" t="str">
        <f>IFERROR(__xludf.DUMMYFUNCTION("IF(OR(E365="""",K365=""""),"""",IFERROR(IF(K365="""","""",query('tbl user'!$A$2:$D10975,""SELECT A WHERE D = '""&amp;K365&amp;""'"")),""USER TIDAK DIKETAHUI""))"),"#REF!")</f>
        <v>#REF!</v>
      </c>
    </row>
    <row r="366">
      <c r="A366" s="21">
        <f t="shared" si="1"/>
        <v>0</v>
      </c>
      <c r="B366" s="32" t="s">
        <v>279</v>
      </c>
      <c r="C366" s="23" t="s">
        <v>280</v>
      </c>
      <c r="D366" s="23" t="s">
        <v>32</v>
      </c>
      <c r="E366" s="24">
        <v>45386.0</v>
      </c>
      <c r="F366" s="25">
        <v>0.2652777777777778</v>
      </c>
      <c r="G366" s="25">
        <v>0.5805555555555556</v>
      </c>
      <c r="H366" s="27">
        <f t="shared" si="2"/>
        <v>0.3152777778</v>
      </c>
      <c r="I366" s="28">
        <v>3.0</v>
      </c>
      <c r="J366" s="29" t="s">
        <v>309</v>
      </c>
      <c r="K366" s="30" t="s">
        <v>23</v>
      </c>
      <c r="L366" s="31" t="str">
        <f>IFERROR(__xludf.DUMMYFUNCTION("IF(OR(E366="""",K366=""""),"""",IFERROR(IF(K366="""","""",query('tbl user'!$A$2:$D10975,""SELECT A WHERE D = '""&amp;K366&amp;""'"")),""USER TIDAK DIKETAHUI""))"),"#REF!")</f>
        <v>#REF!</v>
      </c>
    </row>
    <row r="367">
      <c r="A367" s="21">
        <f t="shared" si="1"/>
        <v>0</v>
      </c>
      <c r="B367" s="32" t="s">
        <v>78</v>
      </c>
      <c r="C367" s="23" t="s">
        <v>79</v>
      </c>
      <c r="D367" s="23" t="s">
        <v>32</v>
      </c>
      <c r="E367" s="24">
        <v>45386.0</v>
      </c>
      <c r="F367" s="25">
        <v>0.2326388888888889</v>
      </c>
      <c r="G367" s="25">
        <v>0.6520833333333333</v>
      </c>
      <c r="H367" s="27">
        <f t="shared" si="2"/>
        <v>0.4194444444</v>
      </c>
      <c r="I367" s="28">
        <v>3.0</v>
      </c>
      <c r="J367" s="29" t="s">
        <v>381</v>
      </c>
      <c r="K367" s="30" t="s">
        <v>23</v>
      </c>
      <c r="L367" s="31" t="str">
        <f>IFERROR(__xludf.DUMMYFUNCTION("IF(OR(E367="""",K367=""""),"""",IFERROR(IF(K367="""","""",query('tbl user'!$A$2:$D10975,""SELECT A WHERE D = '""&amp;K367&amp;""'"")),""USER TIDAK DIKETAHUI""))"),"#REF!")</f>
        <v>#REF!</v>
      </c>
    </row>
    <row r="368">
      <c r="A368" s="21">
        <f t="shared" si="1"/>
        <v>0</v>
      </c>
      <c r="B368" s="32" t="s">
        <v>144</v>
      </c>
      <c r="C368" s="23" t="s">
        <v>145</v>
      </c>
      <c r="D368" s="23" t="s">
        <v>32</v>
      </c>
      <c r="E368" s="24">
        <v>45386.0</v>
      </c>
      <c r="F368" s="25">
        <v>0.2798611111111111</v>
      </c>
      <c r="G368" s="25">
        <v>0.71875</v>
      </c>
      <c r="H368" s="27">
        <f t="shared" si="2"/>
        <v>0.4388888889</v>
      </c>
      <c r="I368" s="28">
        <v>3.0</v>
      </c>
      <c r="J368" s="29" t="s">
        <v>382</v>
      </c>
      <c r="K368" s="30" t="s">
        <v>23</v>
      </c>
      <c r="L368" s="31" t="str">
        <f>IFERROR(__xludf.DUMMYFUNCTION("IF(OR(E368="""",K368=""""),"""",IFERROR(IF(K368="""","""",query('tbl user'!$A$2:$D10975,""SELECT A WHERE D = '""&amp;K368&amp;""'"")),""USER TIDAK DIKETAHUI""))"),"#REF!")</f>
        <v>#REF!</v>
      </c>
    </row>
    <row r="369">
      <c r="A369" s="21">
        <f t="shared" si="1"/>
        <v>0</v>
      </c>
      <c r="B369" s="32" t="s">
        <v>151</v>
      </c>
      <c r="C369" s="23" t="s">
        <v>152</v>
      </c>
      <c r="D369" s="23" t="s">
        <v>32</v>
      </c>
      <c r="E369" s="24">
        <v>45386.0</v>
      </c>
      <c r="F369" s="25">
        <v>0.26875</v>
      </c>
      <c r="G369" s="25">
        <v>0.6493055555555556</v>
      </c>
      <c r="H369" s="27">
        <f t="shared" si="2"/>
        <v>0.3805555556</v>
      </c>
      <c r="I369" s="28">
        <v>3.0</v>
      </c>
      <c r="J369" s="29" t="s">
        <v>383</v>
      </c>
      <c r="K369" s="30" t="s">
        <v>23</v>
      </c>
      <c r="L369" s="31" t="str">
        <f>IFERROR(__xludf.DUMMYFUNCTION("IF(OR(E369="""",K369=""""),"""",IFERROR(IF(K369="""","""",query('tbl user'!$A$2:$D10975,""SELECT A WHERE D = '""&amp;K369&amp;""'"")),""USER TIDAK DIKETAHUI""))"),"#REF!")</f>
        <v>#REF!</v>
      </c>
    </row>
    <row r="370">
      <c r="A370" s="21">
        <f t="shared" si="1"/>
        <v>0</v>
      </c>
      <c r="B370" s="32" t="s">
        <v>72</v>
      </c>
      <c r="C370" s="23" t="s">
        <v>73</v>
      </c>
      <c r="D370" s="23" t="s">
        <v>32</v>
      </c>
      <c r="E370" s="24">
        <v>45386.0</v>
      </c>
      <c r="F370" s="25">
        <v>0.22361111111111112</v>
      </c>
      <c r="G370" s="25">
        <v>0.6638888888888889</v>
      </c>
      <c r="H370" s="27">
        <f t="shared" si="2"/>
        <v>0.4402777778</v>
      </c>
      <c r="I370" s="28">
        <v>4.0</v>
      </c>
      <c r="J370" s="29" t="s">
        <v>55</v>
      </c>
      <c r="K370" s="30" t="s">
        <v>23</v>
      </c>
      <c r="L370" s="31" t="str">
        <f>IFERROR(__xludf.DUMMYFUNCTION("IF(OR(E370="""",K370=""""),"""",IFERROR(IF(K370="""","""",query('tbl user'!$A$2:$D10975,""SELECT A WHERE D = '""&amp;K370&amp;""'"")),""USER TIDAK DIKETAHUI""))"),"#REF!")</f>
        <v>#REF!</v>
      </c>
    </row>
    <row r="371">
      <c r="A371" s="21">
        <f t="shared" si="1"/>
        <v>0</v>
      </c>
      <c r="B371" s="32" t="s">
        <v>276</v>
      </c>
      <c r="C371" s="23" t="s">
        <v>132</v>
      </c>
      <c r="D371" s="23" t="s">
        <v>32</v>
      </c>
      <c r="E371" s="24">
        <v>45386.0</v>
      </c>
      <c r="F371" s="25">
        <v>0.2881944444444444</v>
      </c>
      <c r="G371" s="25">
        <v>0.7416666666666667</v>
      </c>
      <c r="H371" s="27">
        <f t="shared" si="2"/>
        <v>0.4534722222</v>
      </c>
      <c r="I371" s="28">
        <v>4.0</v>
      </c>
      <c r="J371" s="29" t="s">
        <v>55</v>
      </c>
      <c r="K371" s="30" t="s">
        <v>23</v>
      </c>
      <c r="L371" s="31" t="str">
        <f>IFERROR(__xludf.DUMMYFUNCTION("IF(OR(E371="""",K371=""""),"""",IFERROR(IF(K371="""","""",query('tbl user'!$A$2:$D10975,""SELECT A WHERE D = '""&amp;K371&amp;""'"")),""USER TIDAK DIKETAHUI""))"),"#REF!")</f>
        <v>#REF!</v>
      </c>
    </row>
    <row r="372">
      <c r="A372" s="21">
        <f t="shared" si="1"/>
        <v>0</v>
      </c>
      <c r="B372" s="32" t="s">
        <v>135</v>
      </c>
      <c r="C372" s="23" t="s">
        <v>136</v>
      </c>
      <c r="D372" s="23" t="s">
        <v>32</v>
      </c>
      <c r="E372" s="24">
        <v>45386.0</v>
      </c>
      <c r="F372" s="25">
        <v>0.2625</v>
      </c>
      <c r="G372" s="25">
        <v>0.7104166666666667</v>
      </c>
      <c r="H372" s="27">
        <f t="shared" si="2"/>
        <v>0.4479166667</v>
      </c>
      <c r="I372" s="28">
        <v>4.0</v>
      </c>
      <c r="J372" s="29" t="s">
        <v>55</v>
      </c>
      <c r="K372" s="30" t="s">
        <v>23</v>
      </c>
      <c r="L372" s="31" t="str">
        <f>IFERROR(__xludf.DUMMYFUNCTION("IF(OR(E372="""",K372=""""),"""",IFERROR(IF(K372="""","""",query('tbl user'!$A$2:$D10975,""SELECT A WHERE D = '""&amp;K372&amp;""'"")),""USER TIDAK DIKETAHUI""))"),"#REF!")</f>
        <v>#REF!</v>
      </c>
    </row>
    <row r="373">
      <c r="A373" s="21">
        <f t="shared" si="1"/>
        <v>0</v>
      </c>
      <c r="B373" s="32" t="s">
        <v>40</v>
      </c>
      <c r="C373" s="23" t="s">
        <v>41</v>
      </c>
      <c r="D373" s="23" t="s">
        <v>32</v>
      </c>
      <c r="E373" s="24">
        <v>45386.0</v>
      </c>
      <c r="F373" s="25">
        <v>0.20694444444444443</v>
      </c>
      <c r="G373" s="25">
        <v>0.65</v>
      </c>
      <c r="H373" s="27">
        <f t="shared" si="2"/>
        <v>0.4430555556</v>
      </c>
      <c r="I373" s="28">
        <v>4.0</v>
      </c>
      <c r="J373" s="29" t="s">
        <v>55</v>
      </c>
      <c r="K373" s="30" t="s">
        <v>23</v>
      </c>
      <c r="L373" s="31" t="str">
        <f>IFERROR(__xludf.DUMMYFUNCTION("IF(OR(E373="""",K373=""""),"""",IFERROR(IF(K373="""","""",query('tbl user'!$A$2:$D10975,""SELECT A WHERE D = '""&amp;K373&amp;""'"")),""USER TIDAK DIKETAHUI""))"),"#REF!")</f>
        <v>#REF!</v>
      </c>
    </row>
    <row r="374">
      <c r="A374" s="21">
        <f t="shared" si="1"/>
        <v>0</v>
      </c>
      <c r="B374" s="32" t="s">
        <v>267</v>
      </c>
      <c r="C374" s="23" t="s">
        <v>268</v>
      </c>
      <c r="D374" s="23" t="s">
        <v>32</v>
      </c>
      <c r="E374" s="24">
        <v>45386.0</v>
      </c>
      <c r="F374" s="25">
        <v>0.23055555555555557</v>
      </c>
      <c r="G374" s="25">
        <v>0.6840277777777778</v>
      </c>
      <c r="H374" s="27">
        <f t="shared" si="2"/>
        <v>0.4534722222</v>
      </c>
      <c r="I374" s="28">
        <v>4.0</v>
      </c>
      <c r="J374" s="29" t="s">
        <v>55</v>
      </c>
      <c r="K374" s="30" t="s">
        <v>23</v>
      </c>
      <c r="L374" s="31" t="str">
        <f>IFERROR(__xludf.DUMMYFUNCTION("IF(OR(E374="""",K374=""""),"""",IFERROR(IF(K374="""","""",query('tbl user'!$A$2:$D10975,""SELECT A WHERE D = '""&amp;K374&amp;""'"")),""USER TIDAK DIKETAHUI""))"),"#REF!")</f>
        <v>#REF!</v>
      </c>
    </row>
    <row r="375">
      <c r="A375" s="21">
        <f t="shared" si="1"/>
        <v>0</v>
      </c>
      <c r="B375" s="32" t="s">
        <v>312</v>
      </c>
      <c r="C375" s="23" t="s">
        <v>313</v>
      </c>
      <c r="D375" s="23" t="s">
        <v>32</v>
      </c>
      <c r="E375" s="24">
        <v>45386.0</v>
      </c>
      <c r="F375" s="25">
        <v>0.25069444444444444</v>
      </c>
      <c r="G375" s="25">
        <v>0.6993055555555555</v>
      </c>
      <c r="H375" s="27">
        <f t="shared" si="2"/>
        <v>0.4486111111</v>
      </c>
      <c r="I375" s="28">
        <v>4.0</v>
      </c>
      <c r="J375" s="29" t="s">
        <v>55</v>
      </c>
      <c r="K375" s="30" t="s">
        <v>23</v>
      </c>
      <c r="L375" s="31" t="str">
        <f>IFERROR(__xludf.DUMMYFUNCTION("IF(OR(E375="""",K375=""""),"""",IFERROR(IF(K375="""","""",query('tbl user'!$A$2:$D10975,""SELECT A WHERE D = '""&amp;K375&amp;""'"")),""USER TIDAK DIKETAHUI""))"),"#REF!")</f>
        <v>#REF!</v>
      </c>
    </row>
    <row r="376">
      <c r="A376" s="21">
        <f t="shared" si="1"/>
        <v>0</v>
      </c>
      <c r="B376" s="32" t="s">
        <v>146</v>
      </c>
      <c r="C376" s="23" t="s">
        <v>147</v>
      </c>
      <c r="D376" s="23" t="s">
        <v>32</v>
      </c>
      <c r="E376" s="24">
        <v>45386.0</v>
      </c>
      <c r="F376" s="25">
        <v>0.24027777777777778</v>
      </c>
      <c r="G376" s="25">
        <v>0.7361111111111112</v>
      </c>
      <c r="H376" s="27">
        <f t="shared" si="2"/>
        <v>0.4958333333</v>
      </c>
      <c r="I376" s="28">
        <v>4.0</v>
      </c>
      <c r="J376" s="29" t="s">
        <v>55</v>
      </c>
      <c r="K376" s="30" t="s">
        <v>23</v>
      </c>
      <c r="L376" s="31" t="str">
        <f>IFERROR(__xludf.DUMMYFUNCTION("IF(OR(E376="""",K376=""""),"""",IFERROR(IF(K376="""","""",query('tbl user'!$A$2:$D10975,""SELECT A WHERE D = '""&amp;K376&amp;""'"")),""USER TIDAK DIKETAHUI""))"),"#REF!")</f>
        <v>#REF!</v>
      </c>
    </row>
    <row r="377">
      <c r="A377" s="21">
        <f t="shared" si="1"/>
        <v>0</v>
      </c>
      <c r="B377" s="32" t="s">
        <v>149</v>
      </c>
      <c r="C377" s="23" t="s">
        <v>150</v>
      </c>
      <c r="D377" s="23" t="s">
        <v>32</v>
      </c>
      <c r="E377" s="24">
        <v>45386.0</v>
      </c>
      <c r="F377" s="25">
        <v>0.22777777777777777</v>
      </c>
      <c r="G377" s="25">
        <v>0.7201388888888889</v>
      </c>
      <c r="H377" s="27">
        <f t="shared" si="2"/>
        <v>0.4923611111</v>
      </c>
      <c r="I377" s="28">
        <v>4.0</v>
      </c>
      <c r="J377" s="29" t="s">
        <v>55</v>
      </c>
      <c r="K377" s="30" t="s">
        <v>23</v>
      </c>
      <c r="L377" s="31" t="str">
        <f>IFERROR(__xludf.DUMMYFUNCTION("IF(OR(E377="""",K377=""""),"""",IFERROR(IF(K377="""","""",query('tbl user'!$A$2:$D10975,""SELECT A WHERE D = '""&amp;K377&amp;""'"")),""USER TIDAK DIKETAHUI""))"),"#REF!")</f>
        <v>#REF!</v>
      </c>
    </row>
    <row r="378">
      <c r="A378" s="21">
        <f t="shared" si="1"/>
        <v>0</v>
      </c>
      <c r="B378" s="32" t="s">
        <v>133</v>
      </c>
      <c r="C378" s="23" t="s">
        <v>134</v>
      </c>
      <c r="D378" s="23" t="s">
        <v>32</v>
      </c>
      <c r="E378" s="24">
        <v>45386.0</v>
      </c>
      <c r="F378" s="25">
        <v>0.22430555555555556</v>
      </c>
      <c r="G378" s="25">
        <v>0.7319444444444444</v>
      </c>
      <c r="H378" s="27">
        <f t="shared" si="2"/>
        <v>0.5076388889</v>
      </c>
      <c r="I378" s="28">
        <v>5.0</v>
      </c>
      <c r="J378" s="29" t="s">
        <v>55</v>
      </c>
      <c r="K378" s="30" t="s">
        <v>23</v>
      </c>
      <c r="L378" s="31" t="str">
        <f>IFERROR(__xludf.DUMMYFUNCTION("IF(OR(E378="""",K378=""""),"""",IFERROR(IF(K378="""","""",query('tbl user'!$A$2:$D10975,""SELECT A WHERE D = '""&amp;K378&amp;""'"")),""USER TIDAK DIKETAHUI""))"),"#REF!")</f>
        <v>#REF!</v>
      </c>
    </row>
    <row r="379">
      <c r="A379" s="21">
        <f t="shared" si="1"/>
        <v>0</v>
      </c>
      <c r="B379" s="32" t="s">
        <v>153</v>
      </c>
      <c r="C379" s="23" t="s">
        <v>339</v>
      </c>
      <c r="D379" s="23" t="s">
        <v>21</v>
      </c>
      <c r="E379" s="24">
        <v>45386.0</v>
      </c>
      <c r="F379" s="25">
        <v>0.2375</v>
      </c>
      <c r="G379" s="25">
        <v>0.3888888888888889</v>
      </c>
      <c r="H379" s="27">
        <f t="shared" si="2"/>
        <v>0.1513888889</v>
      </c>
      <c r="I379" s="28">
        <v>1.0</v>
      </c>
      <c r="J379" s="29" t="s">
        <v>384</v>
      </c>
      <c r="K379" s="30" t="s">
        <v>23</v>
      </c>
      <c r="L379" s="31" t="str">
        <f>IFERROR(__xludf.DUMMYFUNCTION("IF(OR(E379="""",K379=""""),"""",IFERROR(IF(K379="""","""",query('tbl user'!$A$2:$D10975,""SELECT A WHERE D = '""&amp;K379&amp;""'"")),""USER TIDAK DIKETAHUI""))"),"#REF!")</f>
        <v>#REF!</v>
      </c>
    </row>
    <row r="380">
      <c r="A380" s="21">
        <f t="shared" si="1"/>
        <v>0</v>
      </c>
      <c r="B380" s="32" t="s">
        <v>328</v>
      </c>
      <c r="C380" s="23" t="s">
        <v>329</v>
      </c>
      <c r="D380" s="23" t="s">
        <v>21</v>
      </c>
      <c r="E380" s="24">
        <v>45386.0</v>
      </c>
      <c r="F380" s="25">
        <v>0.23958333333333334</v>
      </c>
      <c r="G380" s="25">
        <v>0.5625</v>
      </c>
      <c r="H380" s="27">
        <f t="shared" si="2"/>
        <v>0.3229166667</v>
      </c>
      <c r="I380" s="28">
        <v>4.0</v>
      </c>
      <c r="J380" s="29" t="s">
        <v>385</v>
      </c>
      <c r="K380" s="30" t="s">
        <v>23</v>
      </c>
      <c r="L380" s="31" t="str">
        <f>IFERROR(__xludf.DUMMYFUNCTION("IF(OR(E380="""",K380=""""),"""",IFERROR(IF(K380="""","""",query('tbl user'!$A$2:$D10975,""SELECT A WHERE D = '""&amp;K380&amp;""'"")),""USER TIDAK DIKETAHUI""))"),"#REF!")</f>
        <v>#REF!</v>
      </c>
    </row>
    <row r="381">
      <c r="A381" s="21">
        <f t="shared" si="1"/>
        <v>0</v>
      </c>
      <c r="B381" s="32" t="s">
        <v>331</v>
      </c>
      <c r="C381" s="23" t="s">
        <v>332</v>
      </c>
      <c r="D381" s="23" t="s">
        <v>21</v>
      </c>
      <c r="E381" s="24">
        <v>45386.0</v>
      </c>
      <c r="F381" s="25">
        <v>0.25277777777777777</v>
      </c>
      <c r="G381" s="25">
        <v>0.6131944444444445</v>
      </c>
      <c r="H381" s="27">
        <f t="shared" si="2"/>
        <v>0.3604166667</v>
      </c>
      <c r="I381" s="28">
        <v>5.0</v>
      </c>
      <c r="J381" s="29" t="s">
        <v>55</v>
      </c>
      <c r="K381" s="30" t="s">
        <v>23</v>
      </c>
      <c r="L381" s="31" t="str">
        <f>IFERROR(__xludf.DUMMYFUNCTION("IF(OR(E381="""",K381=""""),"""",IFERROR(IF(K381="""","""",query('tbl user'!$A$2:$D10975,""SELECT A WHERE D = '""&amp;K381&amp;""'"")),""USER TIDAK DIKETAHUI""))"),"#REF!")</f>
        <v>#REF!</v>
      </c>
    </row>
    <row r="382">
      <c r="A382" s="21">
        <f t="shared" si="1"/>
        <v>0</v>
      </c>
      <c r="B382" s="32" t="s">
        <v>333</v>
      </c>
      <c r="C382" s="23" t="s">
        <v>334</v>
      </c>
      <c r="D382" s="23" t="s">
        <v>21</v>
      </c>
      <c r="E382" s="24">
        <v>45386.0</v>
      </c>
      <c r="F382" s="25">
        <v>0.24027777777777778</v>
      </c>
      <c r="G382" s="25">
        <v>0.6923611111111111</v>
      </c>
      <c r="H382" s="27">
        <f t="shared" si="2"/>
        <v>0.4520833333</v>
      </c>
      <c r="I382" s="28">
        <v>5.0</v>
      </c>
      <c r="J382" s="29" t="s">
        <v>55</v>
      </c>
      <c r="K382" s="30" t="s">
        <v>23</v>
      </c>
      <c r="L382" s="31" t="str">
        <f>IFERROR(__xludf.DUMMYFUNCTION("IF(OR(E382="""",K382=""""),"""",IFERROR(IF(K382="""","""",query('tbl user'!$A$2:$D10975,""SELECT A WHERE D = '""&amp;K382&amp;""'"")),""USER TIDAK DIKETAHUI""))"),"#REF!")</f>
        <v>#REF!</v>
      </c>
    </row>
    <row r="383">
      <c r="A383" s="21">
        <f t="shared" si="1"/>
        <v>0</v>
      </c>
      <c r="B383" s="32" t="s">
        <v>219</v>
      </c>
      <c r="C383" s="23" t="s">
        <v>340</v>
      </c>
      <c r="D383" s="23" t="s">
        <v>21</v>
      </c>
      <c r="E383" s="24">
        <v>45386.0</v>
      </c>
      <c r="F383" s="25">
        <v>0.2590277777777778</v>
      </c>
      <c r="G383" s="25">
        <v>0.6069444444444444</v>
      </c>
      <c r="H383" s="27">
        <f t="shared" si="2"/>
        <v>0.3479166667</v>
      </c>
      <c r="I383" s="28">
        <v>5.0</v>
      </c>
      <c r="J383" s="29" t="s">
        <v>55</v>
      </c>
      <c r="K383" s="30" t="s">
        <v>23</v>
      </c>
      <c r="L383" s="31" t="str">
        <f>IFERROR(__xludf.DUMMYFUNCTION("IF(OR(E383="""",K383=""""),"""",IFERROR(IF(K383="""","""",query('tbl user'!$A$2:$D10975,""SELECT A WHERE D = '""&amp;K383&amp;""'"")),""USER TIDAK DIKETAHUI""))"),"#REF!")</f>
        <v>#REF!</v>
      </c>
    </row>
    <row r="384">
      <c r="A384" s="21">
        <f t="shared" si="1"/>
        <v>0</v>
      </c>
      <c r="B384" s="32" t="s">
        <v>172</v>
      </c>
      <c r="C384" s="23" t="s">
        <v>88</v>
      </c>
      <c r="D384" s="23" t="s">
        <v>21</v>
      </c>
      <c r="E384" s="24">
        <v>45386.0</v>
      </c>
      <c r="F384" s="25">
        <v>0.3104166666666667</v>
      </c>
      <c r="G384" s="25">
        <v>0.6916666666666667</v>
      </c>
      <c r="H384" s="27">
        <f t="shared" si="2"/>
        <v>0.38125</v>
      </c>
      <c r="I384" s="28">
        <v>5.0</v>
      </c>
      <c r="J384" s="29" t="s">
        <v>55</v>
      </c>
      <c r="K384" s="30" t="s">
        <v>23</v>
      </c>
      <c r="L384" s="31" t="str">
        <f>IFERROR(__xludf.DUMMYFUNCTION("IF(OR(E384="""",K384=""""),"""",IFERROR(IF(K384="""","""",query('tbl user'!$A$2:$D10975,""SELECT A WHERE D = '""&amp;K384&amp;""'"")),""USER TIDAK DIKETAHUI""))"),"#REF!")</f>
        <v>#REF!</v>
      </c>
    </row>
    <row r="385">
      <c r="A385" s="21">
        <f t="shared" si="1"/>
        <v>0</v>
      </c>
      <c r="B385" s="32" t="s">
        <v>53</v>
      </c>
      <c r="C385" s="23" t="s">
        <v>54</v>
      </c>
      <c r="D385" s="23" t="s">
        <v>21</v>
      </c>
      <c r="E385" s="24">
        <v>45386.0</v>
      </c>
      <c r="F385" s="25">
        <v>0.22569444444444445</v>
      </c>
      <c r="G385" s="25">
        <v>0.6166666666666667</v>
      </c>
      <c r="H385" s="27">
        <f t="shared" si="2"/>
        <v>0.3909722222</v>
      </c>
      <c r="I385" s="28">
        <v>5.0</v>
      </c>
      <c r="J385" s="29" t="s">
        <v>55</v>
      </c>
      <c r="K385" s="30" t="s">
        <v>23</v>
      </c>
      <c r="L385" s="31" t="str">
        <f>IFERROR(__xludf.DUMMYFUNCTION("IF(OR(E385="""",K385=""""),"""",IFERROR(IF(K385="""","""",query('tbl user'!$A$2:$D10975,""SELECT A WHERE D = '""&amp;K385&amp;""'"")),""USER TIDAK DIKETAHUI""))"),"#REF!")</f>
        <v>#REF!</v>
      </c>
    </row>
    <row r="386">
      <c r="A386" s="21">
        <f t="shared" si="1"/>
        <v>0</v>
      </c>
      <c r="B386" s="32" t="s">
        <v>319</v>
      </c>
      <c r="C386" s="23" t="s">
        <v>320</v>
      </c>
      <c r="D386" s="23" t="s">
        <v>21</v>
      </c>
      <c r="E386" s="24">
        <v>45386.0</v>
      </c>
      <c r="F386" s="25">
        <v>0.2520833333333333</v>
      </c>
      <c r="G386" s="25">
        <v>0.6881944444444444</v>
      </c>
      <c r="H386" s="27">
        <f t="shared" si="2"/>
        <v>0.4361111111</v>
      </c>
      <c r="I386" s="28">
        <v>5.0</v>
      </c>
      <c r="J386" s="29" t="s">
        <v>55</v>
      </c>
      <c r="K386" s="30" t="s">
        <v>23</v>
      </c>
      <c r="L386" s="31" t="str">
        <f>IFERROR(__xludf.DUMMYFUNCTION("IF(OR(E386="""",K386=""""),"""",IFERROR(IF(K386="""","""",query('tbl user'!$A$2:$D10975,""SELECT A WHERE D = '""&amp;K386&amp;""'"")),""USER TIDAK DIKETAHUI""))"),"#REF!")</f>
        <v>#REF!</v>
      </c>
    </row>
    <row r="387">
      <c r="A387" s="21">
        <f t="shared" si="1"/>
        <v>0</v>
      </c>
      <c r="B387" s="32" t="s">
        <v>127</v>
      </c>
      <c r="C387" s="23" t="s">
        <v>326</v>
      </c>
      <c r="D387" s="23" t="s">
        <v>21</v>
      </c>
      <c r="E387" s="24">
        <v>45386.0</v>
      </c>
      <c r="F387" s="25">
        <v>0.2826388888888889</v>
      </c>
      <c r="G387" s="25">
        <v>0.6631944444444444</v>
      </c>
      <c r="H387" s="27">
        <f t="shared" si="2"/>
        <v>0.3805555556</v>
      </c>
      <c r="I387" s="28">
        <v>5.0</v>
      </c>
      <c r="J387" s="29" t="s">
        <v>55</v>
      </c>
      <c r="K387" s="30" t="s">
        <v>23</v>
      </c>
      <c r="L387" s="31" t="str">
        <f>IFERROR(__xludf.DUMMYFUNCTION("IF(OR(E387="""",K387=""""),"""",IFERROR(IF(K387="""","""",query('tbl user'!$A$2:$D10975,""SELECT A WHERE D = '""&amp;K387&amp;""'"")),""USER TIDAK DIKETAHUI""))"),"#REF!")</f>
        <v>#REF!</v>
      </c>
    </row>
    <row r="388">
      <c r="A388" s="21">
        <f t="shared" si="1"/>
        <v>0</v>
      </c>
      <c r="B388" s="32" t="s">
        <v>229</v>
      </c>
      <c r="C388" s="23" t="s">
        <v>330</v>
      </c>
      <c r="D388" s="23" t="s">
        <v>21</v>
      </c>
      <c r="E388" s="24">
        <v>45386.0</v>
      </c>
      <c r="F388" s="25">
        <v>0.2638888888888889</v>
      </c>
      <c r="G388" s="25">
        <v>0.6861111111111111</v>
      </c>
      <c r="H388" s="27">
        <f t="shared" si="2"/>
        <v>0.4222222222</v>
      </c>
      <c r="I388" s="28">
        <v>5.0</v>
      </c>
      <c r="J388" s="29" t="s">
        <v>55</v>
      </c>
      <c r="K388" s="30" t="s">
        <v>23</v>
      </c>
      <c r="L388" s="31" t="str">
        <f>IFERROR(__xludf.DUMMYFUNCTION("IF(OR(E388="""",K388=""""),"""",IFERROR(IF(K388="""","""",query('tbl user'!$A$2:$D10975,""SELECT A WHERE D = '""&amp;K388&amp;""'"")),""USER TIDAK DIKETAHUI""))"),"#REF!")</f>
        <v>#REF!</v>
      </c>
    </row>
    <row r="389">
      <c r="A389" s="21">
        <f t="shared" si="1"/>
        <v>0</v>
      </c>
      <c r="B389" s="32" t="s">
        <v>335</v>
      </c>
      <c r="C389" s="23" t="s">
        <v>336</v>
      </c>
      <c r="D389" s="23" t="s">
        <v>21</v>
      </c>
      <c r="E389" s="24">
        <v>45386.0</v>
      </c>
      <c r="F389" s="25">
        <v>0.2916666666666667</v>
      </c>
      <c r="G389" s="25">
        <v>0.7159722222222222</v>
      </c>
      <c r="H389" s="27">
        <f t="shared" si="2"/>
        <v>0.4243055556</v>
      </c>
      <c r="I389" s="28">
        <v>6.0</v>
      </c>
      <c r="J389" s="29" t="s">
        <v>55</v>
      </c>
      <c r="K389" s="30" t="s">
        <v>23</v>
      </c>
      <c r="L389" s="31" t="str">
        <f>IFERROR(__xludf.DUMMYFUNCTION("IF(OR(E389="""",K389=""""),"""",IFERROR(IF(K389="""","""",query('tbl user'!$A$2:$D10975,""SELECT A WHERE D = '""&amp;K389&amp;""'"")),""USER TIDAK DIKETAHUI""))"),"#REF!")</f>
        <v>#REF!</v>
      </c>
    </row>
    <row r="390">
      <c r="A390" s="21">
        <f t="shared" si="1"/>
        <v>0</v>
      </c>
      <c r="B390" s="32" t="s">
        <v>220</v>
      </c>
      <c r="C390" s="23" t="s">
        <v>316</v>
      </c>
      <c r="D390" s="23" t="s">
        <v>21</v>
      </c>
      <c r="E390" s="24">
        <v>45386.0</v>
      </c>
      <c r="F390" s="25">
        <v>0.25416666666666665</v>
      </c>
      <c r="G390" s="25">
        <v>0.6944444444444444</v>
      </c>
      <c r="H390" s="27">
        <f t="shared" si="2"/>
        <v>0.4402777778</v>
      </c>
      <c r="I390" s="28">
        <v>6.0</v>
      </c>
      <c r="J390" s="29" t="s">
        <v>55</v>
      </c>
      <c r="K390" s="30" t="s">
        <v>23</v>
      </c>
      <c r="L390" s="31" t="str">
        <f>IFERROR(__xludf.DUMMYFUNCTION("IF(OR(E390="""",K390=""""),"""",IFERROR(IF(K390="""","""",query('tbl user'!$A$2:$D10975,""SELECT A WHERE D = '""&amp;K390&amp;""'"")),""USER TIDAK DIKETAHUI""))"),"#REF!")</f>
        <v>#REF!</v>
      </c>
    </row>
    <row r="391">
      <c r="A391" s="21">
        <f t="shared" si="1"/>
        <v>0</v>
      </c>
      <c r="B391" s="32" t="s">
        <v>337</v>
      </c>
      <c r="C391" s="23" t="s">
        <v>338</v>
      </c>
      <c r="D391" s="23" t="s">
        <v>21</v>
      </c>
      <c r="E391" s="24">
        <v>45386.0</v>
      </c>
      <c r="F391" s="25">
        <v>0.2465277777777778</v>
      </c>
      <c r="G391" s="25">
        <v>0.7013888888888888</v>
      </c>
      <c r="H391" s="27">
        <f t="shared" si="2"/>
        <v>0.4548611111</v>
      </c>
      <c r="I391" s="28">
        <v>6.0</v>
      </c>
      <c r="J391" s="29" t="s">
        <v>55</v>
      </c>
      <c r="K391" s="30" t="s">
        <v>23</v>
      </c>
      <c r="L391" s="31" t="str">
        <f>IFERROR(__xludf.DUMMYFUNCTION("IF(OR(E391="""",K391=""""),"""",IFERROR(IF(K391="""","""",query('tbl user'!$A$2:$D10975,""SELECT A WHERE D = '""&amp;K391&amp;""'"")),""USER TIDAK DIKETAHUI""))"),"#REF!")</f>
        <v>#REF!</v>
      </c>
    </row>
    <row r="392">
      <c r="A392" s="21">
        <f t="shared" si="1"/>
        <v>0</v>
      </c>
      <c r="B392" s="32" t="s">
        <v>67</v>
      </c>
      <c r="C392" s="23" t="s">
        <v>68</v>
      </c>
      <c r="D392" s="23" t="s">
        <v>58</v>
      </c>
      <c r="E392" s="24">
        <v>45387.0</v>
      </c>
      <c r="F392" s="25">
        <v>0.27291666666666664</v>
      </c>
      <c r="G392" s="25">
        <v>0.3923611111111111</v>
      </c>
      <c r="H392" s="27">
        <f t="shared" si="2"/>
        <v>0.1194444444</v>
      </c>
      <c r="I392" s="28">
        <v>1.0</v>
      </c>
      <c r="J392" s="29" t="s">
        <v>386</v>
      </c>
      <c r="K392" s="30" t="s">
        <v>23</v>
      </c>
      <c r="L392" s="31" t="str">
        <f>IFERROR(__xludf.DUMMYFUNCTION("IF(OR(E392="""",K392=""""),"""",IFERROR(IF(K392="""","""",query('tbl user'!$A$2:$D10975,""SELECT A WHERE D = '""&amp;K392&amp;""'"")),""USER TIDAK DIKETAHUI""))"),"#REF!")</f>
        <v>#REF!</v>
      </c>
    </row>
    <row r="393">
      <c r="A393" s="21">
        <f t="shared" si="1"/>
        <v>0</v>
      </c>
      <c r="B393" s="32" t="s">
        <v>293</v>
      </c>
      <c r="C393" s="23" t="s">
        <v>211</v>
      </c>
      <c r="D393" s="23" t="s">
        <v>58</v>
      </c>
      <c r="E393" s="24">
        <v>45387.0</v>
      </c>
      <c r="F393" s="25">
        <v>0.27361111111111114</v>
      </c>
      <c r="G393" s="25">
        <v>0.5909722222222222</v>
      </c>
      <c r="H393" s="27">
        <f t="shared" si="2"/>
        <v>0.3173611111</v>
      </c>
      <c r="I393" s="28">
        <v>2.0</v>
      </c>
      <c r="J393" s="29" t="s">
        <v>387</v>
      </c>
      <c r="K393" s="30" t="s">
        <v>23</v>
      </c>
      <c r="L393" s="31" t="str">
        <f>IFERROR(__xludf.DUMMYFUNCTION("IF(OR(E393="""",K393=""""),"""",IFERROR(IF(K393="""","""",query('tbl user'!$A$2:$D10975,""SELECT A WHERE D = '""&amp;K393&amp;""'"")),""USER TIDAK DIKETAHUI""))"),"#REF!")</f>
        <v>#REF!</v>
      </c>
    </row>
    <row r="394">
      <c r="A394" s="21">
        <f t="shared" si="1"/>
        <v>0</v>
      </c>
      <c r="B394" s="32" t="s">
        <v>56</v>
      </c>
      <c r="C394" s="23" t="s">
        <v>57</v>
      </c>
      <c r="D394" s="23" t="s">
        <v>58</v>
      </c>
      <c r="E394" s="24">
        <v>45387.0</v>
      </c>
      <c r="F394" s="25">
        <v>0.28680555555555554</v>
      </c>
      <c r="G394" s="25">
        <v>0.5770833333333333</v>
      </c>
      <c r="H394" s="27">
        <f t="shared" si="2"/>
        <v>0.2902777778</v>
      </c>
      <c r="I394" s="28">
        <v>2.0</v>
      </c>
      <c r="J394" s="29" t="s">
        <v>388</v>
      </c>
      <c r="K394" s="30" t="s">
        <v>23</v>
      </c>
      <c r="L394" s="31" t="str">
        <f>IFERROR(__xludf.DUMMYFUNCTION("IF(OR(E394="""",K394=""""),"""",IFERROR(IF(K394="""","""",query('tbl user'!$A$2:$D10975,""SELECT A WHERE D = '""&amp;K394&amp;""'"")),""USER TIDAK DIKETAHUI""))"),"#REF!")</f>
        <v>#REF!</v>
      </c>
    </row>
    <row r="395">
      <c r="A395" s="21">
        <f t="shared" si="1"/>
        <v>0</v>
      </c>
      <c r="B395" s="32" t="s">
        <v>346</v>
      </c>
      <c r="C395" s="23" t="s">
        <v>192</v>
      </c>
      <c r="D395" s="23" t="s">
        <v>58</v>
      </c>
      <c r="E395" s="24">
        <v>45387.0</v>
      </c>
      <c r="F395" s="25">
        <v>0.2861111111111111</v>
      </c>
      <c r="G395" s="25">
        <v>0.575</v>
      </c>
      <c r="H395" s="27">
        <f t="shared" si="2"/>
        <v>0.2888888889</v>
      </c>
      <c r="I395" s="28">
        <v>2.0</v>
      </c>
      <c r="J395" s="29" t="s">
        <v>389</v>
      </c>
      <c r="K395" s="30" t="s">
        <v>23</v>
      </c>
      <c r="L395" s="31" t="str">
        <f>IFERROR(__xludf.DUMMYFUNCTION("IF(OR(E395="""",K395=""""),"""",IFERROR(IF(K395="""","""",query('tbl user'!$A$2:$D10975,""SELECT A WHERE D = '""&amp;K395&amp;""'"")),""USER TIDAK DIKETAHUI""))"),"#REF!")</f>
        <v>#REF!</v>
      </c>
    </row>
    <row r="396">
      <c r="A396" s="21">
        <f t="shared" si="1"/>
        <v>0</v>
      </c>
      <c r="B396" s="32" t="s">
        <v>209</v>
      </c>
      <c r="C396" s="23" t="s">
        <v>203</v>
      </c>
      <c r="D396" s="23" t="s">
        <v>58</v>
      </c>
      <c r="E396" s="24">
        <v>45387.0</v>
      </c>
      <c r="F396" s="25">
        <v>0.2534722222222222</v>
      </c>
      <c r="G396" s="25">
        <v>0.5798611111111112</v>
      </c>
      <c r="H396" s="27">
        <f t="shared" si="2"/>
        <v>0.3263888889</v>
      </c>
      <c r="I396" s="28">
        <v>2.0</v>
      </c>
      <c r="J396" s="29" t="s">
        <v>390</v>
      </c>
      <c r="K396" s="30" t="s">
        <v>23</v>
      </c>
      <c r="L396" s="31" t="str">
        <f>IFERROR(__xludf.DUMMYFUNCTION("IF(OR(E396="""",K396=""""),"""",IFERROR(IF(K396="""","""",query('tbl user'!$A$2:$D10975,""SELECT A WHERE D = '""&amp;K396&amp;""'"")),""USER TIDAK DIKETAHUI""))"),"#REF!")</f>
        <v>#REF!</v>
      </c>
    </row>
    <row r="397">
      <c r="A397" s="21">
        <f t="shared" si="1"/>
        <v>0</v>
      </c>
      <c r="B397" s="32" t="s">
        <v>297</v>
      </c>
      <c r="C397" s="23" t="s">
        <v>348</v>
      </c>
      <c r="D397" s="23" t="s">
        <v>58</v>
      </c>
      <c r="E397" s="24">
        <v>45387.0</v>
      </c>
      <c r="F397" s="25">
        <v>0.26944444444444443</v>
      </c>
      <c r="G397" s="25">
        <v>0.6583333333333333</v>
      </c>
      <c r="H397" s="27">
        <f t="shared" si="2"/>
        <v>0.3888888889</v>
      </c>
      <c r="I397" s="28">
        <v>2.0</v>
      </c>
      <c r="J397" s="29" t="s">
        <v>391</v>
      </c>
      <c r="K397" s="30" t="s">
        <v>23</v>
      </c>
      <c r="L397" s="31" t="str">
        <f>IFERROR(__xludf.DUMMYFUNCTION("IF(OR(E397="""",K397=""""),"""",IFERROR(IF(K397="""","""",query('tbl user'!$A$2:$D10975,""SELECT A WHERE D = '""&amp;K397&amp;""'"")),""USER TIDAK DIKETAHUI""))"),"#REF!")</f>
        <v>#REF!</v>
      </c>
    </row>
    <row r="398">
      <c r="A398" s="21">
        <f t="shared" si="1"/>
        <v>0</v>
      </c>
      <c r="B398" s="32" t="s">
        <v>146</v>
      </c>
      <c r="C398" s="23" t="s">
        <v>206</v>
      </c>
      <c r="D398" s="23" t="s">
        <v>58</v>
      </c>
      <c r="E398" s="24">
        <v>45387.0</v>
      </c>
      <c r="F398" s="25">
        <v>0.31805555555555554</v>
      </c>
      <c r="G398" s="25">
        <v>0.7215277777777778</v>
      </c>
      <c r="H398" s="27">
        <f t="shared" si="2"/>
        <v>0.4034722222</v>
      </c>
      <c r="I398" s="28">
        <v>2.0</v>
      </c>
      <c r="J398" s="29" t="s">
        <v>392</v>
      </c>
      <c r="K398" s="30" t="s">
        <v>23</v>
      </c>
      <c r="L398" s="31" t="str">
        <f>IFERROR(__xludf.DUMMYFUNCTION("IF(OR(E398="""",K398=""""),"""",IFERROR(IF(K398="""","""",query('tbl user'!$A$2:$D10975,""SELECT A WHERE D = '""&amp;K398&amp;""'"")),""USER TIDAK DIKETAHUI""))"),"#REF!")</f>
        <v>#REF!</v>
      </c>
    </row>
    <row r="399">
      <c r="A399" s="21">
        <f t="shared" si="1"/>
        <v>0</v>
      </c>
      <c r="B399" s="32" t="s">
        <v>167</v>
      </c>
      <c r="C399" s="23" t="s">
        <v>168</v>
      </c>
      <c r="D399" s="23" t="s">
        <v>58</v>
      </c>
      <c r="E399" s="24">
        <v>45387.0</v>
      </c>
      <c r="F399" s="25">
        <v>0.2548611111111111</v>
      </c>
      <c r="G399" s="25">
        <v>0.66875</v>
      </c>
      <c r="H399" s="27">
        <f t="shared" si="2"/>
        <v>0.4138888889</v>
      </c>
      <c r="I399" s="28">
        <v>3.0</v>
      </c>
      <c r="J399" s="29" t="s">
        <v>55</v>
      </c>
      <c r="K399" s="30" t="s">
        <v>23</v>
      </c>
      <c r="L399" s="31" t="str">
        <f>IFERROR(__xludf.DUMMYFUNCTION("IF(OR(E399="""",K399=""""),"""",IFERROR(IF(K399="""","""",query('tbl user'!$A$2:$D10975,""SELECT A WHERE D = '""&amp;K399&amp;""'"")),""USER TIDAK DIKETAHUI""))"),"#REF!")</f>
        <v>#REF!</v>
      </c>
    </row>
    <row r="400">
      <c r="A400" s="21">
        <f t="shared" si="1"/>
        <v>0</v>
      </c>
      <c r="B400" s="32" t="s">
        <v>214</v>
      </c>
      <c r="C400" s="23" t="s">
        <v>170</v>
      </c>
      <c r="D400" s="23" t="s">
        <v>58</v>
      </c>
      <c r="E400" s="24">
        <v>45387.0</v>
      </c>
      <c r="F400" s="25">
        <v>0.29097222222222224</v>
      </c>
      <c r="G400" s="25">
        <v>0.7041666666666667</v>
      </c>
      <c r="H400" s="27">
        <f t="shared" si="2"/>
        <v>0.4131944444</v>
      </c>
      <c r="I400" s="28">
        <v>3.0</v>
      </c>
      <c r="J400" s="29" t="s">
        <v>55</v>
      </c>
      <c r="K400" s="30" t="s">
        <v>23</v>
      </c>
      <c r="L400" s="31" t="str">
        <f>IFERROR(__xludf.DUMMYFUNCTION("IF(OR(E400="""",K400=""""),"""",IFERROR(IF(K400="""","""",query('tbl user'!$A$2:$D10975,""SELECT A WHERE D = '""&amp;K400&amp;""'"")),""USER TIDAK DIKETAHUI""))"),"#REF!")</f>
        <v>#REF!</v>
      </c>
    </row>
    <row r="401">
      <c r="A401" s="21">
        <f t="shared" si="1"/>
        <v>0</v>
      </c>
      <c r="B401" s="32" t="s">
        <v>92</v>
      </c>
      <c r="C401" s="23" t="s">
        <v>93</v>
      </c>
      <c r="D401" s="23" t="s">
        <v>58</v>
      </c>
      <c r="E401" s="24">
        <v>45387.0</v>
      </c>
      <c r="F401" s="25">
        <v>0.22361111111111112</v>
      </c>
      <c r="G401" s="25">
        <v>0.6743055555555556</v>
      </c>
      <c r="H401" s="27">
        <f t="shared" si="2"/>
        <v>0.4506944444</v>
      </c>
      <c r="I401" s="28">
        <v>3.0</v>
      </c>
      <c r="J401" s="29" t="s">
        <v>55</v>
      </c>
      <c r="K401" s="30" t="s">
        <v>23</v>
      </c>
      <c r="L401" s="31" t="str">
        <f>IFERROR(__xludf.DUMMYFUNCTION("IF(OR(E401="""",K401=""""),"""",IFERROR(IF(K401="""","""",query('tbl user'!$A$2:$D10975,""SELECT A WHERE D = '""&amp;K401&amp;""'"")),""USER TIDAK DIKETAHUI""))"),"#REF!")</f>
        <v>#REF!</v>
      </c>
    </row>
    <row r="402">
      <c r="A402" s="21">
        <f t="shared" si="1"/>
        <v>0</v>
      </c>
      <c r="B402" s="32" t="s">
        <v>215</v>
      </c>
      <c r="C402" s="23" t="s">
        <v>176</v>
      </c>
      <c r="D402" s="23" t="s">
        <v>58</v>
      </c>
      <c r="E402" s="24">
        <v>45387.0</v>
      </c>
      <c r="F402" s="25">
        <v>0.2548611111111111</v>
      </c>
      <c r="G402" s="25">
        <v>0.6673611111111111</v>
      </c>
      <c r="H402" s="27">
        <f t="shared" si="2"/>
        <v>0.4125</v>
      </c>
      <c r="I402" s="28">
        <v>3.0</v>
      </c>
      <c r="J402" s="29" t="s">
        <v>55</v>
      </c>
      <c r="K402" s="30" t="s">
        <v>23</v>
      </c>
      <c r="L402" s="31" t="str">
        <f>IFERROR(__xludf.DUMMYFUNCTION("IF(OR(E402="""",K402=""""),"""",IFERROR(IF(K402="""","""",query('tbl user'!$A$2:$D10975,""SELECT A WHERE D = '""&amp;K402&amp;""'"")),""USER TIDAK DIKETAHUI""))"),"#REF!")</f>
        <v>#REF!</v>
      </c>
    </row>
    <row r="403">
      <c r="A403" s="21">
        <f t="shared" si="1"/>
        <v>0</v>
      </c>
      <c r="B403" s="32" t="s">
        <v>178</v>
      </c>
      <c r="C403" s="23" t="s">
        <v>82</v>
      </c>
      <c r="D403" s="23" t="s">
        <v>58</v>
      </c>
      <c r="E403" s="24">
        <v>45387.0</v>
      </c>
      <c r="F403" s="25">
        <v>0.2604166666666667</v>
      </c>
      <c r="G403" s="25">
        <v>0.6958333333333333</v>
      </c>
      <c r="H403" s="27">
        <f t="shared" si="2"/>
        <v>0.4354166667</v>
      </c>
      <c r="I403" s="28">
        <v>3.0</v>
      </c>
      <c r="J403" s="29" t="s">
        <v>55</v>
      </c>
      <c r="K403" s="30" t="s">
        <v>23</v>
      </c>
      <c r="L403" s="31" t="str">
        <f>IFERROR(__xludf.DUMMYFUNCTION("IF(OR(E403="""",K403=""""),"""",IFERROR(IF(K403="""","""",query('tbl user'!$A$2:$D10975,""SELECT A WHERE D = '""&amp;K403&amp;""'"")),""USER TIDAK DIKETAHUI""))"),"#REF!")</f>
        <v>#REF!</v>
      </c>
    </row>
    <row r="404">
      <c r="A404" s="21">
        <f t="shared" si="1"/>
        <v>0</v>
      </c>
      <c r="B404" s="32" t="s">
        <v>180</v>
      </c>
      <c r="C404" s="23" t="s">
        <v>181</v>
      </c>
      <c r="D404" s="23" t="s">
        <v>58</v>
      </c>
      <c r="E404" s="24">
        <v>45387.0</v>
      </c>
      <c r="F404" s="25">
        <v>0.22569444444444445</v>
      </c>
      <c r="G404" s="25">
        <v>0.59375</v>
      </c>
      <c r="H404" s="27">
        <f t="shared" si="2"/>
        <v>0.3680555556</v>
      </c>
      <c r="I404" s="28">
        <v>3.0</v>
      </c>
      <c r="J404" s="29" t="s">
        <v>55</v>
      </c>
      <c r="K404" s="30" t="s">
        <v>23</v>
      </c>
      <c r="L404" s="31" t="str">
        <f>IFERROR(__xludf.DUMMYFUNCTION("IF(OR(E404="""",K404=""""),"""",IFERROR(IF(K404="""","""",query('tbl user'!$A$2:$D10975,""SELECT A WHERE D = '""&amp;K404&amp;""'"")),""USER TIDAK DIKETAHUI""))"),"#REF!")</f>
        <v>#REF!</v>
      </c>
    </row>
    <row r="405">
      <c r="A405" s="21">
        <f t="shared" si="1"/>
        <v>0</v>
      </c>
      <c r="B405" s="32" t="s">
        <v>182</v>
      </c>
      <c r="C405" s="23" t="s">
        <v>183</v>
      </c>
      <c r="D405" s="23" t="s">
        <v>58</v>
      </c>
      <c r="E405" s="24">
        <v>45387.0</v>
      </c>
      <c r="F405" s="25">
        <v>0.20902777777777778</v>
      </c>
      <c r="G405" s="25">
        <v>0.6701388888888888</v>
      </c>
      <c r="H405" s="27">
        <f t="shared" si="2"/>
        <v>0.4611111111</v>
      </c>
      <c r="I405" s="28">
        <v>3.0</v>
      </c>
      <c r="J405" s="29" t="s">
        <v>55</v>
      </c>
      <c r="K405" s="30" t="s">
        <v>23</v>
      </c>
      <c r="L405" s="31" t="str">
        <f>IFERROR(__xludf.DUMMYFUNCTION("IF(OR(E405="""",K405=""""),"""",IFERROR(IF(K405="""","""",query('tbl user'!$A$2:$D10975,""SELECT A WHERE D = '""&amp;K405&amp;""'"")),""USER TIDAK DIKETAHUI""))"),"#REF!")</f>
        <v>#REF!</v>
      </c>
    </row>
    <row r="406">
      <c r="A406" s="21">
        <f t="shared" si="1"/>
        <v>0</v>
      </c>
      <c r="B406" s="32" t="s">
        <v>184</v>
      </c>
      <c r="C406" s="23" t="s">
        <v>185</v>
      </c>
      <c r="D406" s="23" t="s">
        <v>58</v>
      </c>
      <c r="E406" s="24">
        <v>45387.0</v>
      </c>
      <c r="F406" s="25">
        <v>0.2520833333333333</v>
      </c>
      <c r="G406" s="25">
        <v>0.6451388888888889</v>
      </c>
      <c r="H406" s="27">
        <f t="shared" si="2"/>
        <v>0.3930555556</v>
      </c>
      <c r="I406" s="28">
        <v>3.0</v>
      </c>
      <c r="J406" s="29" t="s">
        <v>55</v>
      </c>
      <c r="K406" s="30" t="s">
        <v>23</v>
      </c>
      <c r="L406" s="31" t="str">
        <f>IFERROR(__xludf.DUMMYFUNCTION("IF(OR(E406="""",K406=""""),"""",IFERROR(IF(K406="""","""",query('tbl user'!$A$2:$D10975,""SELECT A WHERE D = '""&amp;K406&amp;""'"")),""USER TIDAK DIKETAHUI""))"),"#REF!")</f>
        <v>#REF!</v>
      </c>
    </row>
    <row r="407">
      <c r="A407" s="21">
        <f t="shared" si="1"/>
        <v>0</v>
      </c>
      <c r="B407" s="32" t="s">
        <v>189</v>
      </c>
      <c r="C407" s="23" t="s">
        <v>190</v>
      </c>
      <c r="D407" s="23" t="s">
        <v>58</v>
      </c>
      <c r="E407" s="24">
        <v>45387.0</v>
      </c>
      <c r="F407" s="25">
        <v>0.25555555555555554</v>
      </c>
      <c r="G407" s="25">
        <v>0.7201388888888889</v>
      </c>
      <c r="H407" s="27">
        <f t="shared" si="2"/>
        <v>0.4645833333</v>
      </c>
      <c r="I407" s="28">
        <v>3.0</v>
      </c>
      <c r="J407" s="29" t="s">
        <v>55</v>
      </c>
      <c r="K407" s="30" t="s">
        <v>23</v>
      </c>
      <c r="L407" s="31" t="str">
        <f>IFERROR(__xludf.DUMMYFUNCTION("IF(OR(E407="""",K407=""""),"""",IFERROR(IF(K407="""","""",query('tbl user'!$A$2:$D10975,""SELECT A WHERE D = '""&amp;K407&amp;""'"")),""USER TIDAK DIKETAHUI""))"),"#REF!")</f>
        <v>#REF!</v>
      </c>
    </row>
    <row r="408">
      <c r="A408" s="21">
        <f t="shared" si="1"/>
        <v>0</v>
      </c>
      <c r="B408" s="32" t="s">
        <v>104</v>
      </c>
      <c r="C408" s="23" t="s">
        <v>105</v>
      </c>
      <c r="D408" s="23" t="s">
        <v>58</v>
      </c>
      <c r="E408" s="24">
        <v>45387.0</v>
      </c>
      <c r="F408" s="25">
        <v>0.23958333333333334</v>
      </c>
      <c r="G408" s="25">
        <v>0.7180555555555556</v>
      </c>
      <c r="H408" s="27">
        <f t="shared" si="2"/>
        <v>0.4784722222</v>
      </c>
      <c r="I408" s="28">
        <v>3.0</v>
      </c>
      <c r="J408" s="29" t="s">
        <v>55</v>
      </c>
      <c r="K408" s="30" t="s">
        <v>23</v>
      </c>
      <c r="L408" s="31" t="str">
        <f>IFERROR(__xludf.DUMMYFUNCTION("IF(OR(E408="""",K408=""""),"""",IFERROR(IF(K408="""","""",query('tbl user'!$A$2:$D10975,""SELECT A WHERE D = '""&amp;K408&amp;""'"")),""USER TIDAK DIKETAHUI""))"),"#REF!")</f>
        <v>#REF!</v>
      </c>
    </row>
    <row r="409">
      <c r="A409" s="21">
        <f t="shared" si="1"/>
        <v>0</v>
      </c>
      <c r="B409" s="32" t="s">
        <v>224</v>
      </c>
      <c r="C409" s="23" t="s">
        <v>208</v>
      </c>
      <c r="D409" s="23" t="s">
        <v>58</v>
      </c>
      <c r="E409" s="24">
        <v>45387.0</v>
      </c>
      <c r="F409" s="25">
        <v>0.25277777777777777</v>
      </c>
      <c r="G409" s="25">
        <v>0.6805555555555556</v>
      </c>
      <c r="H409" s="27">
        <f t="shared" si="2"/>
        <v>0.4277777778</v>
      </c>
      <c r="I409" s="28">
        <v>3.0</v>
      </c>
      <c r="J409" s="29" t="s">
        <v>55</v>
      </c>
      <c r="K409" s="30" t="s">
        <v>23</v>
      </c>
      <c r="L409" s="31" t="str">
        <f>IFERROR(__xludf.DUMMYFUNCTION("IF(OR(E409="""",K409=""""),"""",IFERROR(IF(K409="""","""",query('tbl user'!$A$2:$D10975,""SELECT A WHERE D = '""&amp;K409&amp;""'"")),""USER TIDAK DIKETAHUI""))"),"#REF!")</f>
        <v>#REF!</v>
      </c>
    </row>
    <row r="410">
      <c r="A410" s="21">
        <f t="shared" si="1"/>
        <v>0</v>
      </c>
      <c r="B410" s="32" t="s">
        <v>187</v>
      </c>
      <c r="C410" s="23" t="s">
        <v>188</v>
      </c>
      <c r="D410" s="23" t="s">
        <v>58</v>
      </c>
      <c r="E410" s="24">
        <v>45387.0</v>
      </c>
      <c r="F410" s="25">
        <v>0.2152777777777778</v>
      </c>
      <c r="G410" s="25">
        <v>0.7208333333333333</v>
      </c>
      <c r="H410" s="27">
        <f t="shared" si="2"/>
        <v>0.5055555556</v>
      </c>
      <c r="I410" s="28">
        <v>4.0</v>
      </c>
      <c r="J410" s="29" t="s">
        <v>55</v>
      </c>
      <c r="K410" s="30" t="s">
        <v>23</v>
      </c>
      <c r="L410" s="31" t="str">
        <f>IFERROR(__xludf.DUMMYFUNCTION("IF(OR(E410="""",K410=""""),"""",IFERROR(IF(K410="""","""",query('tbl user'!$A$2:$D10975,""SELECT A WHERE D = '""&amp;K410&amp;""'"")),""USER TIDAK DIKETAHUI""))"),"#REF!")</f>
        <v>#REF!</v>
      </c>
    </row>
    <row r="411">
      <c r="A411" s="21">
        <f t="shared" si="1"/>
        <v>0</v>
      </c>
      <c r="B411" s="32" t="s">
        <v>216</v>
      </c>
      <c r="C411" s="23" t="s">
        <v>195</v>
      </c>
      <c r="D411" s="23" t="s">
        <v>58</v>
      </c>
      <c r="E411" s="24">
        <v>45387.0</v>
      </c>
      <c r="F411" s="25">
        <v>0.22708333333333333</v>
      </c>
      <c r="G411" s="25">
        <v>0.7194444444444444</v>
      </c>
      <c r="H411" s="27">
        <f t="shared" si="2"/>
        <v>0.4923611111</v>
      </c>
      <c r="I411" s="28">
        <v>4.0</v>
      </c>
      <c r="J411" s="29" t="s">
        <v>55</v>
      </c>
      <c r="K411" s="30" t="s">
        <v>23</v>
      </c>
      <c r="L411" s="31" t="str">
        <f>IFERROR(__xludf.DUMMYFUNCTION("IF(OR(E411="""",K411=""""),"""",IFERROR(IF(K411="""","""",query('tbl user'!$A$2:$D10975,""SELECT A WHERE D = '""&amp;K411&amp;""'"")),""USER TIDAK DIKETAHUI""))"),"#REF!")</f>
        <v>#REF!</v>
      </c>
    </row>
    <row r="412">
      <c r="A412" s="21">
        <f t="shared" si="1"/>
        <v>0</v>
      </c>
      <c r="B412" s="32" t="s">
        <v>197</v>
      </c>
      <c r="C412" s="23" t="s">
        <v>198</v>
      </c>
      <c r="D412" s="23" t="s">
        <v>58</v>
      </c>
      <c r="E412" s="24">
        <v>45387.0</v>
      </c>
      <c r="F412" s="25">
        <v>0.20694444444444443</v>
      </c>
      <c r="G412" s="25">
        <v>0.6923611111111111</v>
      </c>
      <c r="H412" s="27">
        <f t="shared" si="2"/>
        <v>0.4854166667</v>
      </c>
      <c r="I412" s="28">
        <v>4.0</v>
      </c>
      <c r="J412" s="29" t="s">
        <v>55</v>
      </c>
      <c r="K412" s="30" t="s">
        <v>23</v>
      </c>
      <c r="L412" s="31" t="str">
        <f>IFERROR(__xludf.DUMMYFUNCTION("IF(OR(E412="""",K412=""""),"""",IFERROR(IF(K412="""","""",query('tbl user'!$A$2:$D10975,""SELECT A WHERE D = '""&amp;K412&amp;""'"")),""USER TIDAK DIKETAHUI""))"),"#REF!")</f>
        <v>#REF!</v>
      </c>
    </row>
    <row r="413">
      <c r="A413" s="21">
        <f t="shared" si="1"/>
        <v>0</v>
      </c>
      <c r="B413" s="32" t="s">
        <v>200</v>
      </c>
      <c r="C413" s="23" t="s">
        <v>201</v>
      </c>
      <c r="D413" s="23" t="s">
        <v>58</v>
      </c>
      <c r="E413" s="24">
        <v>45387.0</v>
      </c>
      <c r="F413" s="25">
        <v>0.20833333333333334</v>
      </c>
      <c r="G413" s="25">
        <v>0.7118055555555556</v>
      </c>
      <c r="H413" s="27">
        <f t="shared" si="2"/>
        <v>0.5034722222</v>
      </c>
      <c r="I413" s="28">
        <v>4.0</v>
      </c>
      <c r="J413" s="29" t="s">
        <v>55</v>
      </c>
      <c r="K413" s="30" t="s">
        <v>23</v>
      </c>
      <c r="L413" s="31" t="str">
        <f>IFERROR(__xludf.DUMMYFUNCTION("IF(OR(E413="""",K413=""""),"""",IFERROR(IF(K413="""","""",query('tbl user'!$A$2:$D10975,""SELECT A WHERE D = '""&amp;K413&amp;""'"")),""USER TIDAK DIKETAHUI""))"),"#REF!")</f>
        <v>#REF!</v>
      </c>
    </row>
    <row r="414">
      <c r="A414" s="21">
        <f t="shared" si="1"/>
        <v>0</v>
      </c>
      <c r="B414" s="32" t="s">
        <v>84</v>
      </c>
      <c r="C414" s="23" t="s">
        <v>85</v>
      </c>
      <c r="D414" s="23" t="s">
        <v>58</v>
      </c>
      <c r="E414" s="24">
        <v>45387.0</v>
      </c>
      <c r="F414" s="25">
        <v>0.2076388888888889</v>
      </c>
      <c r="G414" s="25">
        <v>0.7131944444444445</v>
      </c>
      <c r="H414" s="27">
        <f t="shared" si="2"/>
        <v>0.5055555556</v>
      </c>
      <c r="I414" s="28">
        <v>4.0</v>
      </c>
      <c r="J414" s="29" t="s">
        <v>55</v>
      </c>
      <c r="K414" s="30" t="s">
        <v>23</v>
      </c>
      <c r="L414" s="31" t="str">
        <f>IFERROR(__xludf.DUMMYFUNCTION("IF(OR(E414="""",K414=""""),"""",IFERROR(IF(K414="""","""",query('tbl user'!$A$2:$D10975,""SELECT A WHERE D = '""&amp;K414&amp;""'"")),""USER TIDAK DIKETAHUI""))"),"#REF!")</f>
        <v>#REF!</v>
      </c>
    </row>
    <row r="415">
      <c r="A415" s="21">
        <f t="shared" si="1"/>
        <v>0</v>
      </c>
      <c r="B415" s="32" t="s">
        <v>225</v>
      </c>
      <c r="C415" s="23" t="s">
        <v>20</v>
      </c>
      <c r="D415" s="23" t="s">
        <v>21</v>
      </c>
      <c r="E415" s="24">
        <v>45387.0</v>
      </c>
      <c r="F415" s="25">
        <v>0.3104166666666667</v>
      </c>
      <c r="G415" s="25">
        <v>0.4534722222222222</v>
      </c>
      <c r="H415" s="27">
        <f t="shared" si="2"/>
        <v>0.1430555556</v>
      </c>
      <c r="I415" s="28">
        <v>1.0</v>
      </c>
      <c r="J415" s="29" t="s">
        <v>393</v>
      </c>
      <c r="K415" s="30" t="s">
        <v>23</v>
      </c>
      <c r="L415" s="31" t="str">
        <f>IFERROR(__xludf.DUMMYFUNCTION("IF(OR(E415="""",K415=""""),"""",IFERROR(IF(K415="""","""",query('tbl user'!$A$2:$D10975,""SELECT A WHERE D = '""&amp;K415&amp;""'"")),""USER TIDAK DIKETAHUI""))"),"#REF!")</f>
        <v>#REF!</v>
      </c>
    </row>
    <row r="416">
      <c r="A416" s="21">
        <f t="shared" si="1"/>
        <v>0</v>
      </c>
      <c r="B416" s="32" t="s">
        <v>246</v>
      </c>
      <c r="C416" s="23" t="s">
        <v>99</v>
      </c>
      <c r="D416" s="23" t="s">
        <v>21</v>
      </c>
      <c r="E416" s="24">
        <v>45387.0</v>
      </c>
      <c r="F416" s="25">
        <v>0.2951388888888889</v>
      </c>
      <c r="G416" s="25">
        <v>0.5520833333333334</v>
      </c>
      <c r="H416" s="27">
        <f t="shared" si="2"/>
        <v>0.2569444444</v>
      </c>
      <c r="I416" s="28">
        <v>1.0</v>
      </c>
      <c r="J416" s="29" t="s">
        <v>394</v>
      </c>
      <c r="K416" s="30" t="s">
        <v>23</v>
      </c>
      <c r="L416" s="31" t="str">
        <f>IFERROR(__xludf.DUMMYFUNCTION("IF(OR(E416="""",K416=""""),"""",IFERROR(IF(K416="""","""",query('tbl user'!$A$2:$D10975,""SELECT A WHERE D = '""&amp;K416&amp;""'"")),""USER TIDAK DIKETAHUI""))"),"#REF!")</f>
        <v>#REF!</v>
      </c>
    </row>
    <row r="417">
      <c r="A417" s="21">
        <f t="shared" si="1"/>
        <v>0</v>
      </c>
      <c r="B417" s="32" t="s">
        <v>303</v>
      </c>
      <c r="C417" s="23" t="s">
        <v>251</v>
      </c>
      <c r="D417" s="23" t="s">
        <v>21</v>
      </c>
      <c r="E417" s="24">
        <v>45387.0</v>
      </c>
      <c r="F417" s="25">
        <v>0.3</v>
      </c>
      <c r="G417" s="25">
        <v>0.6597222222222222</v>
      </c>
      <c r="H417" s="27">
        <f t="shared" si="2"/>
        <v>0.3597222222</v>
      </c>
      <c r="I417" s="28">
        <v>1.0</v>
      </c>
      <c r="J417" s="29" t="s">
        <v>395</v>
      </c>
      <c r="K417" s="30" t="s">
        <v>23</v>
      </c>
      <c r="L417" s="31" t="str">
        <f>IFERROR(__xludf.DUMMYFUNCTION("IF(OR(E417="""",K417=""""),"""",IFERROR(IF(K417="""","""",query('tbl user'!$A$2:$D10975,""SELECT A WHERE D = '""&amp;K417&amp;""'"")),""USER TIDAK DIKETAHUI""))"),"#REF!")</f>
        <v>#REF!</v>
      </c>
    </row>
    <row r="418">
      <c r="A418" s="21">
        <f t="shared" si="1"/>
        <v>0</v>
      </c>
      <c r="B418" s="32" t="s">
        <v>231</v>
      </c>
      <c r="C418" s="23" t="s">
        <v>232</v>
      </c>
      <c r="D418" s="23" t="s">
        <v>21</v>
      </c>
      <c r="E418" s="24">
        <v>45387.0</v>
      </c>
      <c r="F418" s="25">
        <v>0.28541666666666665</v>
      </c>
      <c r="G418" s="25">
        <v>0.4576388888888889</v>
      </c>
      <c r="H418" s="27">
        <f t="shared" si="2"/>
        <v>0.1722222222</v>
      </c>
      <c r="I418" s="28">
        <v>1.0</v>
      </c>
      <c r="J418" s="29" t="s">
        <v>396</v>
      </c>
      <c r="K418" s="30" t="s">
        <v>23</v>
      </c>
      <c r="L418" s="31" t="str">
        <f>IFERROR(__xludf.DUMMYFUNCTION("IF(OR(E418="""",K418=""""),"""",IFERROR(IF(K418="""","""",query('tbl user'!$A$2:$D10975,""SELECT A WHERE D = '""&amp;K418&amp;""'"")),""USER TIDAK DIKETAHUI""))"),"#REF!")</f>
        <v>#REF!</v>
      </c>
    </row>
    <row r="419">
      <c r="A419" s="21">
        <f t="shared" si="1"/>
        <v>0</v>
      </c>
      <c r="B419" s="32" t="s">
        <v>175</v>
      </c>
      <c r="C419" s="23" t="s">
        <v>236</v>
      </c>
      <c r="D419" s="23" t="s">
        <v>21</v>
      </c>
      <c r="E419" s="24">
        <v>45387.0</v>
      </c>
      <c r="F419" s="25">
        <v>0.2951388888888889</v>
      </c>
      <c r="G419" s="25">
        <v>0.56875</v>
      </c>
      <c r="H419" s="27">
        <f t="shared" si="2"/>
        <v>0.2736111111</v>
      </c>
      <c r="I419" s="28">
        <v>1.0</v>
      </c>
      <c r="J419" s="29" t="s">
        <v>237</v>
      </c>
      <c r="K419" s="30" t="s">
        <v>23</v>
      </c>
      <c r="L419" s="31" t="str">
        <f>IFERROR(__xludf.DUMMYFUNCTION("IF(OR(E419="""",K419=""""),"""",IFERROR(IF(K419="""","""",query('tbl user'!$A$2:$D10975,""SELECT A WHERE D = '""&amp;K419&amp;""'"")),""USER TIDAK DIKETAHUI""))"),"#REF!")</f>
        <v>#REF!</v>
      </c>
    </row>
    <row r="420">
      <c r="A420" s="21">
        <f t="shared" si="1"/>
        <v>0</v>
      </c>
      <c r="B420" s="32" t="s">
        <v>238</v>
      </c>
      <c r="C420" s="23" t="s">
        <v>239</v>
      </c>
      <c r="D420" s="23" t="s">
        <v>21</v>
      </c>
      <c r="E420" s="24">
        <v>45387.0</v>
      </c>
      <c r="F420" s="25">
        <v>0.26805555555555555</v>
      </c>
      <c r="G420" s="25">
        <v>0.6534722222222222</v>
      </c>
      <c r="H420" s="27">
        <f t="shared" si="2"/>
        <v>0.3854166667</v>
      </c>
      <c r="I420" s="28">
        <v>2.0</v>
      </c>
      <c r="J420" s="29" t="s">
        <v>397</v>
      </c>
      <c r="K420" s="30" t="s">
        <v>23</v>
      </c>
      <c r="L420" s="31" t="str">
        <f>IFERROR(__xludf.DUMMYFUNCTION("IF(OR(E420="""",K420=""""),"""",IFERROR(IF(K420="""","""",query('tbl user'!$A$2:$D10975,""SELECT A WHERE D = '""&amp;K420&amp;""'"")),""USER TIDAK DIKETAHUI""))"),"#REF!")</f>
        <v>#REF!</v>
      </c>
    </row>
    <row r="421">
      <c r="A421" s="21">
        <f t="shared" si="1"/>
        <v>0</v>
      </c>
      <c r="B421" s="32" t="s">
        <v>243</v>
      </c>
      <c r="C421" s="23" t="s">
        <v>244</v>
      </c>
      <c r="D421" s="23" t="s">
        <v>21</v>
      </c>
      <c r="E421" s="24">
        <v>45387.0</v>
      </c>
      <c r="F421" s="25">
        <v>0.2701388888888889</v>
      </c>
      <c r="G421" s="25">
        <v>0.7215277777777778</v>
      </c>
      <c r="H421" s="27">
        <f t="shared" si="2"/>
        <v>0.4513888889</v>
      </c>
      <c r="I421" s="28">
        <v>2.0</v>
      </c>
      <c r="J421" s="29" t="s">
        <v>398</v>
      </c>
      <c r="K421" s="30" t="s">
        <v>23</v>
      </c>
      <c r="L421" s="31" t="str">
        <f>IFERROR(__xludf.DUMMYFUNCTION("IF(OR(E421="""",K421=""""),"""",IFERROR(IF(K421="""","""",query('tbl user'!$A$2:$D10975,""SELECT A WHERE D = '""&amp;K421&amp;""'"")),""USER TIDAK DIKETAHUI""))"),"#REF!")</f>
        <v>#REF!</v>
      </c>
    </row>
    <row r="422">
      <c r="A422" s="21">
        <f t="shared" si="1"/>
        <v>0</v>
      </c>
      <c r="B422" s="32" t="s">
        <v>43</v>
      </c>
      <c r="C422" s="23" t="s">
        <v>44</v>
      </c>
      <c r="D422" s="23" t="s">
        <v>21</v>
      </c>
      <c r="E422" s="24">
        <v>45387.0</v>
      </c>
      <c r="F422" s="25">
        <v>0.2743055555555556</v>
      </c>
      <c r="G422" s="25">
        <v>0.7090277777777778</v>
      </c>
      <c r="H422" s="27">
        <f t="shared" si="2"/>
        <v>0.4347222222</v>
      </c>
      <c r="I422" s="28">
        <v>2.0</v>
      </c>
      <c r="J422" s="29" t="s">
        <v>399</v>
      </c>
      <c r="K422" s="30" t="s">
        <v>23</v>
      </c>
      <c r="L422" s="31" t="str">
        <f>IFERROR(__xludf.DUMMYFUNCTION("IF(OR(E422="""",K422=""""),"""",IFERROR(IF(K422="""","""",query('tbl user'!$A$2:$D10975,""SELECT A WHERE D = '""&amp;K422&amp;""'"")),""USER TIDAK DIKETAHUI""))"),"#REF!")</f>
        <v>#REF!</v>
      </c>
    </row>
    <row r="423">
      <c r="A423" s="21">
        <f t="shared" si="1"/>
        <v>0</v>
      </c>
      <c r="B423" s="32" t="s">
        <v>253</v>
      </c>
      <c r="C423" s="23" t="s">
        <v>102</v>
      </c>
      <c r="D423" s="23" t="s">
        <v>21</v>
      </c>
      <c r="E423" s="24">
        <v>45387.0</v>
      </c>
      <c r="F423" s="25">
        <v>0.21805555555555556</v>
      </c>
      <c r="G423" s="25">
        <v>0.725</v>
      </c>
      <c r="H423" s="27">
        <f t="shared" si="2"/>
        <v>0.5069444444</v>
      </c>
      <c r="I423" s="28">
        <v>2.0</v>
      </c>
      <c r="J423" s="29" t="s">
        <v>399</v>
      </c>
      <c r="K423" s="30" t="s">
        <v>23</v>
      </c>
      <c r="L423" s="31" t="str">
        <f>IFERROR(__xludf.DUMMYFUNCTION("IF(OR(E423="""",K423=""""),"""",IFERROR(IF(K423="""","""",query('tbl user'!$A$2:$D10975,""SELECT A WHERE D = '""&amp;K423&amp;""'"")),""USER TIDAK DIKETAHUI""))"),"#REF!")</f>
        <v>#REF!</v>
      </c>
    </row>
    <row r="424">
      <c r="A424" s="21">
        <f t="shared" si="1"/>
        <v>0</v>
      </c>
      <c r="B424" s="32" t="s">
        <v>156</v>
      </c>
      <c r="C424" s="23" t="s">
        <v>234</v>
      </c>
      <c r="D424" s="23" t="s">
        <v>21</v>
      </c>
      <c r="E424" s="24">
        <v>45387.0</v>
      </c>
      <c r="F424" s="25">
        <v>0.26875</v>
      </c>
      <c r="G424" s="25">
        <v>0.7055555555555556</v>
      </c>
      <c r="H424" s="27">
        <f t="shared" si="2"/>
        <v>0.4368055556</v>
      </c>
      <c r="I424" s="28">
        <v>2.0</v>
      </c>
      <c r="J424" s="29" t="s">
        <v>400</v>
      </c>
      <c r="K424" s="30" t="s">
        <v>23</v>
      </c>
      <c r="L424" s="31" t="str">
        <f>IFERROR(__xludf.DUMMYFUNCTION("IF(OR(E424="""",K424=""""),"""",IFERROR(IF(K424="""","""",query('tbl user'!$A$2:$D10975,""SELECT A WHERE D = '""&amp;K424&amp;""'"")),""USER TIDAK DIKETAHUI""))"),"#REF!")</f>
        <v>#REF!</v>
      </c>
    </row>
    <row r="425">
      <c r="A425" s="21">
        <f t="shared" si="1"/>
        <v>0</v>
      </c>
      <c r="B425" s="32" t="s">
        <v>305</v>
      </c>
      <c r="C425" s="23" t="s">
        <v>306</v>
      </c>
      <c r="D425" s="23" t="s">
        <v>21</v>
      </c>
      <c r="E425" s="24">
        <v>45387.0</v>
      </c>
      <c r="F425" s="25">
        <v>0.21666666666666667</v>
      </c>
      <c r="G425" s="25">
        <v>0.6548611111111111</v>
      </c>
      <c r="H425" s="27">
        <f t="shared" si="2"/>
        <v>0.4381944444</v>
      </c>
      <c r="I425" s="28">
        <v>2.0</v>
      </c>
      <c r="J425" s="29" t="s">
        <v>401</v>
      </c>
      <c r="K425" s="30" t="s">
        <v>23</v>
      </c>
      <c r="L425" s="31" t="str">
        <f>IFERROR(__xludf.DUMMYFUNCTION("IF(OR(E425="""",K425=""""),"""",IFERROR(IF(K425="""","""",query('tbl user'!$A$2:$D10975,""SELECT A WHERE D = '""&amp;K425&amp;""'"")),""USER TIDAK DIKETAHUI""))"),"#REF!")</f>
        <v>#REF!</v>
      </c>
    </row>
    <row r="426">
      <c r="A426" s="21">
        <f t="shared" si="1"/>
        <v>0</v>
      </c>
      <c r="B426" s="32" t="s">
        <v>258</v>
      </c>
      <c r="C426" s="23" t="s">
        <v>259</v>
      </c>
      <c r="D426" s="23" t="s">
        <v>21</v>
      </c>
      <c r="E426" s="24">
        <v>45387.0</v>
      </c>
      <c r="F426" s="25">
        <v>0.24861111111111112</v>
      </c>
      <c r="G426" s="25">
        <v>0.6298611111111111</v>
      </c>
      <c r="H426" s="27">
        <f t="shared" si="2"/>
        <v>0.38125</v>
      </c>
      <c r="I426" s="28">
        <v>2.0</v>
      </c>
      <c r="J426" s="29" t="s">
        <v>402</v>
      </c>
      <c r="K426" s="30" t="s">
        <v>23</v>
      </c>
      <c r="L426" s="31" t="str">
        <f>IFERROR(__xludf.DUMMYFUNCTION("IF(OR(E426="""",K426=""""),"""",IFERROR(IF(K426="""","""",query('tbl user'!$A$2:$D10975,""SELECT A WHERE D = '""&amp;K426&amp;""'"")),""USER TIDAK DIKETAHUI""))"),"#REF!")</f>
        <v>#REF!</v>
      </c>
    </row>
    <row r="427">
      <c r="A427" s="21">
        <f t="shared" si="1"/>
        <v>0</v>
      </c>
      <c r="B427" s="32" t="s">
        <v>260</v>
      </c>
      <c r="C427" s="23" t="s">
        <v>261</v>
      </c>
      <c r="D427" s="23" t="s">
        <v>21</v>
      </c>
      <c r="E427" s="24">
        <v>45387.0</v>
      </c>
      <c r="F427" s="25">
        <v>0.24097222222222223</v>
      </c>
      <c r="G427" s="25">
        <v>0.6958333333333333</v>
      </c>
      <c r="H427" s="27">
        <f t="shared" si="2"/>
        <v>0.4548611111</v>
      </c>
      <c r="I427" s="28">
        <v>2.0</v>
      </c>
      <c r="J427" s="29" t="s">
        <v>399</v>
      </c>
      <c r="K427" s="30" t="s">
        <v>23</v>
      </c>
      <c r="L427" s="31" t="str">
        <f>IFERROR(__xludf.DUMMYFUNCTION("IF(OR(E427="""",K427=""""),"""",IFERROR(IF(K427="""","""",query('tbl user'!$A$2:$D10975,""SELECT A WHERE D = '""&amp;K427&amp;""'"")),""USER TIDAK DIKETAHUI""))"),"#REF!")</f>
        <v>#REF!</v>
      </c>
    </row>
    <row r="428">
      <c r="A428" s="21">
        <f t="shared" si="1"/>
        <v>0</v>
      </c>
      <c r="B428" s="32" t="s">
        <v>240</v>
      </c>
      <c r="C428" s="23" t="s">
        <v>241</v>
      </c>
      <c r="D428" s="23" t="s">
        <v>21</v>
      </c>
      <c r="E428" s="24">
        <v>45387.0</v>
      </c>
      <c r="F428" s="25">
        <v>0.22430555555555556</v>
      </c>
      <c r="G428" s="25">
        <v>0.75625</v>
      </c>
      <c r="H428" s="27">
        <f t="shared" si="2"/>
        <v>0.5319444444</v>
      </c>
      <c r="I428" s="28">
        <v>3.0</v>
      </c>
      <c r="J428" s="29" t="s">
        <v>55</v>
      </c>
      <c r="K428" s="30" t="s">
        <v>23</v>
      </c>
      <c r="L428" s="31" t="str">
        <f>IFERROR(__xludf.DUMMYFUNCTION("IF(OR(E428="""",K428=""""),"""",IFERROR(IF(K428="""","""",query('tbl user'!$A$2:$D10975,""SELECT A WHERE D = '""&amp;K428&amp;""'"")),""USER TIDAK DIKETAHUI""))"),"#REF!")</f>
        <v>#REF!</v>
      </c>
    </row>
    <row r="429">
      <c r="A429" s="21">
        <f t="shared" si="1"/>
        <v>0</v>
      </c>
      <c r="B429" s="32" t="s">
        <v>255</v>
      </c>
      <c r="C429" s="23" t="s">
        <v>256</v>
      </c>
      <c r="D429" s="23" t="s">
        <v>21</v>
      </c>
      <c r="E429" s="24">
        <v>45387.0</v>
      </c>
      <c r="F429" s="25">
        <v>0.20555555555555555</v>
      </c>
      <c r="G429" s="25">
        <v>0.7236111111111111</v>
      </c>
      <c r="H429" s="27">
        <f t="shared" si="2"/>
        <v>0.5180555556</v>
      </c>
      <c r="I429" s="28">
        <v>3.0</v>
      </c>
      <c r="J429" s="29" t="s">
        <v>55</v>
      </c>
      <c r="K429" s="30" t="s">
        <v>23</v>
      </c>
      <c r="L429" s="31" t="str">
        <f>IFERROR(__xludf.DUMMYFUNCTION("IF(OR(E429="""",K429=""""),"""",IFERROR(IF(K429="""","""",query('tbl user'!$A$2:$D10975,""SELECT A WHERE D = '""&amp;K429&amp;""'"")),""USER TIDAK DIKETAHUI""))"),"#REF!")</f>
        <v>#REF!</v>
      </c>
    </row>
    <row r="430">
      <c r="A430" s="21">
        <f t="shared" si="1"/>
        <v>0</v>
      </c>
      <c r="B430" s="32" t="s">
        <v>37</v>
      </c>
      <c r="C430" s="23" t="s">
        <v>38</v>
      </c>
      <c r="D430" s="23" t="s">
        <v>21</v>
      </c>
      <c r="E430" s="24">
        <v>45387.0</v>
      </c>
      <c r="F430" s="25">
        <v>0.26319444444444445</v>
      </c>
      <c r="G430" s="25">
        <v>0.4548611111111111</v>
      </c>
      <c r="H430" s="27">
        <f t="shared" si="2"/>
        <v>0.1916666667</v>
      </c>
      <c r="I430" s="28">
        <v>2.0</v>
      </c>
      <c r="J430" s="29" t="s">
        <v>403</v>
      </c>
      <c r="K430" s="30" t="s">
        <v>23</v>
      </c>
      <c r="L430" s="31" t="str">
        <f>IFERROR(__xludf.DUMMYFUNCTION("IF(OR(E430="""",K430=""""),"""",IFERROR(IF(K430="""","""",query('tbl user'!$A$2:$D10975,""SELECT A WHERE D = '""&amp;K430&amp;""'"")),""USER TIDAK DIKETAHUI""))"),"#REF!")</f>
        <v>#REF!</v>
      </c>
    </row>
    <row r="431">
      <c r="A431" s="21">
        <f t="shared" si="1"/>
        <v>0</v>
      </c>
      <c r="B431" s="32" t="s">
        <v>101</v>
      </c>
      <c r="C431" s="23" t="s">
        <v>62</v>
      </c>
      <c r="D431" s="23" t="s">
        <v>21</v>
      </c>
      <c r="E431" s="24">
        <v>45387.0</v>
      </c>
      <c r="F431" s="25">
        <v>0.3611111111111111</v>
      </c>
      <c r="G431" s="25">
        <v>0.6152777777777778</v>
      </c>
      <c r="H431" s="27">
        <f t="shared" si="2"/>
        <v>0.2541666667</v>
      </c>
      <c r="I431" s="28">
        <v>1.0</v>
      </c>
      <c r="J431" s="29" t="s">
        <v>404</v>
      </c>
      <c r="K431" s="30" t="s">
        <v>23</v>
      </c>
      <c r="L431" s="31" t="str">
        <f>IFERROR(__xludf.DUMMYFUNCTION("IF(OR(E431="""",K431=""""),"""",IFERROR(IF(K431="""","""",query('tbl user'!$A$2:$D10975,""SELECT A WHERE D = '""&amp;K431&amp;""'"")),""USER TIDAK DIKETAHUI""))"),"#REF!")</f>
        <v>#REF!</v>
      </c>
    </row>
    <row r="432">
      <c r="A432" s="21">
        <f t="shared" si="1"/>
        <v>0</v>
      </c>
      <c r="B432" s="32" t="s">
        <v>281</v>
      </c>
      <c r="C432" s="23" t="s">
        <v>282</v>
      </c>
      <c r="D432" s="23" t="s">
        <v>21</v>
      </c>
      <c r="E432" s="24">
        <v>45387.0</v>
      </c>
      <c r="F432" s="25">
        <v>0.24930555555555556</v>
      </c>
      <c r="G432" s="25">
        <v>0.6493055555555556</v>
      </c>
      <c r="H432" s="27">
        <f t="shared" si="2"/>
        <v>0.4</v>
      </c>
      <c r="I432" s="28">
        <v>3.0</v>
      </c>
      <c r="J432" s="36">
        <v>378.0</v>
      </c>
      <c r="K432" s="30" t="s">
        <v>23</v>
      </c>
      <c r="L432" s="31" t="str">
        <f>IFERROR(__xludf.DUMMYFUNCTION("IF(OR(E432="""",K432=""""),"""",IFERROR(IF(K432="""","""",query('tbl user'!$A$2:$D10975,""SELECT A WHERE D = '""&amp;K432&amp;""'"")),""USER TIDAK DIKETAHUI""))"),"#REF!")</f>
        <v>#REF!</v>
      </c>
    </row>
    <row r="433">
      <c r="A433" s="21">
        <f t="shared" si="1"/>
        <v>0</v>
      </c>
      <c r="B433" s="32" t="s">
        <v>153</v>
      </c>
      <c r="C433" s="23" t="s">
        <v>290</v>
      </c>
      <c r="D433" s="23" t="s">
        <v>21</v>
      </c>
      <c r="E433" s="24">
        <v>45387.0</v>
      </c>
      <c r="F433" s="25">
        <v>0.2611111111111111</v>
      </c>
      <c r="G433" s="25">
        <v>0.7152777777777778</v>
      </c>
      <c r="H433" s="27">
        <f t="shared" si="2"/>
        <v>0.4541666667</v>
      </c>
      <c r="I433" s="28">
        <v>3.0</v>
      </c>
      <c r="J433" s="29" t="s">
        <v>55</v>
      </c>
      <c r="K433" s="30" t="s">
        <v>23</v>
      </c>
      <c r="L433" s="31" t="str">
        <f>IFERROR(__xludf.DUMMYFUNCTION("IF(OR(E433="""",K433=""""),"""",IFERROR(IF(K433="""","""",query('tbl user'!$A$2:$D10975,""SELECT A WHERE D = '""&amp;K433&amp;""'"")),""USER TIDAK DIKETAHUI""))"),"#REF!")</f>
        <v>#REF!</v>
      </c>
    </row>
    <row r="434">
      <c r="A434" s="21">
        <f t="shared" si="1"/>
        <v>0</v>
      </c>
      <c r="B434" s="32" t="s">
        <v>64</v>
      </c>
      <c r="C434" s="23" t="s">
        <v>65</v>
      </c>
      <c r="D434" s="23" t="s">
        <v>21</v>
      </c>
      <c r="E434" s="24">
        <v>45387.0</v>
      </c>
      <c r="F434" s="25">
        <v>0.2590277777777778</v>
      </c>
      <c r="G434" s="25">
        <v>0.6923611111111111</v>
      </c>
      <c r="H434" s="27">
        <f t="shared" si="2"/>
        <v>0.4333333333</v>
      </c>
      <c r="I434" s="28">
        <v>3.0</v>
      </c>
      <c r="J434" s="29" t="s">
        <v>55</v>
      </c>
      <c r="K434" s="30" t="s">
        <v>23</v>
      </c>
      <c r="L434" s="31" t="str">
        <f>IFERROR(__xludf.DUMMYFUNCTION("IF(OR(E434="""",K434=""""),"""",IFERROR(IF(K434="""","""",query('tbl user'!$A$2:$D10975,""SELECT A WHERE D = '""&amp;K434&amp;""'"")),""USER TIDAK DIKETAHUI""))"),"#REF!")</f>
        <v>#REF!</v>
      </c>
    </row>
    <row r="435">
      <c r="A435" s="21">
        <f t="shared" si="1"/>
        <v>0</v>
      </c>
      <c r="B435" s="32" t="s">
        <v>284</v>
      </c>
      <c r="C435" s="23" t="s">
        <v>285</v>
      </c>
      <c r="D435" s="23" t="s">
        <v>21</v>
      </c>
      <c r="E435" s="24">
        <v>45387.0</v>
      </c>
      <c r="F435" s="25">
        <v>0.2916666666666667</v>
      </c>
      <c r="G435" s="25">
        <v>0.5791666666666667</v>
      </c>
      <c r="H435" s="27">
        <f t="shared" si="2"/>
        <v>0.2875</v>
      </c>
      <c r="I435" s="28">
        <v>2.0</v>
      </c>
      <c r="J435" s="29" t="s">
        <v>405</v>
      </c>
      <c r="K435" s="30" t="s">
        <v>23</v>
      </c>
      <c r="L435" s="31" t="str">
        <f>IFERROR(__xludf.DUMMYFUNCTION("IF(OR(E435="""",K435=""""),"""",IFERROR(IF(K435="""","""",query('tbl user'!$A$2:$D10975,""SELECT A WHERE D = '""&amp;K435&amp;""'"")),""USER TIDAK DIKETAHUI""))"),"#REF!")</f>
        <v>#REF!</v>
      </c>
    </row>
    <row r="436">
      <c r="A436" s="21">
        <f t="shared" si="1"/>
        <v>0</v>
      </c>
      <c r="B436" s="32" t="s">
        <v>286</v>
      </c>
      <c r="C436" s="23" t="s">
        <v>287</v>
      </c>
      <c r="D436" s="23" t="s">
        <v>21</v>
      </c>
      <c r="E436" s="24">
        <v>45387.0</v>
      </c>
      <c r="F436" s="25">
        <v>0.2875</v>
      </c>
      <c r="G436" s="25">
        <v>0.70625</v>
      </c>
      <c r="H436" s="27">
        <f t="shared" si="2"/>
        <v>0.41875</v>
      </c>
      <c r="I436" s="28">
        <v>3.0</v>
      </c>
      <c r="J436" s="29" t="s">
        <v>55</v>
      </c>
      <c r="K436" s="30" t="s">
        <v>23</v>
      </c>
      <c r="L436" s="31" t="str">
        <f>IFERROR(__xludf.DUMMYFUNCTION("IF(OR(E436="""",K436=""""),"""",IFERROR(IF(K436="""","""",query('tbl user'!$A$2:$D10975,""SELECT A WHERE D = '""&amp;K436&amp;""'"")),""USER TIDAK DIKETAHUI""))"),"#REF!")</f>
        <v>#REF!</v>
      </c>
    </row>
    <row r="437">
      <c r="A437" s="21" t="str">
        <f t="shared" si="1"/>
        <v/>
      </c>
      <c r="B437" s="35"/>
      <c r="C437" s="23" t="s">
        <v>90</v>
      </c>
      <c r="D437" s="23" t="s">
        <v>32</v>
      </c>
      <c r="E437" s="24">
        <v>45387.0</v>
      </c>
      <c r="F437" s="25">
        <v>0.275</v>
      </c>
      <c r="G437" s="25">
        <v>0.32083333333333336</v>
      </c>
      <c r="H437" s="27">
        <f t="shared" si="2"/>
        <v>0.04583333333</v>
      </c>
      <c r="I437" s="28">
        <v>0.0</v>
      </c>
      <c r="J437" s="29" t="s">
        <v>406</v>
      </c>
      <c r="K437" s="30" t="s">
        <v>23</v>
      </c>
      <c r="L437" s="31" t="str">
        <f>IFERROR(__xludf.DUMMYFUNCTION("IF(OR(E437="""",K437=""""),"""",IFERROR(IF(K437="""","""",query('tbl user'!$A$2:$D10975,""SELECT A WHERE D = '""&amp;K437&amp;""'"")),""USER TIDAK DIKETAHUI""))"),"#REF!")</f>
        <v>#REF!</v>
      </c>
    </row>
    <row r="438">
      <c r="A438" s="21">
        <f t="shared" si="1"/>
        <v>0</v>
      </c>
      <c r="B438" s="32" t="s">
        <v>46</v>
      </c>
      <c r="C438" s="23" t="s">
        <v>47</v>
      </c>
      <c r="D438" s="23" t="s">
        <v>32</v>
      </c>
      <c r="E438" s="24">
        <v>45387.0</v>
      </c>
      <c r="F438" s="25">
        <v>0.2625</v>
      </c>
      <c r="G438" s="25">
        <v>0.4305555555555556</v>
      </c>
      <c r="H438" s="27">
        <f t="shared" si="2"/>
        <v>0.1680555556</v>
      </c>
      <c r="I438" s="28">
        <v>1.0</v>
      </c>
      <c r="J438" s="29" t="s">
        <v>407</v>
      </c>
      <c r="K438" s="30" t="s">
        <v>23</v>
      </c>
      <c r="L438" s="31" t="str">
        <f>IFERROR(__xludf.DUMMYFUNCTION("IF(OR(E438="""",K438=""""),"""",IFERROR(IF(K438="""","""",query('tbl user'!$A$2:$D10975,""SELECT A WHERE D = '""&amp;K438&amp;""'"")),""USER TIDAK DIKETAHUI""))"),"#REF!")</f>
        <v>#REF!</v>
      </c>
    </row>
    <row r="439">
      <c r="A439" s="21">
        <f t="shared" si="1"/>
        <v>0</v>
      </c>
      <c r="B439" s="32" t="s">
        <v>125</v>
      </c>
      <c r="C439" s="23" t="s">
        <v>126</v>
      </c>
      <c r="D439" s="23" t="s">
        <v>32</v>
      </c>
      <c r="E439" s="24">
        <v>45387.0</v>
      </c>
      <c r="F439" s="25">
        <v>0.2763888888888889</v>
      </c>
      <c r="G439" s="25">
        <v>0.45694444444444443</v>
      </c>
      <c r="H439" s="27">
        <f t="shared" si="2"/>
        <v>0.1805555556</v>
      </c>
      <c r="I439" s="28">
        <v>1.0</v>
      </c>
      <c r="J439" s="29" t="s">
        <v>408</v>
      </c>
      <c r="K439" s="30" t="s">
        <v>23</v>
      </c>
      <c r="L439" s="31" t="str">
        <f>IFERROR(__xludf.DUMMYFUNCTION("IF(OR(E439="""",K439=""""),"""",IFERROR(IF(K439="""","""",query('tbl user'!$A$2:$D10975,""SELECT A WHERE D = '""&amp;K439&amp;""'"")),""USER TIDAK DIKETAHUI""))"),"#REF!")</f>
        <v>#REF!</v>
      </c>
    </row>
    <row r="440">
      <c r="A440" s="21">
        <f t="shared" si="1"/>
        <v>0</v>
      </c>
      <c r="B440" s="32" t="s">
        <v>110</v>
      </c>
      <c r="C440" s="23" t="s">
        <v>111</v>
      </c>
      <c r="D440" s="23" t="s">
        <v>32</v>
      </c>
      <c r="E440" s="24">
        <v>45387.0</v>
      </c>
      <c r="F440" s="25">
        <v>0.27152777777777776</v>
      </c>
      <c r="G440" s="25">
        <v>0.6263888888888889</v>
      </c>
      <c r="H440" s="27">
        <f t="shared" si="2"/>
        <v>0.3548611111</v>
      </c>
      <c r="I440" s="28">
        <v>2.0</v>
      </c>
      <c r="J440" s="29" t="s">
        <v>409</v>
      </c>
      <c r="K440" s="30" t="s">
        <v>23</v>
      </c>
      <c r="L440" s="31" t="str">
        <f>IFERROR(__xludf.DUMMYFUNCTION("IF(OR(E440="""",K440=""""),"""",IFERROR(IF(K440="""","""",query('tbl user'!$A$2:$D10975,""SELECT A WHERE D = '""&amp;K440&amp;""'"")),""USER TIDAK DIKETAHUI""))"),"#REF!")</f>
        <v>#REF!</v>
      </c>
    </row>
    <row r="441">
      <c r="A441" s="21">
        <f t="shared" si="1"/>
        <v>0</v>
      </c>
      <c r="B441" s="32" t="s">
        <v>75</v>
      </c>
      <c r="C441" s="23" t="s">
        <v>76</v>
      </c>
      <c r="D441" s="23" t="s">
        <v>32</v>
      </c>
      <c r="E441" s="24">
        <v>45387.0</v>
      </c>
      <c r="F441" s="25">
        <v>0.2569444444444444</v>
      </c>
      <c r="G441" s="25">
        <v>0.6194444444444445</v>
      </c>
      <c r="H441" s="27">
        <f t="shared" si="2"/>
        <v>0.3625</v>
      </c>
      <c r="I441" s="28">
        <v>2.0</v>
      </c>
      <c r="J441" s="29" t="s">
        <v>410</v>
      </c>
      <c r="K441" s="30" t="s">
        <v>23</v>
      </c>
      <c r="L441" s="31" t="str">
        <f>IFERROR(__xludf.DUMMYFUNCTION("IF(OR(E441="""",K441=""""),"""",IFERROR(IF(K441="""","""",query('tbl user'!$A$2:$D10975,""SELECT A WHERE D = '""&amp;K441&amp;""'"")),""USER TIDAK DIKETAHUI""))"),"#REF!")</f>
        <v>#REF!</v>
      </c>
    </row>
    <row r="442">
      <c r="A442" s="21">
        <f t="shared" si="1"/>
        <v>0</v>
      </c>
      <c r="B442" s="32" t="s">
        <v>137</v>
      </c>
      <c r="C442" s="23" t="s">
        <v>138</v>
      </c>
      <c r="D442" s="23" t="s">
        <v>32</v>
      </c>
      <c r="E442" s="24">
        <v>45387.0</v>
      </c>
      <c r="F442" s="25">
        <v>0.40625</v>
      </c>
      <c r="G442" s="25">
        <v>0.7534722222222222</v>
      </c>
      <c r="H442" s="27">
        <f t="shared" si="2"/>
        <v>0.3472222222</v>
      </c>
      <c r="I442" s="28">
        <v>2.0</v>
      </c>
      <c r="J442" s="29" t="s">
        <v>411</v>
      </c>
      <c r="K442" s="30" t="s">
        <v>23</v>
      </c>
      <c r="L442" s="31" t="str">
        <f>IFERROR(__xludf.DUMMYFUNCTION("IF(OR(E442="""",K442=""""),"""",IFERROR(IF(K442="""","""",query('tbl user'!$A$2:$D10975,""SELECT A WHERE D = '""&amp;K442&amp;""'"")),""USER TIDAK DIKETAHUI""))"),"#REF!")</f>
        <v>#REF!</v>
      </c>
    </row>
    <row r="443">
      <c r="A443" s="21">
        <f t="shared" si="1"/>
        <v>0</v>
      </c>
      <c r="B443" s="32" t="s">
        <v>412</v>
      </c>
      <c r="C443" s="23" t="s">
        <v>413</v>
      </c>
      <c r="D443" s="23" t="s">
        <v>32</v>
      </c>
      <c r="E443" s="24">
        <v>45387.0</v>
      </c>
      <c r="F443" s="25">
        <v>0.2798611111111111</v>
      </c>
      <c r="G443" s="25">
        <v>0.6548611111111111</v>
      </c>
      <c r="H443" s="27">
        <f t="shared" si="2"/>
        <v>0.375</v>
      </c>
      <c r="I443" s="28">
        <v>3.0</v>
      </c>
      <c r="J443" s="29" t="s">
        <v>129</v>
      </c>
      <c r="K443" s="30" t="s">
        <v>23</v>
      </c>
      <c r="L443" s="31" t="str">
        <f>IFERROR(__xludf.DUMMYFUNCTION("IF(OR(E443="""",K443=""""),"""",IFERROR(IF(K443="""","""",query('tbl user'!$A$2:$D10975,""SELECT A WHERE D = '""&amp;K443&amp;""'"")),""USER TIDAK DIKETAHUI""))"),"#REF!")</f>
        <v>#REF!</v>
      </c>
    </row>
    <row r="444">
      <c r="A444" s="21">
        <f t="shared" si="1"/>
        <v>0</v>
      </c>
      <c r="B444" s="32" t="s">
        <v>120</v>
      </c>
      <c r="C444" s="23" t="s">
        <v>121</v>
      </c>
      <c r="D444" s="23" t="s">
        <v>32</v>
      </c>
      <c r="E444" s="24">
        <v>45387.0</v>
      </c>
      <c r="F444" s="25">
        <v>0.2513888888888889</v>
      </c>
      <c r="G444" s="25">
        <v>0.6520833333333333</v>
      </c>
      <c r="H444" s="27">
        <f t="shared" si="2"/>
        <v>0.4006944444</v>
      </c>
      <c r="I444" s="28">
        <v>3.0</v>
      </c>
      <c r="J444" s="29" t="s">
        <v>414</v>
      </c>
      <c r="K444" s="30" t="s">
        <v>23</v>
      </c>
      <c r="L444" s="31" t="str">
        <f>IFERROR(__xludf.DUMMYFUNCTION("IF(OR(E444="""",K444=""""),"""",IFERROR(IF(K444="""","""",query('tbl user'!$A$2:$D10975,""SELECT A WHERE D = '""&amp;K444&amp;""'"")),""USER TIDAK DIKETAHUI""))"),"#REF!")</f>
        <v>#REF!</v>
      </c>
    </row>
    <row r="445">
      <c r="A445" s="21">
        <f t="shared" si="1"/>
        <v>0</v>
      </c>
      <c r="B445" s="32" t="s">
        <v>263</v>
      </c>
      <c r="C445" s="23" t="s">
        <v>264</v>
      </c>
      <c r="D445" s="23" t="s">
        <v>32</v>
      </c>
      <c r="E445" s="24">
        <v>45387.0</v>
      </c>
      <c r="F445" s="25">
        <v>0.26875</v>
      </c>
      <c r="G445" s="25">
        <v>0.6465277777777778</v>
      </c>
      <c r="H445" s="27">
        <f t="shared" si="2"/>
        <v>0.3777777778</v>
      </c>
      <c r="I445" s="28">
        <v>3.0</v>
      </c>
      <c r="J445" s="29" t="s">
        <v>415</v>
      </c>
      <c r="K445" s="30" t="s">
        <v>23</v>
      </c>
      <c r="L445" s="31" t="str">
        <f>IFERROR(__xludf.DUMMYFUNCTION("IF(OR(E445="""",K445=""""),"""",IFERROR(IF(K445="""","""",query('tbl user'!$A$2:$D10975,""SELECT A WHERE D = '""&amp;K445&amp;""'"")),""USER TIDAK DIKETAHUI""))"),"#REF!")</f>
        <v>#REF!</v>
      </c>
    </row>
    <row r="446">
      <c r="A446" s="21">
        <f t="shared" si="1"/>
        <v>0</v>
      </c>
      <c r="B446" s="32" t="s">
        <v>123</v>
      </c>
      <c r="C446" s="23" t="s">
        <v>124</v>
      </c>
      <c r="D446" s="23" t="s">
        <v>32</v>
      </c>
      <c r="E446" s="24">
        <v>45387.0</v>
      </c>
      <c r="F446" s="25">
        <v>0.2701388888888889</v>
      </c>
      <c r="G446" s="25">
        <v>0.6458333333333334</v>
      </c>
      <c r="H446" s="27">
        <f t="shared" si="2"/>
        <v>0.3756944444</v>
      </c>
      <c r="I446" s="28">
        <v>3.0</v>
      </c>
      <c r="J446" s="29" t="s">
        <v>416</v>
      </c>
      <c r="K446" s="30" t="s">
        <v>23</v>
      </c>
      <c r="L446" s="31" t="str">
        <f>IFERROR(__xludf.DUMMYFUNCTION("IF(OR(E446="""",K446=""""),"""",IFERROR(IF(K446="""","""",query('tbl user'!$A$2:$D10975,""SELECT A WHERE D = '""&amp;K446&amp;""'"")),""USER TIDAK DIKETAHUI""))"),"#REF!")</f>
        <v>#REF!</v>
      </c>
    </row>
    <row r="447">
      <c r="A447" s="21">
        <f t="shared" si="1"/>
        <v>0</v>
      </c>
      <c r="B447" s="32" t="s">
        <v>72</v>
      </c>
      <c r="C447" s="23" t="s">
        <v>73</v>
      </c>
      <c r="D447" s="23" t="s">
        <v>32</v>
      </c>
      <c r="E447" s="24">
        <v>45387.0</v>
      </c>
      <c r="F447" s="25">
        <v>0.2222222222222222</v>
      </c>
      <c r="G447" s="25">
        <v>0.74375</v>
      </c>
      <c r="H447" s="27">
        <f t="shared" si="2"/>
        <v>0.5215277778</v>
      </c>
      <c r="I447" s="28">
        <v>3.0</v>
      </c>
      <c r="J447" s="29" t="s">
        <v>417</v>
      </c>
      <c r="K447" s="30" t="s">
        <v>23</v>
      </c>
      <c r="L447" s="31" t="str">
        <f>IFERROR(__xludf.DUMMYFUNCTION("IF(OR(E447="""",K447=""""),"""",IFERROR(IF(K447="""","""",query('tbl user'!$A$2:$D10975,""SELECT A WHERE D = '""&amp;K447&amp;""'"")),""USER TIDAK DIKETAHUI""))"),"#REF!")</f>
        <v>#REF!</v>
      </c>
    </row>
    <row r="448">
      <c r="A448" s="21">
        <f t="shared" si="1"/>
        <v>0</v>
      </c>
      <c r="B448" s="32" t="s">
        <v>250</v>
      </c>
      <c r="C448" s="23" t="s">
        <v>315</v>
      </c>
      <c r="D448" s="23" t="s">
        <v>32</v>
      </c>
      <c r="E448" s="24">
        <v>45387.0</v>
      </c>
      <c r="F448" s="25">
        <v>0.2326388888888889</v>
      </c>
      <c r="G448" s="25">
        <v>0.7298611111111111</v>
      </c>
      <c r="H448" s="27">
        <f t="shared" si="2"/>
        <v>0.4972222222</v>
      </c>
      <c r="I448" s="28">
        <v>4.0</v>
      </c>
      <c r="J448" s="29" t="s">
        <v>55</v>
      </c>
      <c r="K448" s="30" t="s">
        <v>23</v>
      </c>
      <c r="L448" s="31" t="str">
        <f>IFERROR(__xludf.DUMMYFUNCTION("IF(OR(E448="""",K448=""""),"""",IFERROR(IF(K448="""","""",query('tbl user'!$A$2:$D10975,""SELECT A WHERE D = '""&amp;K448&amp;""'"")),""USER TIDAK DIKETAHUI""))"),"#REF!")</f>
        <v>#REF!</v>
      </c>
    </row>
    <row r="449">
      <c r="A449" s="21">
        <f t="shared" si="1"/>
        <v>0</v>
      </c>
      <c r="B449" s="32" t="s">
        <v>113</v>
      </c>
      <c r="C449" s="23" t="s">
        <v>114</v>
      </c>
      <c r="D449" s="23" t="s">
        <v>32</v>
      </c>
      <c r="E449" s="24">
        <v>45387.0</v>
      </c>
      <c r="F449" s="25">
        <v>0.2048611111111111</v>
      </c>
      <c r="G449" s="25">
        <v>0.4395833333333333</v>
      </c>
      <c r="H449" s="27">
        <f t="shared" si="2"/>
        <v>0.2347222222</v>
      </c>
      <c r="I449" s="28">
        <v>4.0</v>
      </c>
      <c r="J449" s="29" t="s">
        <v>55</v>
      </c>
      <c r="K449" s="30" t="s">
        <v>23</v>
      </c>
      <c r="L449" s="31" t="str">
        <f>IFERROR(__xludf.DUMMYFUNCTION("IF(OR(E449="""",K449=""""),"""",IFERROR(IF(K449="""","""",query('tbl user'!$A$2:$D10975,""SELECT A WHERE D = '""&amp;K449&amp;""'"")),""USER TIDAK DIKETAHUI""))"),"#REF!")</f>
        <v>#REF!</v>
      </c>
    </row>
    <row r="450">
      <c r="A450" s="21">
        <f t="shared" si="1"/>
        <v>0</v>
      </c>
      <c r="B450" s="32" t="s">
        <v>276</v>
      </c>
      <c r="C450" s="23" t="s">
        <v>132</v>
      </c>
      <c r="D450" s="23" t="s">
        <v>32</v>
      </c>
      <c r="E450" s="24">
        <v>45387.0</v>
      </c>
      <c r="F450" s="25">
        <v>0.25763888888888886</v>
      </c>
      <c r="G450" s="25">
        <v>0.7291666666666666</v>
      </c>
      <c r="H450" s="27">
        <f t="shared" si="2"/>
        <v>0.4715277778</v>
      </c>
      <c r="I450" s="28">
        <v>4.0</v>
      </c>
      <c r="J450" s="29" t="s">
        <v>55</v>
      </c>
      <c r="K450" s="30" t="s">
        <v>23</v>
      </c>
      <c r="L450" s="31" t="str">
        <f>IFERROR(__xludf.DUMMYFUNCTION("IF(OR(E450="""",K450=""""),"""",IFERROR(IF(K450="""","""",query('tbl user'!$A$2:$D10975,""SELECT A WHERE D = '""&amp;K450&amp;""'"")),""USER TIDAK DIKETAHUI""))"),"#REF!")</f>
        <v>#REF!</v>
      </c>
    </row>
    <row r="451">
      <c r="A451" s="21">
        <f t="shared" si="1"/>
        <v>0</v>
      </c>
      <c r="B451" s="32" t="s">
        <v>133</v>
      </c>
      <c r="C451" s="23" t="s">
        <v>134</v>
      </c>
      <c r="D451" s="23" t="s">
        <v>32</v>
      </c>
      <c r="E451" s="24">
        <v>45387.0</v>
      </c>
      <c r="F451" s="25">
        <v>0.2263888888888889</v>
      </c>
      <c r="G451" s="25">
        <v>0.6881944444444444</v>
      </c>
      <c r="H451" s="27">
        <f t="shared" si="2"/>
        <v>0.4618055556</v>
      </c>
      <c r="I451" s="28">
        <v>4.0</v>
      </c>
      <c r="J451" s="29" t="s">
        <v>55</v>
      </c>
      <c r="K451" s="30" t="s">
        <v>23</v>
      </c>
      <c r="L451" s="31" t="str">
        <f>IFERROR(__xludf.DUMMYFUNCTION("IF(OR(E451="""",K451=""""),"""",IFERROR(IF(K451="""","""",query('tbl user'!$A$2:$D10975,""SELECT A WHERE D = '""&amp;K451&amp;""'"")),""USER TIDAK DIKETAHUI""))"),"#REF!")</f>
        <v>#REF!</v>
      </c>
    </row>
    <row r="452">
      <c r="A452" s="21">
        <f t="shared" si="1"/>
        <v>0</v>
      </c>
      <c r="B452" s="32" t="s">
        <v>135</v>
      </c>
      <c r="C452" s="23" t="s">
        <v>136</v>
      </c>
      <c r="D452" s="23" t="s">
        <v>32</v>
      </c>
      <c r="E452" s="24">
        <v>45387.0</v>
      </c>
      <c r="F452" s="25">
        <v>0.25416666666666665</v>
      </c>
      <c r="G452" s="25">
        <v>0.7166666666666667</v>
      </c>
      <c r="H452" s="27">
        <f t="shared" si="2"/>
        <v>0.4625</v>
      </c>
      <c r="I452" s="28">
        <v>4.0</v>
      </c>
      <c r="J452" s="29" t="s">
        <v>55</v>
      </c>
      <c r="K452" s="30" t="s">
        <v>23</v>
      </c>
      <c r="L452" s="31" t="str">
        <f>IFERROR(__xludf.DUMMYFUNCTION("IF(OR(E452="""",K452=""""),"""",IFERROR(IF(K452="""","""",query('tbl user'!$A$2:$D10975,""SELECT A WHERE D = '""&amp;K452&amp;""'"")),""USER TIDAK DIKETAHUI""))"),"#REF!")</f>
        <v>#REF!</v>
      </c>
    </row>
    <row r="453">
      <c r="A453" s="21">
        <f t="shared" si="1"/>
        <v>0</v>
      </c>
      <c r="B453" s="32" t="s">
        <v>30</v>
      </c>
      <c r="C453" s="23" t="s">
        <v>31</v>
      </c>
      <c r="D453" s="23" t="s">
        <v>32</v>
      </c>
      <c r="E453" s="24">
        <v>45387.0</v>
      </c>
      <c r="F453" s="25">
        <v>0.2923611111111111</v>
      </c>
      <c r="G453" s="25">
        <v>0.71875</v>
      </c>
      <c r="H453" s="27">
        <f t="shared" si="2"/>
        <v>0.4263888889</v>
      </c>
      <c r="I453" s="28">
        <v>4.0</v>
      </c>
      <c r="J453" s="29" t="s">
        <v>55</v>
      </c>
      <c r="K453" s="30" t="s">
        <v>23</v>
      </c>
      <c r="L453" s="31" t="str">
        <f>IFERROR(__xludf.DUMMYFUNCTION("IF(OR(E453="""",K453=""""),"""",IFERROR(IF(K453="""","""",query('tbl user'!$A$2:$D10975,""SELECT A WHERE D = '""&amp;K453&amp;""'"")),""USER TIDAK DIKETAHUI""))"),"#REF!")</f>
        <v>#REF!</v>
      </c>
    </row>
    <row r="454">
      <c r="A454" s="21">
        <f t="shared" si="1"/>
        <v>0</v>
      </c>
      <c r="B454" s="32" t="s">
        <v>24</v>
      </c>
      <c r="C454" s="23" t="s">
        <v>332</v>
      </c>
      <c r="D454" s="23" t="s">
        <v>21</v>
      </c>
      <c r="E454" s="24">
        <v>45387.0</v>
      </c>
      <c r="F454" s="25">
        <v>0.37777777777777777</v>
      </c>
      <c r="G454" s="25">
        <v>0.63125</v>
      </c>
      <c r="H454" s="27">
        <f t="shared" si="2"/>
        <v>0.2534722222</v>
      </c>
      <c r="I454" s="28">
        <v>2.0</v>
      </c>
      <c r="J454" s="29" t="s">
        <v>418</v>
      </c>
      <c r="K454" s="30" t="s">
        <v>23</v>
      </c>
      <c r="L454" s="31" t="str">
        <f>IFERROR(__xludf.DUMMYFUNCTION("IF(OR(E454="""",K454=""""),"""",IFERROR(IF(K454="""","""",query('tbl user'!$A$2:$D10975,""SELECT A WHERE D = '""&amp;K454&amp;""'"")),""USER TIDAK DIKETAHUI""))"),"#REF!")</f>
        <v>#REF!</v>
      </c>
    </row>
    <row r="455">
      <c r="A455" s="21">
        <f t="shared" si="1"/>
        <v>0</v>
      </c>
      <c r="B455" s="32" t="s">
        <v>335</v>
      </c>
      <c r="C455" s="23" t="s">
        <v>336</v>
      </c>
      <c r="D455" s="23" t="s">
        <v>21</v>
      </c>
      <c r="E455" s="24">
        <v>45387.0</v>
      </c>
      <c r="F455" s="25">
        <v>0.28402777777777777</v>
      </c>
      <c r="G455" s="25">
        <v>0.4513888888888889</v>
      </c>
      <c r="H455" s="27">
        <f t="shared" si="2"/>
        <v>0.1673611111</v>
      </c>
      <c r="I455" s="28">
        <v>2.0</v>
      </c>
      <c r="J455" s="29" t="s">
        <v>419</v>
      </c>
      <c r="K455" s="30" t="s">
        <v>23</v>
      </c>
      <c r="L455" s="31" t="str">
        <f>IFERROR(__xludf.DUMMYFUNCTION("IF(OR(E455="""",K455=""""),"""",IFERROR(IF(K455="""","""",query('tbl user'!$A$2:$D10975,""SELECT A WHERE D = '""&amp;K455&amp;""'"")),""USER TIDAK DIKETAHUI""))"),"#REF!")</f>
        <v>#REF!</v>
      </c>
    </row>
    <row r="456">
      <c r="A456" s="21">
        <f t="shared" si="1"/>
        <v>0</v>
      </c>
      <c r="B456" s="32" t="s">
        <v>127</v>
      </c>
      <c r="C456" s="23" t="s">
        <v>326</v>
      </c>
      <c r="D456" s="23" t="s">
        <v>21</v>
      </c>
      <c r="E456" s="24">
        <v>45387.0</v>
      </c>
      <c r="F456" s="25">
        <v>0.28958333333333336</v>
      </c>
      <c r="G456" s="25">
        <v>0.5680555555555555</v>
      </c>
      <c r="H456" s="27">
        <f t="shared" si="2"/>
        <v>0.2784722222</v>
      </c>
      <c r="I456" s="28">
        <v>2.0</v>
      </c>
      <c r="J456" s="29" t="s">
        <v>420</v>
      </c>
      <c r="K456" s="30" t="s">
        <v>23</v>
      </c>
      <c r="L456" s="31" t="str">
        <f>IFERROR(__xludf.DUMMYFUNCTION("IF(OR(E456="""",K456=""""),"""",IFERROR(IF(K456="""","""",query('tbl user'!$A$2:$D10975,""SELECT A WHERE D = '""&amp;K456&amp;""'"")),""USER TIDAK DIKETAHUI""))"),"#REF!")</f>
        <v>#REF!</v>
      </c>
    </row>
    <row r="457">
      <c r="A457" s="21">
        <f t="shared" si="1"/>
        <v>0</v>
      </c>
      <c r="B457" s="32" t="s">
        <v>229</v>
      </c>
      <c r="C457" s="23" t="s">
        <v>330</v>
      </c>
      <c r="D457" s="23" t="s">
        <v>21</v>
      </c>
      <c r="E457" s="24">
        <v>45387.0</v>
      </c>
      <c r="F457" s="25">
        <v>0.25833333333333336</v>
      </c>
      <c r="G457" s="25">
        <v>0.45208333333333334</v>
      </c>
      <c r="H457" s="27">
        <f t="shared" si="2"/>
        <v>0.19375</v>
      </c>
      <c r="I457" s="28">
        <v>2.0</v>
      </c>
      <c r="J457" s="29" t="s">
        <v>421</v>
      </c>
      <c r="K457" s="30" t="s">
        <v>23</v>
      </c>
      <c r="L457" s="31" t="str">
        <f>IFERROR(__xludf.DUMMYFUNCTION("IF(OR(E457="""",K457=""""),"""",IFERROR(IF(K457="""","""",query('tbl user'!$A$2:$D10975,""SELECT A WHERE D = '""&amp;K457&amp;""'"")),""USER TIDAK DIKETAHUI""))"),"#REF!")</f>
        <v>#REF!</v>
      </c>
    </row>
    <row r="458">
      <c r="A458" s="21">
        <f t="shared" si="1"/>
        <v>0</v>
      </c>
      <c r="B458" s="32" t="s">
        <v>220</v>
      </c>
      <c r="C458" s="23" t="s">
        <v>316</v>
      </c>
      <c r="D458" s="23" t="s">
        <v>21</v>
      </c>
      <c r="E458" s="24">
        <v>45387.0</v>
      </c>
      <c r="F458" s="25">
        <v>0.24444444444444444</v>
      </c>
      <c r="G458" s="25">
        <v>0.5486111111111112</v>
      </c>
      <c r="H458" s="27">
        <f t="shared" si="2"/>
        <v>0.3041666667</v>
      </c>
      <c r="I458" s="28">
        <v>3.0</v>
      </c>
      <c r="J458" s="29" t="s">
        <v>422</v>
      </c>
      <c r="K458" s="30" t="s">
        <v>23</v>
      </c>
      <c r="L458" s="31" t="str">
        <f>IFERROR(__xludf.DUMMYFUNCTION("IF(OR(E458="""",K458=""""),"""",IFERROR(IF(K458="""","""",query('tbl user'!$A$2:$D10975,""SELECT A WHERE D = '""&amp;K458&amp;""'"")),""USER TIDAK DIKETAHUI""))"),"#REF!")</f>
        <v>#REF!</v>
      </c>
    </row>
    <row r="459">
      <c r="A459" s="21">
        <f t="shared" si="1"/>
        <v>0</v>
      </c>
      <c r="B459" s="32" t="s">
        <v>423</v>
      </c>
      <c r="C459" s="23" t="s">
        <v>329</v>
      </c>
      <c r="D459" s="23" t="s">
        <v>21</v>
      </c>
      <c r="E459" s="24">
        <v>45387.0</v>
      </c>
      <c r="F459" s="25">
        <v>0.3145833333333333</v>
      </c>
      <c r="G459" s="25">
        <v>0.74375</v>
      </c>
      <c r="H459" s="27">
        <f t="shared" si="2"/>
        <v>0.4291666667</v>
      </c>
      <c r="I459" s="28">
        <v>3.0</v>
      </c>
      <c r="J459" s="29" t="s">
        <v>385</v>
      </c>
      <c r="K459" s="30" t="s">
        <v>23</v>
      </c>
      <c r="L459" s="31" t="str">
        <f>IFERROR(__xludf.DUMMYFUNCTION("IF(OR(E459="""",K459=""""),"""",IFERROR(IF(K459="""","""",query('tbl user'!$A$2:$D10975,""SELECT A WHERE D = '""&amp;K459&amp;""'"")),""USER TIDAK DIKETAHUI""))"),"#REF!")</f>
        <v>#REF!</v>
      </c>
    </row>
    <row r="460">
      <c r="A460" s="21">
        <f t="shared" si="1"/>
        <v>0</v>
      </c>
      <c r="B460" s="32" t="s">
        <v>172</v>
      </c>
      <c r="C460" s="23" t="s">
        <v>88</v>
      </c>
      <c r="D460" s="23" t="s">
        <v>21</v>
      </c>
      <c r="E460" s="24">
        <v>45387.0</v>
      </c>
      <c r="F460" s="25">
        <v>0.3020833333333333</v>
      </c>
      <c r="G460" s="25">
        <v>0.7034722222222223</v>
      </c>
      <c r="H460" s="27">
        <f t="shared" si="2"/>
        <v>0.4013888889</v>
      </c>
      <c r="I460" s="28">
        <v>4.0</v>
      </c>
      <c r="J460" s="29" t="s">
        <v>424</v>
      </c>
      <c r="K460" s="30" t="s">
        <v>23</v>
      </c>
      <c r="L460" s="31" t="str">
        <f>IFERROR(__xludf.DUMMYFUNCTION("IF(OR(E460="""",K460=""""),"""",IFERROR(IF(K460="""","""",query('tbl user'!$A$2:$D10975,""SELECT A WHERE D = '""&amp;K460&amp;""'"")),""USER TIDAK DIKETAHUI""))"),"#REF!")</f>
        <v>#REF!</v>
      </c>
    </row>
    <row r="461">
      <c r="A461" s="21">
        <f t="shared" si="1"/>
        <v>0</v>
      </c>
      <c r="B461" s="32" t="s">
        <v>53</v>
      </c>
      <c r="C461" s="23" t="s">
        <v>54</v>
      </c>
      <c r="D461" s="23" t="s">
        <v>21</v>
      </c>
      <c r="E461" s="24">
        <v>45387.0</v>
      </c>
      <c r="F461" s="25">
        <v>0.38333333333333336</v>
      </c>
      <c r="G461" s="25">
        <v>0.7368055555555556</v>
      </c>
      <c r="H461" s="27">
        <f t="shared" si="2"/>
        <v>0.3534722222</v>
      </c>
      <c r="I461" s="28">
        <v>4.0</v>
      </c>
      <c r="J461" s="29" t="s">
        <v>425</v>
      </c>
      <c r="K461" s="30" t="s">
        <v>23</v>
      </c>
      <c r="L461" s="31" t="str">
        <f>IFERROR(__xludf.DUMMYFUNCTION("IF(OR(E461="""",K461=""""),"""",IFERROR(IF(K461="""","""",query('tbl user'!$A$2:$D10975,""SELECT A WHERE D = '""&amp;K461&amp;""'"")),""USER TIDAK DIKETAHUI""))"),"#REF!")</f>
        <v>#REF!</v>
      </c>
    </row>
    <row r="462">
      <c r="A462" s="21">
        <f t="shared" si="1"/>
        <v>0</v>
      </c>
      <c r="B462" s="32" t="s">
        <v>319</v>
      </c>
      <c r="C462" s="23" t="s">
        <v>320</v>
      </c>
      <c r="D462" s="23" t="s">
        <v>21</v>
      </c>
      <c r="E462" s="24">
        <v>45387.0</v>
      </c>
      <c r="F462" s="25">
        <v>0.2916666666666667</v>
      </c>
      <c r="G462" s="25">
        <v>0.6805555555555556</v>
      </c>
      <c r="H462" s="27">
        <f t="shared" si="2"/>
        <v>0.3888888889</v>
      </c>
      <c r="I462" s="28">
        <v>4.0</v>
      </c>
      <c r="J462" s="29" t="s">
        <v>399</v>
      </c>
      <c r="K462" s="30" t="s">
        <v>23</v>
      </c>
      <c r="L462" s="31" t="str">
        <f>IFERROR(__xludf.DUMMYFUNCTION("IF(OR(E462="""",K462=""""),"""",IFERROR(IF(K462="""","""",query('tbl user'!$A$2:$D10975,""SELECT A WHERE D = '""&amp;K462&amp;""'"")),""USER TIDAK DIKETAHUI""))"),"#REF!")</f>
        <v>#REF!</v>
      </c>
    </row>
    <row r="463">
      <c r="A463" s="21">
        <f t="shared" si="1"/>
        <v>0</v>
      </c>
      <c r="B463" s="32" t="s">
        <v>333</v>
      </c>
      <c r="C463" s="23" t="s">
        <v>334</v>
      </c>
      <c r="D463" s="23" t="s">
        <v>21</v>
      </c>
      <c r="E463" s="24">
        <v>45387.0</v>
      </c>
      <c r="F463" s="25">
        <v>0.2375</v>
      </c>
      <c r="G463" s="25">
        <v>0.7048611111111112</v>
      </c>
      <c r="H463" s="27">
        <f t="shared" si="2"/>
        <v>0.4673611111</v>
      </c>
      <c r="I463" s="28">
        <v>5.0</v>
      </c>
      <c r="J463" s="29" t="s">
        <v>55</v>
      </c>
      <c r="K463" s="30" t="s">
        <v>23</v>
      </c>
      <c r="L463" s="31" t="str">
        <f>IFERROR(__xludf.DUMMYFUNCTION("IF(OR(E463="""",K463=""""),"""",IFERROR(IF(K463="""","""",query('tbl user'!$A$2:$D10975,""SELECT A WHERE D = '""&amp;K463&amp;""'"")),""USER TIDAK DIKETAHUI""))"),"#REF!")</f>
        <v>#REF!</v>
      </c>
    </row>
    <row r="464">
      <c r="A464" s="21">
        <f t="shared" si="1"/>
        <v>0</v>
      </c>
      <c r="B464" s="32" t="s">
        <v>337</v>
      </c>
      <c r="C464" s="23" t="s">
        <v>323</v>
      </c>
      <c r="D464" s="23" t="s">
        <v>21</v>
      </c>
      <c r="E464" s="24">
        <v>45387.0</v>
      </c>
      <c r="F464" s="25">
        <v>0.29097222222222224</v>
      </c>
      <c r="G464" s="25">
        <v>0.7215277777777778</v>
      </c>
      <c r="H464" s="27">
        <f t="shared" si="2"/>
        <v>0.4305555556</v>
      </c>
      <c r="I464" s="28">
        <v>5.0</v>
      </c>
      <c r="J464" s="29" t="s">
        <v>55</v>
      </c>
      <c r="K464" s="30" t="s">
        <v>23</v>
      </c>
      <c r="L464" s="31" t="str">
        <f>IFERROR(__xludf.DUMMYFUNCTION("IF(OR(E464="""",K464=""""),"""",IFERROR(IF(K464="""","""",query('tbl user'!$A$2:$D10975,""SELECT A WHERE D = '""&amp;K464&amp;""'"")),""USER TIDAK DIKETAHUI""))"),"#REF!")</f>
        <v>#REF!</v>
      </c>
    </row>
    <row r="465">
      <c r="A465" s="21">
        <f t="shared" si="1"/>
        <v>0</v>
      </c>
      <c r="B465" s="32" t="s">
        <v>297</v>
      </c>
      <c r="C465" s="23" t="s">
        <v>348</v>
      </c>
      <c r="D465" s="23" t="s">
        <v>58</v>
      </c>
      <c r="E465" s="24">
        <v>45388.0</v>
      </c>
      <c r="F465" s="25">
        <v>0.27847222222222223</v>
      </c>
      <c r="G465" s="25">
        <v>0.4395833333333333</v>
      </c>
      <c r="H465" s="27">
        <f t="shared" si="2"/>
        <v>0.1611111111</v>
      </c>
      <c r="I465" s="28">
        <v>1.0</v>
      </c>
      <c r="J465" s="29" t="s">
        <v>426</v>
      </c>
      <c r="K465" s="30" t="s">
        <v>23</v>
      </c>
      <c r="L465" s="31" t="str">
        <f>IFERROR(__xludf.DUMMYFUNCTION("IF(OR(E465="""",K465=""""),"""",IFERROR(IF(K465="""","""",query('tbl user'!$A$2:$D10975,""SELECT A WHERE D = '""&amp;K465&amp;""'"")),""USER TIDAK DIKETAHUI""))"),"#REF!")</f>
        <v>#REF!</v>
      </c>
    </row>
    <row r="466">
      <c r="A466" s="21">
        <f t="shared" si="1"/>
        <v>0</v>
      </c>
      <c r="B466" s="32" t="s">
        <v>214</v>
      </c>
      <c r="C466" s="23" t="s">
        <v>170</v>
      </c>
      <c r="D466" s="23" t="s">
        <v>58</v>
      </c>
      <c r="E466" s="24">
        <v>45388.0</v>
      </c>
      <c r="F466" s="25">
        <v>0.34375</v>
      </c>
      <c r="G466" s="25">
        <v>0.6055555555555555</v>
      </c>
      <c r="H466" s="27">
        <f t="shared" si="2"/>
        <v>0.2618055556</v>
      </c>
      <c r="I466" s="28">
        <v>2.0</v>
      </c>
      <c r="J466" s="29" t="s">
        <v>427</v>
      </c>
      <c r="K466" s="30" t="s">
        <v>23</v>
      </c>
      <c r="L466" s="31" t="str">
        <f>IFERROR(__xludf.DUMMYFUNCTION("IF(OR(E466="""",K466=""""),"""",IFERROR(IF(K466="""","""",query('tbl user'!$A$2:$D10975,""SELECT A WHERE D = '""&amp;K466&amp;""'"")),""USER TIDAK DIKETAHUI""))"),"#REF!")</f>
        <v>#REF!</v>
      </c>
    </row>
    <row r="467">
      <c r="A467" s="21">
        <f t="shared" si="1"/>
        <v>0</v>
      </c>
      <c r="B467" s="32" t="s">
        <v>293</v>
      </c>
      <c r="C467" s="23" t="s">
        <v>211</v>
      </c>
      <c r="D467" s="23" t="s">
        <v>58</v>
      </c>
      <c r="E467" s="24">
        <v>45388.0</v>
      </c>
      <c r="F467" s="25">
        <v>0.24930555555555556</v>
      </c>
      <c r="G467" s="25">
        <v>0.6194444444444445</v>
      </c>
      <c r="H467" s="27">
        <f t="shared" si="2"/>
        <v>0.3701388889</v>
      </c>
      <c r="I467" s="28">
        <v>3.0</v>
      </c>
      <c r="J467" s="29" t="s">
        <v>428</v>
      </c>
      <c r="K467" s="30" t="s">
        <v>23</v>
      </c>
      <c r="L467" s="31" t="str">
        <f>IFERROR(__xludf.DUMMYFUNCTION("IF(OR(E467="""",K467=""""),"""",IFERROR(IF(K467="""","""",query('tbl user'!$A$2:$D10975,""SELECT A WHERE D = '""&amp;K467&amp;""'"")),""USER TIDAK DIKETAHUI""))"),"#REF!")</f>
        <v>#REF!</v>
      </c>
    </row>
    <row r="468">
      <c r="A468" s="21">
        <f t="shared" si="1"/>
        <v>0</v>
      </c>
      <c r="B468" s="32" t="s">
        <v>215</v>
      </c>
      <c r="C468" s="23" t="s">
        <v>176</v>
      </c>
      <c r="D468" s="23" t="s">
        <v>58</v>
      </c>
      <c r="E468" s="24">
        <v>45388.0</v>
      </c>
      <c r="F468" s="25">
        <v>0.26805555555555555</v>
      </c>
      <c r="G468" s="25">
        <v>0.6361111111111111</v>
      </c>
      <c r="H468" s="27">
        <f t="shared" si="2"/>
        <v>0.3680555556</v>
      </c>
      <c r="I468" s="28">
        <v>3.0</v>
      </c>
      <c r="J468" s="29" t="s">
        <v>429</v>
      </c>
      <c r="K468" s="30" t="s">
        <v>23</v>
      </c>
      <c r="L468" s="31" t="str">
        <f>IFERROR(__xludf.DUMMYFUNCTION("IF(OR(E468="""",K468=""""),"""",IFERROR(IF(K468="""","""",query('tbl user'!$A$2:$D10975,""SELECT A WHERE D = '""&amp;K468&amp;""'"")),""USER TIDAK DIKETAHUI""))"),"#REF!")</f>
        <v>#REF!</v>
      </c>
    </row>
    <row r="469">
      <c r="A469" s="21">
        <f t="shared" si="1"/>
        <v>0</v>
      </c>
      <c r="B469" s="32" t="s">
        <v>56</v>
      </c>
      <c r="C469" s="23" t="s">
        <v>57</v>
      </c>
      <c r="D469" s="23" t="s">
        <v>58</v>
      </c>
      <c r="E469" s="24">
        <v>45388.0</v>
      </c>
      <c r="F469" s="25">
        <v>0.28888888888888886</v>
      </c>
      <c r="G469" s="25">
        <v>0.6611111111111111</v>
      </c>
      <c r="H469" s="27">
        <f t="shared" si="2"/>
        <v>0.3722222222</v>
      </c>
      <c r="I469" s="28">
        <v>3.0</v>
      </c>
      <c r="J469" s="29" t="s">
        <v>430</v>
      </c>
      <c r="K469" s="30" t="s">
        <v>23</v>
      </c>
      <c r="L469" s="31" t="str">
        <f>IFERROR(__xludf.DUMMYFUNCTION("IF(OR(E469="""",K469=""""),"""",IFERROR(IF(K469="""","""",query('tbl user'!$A$2:$D10975,""SELECT A WHERE D = '""&amp;K469&amp;""'"")),""USER TIDAK DIKETAHUI""))"),"#REF!")</f>
        <v>#REF!</v>
      </c>
    </row>
    <row r="470">
      <c r="A470" s="21">
        <f t="shared" si="1"/>
        <v>0</v>
      </c>
      <c r="B470" s="32" t="s">
        <v>178</v>
      </c>
      <c r="C470" s="23" t="s">
        <v>82</v>
      </c>
      <c r="D470" s="23" t="s">
        <v>58</v>
      </c>
      <c r="E470" s="24">
        <v>45388.0</v>
      </c>
      <c r="F470" s="25">
        <v>0.2722222222222222</v>
      </c>
      <c r="G470" s="25">
        <v>0.6548611111111111</v>
      </c>
      <c r="H470" s="27">
        <f t="shared" si="2"/>
        <v>0.3826388889</v>
      </c>
      <c r="I470" s="28">
        <v>3.0</v>
      </c>
      <c r="J470" s="29" t="s">
        <v>431</v>
      </c>
      <c r="K470" s="30" t="s">
        <v>23</v>
      </c>
      <c r="L470" s="31" t="str">
        <f>IFERROR(__xludf.DUMMYFUNCTION("IF(OR(E470="""",K470=""""),"""",IFERROR(IF(K470="""","""",query('tbl user'!$A$2:$D10975,""SELECT A WHERE D = '""&amp;K470&amp;""'"")),""USER TIDAK DIKETAHUI""))"),"#REF!")</f>
        <v>#REF!</v>
      </c>
    </row>
    <row r="471">
      <c r="A471" s="21">
        <f t="shared" si="1"/>
        <v>0</v>
      </c>
      <c r="B471" s="32" t="s">
        <v>133</v>
      </c>
      <c r="C471" s="23" t="s">
        <v>181</v>
      </c>
      <c r="D471" s="23" t="s">
        <v>58</v>
      </c>
      <c r="E471" s="24">
        <v>45388.0</v>
      </c>
      <c r="F471" s="25">
        <v>0.27708333333333335</v>
      </c>
      <c r="G471" s="25">
        <v>0.7076388888888889</v>
      </c>
      <c r="H471" s="27">
        <f t="shared" si="2"/>
        <v>0.4305555556</v>
      </c>
      <c r="I471" s="28">
        <v>3.0</v>
      </c>
      <c r="J471" s="29" t="s">
        <v>432</v>
      </c>
      <c r="K471" s="30" t="s">
        <v>23</v>
      </c>
      <c r="L471" s="31" t="str">
        <f>IFERROR(__xludf.DUMMYFUNCTION("IF(OR(E471="""",K471=""""),"""",IFERROR(IF(K471="""","""",query('tbl user'!$A$2:$D10975,""SELECT A WHERE D = '""&amp;K471&amp;""'"")),""USER TIDAK DIKETAHUI""))"),"#REF!")</f>
        <v>#REF!</v>
      </c>
    </row>
    <row r="472">
      <c r="A472" s="21">
        <f t="shared" si="1"/>
        <v>0</v>
      </c>
      <c r="B472" s="32" t="s">
        <v>276</v>
      </c>
      <c r="C472" s="23" t="s">
        <v>183</v>
      </c>
      <c r="D472" s="23" t="s">
        <v>58</v>
      </c>
      <c r="E472" s="24">
        <v>45388.0</v>
      </c>
      <c r="F472" s="25">
        <v>0.3034722222222222</v>
      </c>
      <c r="G472" s="25">
        <v>0.6993055555555555</v>
      </c>
      <c r="H472" s="27">
        <f t="shared" si="2"/>
        <v>0.3958333333</v>
      </c>
      <c r="I472" s="28">
        <v>3.0</v>
      </c>
      <c r="J472" s="29" t="s">
        <v>433</v>
      </c>
      <c r="K472" s="30" t="s">
        <v>23</v>
      </c>
      <c r="L472" s="31" t="str">
        <f>IFERROR(__xludf.DUMMYFUNCTION("IF(OR(E472="""",K472=""""),"""",IFERROR(IF(K472="""","""",query('tbl user'!$A$2:$D10975,""SELECT A WHERE D = '""&amp;K472&amp;""'"")),""USER TIDAK DIKETAHUI""))"),"#REF!")</f>
        <v>#REF!</v>
      </c>
    </row>
    <row r="473">
      <c r="A473" s="21">
        <f t="shared" si="1"/>
        <v>0</v>
      </c>
      <c r="B473" s="32" t="s">
        <v>187</v>
      </c>
      <c r="C473" s="23" t="s">
        <v>188</v>
      </c>
      <c r="D473" s="23" t="s">
        <v>58</v>
      </c>
      <c r="E473" s="24">
        <v>45388.0</v>
      </c>
      <c r="F473" s="25">
        <v>0.2076388888888889</v>
      </c>
      <c r="G473" s="25">
        <v>0.6854166666666667</v>
      </c>
      <c r="H473" s="27">
        <f t="shared" si="2"/>
        <v>0.4777777778</v>
      </c>
      <c r="I473" s="28">
        <v>3.0</v>
      </c>
      <c r="J473" s="29" t="s">
        <v>218</v>
      </c>
      <c r="K473" s="30" t="s">
        <v>23</v>
      </c>
      <c r="L473" s="31" t="str">
        <f>IFERROR(__xludf.DUMMYFUNCTION("IF(OR(E473="""",K473=""""),"""",IFERROR(IF(K473="""","""",query('tbl user'!$A$2:$D10975,""SELECT A WHERE D = '""&amp;K473&amp;""'"")),""USER TIDAK DIKETAHUI""))"),"#REF!")</f>
        <v>#REF!</v>
      </c>
    </row>
    <row r="474">
      <c r="A474" s="21">
        <f t="shared" si="1"/>
        <v>0</v>
      </c>
      <c r="B474" s="32" t="s">
        <v>162</v>
      </c>
      <c r="C474" s="23" t="s">
        <v>190</v>
      </c>
      <c r="D474" s="23" t="s">
        <v>58</v>
      </c>
      <c r="E474" s="24">
        <v>45388.0</v>
      </c>
      <c r="F474" s="25">
        <v>0.22083333333333333</v>
      </c>
      <c r="G474" s="25">
        <v>0.5916666666666667</v>
      </c>
      <c r="H474" s="27">
        <f t="shared" si="2"/>
        <v>0.3708333333</v>
      </c>
      <c r="I474" s="28">
        <v>3.0</v>
      </c>
      <c r="J474" s="29" t="s">
        <v>434</v>
      </c>
      <c r="K474" s="30" t="s">
        <v>23</v>
      </c>
      <c r="L474" s="31" t="str">
        <f>IFERROR(__xludf.DUMMYFUNCTION("IF(OR(E474="""",K474=""""),"""",IFERROR(IF(K474="""","""",query('tbl user'!$A$2:$D10975,""SELECT A WHERE D = '""&amp;K474&amp;""'"")),""USER TIDAK DIKETAHUI""))"),"#REF!")</f>
        <v>#REF!</v>
      </c>
    </row>
    <row r="475">
      <c r="A475" s="21">
        <f t="shared" si="1"/>
        <v>0</v>
      </c>
      <c r="B475" s="32" t="s">
        <v>104</v>
      </c>
      <c r="C475" s="23" t="s">
        <v>105</v>
      </c>
      <c r="D475" s="23" t="s">
        <v>58</v>
      </c>
      <c r="E475" s="24">
        <v>45388.0</v>
      </c>
      <c r="F475" s="25">
        <v>0.24791666666666667</v>
      </c>
      <c r="G475" s="25">
        <v>0.6673611111111111</v>
      </c>
      <c r="H475" s="27">
        <f t="shared" si="2"/>
        <v>0.4194444444</v>
      </c>
      <c r="I475" s="28">
        <v>3.0</v>
      </c>
      <c r="J475" s="29" t="s">
        <v>430</v>
      </c>
      <c r="K475" s="30" t="s">
        <v>23</v>
      </c>
      <c r="L475" s="31" t="str">
        <f>IFERROR(__xludf.DUMMYFUNCTION("IF(OR(E475="""",K475=""""),"""",IFERROR(IF(K475="""","""",query('tbl user'!$A$2:$D10975,""SELECT A WHERE D = '""&amp;K475&amp;""'"")),""USER TIDAK DIKETAHUI""))"),"#REF!")</f>
        <v>#REF!</v>
      </c>
    </row>
    <row r="476">
      <c r="A476" s="21">
        <f t="shared" si="1"/>
        <v>0</v>
      </c>
      <c r="B476" s="32" t="s">
        <v>209</v>
      </c>
      <c r="C476" s="23" t="s">
        <v>203</v>
      </c>
      <c r="D476" s="23" t="s">
        <v>58</v>
      </c>
      <c r="E476" s="24">
        <v>45388.0</v>
      </c>
      <c r="F476" s="25">
        <v>0.26180555555555557</v>
      </c>
      <c r="G476" s="25">
        <v>0.40208333333333335</v>
      </c>
      <c r="H476" s="27">
        <f t="shared" si="2"/>
        <v>0.1402777778</v>
      </c>
      <c r="I476" s="28">
        <v>3.0</v>
      </c>
      <c r="J476" s="29" t="s">
        <v>435</v>
      </c>
      <c r="K476" s="30" t="s">
        <v>23</v>
      </c>
      <c r="L476" s="31" t="str">
        <f>IFERROR(__xludf.DUMMYFUNCTION("IF(OR(E476="""",K476=""""),"""",IFERROR(IF(K476="""","""",query('tbl user'!$A$2:$D10975,""SELECT A WHERE D = '""&amp;K476&amp;""'"")),""USER TIDAK DIKETAHUI""))"),"#REF!")</f>
        <v>#REF!</v>
      </c>
    </row>
    <row r="477">
      <c r="A477" s="21">
        <f t="shared" si="1"/>
        <v>0</v>
      </c>
      <c r="B477" s="32" t="s">
        <v>120</v>
      </c>
      <c r="C477" s="23" t="s">
        <v>206</v>
      </c>
      <c r="D477" s="23" t="s">
        <v>58</v>
      </c>
      <c r="E477" s="24">
        <v>45388.0</v>
      </c>
      <c r="F477" s="25">
        <v>0.2833333333333333</v>
      </c>
      <c r="G477" s="25">
        <v>0.6701388888888888</v>
      </c>
      <c r="H477" s="27">
        <f t="shared" si="2"/>
        <v>0.3868055556</v>
      </c>
      <c r="I477" s="28">
        <v>3.0</v>
      </c>
      <c r="J477" s="29" t="s">
        <v>430</v>
      </c>
      <c r="K477" s="30" t="s">
        <v>23</v>
      </c>
      <c r="L477" s="31" t="str">
        <f>IFERROR(__xludf.DUMMYFUNCTION("IF(OR(E477="""",K477=""""),"""",IFERROR(IF(K477="""","""",query('tbl user'!$A$2:$D10975,""SELECT A WHERE D = '""&amp;K477&amp;""'"")),""USER TIDAK DIKETAHUI""))"),"#REF!")</f>
        <v>#REF!</v>
      </c>
    </row>
    <row r="478">
      <c r="A478" s="21">
        <f t="shared" si="1"/>
        <v>0</v>
      </c>
      <c r="B478" s="32" t="s">
        <v>167</v>
      </c>
      <c r="C478" s="23" t="s">
        <v>168</v>
      </c>
      <c r="D478" s="23" t="s">
        <v>58</v>
      </c>
      <c r="E478" s="24">
        <v>45388.0</v>
      </c>
      <c r="F478" s="25">
        <v>0.2520833333333333</v>
      </c>
      <c r="G478" s="25">
        <v>0.725</v>
      </c>
      <c r="H478" s="27">
        <f t="shared" si="2"/>
        <v>0.4729166667</v>
      </c>
      <c r="I478" s="28">
        <v>4.0</v>
      </c>
      <c r="J478" s="29" t="s">
        <v>55</v>
      </c>
      <c r="K478" s="30" t="s">
        <v>23</v>
      </c>
      <c r="L478" s="31" t="str">
        <f>IFERROR(__xludf.DUMMYFUNCTION("IF(OR(E478="""",K478=""""),"""",IFERROR(IF(K478="""","""",query('tbl user'!$A$2:$D10975,""SELECT A WHERE D = '""&amp;K478&amp;""'"")),""USER TIDAK DIKETAHUI""))"),"#REF!")</f>
        <v>#REF!</v>
      </c>
    </row>
    <row r="479">
      <c r="A479" s="21">
        <f t="shared" si="1"/>
        <v>0</v>
      </c>
      <c r="B479" s="32" t="s">
        <v>92</v>
      </c>
      <c r="C479" s="23" t="s">
        <v>93</v>
      </c>
      <c r="D479" s="23" t="s">
        <v>58</v>
      </c>
      <c r="E479" s="24">
        <v>45388.0</v>
      </c>
      <c r="F479" s="25">
        <v>0.24166666666666667</v>
      </c>
      <c r="G479" s="25">
        <v>0.6944444444444444</v>
      </c>
      <c r="H479" s="27">
        <f t="shared" si="2"/>
        <v>0.4527777778</v>
      </c>
      <c r="I479" s="28">
        <v>4.0</v>
      </c>
      <c r="J479" s="29" t="s">
        <v>55</v>
      </c>
      <c r="K479" s="30" t="s">
        <v>23</v>
      </c>
      <c r="L479" s="31" t="str">
        <f>IFERROR(__xludf.DUMMYFUNCTION("IF(OR(E479="""",K479=""""),"""",IFERROR(IF(K479="""","""",query('tbl user'!$A$2:$D10975,""SELECT A WHERE D = '""&amp;K479&amp;""'"")),""USER TIDAK DIKETAHUI""))"),"#REF!")</f>
        <v>#REF!</v>
      </c>
    </row>
    <row r="480">
      <c r="A480" s="21">
        <f t="shared" si="1"/>
        <v>0</v>
      </c>
      <c r="B480" s="32" t="s">
        <v>184</v>
      </c>
      <c r="C480" s="23" t="s">
        <v>185</v>
      </c>
      <c r="D480" s="23" t="s">
        <v>58</v>
      </c>
      <c r="E480" s="24">
        <v>45388.0</v>
      </c>
      <c r="F480" s="25">
        <v>0.25069444444444444</v>
      </c>
      <c r="G480" s="25">
        <v>0.7083333333333334</v>
      </c>
      <c r="H480" s="27">
        <f t="shared" si="2"/>
        <v>0.4576388889</v>
      </c>
      <c r="I480" s="28">
        <v>4.0</v>
      </c>
      <c r="J480" s="29" t="s">
        <v>55</v>
      </c>
      <c r="K480" s="30" t="s">
        <v>23</v>
      </c>
      <c r="L480" s="31" t="str">
        <f>IFERROR(__xludf.DUMMYFUNCTION("IF(OR(E480="""",K480=""""),"""",IFERROR(IF(K480="""","""",query('tbl user'!$A$2:$D10975,""SELECT A WHERE D = '""&amp;K480&amp;""'"")),""USER TIDAK DIKETAHUI""))"),"#REF!")</f>
        <v>#REF!</v>
      </c>
    </row>
    <row r="481">
      <c r="A481" s="21">
        <f t="shared" si="1"/>
        <v>0</v>
      </c>
      <c r="B481" s="32" t="s">
        <v>216</v>
      </c>
      <c r="C481" s="23" t="s">
        <v>195</v>
      </c>
      <c r="D481" s="23" t="s">
        <v>58</v>
      </c>
      <c r="E481" s="24">
        <v>45388.0</v>
      </c>
      <c r="F481" s="25">
        <v>0.21388888888888888</v>
      </c>
      <c r="G481" s="25">
        <v>0.7</v>
      </c>
      <c r="H481" s="27">
        <f t="shared" si="2"/>
        <v>0.4861111111</v>
      </c>
      <c r="I481" s="28">
        <v>4.0</v>
      </c>
      <c r="J481" s="29" t="s">
        <v>55</v>
      </c>
      <c r="K481" s="30" t="s">
        <v>23</v>
      </c>
      <c r="L481" s="31" t="str">
        <f>IFERROR(__xludf.DUMMYFUNCTION("IF(OR(E481="""",K481=""""),"""",IFERROR(IF(K481="""","""",query('tbl user'!$A$2:$D10975,""SELECT A WHERE D = '""&amp;K481&amp;""'"")),""USER TIDAK DIKETAHUI""))"),"#REF!")</f>
        <v>#REF!</v>
      </c>
    </row>
    <row r="482">
      <c r="A482" s="21">
        <f t="shared" si="1"/>
        <v>0</v>
      </c>
      <c r="B482" s="32" t="s">
        <v>197</v>
      </c>
      <c r="C482" s="23" t="s">
        <v>198</v>
      </c>
      <c r="D482" s="23" t="s">
        <v>58</v>
      </c>
      <c r="E482" s="24">
        <v>45388.0</v>
      </c>
      <c r="F482" s="25">
        <v>0.16805555555555557</v>
      </c>
      <c r="G482" s="25">
        <v>0.6527777777777778</v>
      </c>
      <c r="H482" s="27">
        <f t="shared" si="2"/>
        <v>0.4847222222</v>
      </c>
      <c r="I482" s="28">
        <v>4.0</v>
      </c>
      <c r="J482" s="29" t="s">
        <v>55</v>
      </c>
      <c r="K482" s="30" t="s">
        <v>23</v>
      </c>
      <c r="L482" s="31" t="str">
        <f>IFERROR(__xludf.DUMMYFUNCTION("IF(OR(E482="""",K482=""""),"""",IFERROR(IF(K482="""","""",query('tbl user'!$A$2:$D10975,""SELECT A WHERE D = '""&amp;K482&amp;""'"")),""USER TIDAK DIKETAHUI""))"),"#REF!")</f>
        <v>#REF!</v>
      </c>
    </row>
    <row r="483">
      <c r="A483" s="21">
        <f t="shared" si="1"/>
        <v>0</v>
      </c>
      <c r="B483" s="32" t="s">
        <v>200</v>
      </c>
      <c r="C483" s="23" t="s">
        <v>201</v>
      </c>
      <c r="D483" s="23" t="s">
        <v>58</v>
      </c>
      <c r="E483" s="24">
        <v>45388.0</v>
      </c>
      <c r="F483" s="25">
        <v>0.21180555555555555</v>
      </c>
      <c r="G483" s="25">
        <v>0.6770833333333334</v>
      </c>
      <c r="H483" s="27">
        <f t="shared" si="2"/>
        <v>0.4652777778</v>
      </c>
      <c r="I483" s="28">
        <v>4.0</v>
      </c>
      <c r="J483" s="29" t="s">
        <v>55</v>
      </c>
      <c r="K483" s="30" t="s">
        <v>23</v>
      </c>
      <c r="L483" s="31" t="str">
        <f>IFERROR(__xludf.DUMMYFUNCTION("IF(OR(E483="""",K483=""""),"""",IFERROR(IF(K483="""","""",query('tbl user'!$A$2:$D10975,""SELECT A WHERE D = '""&amp;K483&amp;""'"")),""USER TIDAK DIKETAHUI""))"),"#REF!")</f>
        <v>#REF!</v>
      </c>
    </row>
    <row r="484">
      <c r="A484" s="21">
        <f t="shared" si="1"/>
        <v>0</v>
      </c>
      <c r="B484" s="32" t="s">
        <v>224</v>
      </c>
      <c r="C484" s="23" t="s">
        <v>208</v>
      </c>
      <c r="D484" s="23" t="s">
        <v>58</v>
      </c>
      <c r="E484" s="24">
        <v>45388.0</v>
      </c>
      <c r="F484" s="25">
        <v>0.24513888888888888</v>
      </c>
      <c r="G484" s="25">
        <v>0.7069444444444445</v>
      </c>
      <c r="H484" s="27">
        <f t="shared" si="2"/>
        <v>0.4618055556</v>
      </c>
      <c r="I484" s="28">
        <v>4.0</v>
      </c>
      <c r="J484" s="29" t="s">
        <v>55</v>
      </c>
      <c r="K484" s="30" t="s">
        <v>23</v>
      </c>
      <c r="L484" s="31" t="str">
        <f>IFERROR(__xludf.DUMMYFUNCTION("IF(OR(E484="""",K484=""""),"""",IFERROR(IF(K484="""","""",query('tbl user'!$A$2:$D10975,""SELECT A WHERE D = '""&amp;K484&amp;""'"")),""USER TIDAK DIKETAHUI""))"),"#REF!")</f>
        <v>#REF!</v>
      </c>
    </row>
    <row r="485">
      <c r="A485" s="21">
        <f t="shared" si="1"/>
        <v>0</v>
      </c>
      <c r="B485" s="32" t="s">
        <v>84</v>
      </c>
      <c r="C485" s="23" t="s">
        <v>85</v>
      </c>
      <c r="D485" s="23" t="s">
        <v>58</v>
      </c>
      <c r="E485" s="24">
        <v>45388.0</v>
      </c>
      <c r="F485" s="25">
        <v>0.24027777777777778</v>
      </c>
      <c r="G485" s="25">
        <v>0.7368055555555556</v>
      </c>
      <c r="H485" s="27">
        <f t="shared" si="2"/>
        <v>0.4965277778</v>
      </c>
      <c r="I485" s="28">
        <v>4.0</v>
      </c>
      <c r="J485" s="29" t="s">
        <v>55</v>
      </c>
      <c r="K485" s="30" t="s">
        <v>23</v>
      </c>
      <c r="L485" s="31" t="str">
        <f>IFERROR(__xludf.DUMMYFUNCTION("IF(OR(E485="""",K485=""""),"""",IFERROR(IF(K485="""","""",query('tbl user'!$A$2:$D10975,""SELECT A WHERE D = '""&amp;K485&amp;""'"")),""USER TIDAK DIKETAHUI""))"),"#REF!")</f>
        <v>#REF!</v>
      </c>
    </row>
    <row r="486">
      <c r="A486" s="21">
        <f t="shared" si="1"/>
        <v>0</v>
      </c>
      <c r="B486" s="32" t="s">
        <v>240</v>
      </c>
      <c r="C486" s="23" t="s">
        <v>241</v>
      </c>
      <c r="D486" s="23" t="s">
        <v>21</v>
      </c>
      <c r="E486" s="24">
        <v>45388.0</v>
      </c>
      <c r="F486" s="25">
        <v>0.2048611111111111</v>
      </c>
      <c r="G486" s="25">
        <v>0.7083333333333334</v>
      </c>
      <c r="H486" s="27">
        <f t="shared" si="2"/>
        <v>0.5034722222</v>
      </c>
      <c r="I486" s="28">
        <v>1.0</v>
      </c>
      <c r="J486" s="29" t="s">
        <v>436</v>
      </c>
      <c r="K486" s="30" t="s">
        <v>23</v>
      </c>
      <c r="L486" s="31" t="str">
        <f>IFERROR(__xludf.DUMMYFUNCTION("IF(OR(E486="""",K486=""""),"""",IFERROR(IF(K486="""","""",query('tbl user'!$A$2:$D10975,""SELECT A WHERE D = '""&amp;K486&amp;""'"")),""USER TIDAK DIKETAHUI""))"),"#REF!")</f>
        <v>#REF!</v>
      </c>
    </row>
    <row r="487">
      <c r="A487" s="21">
        <f t="shared" si="1"/>
        <v>0</v>
      </c>
      <c r="B487" s="32" t="s">
        <v>305</v>
      </c>
      <c r="C487" s="23" t="s">
        <v>306</v>
      </c>
      <c r="D487" s="23" t="s">
        <v>21</v>
      </c>
      <c r="E487" s="24">
        <v>45388.0</v>
      </c>
      <c r="F487" s="25">
        <v>0.22777777777777777</v>
      </c>
      <c r="G487" s="25">
        <v>0.5006944444444444</v>
      </c>
      <c r="H487" s="27">
        <f t="shared" si="2"/>
        <v>0.2729166667</v>
      </c>
      <c r="I487" s="28">
        <v>1.0</v>
      </c>
      <c r="J487" s="29" t="s">
        <v>437</v>
      </c>
      <c r="K487" s="30" t="s">
        <v>23</v>
      </c>
      <c r="L487" s="31" t="str">
        <f>IFERROR(__xludf.DUMMYFUNCTION("IF(OR(E487="""",K487=""""),"""",IFERROR(IF(K487="""","""",query('tbl user'!$A$2:$D10975,""SELECT A WHERE D = '""&amp;K487&amp;""'"")),""USER TIDAK DIKETAHUI""))"),"#REF!")</f>
        <v>#REF!</v>
      </c>
    </row>
    <row r="488">
      <c r="A488" s="21">
        <f t="shared" si="1"/>
        <v>0</v>
      </c>
      <c r="B488" s="32" t="s">
        <v>284</v>
      </c>
      <c r="C488" s="23" t="s">
        <v>236</v>
      </c>
      <c r="D488" s="23" t="s">
        <v>21</v>
      </c>
      <c r="E488" s="24">
        <v>45388.0</v>
      </c>
      <c r="F488" s="25">
        <v>0.41458333333333336</v>
      </c>
      <c r="G488" s="25">
        <v>0.5763888888888888</v>
      </c>
      <c r="H488" s="27">
        <f t="shared" si="2"/>
        <v>0.1618055556</v>
      </c>
      <c r="I488" s="28">
        <v>1.0</v>
      </c>
      <c r="J488" s="29" t="s">
        <v>237</v>
      </c>
      <c r="K488" s="30" t="s">
        <v>23</v>
      </c>
      <c r="L488" s="31" t="str">
        <f>IFERROR(__xludf.DUMMYFUNCTION("IF(OR(E488="""",K488=""""),"""",IFERROR(IF(K488="""","""",query('tbl user'!$A$2:$D10975,""SELECT A WHERE D = '""&amp;K488&amp;""'"")),""USER TIDAK DIKETAHUI""))"),"#REF!")</f>
        <v>#REF!</v>
      </c>
    </row>
    <row r="489">
      <c r="A489" s="21">
        <f t="shared" si="1"/>
        <v>0</v>
      </c>
      <c r="B489" s="32" t="s">
        <v>260</v>
      </c>
      <c r="C489" s="23" t="s">
        <v>261</v>
      </c>
      <c r="D489" s="23" t="s">
        <v>21</v>
      </c>
      <c r="E489" s="24">
        <v>45388.0</v>
      </c>
      <c r="F489" s="25">
        <v>0.3055555555555556</v>
      </c>
      <c r="G489" s="25">
        <v>0.5680555555555555</v>
      </c>
      <c r="H489" s="27">
        <f t="shared" si="2"/>
        <v>0.2625</v>
      </c>
      <c r="I489" s="28">
        <v>1.0</v>
      </c>
      <c r="J489" s="29" t="s">
        <v>438</v>
      </c>
      <c r="K489" s="30" t="s">
        <v>23</v>
      </c>
      <c r="L489" s="31" t="str">
        <f>IFERROR(__xludf.DUMMYFUNCTION("IF(OR(E489="""",K489=""""),"""",IFERROR(IF(K489="""","""",query('tbl user'!$A$2:$D10975,""SELECT A WHERE D = '""&amp;K489&amp;""'"")),""USER TIDAK DIKETAHUI""))"),"#REF!")</f>
        <v>#REF!</v>
      </c>
    </row>
    <row r="490">
      <c r="A490" s="21">
        <f t="shared" si="1"/>
        <v>0</v>
      </c>
      <c r="B490" s="32" t="s">
        <v>175</v>
      </c>
      <c r="C490" s="23" t="s">
        <v>35</v>
      </c>
      <c r="D490" s="23" t="s">
        <v>21</v>
      </c>
      <c r="E490" s="24">
        <v>45388.0</v>
      </c>
      <c r="F490" s="25">
        <v>0.225</v>
      </c>
      <c r="G490" s="25">
        <v>0.7048611111111112</v>
      </c>
      <c r="H490" s="27">
        <f t="shared" si="2"/>
        <v>0.4798611111</v>
      </c>
      <c r="I490" s="28">
        <v>2.0</v>
      </c>
      <c r="J490" s="29" t="s">
        <v>213</v>
      </c>
      <c r="K490" s="30" t="s">
        <v>23</v>
      </c>
      <c r="L490" s="31" t="str">
        <f>IFERROR(__xludf.DUMMYFUNCTION("IF(OR(E490="""",K490=""""),"""",IFERROR(IF(K490="""","""",query('tbl user'!$A$2:$D10975,""SELECT A WHERE D = '""&amp;K490&amp;""'"")),""USER TIDAK DIKETAHUI""))"),"#REF!")</f>
        <v>#REF!</v>
      </c>
    </row>
    <row r="491">
      <c r="A491" s="21">
        <f t="shared" si="1"/>
        <v>0</v>
      </c>
      <c r="B491" s="32" t="s">
        <v>238</v>
      </c>
      <c r="C491" s="23" t="s">
        <v>239</v>
      </c>
      <c r="D491" s="23" t="s">
        <v>21</v>
      </c>
      <c r="E491" s="24">
        <v>45388.0</v>
      </c>
      <c r="F491" s="25">
        <v>0.21875</v>
      </c>
      <c r="G491" s="25">
        <v>0.6972222222222222</v>
      </c>
      <c r="H491" s="27">
        <f t="shared" si="2"/>
        <v>0.4784722222</v>
      </c>
      <c r="I491" s="28">
        <v>2.0</v>
      </c>
      <c r="J491" s="29" t="s">
        <v>213</v>
      </c>
      <c r="K491" s="30" t="s">
        <v>23</v>
      </c>
      <c r="L491" s="31" t="str">
        <f>IFERROR(__xludf.DUMMYFUNCTION("IF(OR(E491="""",K491=""""),"""",IFERROR(IF(K491="""","""",query('tbl user'!$A$2:$D10975,""SELECT A WHERE D = '""&amp;K491&amp;""'"")),""USER TIDAK DIKETAHUI""))"),"#REF!")</f>
        <v>#REF!</v>
      </c>
    </row>
    <row r="492">
      <c r="A492" s="21">
        <f t="shared" si="1"/>
        <v>0</v>
      </c>
      <c r="B492" s="32" t="s">
        <v>246</v>
      </c>
      <c r="C492" s="23" t="s">
        <v>99</v>
      </c>
      <c r="D492" s="23" t="s">
        <v>21</v>
      </c>
      <c r="E492" s="24">
        <v>45388.0</v>
      </c>
      <c r="F492" s="25">
        <v>0.2673611111111111</v>
      </c>
      <c r="G492" s="25">
        <v>0.6430555555555556</v>
      </c>
      <c r="H492" s="27">
        <f t="shared" si="2"/>
        <v>0.3756944444</v>
      </c>
      <c r="I492" s="28">
        <v>2.0</v>
      </c>
      <c r="J492" s="29" t="s">
        <v>213</v>
      </c>
      <c r="K492" s="30" t="s">
        <v>23</v>
      </c>
      <c r="L492" s="31" t="str">
        <f>IFERROR(__xludf.DUMMYFUNCTION("IF(OR(E492="""",K492=""""),"""",IFERROR(IF(K492="""","""",query('tbl user'!$A$2:$D10975,""SELECT A WHERE D = '""&amp;K492&amp;""'"")),""USER TIDAK DIKETAHUI""))"),"#REF!")</f>
        <v>#REF!</v>
      </c>
    </row>
    <row r="493">
      <c r="A493" s="21">
        <f t="shared" si="1"/>
        <v>0</v>
      </c>
      <c r="B493" s="32" t="s">
        <v>243</v>
      </c>
      <c r="C493" s="23" t="s">
        <v>244</v>
      </c>
      <c r="D493" s="23" t="s">
        <v>21</v>
      </c>
      <c r="E493" s="24">
        <v>45388.0</v>
      </c>
      <c r="F493" s="25">
        <v>0.3020833333333333</v>
      </c>
      <c r="G493" s="25">
        <v>0.70625</v>
      </c>
      <c r="H493" s="27">
        <f t="shared" si="2"/>
        <v>0.4041666667</v>
      </c>
      <c r="I493" s="28">
        <v>2.0</v>
      </c>
      <c r="J493" s="29" t="s">
        <v>213</v>
      </c>
      <c r="K493" s="30" t="s">
        <v>23</v>
      </c>
      <c r="L493" s="31" t="str">
        <f>IFERROR(__xludf.DUMMYFUNCTION("IF(OR(E493="""",K493=""""),"""",IFERROR(IF(K493="""","""",query('tbl user'!$A$2:$D10975,""SELECT A WHERE D = '""&amp;K493&amp;""'"")),""USER TIDAK DIKETAHUI""))"),"#REF!")</f>
        <v>#REF!</v>
      </c>
    </row>
    <row r="494">
      <c r="A494" s="21">
        <f t="shared" si="1"/>
        <v>0</v>
      </c>
      <c r="B494" s="32" t="s">
        <v>64</v>
      </c>
      <c r="C494" s="23" t="s">
        <v>251</v>
      </c>
      <c r="D494" s="23" t="s">
        <v>21</v>
      </c>
      <c r="E494" s="24">
        <v>45388.0</v>
      </c>
      <c r="F494" s="25">
        <v>0.30486111111111114</v>
      </c>
      <c r="G494" s="25">
        <v>0.6861111111111111</v>
      </c>
      <c r="H494" s="27">
        <f t="shared" si="2"/>
        <v>0.38125</v>
      </c>
      <c r="I494" s="28">
        <v>2.0</v>
      </c>
      <c r="J494" s="29" t="s">
        <v>439</v>
      </c>
      <c r="K494" s="30" t="s">
        <v>23</v>
      </c>
      <c r="L494" s="31" t="str">
        <f>IFERROR(__xludf.DUMMYFUNCTION("IF(OR(E494="""",K494=""""),"""",IFERROR(IF(K494="""","""",query('tbl user'!$A$2:$D10975,""SELECT A WHERE D = '""&amp;K494&amp;""'"")),""USER TIDAK DIKETAHUI""))"),"#REF!")</f>
        <v>#REF!</v>
      </c>
    </row>
    <row r="495">
      <c r="A495" s="21">
        <f t="shared" si="1"/>
        <v>0</v>
      </c>
      <c r="B495" s="32" t="s">
        <v>43</v>
      </c>
      <c r="C495" s="23" t="s">
        <v>44</v>
      </c>
      <c r="D495" s="23" t="s">
        <v>21</v>
      </c>
      <c r="E495" s="24">
        <v>45388.0</v>
      </c>
      <c r="F495" s="25">
        <v>0.2791666666666667</v>
      </c>
      <c r="G495" s="25">
        <v>0.7222222222222222</v>
      </c>
      <c r="H495" s="27">
        <f t="shared" si="2"/>
        <v>0.4430555556</v>
      </c>
      <c r="I495" s="28">
        <v>2.0</v>
      </c>
      <c r="J495" s="29" t="s">
        <v>440</v>
      </c>
      <c r="K495" s="30" t="s">
        <v>23</v>
      </c>
      <c r="L495" s="31" t="str">
        <f>IFERROR(__xludf.DUMMYFUNCTION("IF(OR(E495="""",K495=""""),"""",IFERROR(IF(K495="""","""",query('tbl user'!$A$2:$D10975,""SELECT A WHERE D = '""&amp;K495&amp;""'"")),""USER TIDAK DIKETAHUI""))"),"#REF!")</f>
        <v>#REF!</v>
      </c>
    </row>
    <row r="496">
      <c r="A496" s="21">
        <f t="shared" si="1"/>
        <v>0</v>
      </c>
      <c r="B496" s="32" t="s">
        <v>231</v>
      </c>
      <c r="C496" s="23" t="s">
        <v>232</v>
      </c>
      <c r="D496" s="23" t="s">
        <v>21</v>
      </c>
      <c r="E496" s="24">
        <v>45388.0</v>
      </c>
      <c r="F496" s="25">
        <v>0.3</v>
      </c>
      <c r="G496" s="25">
        <v>0.69375</v>
      </c>
      <c r="H496" s="27">
        <f t="shared" si="2"/>
        <v>0.39375</v>
      </c>
      <c r="I496" s="28">
        <v>2.0</v>
      </c>
      <c r="J496" s="29" t="s">
        <v>213</v>
      </c>
      <c r="K496" s="30" t="s">
        <v>23</v>
      </c>
      <c r="L496" s="31" t="str">
        <f>IFERROR(__xludf.DUMMYFUNCTION("IF(OR(E496="""",K496=""""),"""",IFERROR(IF(K496="""","""",query('tbl user'!$A$2:$D10975,""SELECT A WHERE D = '""&amp;K496&amp;""'"")),""USER TIDAK DIKETAHUI""))"),"#REF!")</f>
        <v>#REF!</v>
      </c>
    </row>
    <row r="497">
      <c r="A497" s="21">
        <f t="shared" si="1"/>
        <v>0</v>
      </c>
      <c r="B497" s="32" t="s">
        <v>253</v>
      </c>
      <c r="C497" s="23" t="s">
        <v>102</v>
      </c>
      <c r="D497" s="23" t="s">
        <v>21</v>
      </c>
      <c r="E497" s="24">
        <v>45388.0</v>
      </c>
      <c r="F497" s="25">
        <v>0.25277777777777777</v>
      </c>
      <c r="G497" s="25">
        <v>0.6909722222222222</v>
      </c>
      <c r="H497" s="27">
        <f t="shared" si="2"/>
        <v>0.4381944444</v>
      </c>
      <c r="I497" s="28">
        <v>2.0</v>
      </c>
      <c r="J497" s="29" t="s">
        <v>213</v>
      </c>
      <c r="K497" s="30" t="s">
        <v>23</v>
      </c>
      <c r="L497" s="31" t="str">
        <f>IFERROR(__xludf.DUMMYFUNCTION("IF(OR(E497="""",K497=""""),"""",IFERROR(IF(K497="""","""",query('tbl user'!$A$2:$D10975,""SELECT A WHERE D = '""&amp;K497&amp;""'"")),""USER TIDAK DIKETAHUI""))"),"#REF!")</f>
        <v>#REF!</v>
      </c>
    </row>
    <row r="498">
      <c r="A498" s="21">
        <f t="shared" si="1"/>
        <v>0</v>
      </c>
      <c r="B498" s="32" t="s">
        <v>156</v>
      </c>
      <c r="C498" s="23" t="s">
        <v>234</v>
      </c>
      <c r="D498" s="23" t="s">
        <v>21</v>
      </c>
      <c r="E498" s="24">
        <v>45388.0</v>
      </c>
      <c r="F498" s="25">
        <v>0.28958333333333336</v>
      </c>
      <c r="G498" s="25">
        <v>0.7048611111111112</v>
      </c>
      <c r="H498" s="27">
        <f t="shared" si="2"/>
        <v>0.4152777778</v>
      </c>
      <c r="I498" s="28">
        <v>2.0</v>
      </c>
      <c r="J498" s="29" t="s">
        <v>213</v>
      </c>
      <c r="K498" s="30" t="s">
        <v>23</v>
      </c>
      <c r="L498" s="31" t="str">
        <f>IFERROR(__xludf.DUMMYFUNCTION("IF(OR(E498="""",K498=""""),"""",IFERROR(IF(K498="""","""",query('tbl user'!$A$2:$D10975,""SELECT A WHERE D = '""&amp;K498&amp;""'"")),""USER TIDAK DIKETAHUI""))"),"#REF!")</f>
        <v>#REF!</v>
      </c>
    </row>
    <row r="499">
      <c r="A499" s="21">
        <f t="shared" si="1"/>
        <v>0</v>
      </c>
      <c r="B499" s="32" t="s">
        <v>258</v>
      </c>
      <c r="C499" s="23" t="s">
        <v>259</v>
      </c>
      <c r="D499" s="23" t="s">
        <v>21</v>
      </c>
      <c r="E499" s="24">
        <v>45388.0</v>
      </c>
      <c r="F499" s="25">
        <v>0.25069444444444444</v>
      </c>
      <c r="G499" s="25">
        <v>0.6534722222222222</v>
      </c>
      <c r="H499" s="27">
        <f t="shared" si="2"/>
        <v>0.4027777778</v>
      </c>
      <c r="I499" s="28">
        <v>2.0</v>
      </c>
      <c r="J499" s="29" t="s">
        <v>213</v>
      </c>
      <c r="K499" s="30" t="s">
        <v>23</v>
      </c>
      <c r="L499" s="31" t="str">
        <f>IFERROR(__xludf.DUMMYFUNCTION("IF(OR(E499="""",K499=""""),"""",IFERROR(IF(K499="""","""",query('tbl user'!$A$2:$D10975,""SELECT A WHERE D = '""&amp;K499&amp;""'"")),""USER TIDAK DIKETAHUI""))"),"#REF!")</f>
        <v>#REF!</v>
      </c>
    </row>
    <row r="500">
      <c r="A500" s="21">
        <f t="shared" si="1"/>
        <v>0</v>
      </c>
      <c r="B500" s="32" t="s">
        <v>24</v>
      </c>
      <c r="C500" s="23" t="s">
        <v>25</v>
      </c>
      <c r="D500" s="23" t="s">
        <v>21</v>
      </c>
      <c r="E500" s="24">
        <v>45388.0</v>
      </c>
      <c r="F500" s="25">
        <v>0.21875</v>
      </c>
      <c r="G500" s="25">
        <v>0.7381944444444445</v>
      </c>
      <c r="H500" s="27">
        <f t="shared" si="2"/>
        <v>0.5194444444</v>
      </c>
      <c r="I500" s="28">
        <v>3.0</v>
      </c>
      <c r="J500" s="29" t="s">
        <v>55</v>
      </c>
      <c r="K500" s="30" t="s">
        <v>23</v>
      </c>
      <c r="L500" s="31" t="str">
        <f>IFERROR(__xludf.DUMMYFUNCTION("IF(OR(E500="""",K500=""""),"""",IFERROR(IF(K500="""","""",query('tbl user'!$A$2:$D10975,""SELECT A WHERE D = '""&amp;K500&amp;""'"")),""USER TIDAK DIKETAHUI""))"),"#REF!")</f>
        <v>#REF!</v>
      </c>
    </row>
    <row r="501">
      <c r="A501" s="21">
        <f t="shared" si="1"/>
        <v>0</v>
      </c>
      <c r="B501" s="32" t="s">
        <v>255</v>
      </c>
      <c r="C501" s="23" t="s">
        <v>256</v>
      </c>
      <c r="D501" s="23" t="s">
        <v>21</v>
      </c>
      <c r="E501" s="24">
        <v>45388.0</v>
      </c>
      <c r="F501" s="25">
        <v>0.20694444444444443</v>
      </c>
      <c r="G501" s="25">
        <v>0.7104166666666667</v>
      </c>
      <c r="H501" s="27">
        <f t="shared" si="2"/>
        <v>0.5034722222</v>
      </c>
      <c r="I501" s="28">
        <v>3.0</v>
      </c>
      <c r="J501" s="29" t="s">
        <v>55</v>
      </c>
      <c r="K501" s="30" t="s">
        <v>23</v>
      </c>
      <c r="L501" s="31" t="str">
        <f>IFERROR(__xludf.DUMMYFUNCTION("IF(OR(E501="""",K501=""""),"""",IFERROR(IF(K501="""","""",query('tbl user'!$A$2:$D10975,""SELECT A WHERE D = '""&amp;K501&amp;""'"")),""USER TIDAK DIKETAHUI""))"),"#REF!")</f>
        <v>#REF!</v>
      </c>
    </row>
    <row r="502">
      <c r="A502" s="21">
        <f t="shared" si="1"/>
        <v>0</v>
      </c>
      <c r="B502" s="32" t="s">
        <v>286</v>
      </c>
      <c r="C502" s="23" t="s">
        <v>287</v>
      </c>
      <c r="D502" s="23" t="s">
        <v>21</v>
      </c>
      <c r="E502" s="24">
        <v>45388.0</v>
      </c>
      <c r="F502" s="25">
        <v>0.2916666666666667</v>
      </c>
      <c r="G502" s="25">
        <v>0.6666666666666666</v>
      </c>
      <c r="H502" s="27">
        <f t="shared" si="2"/>
        <v>0.375</v>
      </c>
      <c r="I502" s="28">
        <v>2.0</v>
      </c>
      <c r="J502" s="29" t="s">
        <v>441</v>
      </c>
      <c r="K502" s="30" t="s">
        <v>23</v>
      </c>
      <c r="L502" s="31" t="str">
        <f>IFERROR(__xludf.DUMMYFUNCTION("IF(OR(E502="""",K502=""""),"""",IFERROR(IF(K502="""","""",query('tbl user'!$A$2:$D10975,""SELECT A WHERE D = '""&amp;K502&amp;""'"")),""USER TIDAK DIKETAHUI""))"),"#REF!")</f>
        <v>#REF!</v>
      </c>
    </row>
    <row r="503">
      <c r="A503" s="21">
        <f t="shared" si="1"/>
        <v>0</v>
      </c>
      <c r="B503" s="32" t="s">
        <v>61</v>
      </c>
      <c r="C503" s="23" t="s">
        <v>62</v>
      </c>
      <c r="D503" s="23" t="s">
        <v>21</v>
      </c>
      <c r="E503" s="24">
        <v>45388.0</v>
      </c>
      <c r="F503" s="25">
        <v>0.39375</v>
      </c>
      <c r="G503" s="25">
        <v>0.7006944444444444</v>
      </c>
      <c r="H503" s="27">
        <f t="shared" si="2"/>
        <v>0.3069444444</v>
      </c>
      <c r="I503" s="28">
        <v>3.0</v>
      </c>
      <c r="J503" s="29" t="s">
        <v>442</v>
      </c>
      <c r="K503" s="30" t="s">
        <v>23</v>
      </c>
      <c r="L503" s="31" t="str">
        <f>IFERROR(__xludf.DUMMYFUNCTION("IF(OR(E503="""",K503=""""),"""",IFERROR(IF(K503="""","""",query('tbl user'!$A$2:$D10975,""SELECT A WHERE D = '""&amp;K503&amp;""'"")),""USER TIDAK DIKETAHUI""))"),"#REF!")</f>
        <v>#REF!</v>
      </c>
    </row>
    <row r="504">
      <c r="A504" s="21">
        <f t="shared" si="1"/>
        <v>0</v>
      </c>
      <c r="B504" s="32" t="s">
        <v>281</v>
      </c>
      <c r="C504" s="23" t="s">
        <v>282</v>
      </c>
      <c r="D504" s="23" t="s">
        <v>21</v>
      </c>
      <c r="E504" s="24">
        <v>45388.0</v>
      </c>
      <c r="F504" s="25">
        <v>0.29097222222222224</v>
      </c>
      <c r="G504" s="25">
        <v>0.6326388888888889</v>
      </c>
      <c r="H504" s="27">
        <f t="shared" si="2"/>
        <v>0.3416666667</v>
      </c>
      <c r="I504" s="28">
        <v>3.0</v>
      </c>
      <c r="J504" s="29" t="s">
        <v>443</v>
      </c>
      <c r="K504" s="30" t="s">
        <v>23</v>
      </c>
      <c r="L504" s="31" t="str">
        <f>IFERROR(__xludf.DUMMYFUNCTION("IF(OR(E504="""",K504=""""),"""",IFERROR(IF(K504="""","""",query('tbl user'!$A$2:$D10975,""SELECT A WHERE D = '""&amp;K504&amp;""'"")),""USER TIDAK DIKETAHUI""))"),"#REF!")</f>
        <v>#REF!</v>
      </c>
    </row>
    <row r="505">
      <c r="A505" s="21">
        <f t="shared" si="1"/>
        <v>0</v>
      </c>
      <c r="B505" s="32" t="s">
        <v>101</v>
      </c>
      <c r="C505" s="23" t="s">
        <v>27</v>
      </c>
      <c r="D505" s="23" t="s">
        <v>21</v>
      </c>
      <c r="E505" s="24">
        <v>45388.0</v>
      </c>
      <c r="F505" s="25">
        <v>0.2986111111111111</v>
      </c>
      <c r="G505" s="25">
        <v>0.6875</v>
      </c>
      <c r="H505" s="27">
        <f t="shared" si="2"/>
        <v>0.3888888889</v>
      </c>
      <c r="I505" s="28">
        <v>3.0</v>
      </c>
      <c r="J505" s="29" t="s">
        <v>444</v>
      </c>
      <c r="K505" s="30" t="s">
        <v>23</v>
      </c>
      <c r="L505" s="31" t="str">
        <f>IFERROR(__xludf.DUMMYFUNCTION("IF(OR(E505="""",K505=""""),"""",IFERROR(IF(K505="""","""",query('tbl user'!$A$2:$D10975,""SELECT A WHERE D = '""&amp;K505&amp;""'"")),""USER TIDAK DIKETAHUI""))"),"#REF!")</f>
        <v>#REF!</v>
      </c>
    </row>
    <row r="506">
      <c r="A506" s="21">
        <f t="shared" si="1"/>
        <v>0</v>
      </c>
      <c r="B506" s="32" t="s">
        <v>289</v>
      </c>
      <c r="C506" s="23" t="s">
        <v>290</v>
      </c>
      <c r="D506" s="23" t="s">
        <v>21</v>
      </c>
      <c r="E506" s="24">
        <v>45388.0</v>
      </c>
      <c r="F506" s="25">
        <v>0.275</v>
      </c>
      <c r="G506" s="25">
        <v>0.6652777777777777</v>
      </c>
      <c r="H506" s="27">
        <f t="shared" si="2"/>
        <v>0.3902777778</v>
      </c>
      <c r="I506" s="28">
        <v>3.0</v>
      </c>
      <c r="J506" s="29" t="s">
        <v>445</v>
      </c>
      <c r="K506" s="30" t="s">
        <v>23</v>
      </c>
      <c r="L506" s="31" t="str">
        <f>IFERROR(__xludf.DUMMYFUNCTION("IF(OR(E506="""",K506=""""),"""",IFERROR(IF(K506="""","""",query('tbl user'!$A$2:$D10975,""SELECT A WHERE D = '""&amp;K506&amp;""'"")),""USER TIDAK DIKETAHUI""))"),"#REF!")</f>
        <v>#REF!</v>
      </c>
    </row>
    <row r="507">
      <c r="A507" s="21">
        <f t="shared" si="1"/>
        <v>0</v>
      </c>
      <c r="B507" s="32" t="s">
        <v>37</v>
      </c>
      <c r="C507" s="23" t="s">
        <v>38</v>
      </c>
      <c r="D507" s="23" t="s">
        <v>21</v>
      </c>
      <c r="E507" s="24">
        <v>45388.0</v>
      </c>
      <c r="F507" s="25">
        <v>0.2513888888888889</v>
      </c>
      <c r="G507" s="25">
        <v>0.6638888888888889</v>
      </c>
      <c r="H507" s="27">
        <f t="shared" si="2"/>
        <v>0.4125</v>
      </c>
      <c r="I507" s="28">
        <v>4.0</v>
      </c>
      <c r="J507" s="29" t="s">
        <v>55</v>
      </c>
      <c r="K507" s="30" t="s">
        <v>23</v>
      </c>
      <c r="L507" s="31" t="str">
        <f>IFERROR(__xludf.DUMMYFUNCTION("IF(OR(E507="""",K507=""""),"""",IFERROR(IF(K507="""","""",query('tbl user'!$A$2:$D10975,""SELECT A WHERE D = '""&amp;K507&amp;""'"")),""USER TIDAK DIKETAHUI""))"),"#REF!")</f>
        <v>#REF!</v>
      </c>
    </row>
    <row r="508">
      <c r="A508" s="21">
        <f t="shared" si="1"/>
        <v>0</v>
      </c>
      <c r="B508" s="32" t="s">
        <v>269</v>
      </c>
      <c r="C508" s="23" t="s">
        <v>270</v>
      </c>
      <c r="D508" s="23" t="s">
        <v>32</v>
      </c>
      <c r="E508" s="24">
        <v>45388.0</v>
      </c>
      <c r="F508" s="25">
        <v>0.2520833333333333</v>
      </c>
      <c r="G508" s="25">
        <v>0.5534722222222223</v>
      </c>
      <c r="H508" s="27">
        <f t="shared" si="2"/>
        <v>0.3013888889</v>
      </c>
      <c r="I508" s="28">
        <v>2.0</v>
      </c>
      <c r="J508" s="29" t="s">
        <v>446</v>
      </c>
      <c r="K508" s="30" t="s">
        <v>23</v>
      </c>
      <c r="L508" s="31" t="str">
        <f>IFERROR(__xludf.DUMMYFUNCTION("IF(OR(E508="""",K508=""""),"""",IFERROR(IF(K508="""","""",query('tbl user'!$A$2:$D10975,""SELECT A WHERE D = '""&amp;K508&amp;""'"")),""USER TIDAK DIKETAHUI""))"),"#REF!")</f>
        <v>#REF!</v>
      </c>
    </row>
    <row r="509">
      <c r="A509" s="21">
        <f t="shared" si="1"/>
        <v>0</v>
      </c>
      <c r="B509" s="32" t="s">
        <v>267</v>
      </c>
      <c r="C509" s="23" t="s">
        <v>268</v>
      </c>
      <c r="D509" s="23" t="s">
        <v>32</v>
      </c>
      <c r="E509" s="24">
        <v>45388.0</v>
      </c>
      <c r="F509" s="25">
        <v>0.2923611111111111</v>
      </c>
      <c r="G509" s="25">
        <v>0.6479166666666667</v>
      </c>
      <c r="H509" s="27">
        <f t="shared" si="2"/>
        <v>0.3555555556</v>
      </c>
      <c r="I509" s="28">
        <v>3.0</v>
      </c>
      <c r="J509" s="29" t="s">
        <v>447</v>
      </c>
      <c r="K509" s="30" t="s">
        <v>23</v>
      </c>
      <c r="L509" s="31" t="str">
        <f>IFERROR(__xludf.DUMMYFUNCTION("IF(OR(E509="""",K509=""""),"""",IFERROR(IF(K509="""","""",query('tbl user'!$A$2:$D10975,""SELECT A WHERE D = '""&amp;K509&amp;""'"")),""USER TIDAK DIKETAHUI""))"),"#REF!")</f>
        <v>#REF!</v>
      </c>
    </row>
    <row r="510">
      <c r="A510" s="21">
        <f t="shared" si="1"/>
        <v>0</v>
      </c>
      <c r="B510" s="32" t="s">
        <v>279</v>
      </c>
      <c r="C510" s="23" t="s">
        <v>280</v>
      </c>
      <c r="D510" s="23" t="s">
        <v>32</v>
      </c>
      <c r="E510" s="24">
        <v>45388.0</v>
      </c>
      <c r="F510" s="25">
        <v>0.24861111111111112</v>
      </c>
      <c r="G510" s="25">
        <v>0.56875</v>
      </c>
      <c r="H510" s="27">
        <f t="shared" si="2"/>
        <v>0.3201388889</v>
      </c>
      <c r="I510" s="28">
        <v>3.0</v>
      </c>
      <c r="J510" s="29" t="s">
        <v>448</v>
      </c>
      <c r="K510" s="30" t="s">
        <v>23</v>
      </c>
      <c r="L510" s="31" t="str">
        <f>IFERROR(__xludf.DUMMYFUNCTION("IF(OR(E510="""",K510=""""),"""",IFERROR(IF(K510="""","""",query('tbl user'!$A$2:$D10975,""SELECT A WHERE D = '""&amp;K510&amp;""'"")),""USER TIDAK DIKETAHUI""))"),"#REF!")</f>
        <v>#REF!</v>
      </c>
    </row>
    <row r="511">
      <c r="A511" s="21">
        <f t="shared" si="1"/>
        <v>0</v>
      </c>
      <c r="B511" s="32" t="s">
        <v>123</v>
      </c>
      <c r="C511" s="23" t="s">
        <v>124</v>
      </c>
      <c r="D511" s="23" t="s">
        <v>32</v>
      </c>
      <c r="E511" s="24">
        <v>45388.0</v>
      </c>
      <c r="F511" s="25">
        <v>0.2916666666666667</v>
      </c>
      <c r="G511" s="25">
        <v>0.7284722222222222</v>
      </c>
      <c r="H511" s="27">
        <f t="shared" si="2"/>
        <v>0.4368055556</v>
      </c>
      <c r="I511" s="28">
        <v>4.0</v>
      </c>
      <c r="J511" s="29" t="s">
        <v>55</v>
      </c>
      <c r="K511" s="30" t="s">
        <v>23</v>
      </c>
      <c r="L511" s="31" t="str">
        <f>IFERROR(__xludf.DUMMYFUNCTION("IF(OR(E511="""",K511=""""),"""",IFERROR(IF(K511="""","""",query('tbl user'!$A$2:$D10975,""SELECT A WHERE D = '""&amp;K511&amp;""'"")),""USER TIDAK DIKETAHUI""))"),"#REF!")</f>
        <v>#REF!</v>
      </c>
    </row>
    <row r="512">
      <c r="A512" s="21">
        <f t="shared" si="1"/>
        <v>0</v>
      </c>
      <c r="B512" s="32" t="s">
        <v>30</v>
      </c>
      <c r="C512" s="23" t="s">
        <v>31</v>
      </c>
      <c r="D512" s="23" t="s">
        <v>32</v>
      </c>
      <c r="E512" s="24">
        <v>45388.0</v>
      </c>
      <c r="F512" s="25">
        <v>0.20625</v>
      </c>
      <c r="G512" s="25">
        <v>0.6493055555555556</v>
      </c>
      <c r="H512" s="27">
        <f t="shared" si="2"/>
        <v>0.4430555556</v>
      </c>
      <c r="I512" s="28">
        <v>4.0</v>
      </c>
      <c r="J512" s="29" t="s">
        <v>55</v>
      </c>
      <c r="K512" s="30" t="s">
        <v>23</v>
      </c>
      <c r="L512" s="31" t="str">
        <f>IFERROR(__xludf.DUMMYFUNCTION("IF(OR(E512="""",K512=""""),"""",IFERROR(IF(K512="""","""",query('tbl user'!$A$2:$D10975,""SELECT A WHERE D = '""&amp;K512&amp;""'"")),""USER TIDAK DIKETAHUI""))"),"#REF!")</f>
        <v>#REF!</v>
      </c>
    </row>
    <row r="513">
      <c r="A513" s="21">
        <f t="shared" si="1"/>
        <v>0</v>
      </c>
      <c r="B513" s="32" t="s">
        <v>40</v>
      </c>
      <c r="C513" s="23" t="s">
        <v>41</v>
      </c>
      <c r="D513" s="23" t="s">
        <v>32</v>
      </c>
      <c r="E513" s="24">
        <v>45388.0</v>
      </c>
      <c r="F513" s="25">
        <v>0.2222222222222222</v>
      </c>
      <c r="G513" s="25">
        <v>0.6777777777777778</v>
      </c>
      <c r="H513" s="27">
        <f t="shared" si="2"/>
        <v>0.4555555556</v>
      </c>
      <c r="I513" s="28">
        <v>4.0</v>
      </c>
      <c r="J513" s="29" t="s">
        <v>55</v>
      </c>
      <c r="K513" s="30" t="s">
        <v>23</v>
      </c>
      <c r="L513" s="31" t="str">
        <f>IFERROR(__xludf.DUMMYFUNCTION("IF(OR(E513="""",K513=""""),"""",IFERROR(IF(K513="""","""",query('tbl user'!$A$2:$D10975,""SELECT A WHERE D = '""&amp;K513&amp;""'"")),""USER TIDAK DIKETAHUI""))"),"#REF!")</f>
        <v>#REF!</v>
      </c>
    </row>
    <row r="514">
      <c r="A514" s="21">
        <f t="shared" si="1"/>
        <v>0</v>
      </c>
      <c r="B514" s="32" t="s">
        <v>137</v>
      </c>
      <c r="C514" s="23" t="s">
        <v>138</v>
      </c>
      <c r="D514" s="23" t="s">
        <v>32</v>
      </c>
      <c r="E514" s="24">
        <v>45388.0</v>
      </c>
      <c r="F514" s="25">
        <v>0.20833333333333334</v>
      </c>
      <c r="G514" s="25">
        <v>0.7236111111111111</v>
      </c>
      <c r="H514" s="27">
        <f t="shared" si="2"/>
        <v>0.5152777778</v>
      </c>
      <c r="I514" s="28">
        <v>4.0</v>
      </c>
      <c r="J514" s="29" t="s">
        <v>55</v>
      </c>
      <c r="K514" s="30" t="s">
        <v>23</v>
      </c>
      <c r="L514" s="31" t="str">
        <f>IFERROR(__xludf.DUMMYFUNCTION("IF(OR(E514="""",K514=""""),"""",IFERROR(IF(K514="""","""",query('tbl user'!$A$2:$D10975,""SELECT A WHERE D = '""&amp;K514&amp;""'"")),""USER TIDAK DIKETAHUI""))"),"#REF!")</f>
        <v>#REF!</v>
      </c>
    </row>
    <row r="515">
      <c r="A515" s="21">
        <f t="shared" si="1"/>
        <v>0</v>
      </c>
      <c r="B515" s="32" t="s">
        <v>312</v>
      </c>
      <c r="C515" s="23" t="s">
        <v>313</v>
      </c>
      <c r="D515" s="23" t="s">
        <v>32</v>
      </c>
      <c r="E515" s="24">
        <v>45388.0</v>
      </c>
      <c r="F515" s="25">
        <v>0.20902777777777778</v>
      </c>
      <c r="G515" s="25">
        <v>0.6486111111111111</v>
      </c>
      <c r="H515" s="27">
        <f t="shared" si="2"/>
        <v>0.4395833333</v>
      </c>
      <c r="I515" s="28">
        <v>4.0</v>
      </c>
      <c r="J515" s="29" t="s">
        <v>55</v>
      </c>
      <c r="K515" s="30" t="s">
        <v>23</v>
      </c>
      <c r="L515" s="31" t="str">
        <f>IFERROR(__xludf.DUMMYFUNCTION("IF(OR(E515="""",K515=""""),"""",IFERROR(IF(K515="""","""",query('tbl user'!$A$2:$D10975,""SELECT A WHERE D = '""&amp;K515&amp;""'"")),""USER TIDAK DIKETAHUI""))"),"#REF!")</f>
        <v>#REF!</v>
      </c>
    </row>
    <row r="516">
      <c r="A516" s="21">
        <f t="shared" si="1"/>
        <v>0</v>
      </c>
      <c r="B516" s="32" t="s">
        <v>78</v>
      </c>
      <c r="C516" s="23" t="s">
        <v>79</v>
      </c>
      <c r="D516" s="23" t="s">
        <v>32</v>
      </c>
      <c r="E516" s="24">
        <v>45388.0</v>
      </c>
      <c r="F516" s="25">
        <v>0.22291666666666668</v>
      </c>
      <c r="G516" s="25">
        <v>0.6770833333333334</v>
      </c>
      <c r="H516" s="27">
        <f t="shared" si="2"/>
        <v>0.4541666667</v>
      </c>
      <c r="I516" s="28">
        <v>4.0</v>
      </c>
      <c r="J516" s="29" t="s">
        <v>55</v>
      </c>
      <c r="K516" s="30" t="s">
        <v>23</v>
      </c>
      <c r="L516" s="31" t="str">
        <f>IFERROR(__xludf.DUMMYFUNCTION("IF(OR(E516="""",K516=""""),"""",IFERROR(IF(K516="""","""",query('tbl user'!$A$2:$D10975,""SELECT A WHERE D = '""&amp;K516&amp;""'"")),""USER TIDAK DIKETAHUI""))"),"#REF!")</f>
        <v>#REF!</v>
      </c>
    </row>
    <row r="517">
      <c r="A517" s="21">
        <f t="shared" si="1"/>
        <v>0</v>
      </c>
      <c r="B517" s="32" t="s">
        <v>146</v>
      </c>
      <c r="C517" s="23" t="s">
        <v>147</v>
      </c>
      <c r="D517" s="23" t="s">
        <v>32</v>
      </c>
      <c r="E517" s="24">
        <v>45388.0</v>
      </c>
      <c r="F517" s="25">
        <v>0.2548611111111111</v>
      </c>
      <c r="G517" s="25">
        <v>0.7180555555555556</v>
      </c>
      <c r="H517" s="27">
        <f t="shared" si="2"/>
        <v>0.4631944444</v>
      </c>
      <c r="I517" s="28">
        <v>4.0</v>
      </c>
      <c r="J517" s="29" t="s">
        <v>55</v>
      </c>
      <c r="K517" s="30" t="s">
        <v>23</v>
      </c>
      <c r="L517" s="31" t="str">
        <f>IFERROR(__xludf.DUMMYFUNCTION("IF(OR(E517="""",K517=""""),"""",IFERROR(IF(K517="""","""",query('tbl user'!$A$2:$D10975,""SELECT A WHERE D = '""&amp;K517&amp;""'"")),""USER TIDAK DIKETAHUI""))"),"#REF!")</f>
        <v>#REF!</v>
      </c>
    </row>
    <row r="518">
      <c r="A518" s="21">
        <f t="shared" si="1"/>
        <v>0</v>
      </c>
      <c r="B518" s="32" t="s">
        <v>144</v>
      </c>
      <c r="C518" s="23" t="s">
        <v>145</v>
      </c>
      <c r="D518" s="23" t="s">
        <v>32</v>
      </c>
      <c r="E518" s="24">
        <v>45388.0</v>
      </c>
      <c r="F518" s="25">
        <v>0.2263888888888889</v>
      </c>
      <c r="G518" s="25">
        <v>0.7263888888888889</v>
      </c>
      <c r="H518" s="27">
        <f t="shared" si="2"/>
        <v>0.5</v>
      </c>
      <c r="I518" s="28">
        <v>5.0</v>
      </c>
      <c r="J518" s="29" t="s">
        <v>55</v>
      </c>
      <c r="K518" s="30" t="s">
        <v>23</v>
      </c>
      <c r="L518" s="31" t="str">
        <f>IFERROR(__xludf.DUMMYFUNCTION("IF(OR(E518="""",K518=""""),"""",IFERROR(IF(K518="""","""",query('tbl user'!$A$2:$D10975,""SELECT A WHERE D = '""&amp;K518&amp;""'"")),""USER TIDAK DIKETAHUI""))"),"#REF!")</f>
        <v>#REF!</v>
      </c>
    </row>
    <row r="519">
      <c r="A519" s="21">
        <f t="shared" si="1"/>
        <v>0</v>
      </c>
      <c r="B519" s="32" t="s">
        <v>335</v>
      </c>
      <c r="C519" s="23" t="s">
        <v>336</v>
      </c>
      <c r="D519" s="23" t="s">
        <v>21</v>
      </c>
      <c r="E519" s="24">
        <v>45388.0</v>
      </c>
      <c r="F519" s="25">
        <v>0.29097222222222224</v>
      </c>
      <c r="G519" s="25">
        <v>0.44722222222222224</v>
      </c>
      <c r="H519" s="27">
        <f t="shared" si="2"/>
        <v>0.15625</v>
      </c>
      <c r="I519" s="28">
        <v>2.0</v>
      </c>
      <c r="J519" s="29" t="s">
        <v>449</v>
      </c>
      <c r="K519" s="30" t="s">
        <v>23</v>
      </c>
      <c r="L519" s="31" t="str">
        <f>IFERROR(__xludf.DUMMYFUNCTION("IF(OR(E519="""",K519=""""),"""",IFERROR(IF(K519="""","""",query('tbl user'!$A$2:$D10975,""SELECT A WHERE D = '""&amp;K519&amp;""'"")),""USER TIDAK DIKETAHUI""))"),"#REF!")</f>
        <v>#REF!</v>
      </c>
    </row>
    <row r="520">
      <c r="A520" s="21">
        <f t="shared" si="1"/>
        <v>0</v>
      </c>
      <c r="B520" s="32" t="s">
        <v>139</v>
      </c>
      <c r="C520" s="23" t="s">
        <v>323</v>
      </c>
      <c r="D520" s="23" t="s">
        <v>21</v>
      </c>
      <c r="E520" s="24">
        <v>45388.0</v>
      </c>
      <c r="F520" s="25">
        <v>0.40625</v>
      </c>
      <c r="G520" s="25">
        <v>0.6979166666666666</v>
      </c>
      <c r="H520" s="27">
        <f t="shared" si="2"/>
        <v>0.2916666667</v>
      </c>
      <c r="I520" s="28">
        <v>3.0</v>
      </c>
      <c r="J520" s="29" t="s">
        <v>450</v>
      </c>
      <c r="K520" s="30" t="s">
        <v>23</v>
      </c>
      <c r="L520" s="31" t="str">
        <f>IFERROR(__xludf.DUMMYFUNCTION("IF(OR(E520="""",K520=""""),"""",IFERROR(IF(K520="""","""",query('tbl user'!$A$2:$D10975,""SELECT A WHERE D = '""&amp;K520&amp;""'"")),""USER TIDAK DIKETAHUI""))"),"#REF!")</f>
        <v>#REF!</v>
      </c>
    </row>
    <row r="521">
      <c r="A521" s="21">
        <f t="shared" si="1"/>
        <v>0</v>
      </c>
      <c r="B521" s="32" t="s">
        <v>250</v>
      </c>
      <c r="C521" s="23" t="s">
        <v>340</v>
      </c>
      <c r="D521" s="23" t="s">
        <v>21</v>
      </c>
      <c r="E521" s="24">
        <v>45388.0</v>
      </c>
      <c r="F521" s="25">
        <v>0.4131944444444444</v>
      </c>
      <c r="G521" s="25">
        <v>0.6798611111111111</v>
      </c>
      <c r="H521" s="27">
        <f t="shared" si="2"/>
        <v>0.2666666667</v>
      </c>
      <c r="I521" s="28">
        <v>4.0</v>
      </c>
      <c r="J521" s="29" t="s">
        <v>451</v>
      </c>
      <c r="K521" s="30" t="s">
        <v>23</v>
      </c>
      <c r="L521" s="31" t="str">
        <f>IFERROR(__xludf.DUMMYFUNCTION("IF(OR(E521="""",K521=""""),"""",IFERROR(IF(K521="""","""",query('tbl user'!$A$2:$D10975,""SELECT A WHERE D = '""&amp;K521&amp;""'"")),""USER TIDAK DIKETAHUI""))"),"#REF!")</f>
        <v>#REF!</v>
      </c>
    </row>
    <row r="522">
      <c r="A522" s="21">
        <f t="shared" si="1"/>
        <v>0</v>
      </c>
      <c r="B522" s="32" t="s">
        <v>172</v>
      </c>
      <c r="C522" s="23" t="s">
        <v>88</v>
      </c>
      <c r="D522" s="23" t="s">
        <v>21</v>
      </c>
      <c r="E522" s="24">
        <v>45388.0</v>
      </c>
      <c r="F522" s="25">
        <v>0.37569444444444444</v>
      </c>
      <c r="G522" s="25">
        <v>0.7326388888888888</v>
      </c>
      <c r="H522" s="27">
        <f t="shared" si="2"/>
        <v>0.3569444444</v>
      </c>
      <c r="I522" s="28">
        <v>4.0</v>
      </c>
      <c r="J522" s="29" t="s">
        <v>450</v>
      </c>
      <c r="K522" s="30" t="s">
        <v>23</v>
      </c>
      <c r="L522" s="31" t="str">
        <f>IFERROR(__xludf.DUMMYFUNCTION("IF(OR(E522="""",K522=""""),"""",IFERROR(IF(K522="""","""",query('tbl user'!$A$2:$D10975,""SELECT A WHERE D = '""&amp;K522&amp;""'"")),""USER TIDAK DIKETAHUI""))"),"#REF!")</f>
        <v>#REF!</v>
      </c>
    </row>
    <row r="523">
      <c r="A523" s="21">
        <f t="shared" si="1"/>
        <v>0</v>
      </c>
      <c r="B523" s="32" t="s">
        <v>319</v>
      </c>
      <c r="C523" s="23" t="s">
        <v>320</v>
      </c>
      <c r="D523" s="23" t="s">
        <v>21</v>
      </c>
      <c r="E523" s="24">
        <v>45388.0</v>
      </c>
      <c r="F523" s="25">
        <v>0.2881944444444444</v>
      </c>
      <c r="G523" s="25">
        <v>0.58125</v>
      </c>
      <c r="H523" s="27">
        <f t="shared" si="2"/>
        <v>0.2930555556</v>
      </c>
      <c r="I523" s="28">
        <v>4.0</v>
      </c>
      <c r="J523" s="29" t="s">
        <v>452</v>
      </c>
      <c r="K523" s="30" t="s">
        <v>23</v>
      </c>
      <c r="L523" s="31" t="str">
        <f>IFERROR(__xludf.DUMMYFUNCTION("IF(OR(E523="""",K523=""""),"""",IFERROR(IF(K523="""","""",query('tbl user'!$A$2:$D10975,""SELECT A WHERE D = '""&amp;K523&amp;""'"")),""USER TIDAK DIKETAHUI""))"),"#REF!")</f>
        <v>#REF!</v>
      </c>
    </row>
    <row r="524">
      <c r="A524" s="21">
        <f t="shared" si="1"/>
        <v>0</v>
      </c>
      <c r="B524" s="32" t="s">
        <v>229</v>
      </c>
      <c r="C524" s="23" t="s">
        <v>330</v>
      </c>
      <c r="D524" s="23" t="s">
        <v>21</v>
      </c>
      <c r="E524" s="24">
        <v>45388.0</v>
      </c>
      <c r="F524" s="25">
        <v>0.3784722222222222</v>
      </c>
      <c r="G524" s="25">
        <v>0.7041666666666667</v>
      </c>
      <c r="H524" s="27">
        <f t="shared" si="2"/>
        <v>0.3256944444</v>
      </c>
      <c r="I524" s="28">
        <v>4.0</v>
      </c>
      <c r="J524" s="29" t="s">
        <v>453</v>
      </c>
      <c r="K524" s="30" t="s">
        <v>23</v>
      </c>
      <c r="L524" s="31" t="str">
        <f>IFERROR(__xludf.DUMMYFUNCTION("IF(OR(E524="""",K524=""""),"""",IFERROR(IF(K524="""","""",query('tbl user'!$A$2:$D10975,""SELECT A WHERE D = '""&amp;K524&amp;""'"")),""USER TIDAK DIKETAHUI""))"),"#REF!")</f>
        <v>#REF!</v>
      </c>
    </row>
    <row r="525">
      <c r="A525" s="21">
        <f t="shared" si="1"/>
        <v>0</v>
      </c>
      <c r="B525" s="32" t="s">
        <v>331</v>
      </c>
      <c r="C525" s="23" t="s">
        <v>332</v>
      </c>
      <c r="D525" s="23" t="s">
        <v>21</v>
      </c>
      <c r="E525" s="24">
        <v>45388.0</v>
      </c>
      <c r="F525" s="25">
        <v>0.2465277777777778</v>
      </c>
      <c r="G525" s="25">
        <v>0.6076388888888888</v>
      </c>
      <c r="H525" s="27">
        <f t="shared" si="2"/>
        <v>0.3611111111</v>
      </c>
      <c r="I525" s="28">
        <v>5.0</v>
      </c>
      <c r="J525" s="29" t="s">
        <v>55</v>
      </c>
      <c r="K525" s="30" t="s">
        <v>23</v>
      </c>
      <c r="L525" s="31" t="str">
        <f>IFERROR(__xludf.DUMMYFUNCTION("IF(OR(E525="""",K525=""""),"""",IFERROR(IF(K525="""","""",query('tbl user'!$A$2:$D10975,""SELECT A WHERE D = '""&amp;K525&amp;""'"")),""USER TIDAK DIKETAHUI""))"),"#REF!")</f>
        <v>#REF!</v>
      </c>
    </row>
    <row r="526">
      <c r="A526" s="21">
        <f t="shared" si="1"/>
        <v>0</v>
      </c>
      <c r="B526" s="32" t="s">
        <v>220</v>
      </c>
      <c r="C526" s="23" t="s">
        <v>316</v>
      </c>
      <c r="D526" s="23" t="s">
        <v>21</v>
      </c>
      <c r="E526" s="24">
        <v>45388.0</v>
      </c>
      <c r="F526" s="25">
        <v>0.23680555555555555</v>
      </c>
      <c r="G526" s="25">
        <v>0.7083333333333334</v>
      </c>
      <c r="H526" s="27">
        <f t="shared" si="2"/>
        <v>0.4715277778</v>
      </c>
      <c r="I526" s="28">
        <v>5.0</v>
      </c>
      <c r="J526" s="29" t="s">
        <v>55</v>
      </c>
      <c r="K526" s="30" t="s">
        <v>23</v>
      </c>
      <c r="L526" s="31" t="str">
        <f>IFERROR(__xludf.DUMMYFUNCTION("IF(OR(E526="""",K526=""""),"""",IFERROR(IF(K526="""","""",query('tbl user'!$A$2:$D10975,""SELECT A WHERE D = '""&amp;K526&amp;""'"")),""USER TIDAK DIKETAHUI""))"),"#REF!")</f>
        <v>#REF!</v>
      </c>
    </row>
    <row r="527">
      <c r="A527" s="21">
        <f t="shared" si="1"/>
        <v>0</v>
      </c>
      <c r="B527" s="32" t="s">
        <v>423</v>
      </c>
      <c r="C527" s="23" t="s">
        <v>329</v>
      </c>
      <c r="D527" s="23" t="s">
        <v>21</v>
      </c>
      <c r="E527" s="24">
        <v>45388.0</v>
      </c>
      <c r="F527" s="25">
        <v>0.2951388888888889</v>
      </c>
      <c r="G527" s="25">
        <v>0.7451388888888889</v>
      </c>
      <c r="H527" s="27">
        <f t="shared" si="2"/>
        <v>0.45</v>
      </c>
      <c r="I527" s="28">
        <v>5.0</v>
      </c>
      <c r="J527" s="29" t="s">
        <v>55</v>
      </c>
      <c r="K527" s="30" t="s">
        <v>23</v>
      </c>
      <c r="L527" s="31" t="str">
        <f>IFERROR(__xludf.DUMMYFUNCTION("IF(OR(E527="""",K527=""""),"""",IFERROR(IF(K527="""","""",query('tbl user'!$A$2:$D10975,""SELECT A WHERE D = '""&amp;K527&amp;""'"")),""USER TIDAK DIKETAHUI""))"),"#REF!")</f>
        <v>#REF!</v>
      </c>
    </row>
    <row r="528">
      <c r="A528" s="21">
        <f t="shared" si="1"/>
        <v>0</v>
      </c>
      <c r="B528" s="32" t="s">
        <v>127</v>
      </c>
      <c r="C528" s="23" t="s">
        <v>326</v>
      </c>
      <c r="D528" s="23" t="s">
        <v>21</v>
      </c>
      <c r="E528" s="24">
        <v>45388.0</v>
      </c>
      <c r="F528" s="25">
        <v>0.2861111111111111</v>
      </c>
      <c r="G528" s="25">
        <v>0.6784722222222223</v>
      </c>
      <c r="H528" s="27">
        <f t="shared" si="2"/>
        <v>0.3923611111</v>
      </c>
      <c r="I528" s="28">
        <v>5.0</v>
      </c>
      <c r="J528" s="29" t="s">
        <v>55</v>
      </c>
      <c r="K528" s="30" t="s">
        <v>23</v>
      </c>
      <c r="L528" s="31" t="str">
        <f>IFERROR(__xludf.DUMMYFUNCTION("IF(OR(E528="""",K528=""""),"""",IFERROR(IF(K528="""","""",query('tbl user'!$A$2:$D10975,""SELECT A WHERE D = '""&amp;K528&amp;""'"")),""USER TIDAK DIKETAHUI""))"),"#REF!")</f>
        <v>#REF!</v>
      </c>
    </row>
    <row r="529">
      <c r="A529" s="21">
        <f t="shared" si="1"/>
        <v>0</v>
      </c>
      <c r="B529" s="32" t="s">
        <v>337</v>
      </c>
      <c r="C529" s="23" t="s">
        <v>338</v>
      </c>
      <c r="D529" s="23" t="s">
        <v>21</v>
      </c>
      <c r="E529" s="24">
        <v>45388.0</v>
      </c>
      <c r="F529" s="25">
        <v>0.2638888888888889</v>
      </c>
      <c r="G529" s="25">
        <v>0.6555555555555556</v>
      </c>
      <c r="H529" s="27">
        <f t="shared" si="2"/>
        <v>0.3916666667</v>
      </c>
      <c r="I529" s="28">
        <v>5.0</v>
      </c>
      <c r="J529" s="29" t="s">
        <v>55</v>
      </c>
      <c r="K529" s="30" t="s">
        <v>23</v>
      </c>
      <c r="L529" s="31" t="str">
        <f>IFERROR(__xludf.DUMMYFUNCTION("IF(OR(E529="""",K529=""""),"""",IFERROR(IF(K529="""","""",query('tbl user'!$A$2:$D10975,""SELECT A WHERE D = '""&amp;K529&amp;""'"")),""USER TIDAK DIKETAHUI""))"),"#REF!")</f>
        <v>#REF!</v>
      </c>
    </row>
    <row r="530">
      <c r="A530" s="21">
        <f t="shared" si="1"/>
        <v>0</v>
      </c>
      <c r="B530" s="32" t="s">
        <v>53</v>
      </c>
      <c r="C530" s="23" t="s">
        <v>54</v>
      </c>
      <c r="D530" s="23" t="s">
        <v>21</v>
      </c>
      <c r="E530" s="24">
        <v>45388.0</v>
      </c>
      <c r="F530" s="25">
        <v>0.24583333333333332</v>
      </c>
      <c r="G530" s="25">
        <v>0.6881944444444444</v>
      </c>
      <c r="H530" s="27">
        <f t="shared" si="2"/>
        <v>0.4423611111</v>
      </c>
      <c r="I530" s="28">
        <v>6.0</v>
      </c>
      <c r="J530" s="29" t="s">
        <v>55</v>
      </c>
      <c r="K530" s="30" t="s">
        <v>23</v>
      </c>
      <c r="L530" s="31" t="str">
        <f>IFERROR(__xludf.DUMMYFUNCTION("IF(OR(E530="""",K530=""""),"""",IFERROR(IF(K530="""","""",query('tbl user'!$A$2:$D10975,""SELECT A WHERE D = '""&amp;K530&amp;""'"")),""USER TIDAK DIKETAHUI""))"),"#REF!")</f>
        <v>#REF!</v>
      </c>
    </row>
    <row r="531">
      <c r="A531" s="21">
        <f t="shared" si="1"/>
        <v>0</v>
      </c>
      <c r="B531" s="32" t="s">
        <v>153</v>
      </c>
      <c r="C531" s="23" t="s">
        <v>339</v>
      </c>
      <c r="D531" s="23" t="s">
        <v>21</v>
      </c>
      <c r="E531" s="24">
        <v>45388.0</v>
      </c>
      <c r="F531" s="25">
        <v>0.2590277777777778</v>
      </c>
      <c r="G531" s="25">
        <v>0.7256944444444444</v>
      </c>
      <c r="H531" s="27">
        <f t="shared" si="2"/>
        <v>0.4666666667</v>
      </c>
      <c r="I531" s="28">
        <v>7.0</v>
      </c>
      <c r="J531" s="29" t="s">
        <v>55</v>
      </c>
      <c r="K531" s="30" t="s">
        <v>23</v>
      </c>
      <c r="L531" s="31" t="str">
        <f>IFERROR(__xludf.DUMMYFUNCTION("IF(OR(E531="""",K531=""""),"""",IFERROR(IF(K531="""","""",query('tbl user'!$A$2:$D10975,""SELECT A WHERE D = '""&amp;K531&amp;""'"")),""USER TIDAK DIKETAHUI""))"),"#REF!")</f>
        <v>#REF!</v>
      </c>
    </row>
    <row r="532">
      <c r="A532" s="21">
        <f t="shared" si="1"/>
        <v>0</v>
      </c>
      <c r="B532" s="32" t="s">
        <v>333</v>
      </c>
      <c r="C532" s="23" t="s">
        <v>334</v>
      </c>
      <c r="D532" s="23" t="s">
        <v>21</v>
      </c>
      <c r="E532" s="24">
        <v>45388.0</v>
      </c>
      <c r="F532" s="25">
        <v>0.23472222222222222</v>
      </c>
      <c r="G532" s="25">
        <v>0.7354166666666667</v>
      </c>
      <c r="H532" s="27">
        <f t="shared" si="2"/>
        <v>0.5006944444</v>
      </c>
      <c r="I532" s="28">
        <v>7.0</v>
      </c>
      <c r="J532" s="29" t="s">
        <v>55</v>
      </c>
      <c r="K532" s="30" t="s">
        <v>23</v>
      </c>
      <c r="L532" s="31" t="str">
        <f>IFERROR(__xludf.DUMMYFUNCTION("IF(OR(E532="""",K532=""""),"""",IFERROR(IF(K532="""","""",query('tbl user'!$A$2:$D10975,""SELECT A WHERE D = '""&amp;K532&amp;""'"")),""USER TIDAK DIKETAHUI""))"),"#REF!")</f>
        <v>#REF!</v>
      </c>
    </row>
    <row r="533">
      <c r="A533" s="21">
        <f t="shared" si="1"/>
        <v>0</v>
      </c>
      <c r="B533" s="32" t="s">
        <v>293</v>
      </c>
      <c r="C533" s="23" t="s">
        <v>211</v>
      </c>
      <c r="D533" s="23" t="s">
        <v>58</v>
      </c>
      <c r="E533" s="24">
        <v>45389.0</v>
      </c>
      <c r="F533" s="25">
        <v>0.2652777777777778</v>
      </c>
      <c r="G533" s="25">
        <v>0.59375</v>
      </c>
      <c r="H533" s="27">
        <f t="shared" si="2"/>
        <v>0.3284722222</v>
      </c>
      <c r="I533" s="28">
        <v>2.0</v>
      </c>
      <c r="J533" s="29" t="s">
        <v>454</v>
      </c>
      <c r="K533" s="30" t="s">
        <v>23</v>
      </c>
      <c r="L533" s="31" t="str">
        <f>IFERROR(__xludf.DUMMYFUNCTION("IF(OR(E533="""",K533=""""),"""",IFERROR(IF(K533="""","""",query('tbl user'!$A$2:$D10975,""SELECT A WHERE D = '""&amp;K533&amp;""'"")),""USER TIDAK DIKETAHUI""))"),"#REF!")</f>
        <v>#REF!</v>
      </c>
    </row>
    <row r="534">
      <c r="A534" s="21">
        <f t="shared" si="1"/>
        <v>0</v>
      </c>
      <c r="B534" s="32" t="s">
        <v>214</v>
      </c>
      <c r="C534" s="23" t="s">
        <v>170</v>
      </c>
      <c r="D534" s="23" t="s">
        <v>58</v>
      </c>
      <c r="E534" s="24">
        <v>45389.0</v>
      </c>
      <c r="F534" s="25">
        <v>0.3680555555555556</v>
      </c>
      <c r="G534" s="25">
        <v>0.6111111111111112</v>
      </c>
      <c r="H534" s="27">
        <f t="shared" si="2"/>
        <v>0.2430555556</v>
      </c>
      <c r="I534" s="28">
        <v>2.0</v>
      </c>
      <c r="J534" s="29" t="s">
        <v>455</v>
      </c>
      <c r="K534" s="30" t="s">
        <v>23</v>
      </c>
      <c r="L534" s="31" t="str">
        <f>IFERROR(__xludf.DUMMYFUNCTION("IF(OR(E534="""",K534=""""),"""",IFERROR(IF(K534="""","""",query('tbl user'!$A$2:$D10975,""SELECT A WHERE D = '""&amp;K534&amp;""'"")),""USER TIDAK DIKETAHUI""))"),"#REF!")</f>
        <v>#REF!</v>
      </c>
    </row>
    <row r="535">
      <c r="A535" s="21">
        <f t="shared" si="1"/>
        <v>0</v>
      </c>
      <c r="B535" s="32" t="s">
        <v>56</v>
      </c>
      <c r="C535" s="23" t="s">
        <v>57</v>
      </c>
      <c r="D535" s="23" t="s">
        <v>58</v>
      </c>
      <c r="E535" s="24">
        <v>45389.0</v>
      </c>
      <c r="F535" s="25">
        <v>0.2708333333333333</v>
      </c>
      <c r="G535" s="25">
        <v>0.6222222222222222</v>
      </c>
      <c r="H535" s="27">
        <f t="shared" si="2"/>
        <v>0.3513888889</v>
      </c>
      <c r="I535" s="28">
        <v>2.0</v>
      </c>
      <c r="J535" s="29" t="s">
        <v>171</v>
      </c>
      <c r="K535" s="30" t="s">
        <v>23</v>
      </c>
      <c r="L535" s="31" t="str">
        <f>IFERROR(__xludf.DUMMYFUNCTION("IF(OR(E535="""",K535=""""),"""",IFERROR(IF(K535="""","""",query('tbl user'!$A$2:$D10975,""SELECT A WHERE D = '""&amp;K535&amp;""'"")),""USER TIDAK DIKETAHUI""))"),"#REF!")</f>
        <v>#REF!</v>
      </c>
    </row>
    <row r="536">
      <c r="A536" s="21">
        <f t="shared" si="1"/>
        <v>0</v>
      </c>
      <c r="B536" s="32" t="s">
        <v>184</v>
      </c>
      <c r="C536" s="23" t="s">
        <v>185</v>
      </c>
      <c r="D536" s="23" t="s">
        <v>58</v>
      </c>
      <c r="E536" s="24">
        <v>45389.0</v>
      </c>
      <c r="F536" s="25">
        <v>0.25625</v>
      </c>
      <c r="G536" s="25">
        <v>0.4965277777777778</v>
      </c>
      <c r="H536" s="27">
        <f t="shared" si="2"/>
        <v>0.2402777778</v>
      </c>
      <c r="I536" s="28">
        <v>2.0</v>
      </c>
      <c r="J536" s="29" t="s">
        <v>456</v>
      </c>
      <c r="K536" s="30" t="s">
        <v>23</v>
      </c>
      <c r="L536" s="31" t="str">
        <f>IFERROR(__xludf.DUMMYFUNCTION("IF(OR(E536="""",K536=""""),"""",IFERROR(IF(K536="""","""",query('tbl user'!$A$2:$D10975,""SELECT A WHERE D = '""&amp;K536&amp;""'"")),""USER TIDAK DIKETAHUI""))"),"#REF!")</f>
        <v>#REF!</v>
      </c>
    </row>
    <row r="537">
      <c r="A537" s="21">
        <f t="shared" si="1"/>
        <v>0</v>
      </c>
      <c r="B537" s="32" t="s">
        <v>162</v>
      </c>
      <c r="C537" s="23" t="s">
        <v>190</v>
      </c>
      <c r="D537" s="23" t="s">
        <v>58</v>
      </c>
      <c r="E537" s="24">
        <v>45389.0</v>
      </c>
      <c r="F537" s="25">
        <v>0.22708333333333333</v>
      </c>
      <c r="G537" s="25">
        <v>0.5069444444444444</v>
      </c>
      <c r="H537" s="27">
        <f t="shared" si="2"/>
        <v>0.2798611111</v>
      </c>
      <c r="I537" s="28">
        <v>2.0</v>
      </c>
      <c r="J537" s="29" t="s">
        <v>457</v>
      </c>
      <c r="K537" s="30" t="s">
        <v>23</v>
      </c>
      <c r="L537" s="31" t="str">
        <f>IFERROR(__xludf.DUMMYFUNCTION("IF(OR(E537="""",K537=""""),"""",IFERROR(IF(K537="""","""",query('tbl user'!$A$2:$D10975,""SELECT A WHERE D = '""&amp;K537&amp;""'"")),""USER TIDAK DIKETAHUI""))"),"#REF!")</f>
        <v>#REF!</v>
      </c>
    </row>
    <row r="538">
      <c r="A538" s="21">
        <f t="shared" si="1"/>
        <v>0</v>
      </c>
      <c r="B538" s="32" t="s">
        <v>216</v>
      </c>
      <c r="C538" s="23" t="s">
        <v>195</v>
      </c>
      <c r="D538" s="23" t="s">
        <v>58</v>
      </c>
      <c r="E538" s="24">
        <v>45389.0</v>
      </c>
      <c r="F538" s="25">
        <v>0.28125</v>
      </c>
      <c r="G538" s="25">
        <v>0.6395833333333333</v>
      </c>
      <c r="H538" s="27">
        <f t="shared" si="2"/>
        <v>0.3583333333</v>
      </c>
      <c r="I538" s="28">
        <v>2.0</v>
      </c>
      <c r="J538" s="29" t="s">
        <v>171</v>
      </c>
      <c r="K538" s="30" t="s">
        <v>23</v>
      </c>
      <c r="L538" s="31" t="str">
        <f>IFERROR(__xludf.DUMMYFUNCTION("IF(OR(E538="""",K538=""""),"""",IFERROR(IF(K538="""","""",query('tbl user'!$A$2:$D10975,""SELECT A WHERE D = '""&amp;K538&amp;""'"")),""USER TIDAK DIKETAHUI""))"),"#REF!")</f>
        <v>#REF!</v>
      </c>
    </row>
    <row r="539">
      <c r="A539" s="21">
        <f t="shared" si="1"/>
        <v>0</v>
      </c>
      <c r="B539" s="32" t="s">
        <v>144</v>
      </c>
      <c r="C539" s="23" t="s">
        <v>105</v>
      </c>
      <c r="D539" s="23" t="s">
        <v>58</v>
      </c>
      <c r="E539" s="24">
        <v>45389.0</v>
      </c>
      <c r="F539" s="25">
        <v>0.31180555555555556</v>
      </c>
      <c r="G539" s="25">
        <v>0.6388888888888888</v>
      </c>
      <c r="H539" s="27">
        <f t="shared" si="2"/>
        <v>0.3270833333</v>
      </c>
      <c r="I539" s="28">
        <v>2.0</v>
      </c>
      <c r="J539" s="29" t="s">
        <v>458</v>
      </c>
      <c r="K539" s="30" t="s">
        <v>23</v>
      </c>
      <c r="L539" s="31" t="str">
        <f>IFERROR(__xludf.DUMMYFUNCTION("IF(OR(E539="""",K539=""""),"""",IFERROR(IF(K539="""","""",query('tbl user'!$A$2:$D10975,""SELECT A WHERE D = '""&amp;K539&amp;""'"")),""USER TIDAK DIKETAHUI""))"),"#REF!")</f>
        <v>#REF!</v>
      </c>
    </row>
    <row r="540">
      <c r="A540" s="21">
        <f t="shared" si="1"/>
        <v>0</v>
      </c>
      <c r="B540" s="32" t="s">
        <v>123</v>
      </c>
      <c r="C540" s="23" t="s">
        <v>348</v>
      </c>
      <c r="D540" s="23" t="s">
        <v>58</v>
      </c>
      <c r="E540" s="24">
        <v>45389.0</v>
      </c>
      <c r="F540" s="25">
        <v>0.3159722222222222</v>
      </c>
      <c r="G540" s="25">
        <v>0.5965277777777778</v>
      </c>
      <c r="H540" s="27">
        <f t="shared" si="2"/>
        <v>0.2805555556</v>
      </c>
      <c r="I540" s="28">
        <v>2.0</v>
      </c>
      <c r="J540" s="29" t="s">
        <v>171</v>
      </c>
      <c r="K540" s="30" t="s">
        <v>23</v>
      </c>
      <c r="L540" s="31" t="str">
        <f>IFERROR(__xludf.DUMMYFUNCTION("IF(OR(E540="""",K540=""""),"""",IFERROR(IF(K540="""","""",query('tbl user'!$A$2:$D10975,""SELECT A WHERE D = '""&amp;K540&amp;""'"")),""USER TIDAK DIKETAHUI""))"),"#REF!")</f>
        <v>#REF!</v>
      </c>
    </row>
    <row r="541">
      <c r="A541" s="21">
        <f t="shared" si="1"/>
        <v>0</v>
      </c>
      <c r="B541" s="32" t="s">
        <v>120</v>
      </c>
      <c r="C541" s="23" t="s">
        <v>206</v>
      </c>
      <c r="D541" s="23" t="s">
        <v>58</v>
      </c>
      <c r="E541" s="24">
        <v>45389.0</v>
      </c>
      <c r="F541" s="25">
        <v>0.25972222222222224</v>
      </c>
      <c r="G541" s="25">
        <v>0.5680555555555555</v>
      </c>
      <c r="H541" s="27">
        <f t="shared" si="2"/>
        <v>0.3083333333</v>
      </c>
      <c r="I541" s="28">
        <v>2.0</v>
      </c>
      <c r="J541" s="29" t="s">
        <v>459</v>
      </c>
      <c r="K541" s="30" t="s">
        <v>23</v>
      </c>
      <c r="L541" s="31" t="str">
        <f>IFERROR(__xludf.DUMMYFUNCTION("IF(OR(E541="""",K541=""""),"""",IFERROR(IF(K541="""","""",query('tbl user'!$A$2:$D10975,""SELECT A WHERE D = '""&amp;K541&amp;""'"")),""USER TIDAK DIKETAHUI""))"),"#REF!")</f>
        <v>#REF!</v>
      </c>
    </row>
    <row r="542">
      <c r="A542" s="21">
        <f t="shared" si="1"/>
        <v>0</v>
      </c>
      <c r="B542" s="32" t="s">
        <v>84</v>
      </c>
      <c r="C542" s="23" t="s">
        <v>85</v>
      </c>
      <c r="D542" s="23" t="s">
        <v>58</v>
      </c>
      <c r="E542" s="24">
        <v>45389.0</v>
      </c>
      <c r="F542" s="25">
        <v>0.28055555555555556</v>
      </c>
      <c r="G542" s="25">
        <v>0.6527777777777778</v>
      </c>
      <c r="H542" s="27">
        <f t="shared" si="2"/>
        <v>0.3722222222</v>
      </c>
      <c r="I542" s="28">
        <v>2.0</v>
      </c>
      <c r="J542" s="29" t="s">
        <v>171</v>
      </c>
      <c r="K542" s="30" t="s">
        <v>23</v>
      </c>
      <c r="L542" s="31" t="str">
        <f>IFERROR(__xludf.DUMMYFUNCTION("IF(OR(E542="""",K542=""""),"""",IFERROR(IF(K542="""","""",query('tbl user'!$A$2:$D10975,""SELECT A WHERE D = '""&amp;K542&amp;""'"")),""USER TIDAK DIKETAHUI""))"),"#REF!")</f>
        <v>#REF!</v>
      </c>
    </row>
    <row r="543">
      <c r="A543" s="21">
        <f t="shared" si="1"/>
        <v>0</v>
      </c>
      <c r="B543" s="32" t="s">
        <v>167</v>
      </c>
      <c r="C543" s="23" t="s">
        <v>168</v>
      </c>
      <c r="D543" s="23" t="s">
        <v>58</v>
      </c>
      <c r="E543" s="24">
        <v>45389.0</v>
      </c>
      <c r="F543" s="25">
        <v>0.2916666666666667</v>
      </c>
      <c r="G543" s="25">
        <v>0.6506944444444445</v>
      </c>
      <c r="H543" s="27">
        <f t="shared" si="2"/>
        <v>0.3590277778</v>
      </c>
      <c r="I543" s="28">
        <v>3.0</v>
      </c>
      <c r="J543" s="29" t="s">
        <v>171</v>
      </c>
      <c r="K543" s="30" t="s">
        <v>23</v>
      </c>
      <c r="L543" s="31" t="str">
        <f>IFERROR(__xludf.DUMMYFUNCTION("IF(OR(E543="""",K543=""""),"""",IFERROR(IF(K543="""","""",query('tbl user'!$A$2:$D10975,""SELECT A WHERE D = '""&amp;K543&amp;""'"")),""USER TIDAK DIKETAHUI""))"),"#REF!")</f>
        <v>#REF!</v>
      </c>
    </row>
    <row r="544">
      <c r="A544" s="21">
        <f t="shared" si="1"/>
        <v>0</v>
      </c>
      <c r="B544" s="32" t="s">
        <v>92</v>
      </c>
      <c r="C544" s="23" t="s">
        <v>93</v>
      </c>
      <c r="D544" s="23" t="s">
        <v>58</v>
      </c>
      <c r="E544" s="24">
        <v>45389.0</v>
      </c>
      <c r="F544" s="25">
        <v>0.25972222222222224</v>
      </c>
      <c r="G544" s="25">
        <v>0.6409722222222223</v>
      </c>
      <c r="H544" s="27">
        <f t="shared" si="2"/>
        <v>0.38125</v>
      </c>
      <c r="I544" s="28">
        <v>3.0</v>
      </c>
      <c r="J544" s="29" t="s">
        <v>171</v>
      </c>
      <c r="K544" s="30" t="s">
        <v>23</v>
      </c>
      <c r="L544" s="31" t="str">
        <f>IFERROR(__xludf.DUMMYFUNCTION("IF(OR(E544="""",K544=""""),"""",IFERROR(IF(K544="""","""",query('tbl user'!$A$2:$D10975,""SELECT A WHERE D = '""&amp;K544&amp;""'"")),""USER TIDAK DIKETAHUI""))"),"#REF!")</f>
        <v>#REF!</v>
      </c>
    </row>
    <row r="545">
      <c r="A545" s="21">
        <f t="shared" si="1"/>
        <v>0</v>
      </c>
      <c r="B545" s="32" t="s">
        <v>215</v>
      </c>
      <c r="C545" s="23" t="s">
        <v>176</v>
      </c>
      <c r="D545" s="23" t="s">
        <v>58</v>
      </c>
      <c r="E545" s="24">
        <v>45389.0</v>
      </c>
      <c r="F545" s="25">
        <v>0.3625</v>
      </c>
      <c r="G545" s="25">
        <v>0.6847222222222222</v>
      </c>
      <c r="H545" s="27">
        <f t="shared" si="2"/>
        <v>0.3222222222</v>
      </c>
      <c r="I545" s="28">
        <v>3.0</v>
      </c>
      <c r="J545" s="29" t="s">
        <v>460</v>
      </c>
      <c r="K545" s="30" t="s">
        <v>23</v>
      </c>
      <c r="L545" s="31" t="str">
        <f>IFERROR(__xludf.DUMMYFUNCTION("IF(OR(E545="""",K545=""""),"""",IFERROR(IF(K545="""","""",query('tbl user'!$A$2:$D10975,""SELECT A WHERE D = '""&amp;K545&amp;""'"")),""USER TIDAK DIKETAHUI""))"),"#REF!")</f>
        <v>#REF!</v>
      </c>
    </row>
    <row r="546">
      <c r="A546" s="21">
        <f t="shared" si="1"/>
        <v>0</v>
      </c>
      <c r="B546" s="32" t="s">
        <v>133</v>
      </c>
      <c r="C546" s="23" t="s">
        <v>181</v>
      </c>
      <c r="D546" s="23" t="s">
        <v>58</v>
      </c>
      <c r="E546" s="24">
        <v>45389.0</v>
      </c>
      <c r="F546" s="25">
        <v>0.24722222222222223</v>
      </c>
      <c r="G546" s="25">
        <v>0.6173611111111111</v>
      </c>
      <c r="H546" s="27">
        <f t="shared" si="2"/>
        <v>0.3701388889</v>
      </c>
      <c r="I546" s="28">
        <v>3.0</v>
      </c>
      <c r="J546" s="29" t="s">
        <v>171</v>
      </c>
      <c r="K546" s="30" t="s">
        <v>23</v>
      </c>
      <c r="L546" s="31" t="str">
        <f>IFERROR(__xludf.DUMMYFUNCTION("IF(OR(E546="""",K546=""""),"""",IFERROR(IF(K546="""","""",query('tbl user'!$A$2:$D10975,""SELECT A WHERE D = '""&amp;K546&amp;""'"")),""USER TIDAK DIKETAHUI""))"),"#REF!")</f>
        <v>#REF!</v>
      </c>
    </row>
    <row r="547">
      <c r="A547" s="21">
        <f t="shared" si="1"/>
        <v>0</v>
      </c>
      <c r="B547" s="32" t="s">
        <v>276</v>
      </c>
      <c r="C547" s="23" t="s">
        <v>183</v>
      </c>
      <c r="D547" s="23" t="s">
        <v>58</v>
      </c>
      <c r="E547" s="24">
        <v>45389.0</v>
      </c>
      <c r="F547" s="25">
        <v>0.26805555555555555</v>
      </c>
      <c r="G547" s="25">
        <v>0.7090277777777778</v>
      </c>
      <c r="H547" s="27">
        <f t="shared" si="2"/>
        <v>0.4409722222</v>
      </c>
      <c r="I547" s="28">
        <v>3.0</v>
      </c>
      <c r="J547" s="29" t="s">
        <v>171</v>
      </c>
      <c r="K547" s="30" t="s">
        <v>23</v>
      </c>
      <c r="L547" s="31" t="str">
        <f>IFERROR(__xludf.DUMMYFUNCTION("IF(OR(E547="""",K547=""""),"""",IFERROR(IF(K547="""","""",query('tbl user'!$A$2:$D10975,""SELECT A WHERE D = '""&amp;K547&amp;""'"")),""USER TIDAK DIKETAHUI""))"),"#REF!")</f>
        <v>#REF!</v>
      </c>
    </row>
    <row r="548">
      <c r="A548" s="21">
        <f t="shared" si="1"/>
        <v>0</v>
      </c>
      <c r="B548" s="32" t="s">
        <v>187</v>
      </c>
      <c r="C548" s="23" t="s">
        <v>188</v>
      </c>
      <c r="D548" s="23" t="s">
        <v>58</v>
      </c>
      <c r="E548" s="24">
        <v>45389.0</v>
      </c>
      <c r="F548" s="25">
        <v>0.20833333333333334</v>
      </c>
      <c r="G548" s="25">
        <v>0.5861111111111111</v>
      </c>
      <c r="H548" s="27">
        <f t="shared" si="2"/>
        <v>0.3777777778</v>
      </c>
      <c r="I548" s="28">
        <v>3.0</v>
      </c>
      <c r="J548" s="29" t="s">
        <v>461</v>
      </c>
      <c r="K548" s="30" t="s">
        <v>23</v>
      </c>
      <c r="L548" s="31" t="str">
        <f>IFERROR(__xludf.DUMMYFUNCTION("IF(OR(E548="""",K548=""""),"""",IFERROR(IF(K548="""","""",query('tbl user'!$A$2:$D10975,""SELECT A WHERE D = '""&amp;K548&amp;""'"")),""USER TIDAK DIKETAHUI""))"),"#REF!")</f>
        <v>#REF!</v>
      </c>
    </row>
    <row r="549">
      <c r="A549" s="21">
        <f t="shared" si="1"/>
        <v>0</v>
      </c>
      <c r="B549" s="32" t="s">
        <v>40</v>
      </c>
      <c r="C549" s="23" t="s">
        <v>201</v>
      </c>
      <c r="D549" s="23" t="s">
        <v>58</v>
      </c>
      <c r="E549" s="24">
        <v>45389.0</v>
      </c>
      <c r="F549" s="25">
        <v>0.23958333333333334</v>
      </c>
      <c r="G549" s="25">
        <v>0.6909722222222222</v>
      </c>
      <c r="H549" s="27">
        <f t="shared" si="2"/>
        <v>0.4513888889</v>
      </c>
      <c r="I549" s="28">
        <v>3.0</v>
      </c>
      <c r="J549" s="29" t="s">
        <v>171</v>
      </c>
      <c r="K549" s="30" t="s">
        <v>23</v>
      </c>
      <c r="L549" s="31" t="str">
        <f>IFERROR(__xludf.DUMMYFUNCTION("IF(OR(E549="""",K549=""""),"""",IFERROR(IF(K549="""","""",query('tbl user'!$A$2:$D10975,""SELECT A WHERE D = '""&amp;K549&amp;""'"")),""USER TIDAK DIKETAHUI""))"),"#REF!")</f>
        <v>#REF!</v>
      </c>
    </row>
    <row r="550">
      <c r="A550" s="21">
        <f t="shared" si="1"/>
        <v>0</v>
      </c>
      <c r="B550" s="32" t="s">
        <v>224</v>
      </c>
      <c r="C550" s="23" t="s">
        <v>208</v>
      </c>
      <c r="D550" s="23" t="s">
        <v>58</v>
      </c>
      <c r="E550" s="24">
        <v>45389.0</v>
      </c>
      <c r="F550" s="25">
        <v>0.24722222222222223</v>
      </c>
      <c r="G550" s="25">
        <v>0.6520833333333333</v>
      </c>
      <c r="H550" s="27">
        <f t="shared" si="2"/>
        <v>0.4048611111</v>
      </c>
      <c r="I550" s="28">
        <v>3.0</v>
      </c>
      <c r="J550" s="29" t="s">
        <v>171</v>
      </c>
      <c r="K550" s="30" t="s">
        <v>23</v>
      </c>
      <c r="L550" s="31" t="str">
        <f>IFERROR(__xludf.DUMMYFUNCTION("IF(OR(E550="""",K550=""""),"""",IFERROR(IF(K550="""","""",query('tbl user'!$A$2:$D10975,""SELECT A WHERE D = '""&amp;K550&amp;""'"")),""USER TIDAK DIKETAHUI""))"),"#REF!")</f>
        <v>#REF!</v>
      </c>
    </row>
    <row r="551">
      <c r="A551" s="21">
        <f t="shared" si="1"/>
        <v>0</v>
      </c>
      <c r="B551" s="32" t="s">
        <v>346</v>
      </c>
      <c r="C551" s="23" t="s">
        <v>192</v>
      </c>
      <c r="D551" s="23" t="s">
        <v>58</v>
      </c>
      <c r="E551" s="24">
        <v>45389.0</v>
      </c>
      <c r="F551" s="25">
        <v>0.27361111111111114</v>
      </c>
      <c r="G551" s="25">
        <v>0.69375</v>
      </c>
      <c r="H551" s="27">
        <f t="shared" si="2"/>
        <v>0.4201388889</v>
      </c>
      <c r="I551" s="28">
        <v>4.0</v>
      </c>
      <c r="J551" s="29" t="s">
        <v>55</v>
      </c>
      <c r="K551" s="30" t="s">
        <v>23</v>
      </c>
      <c r="L551" s="31" t="str">
        <f>IFERROR(__xludf.DUMMYFUNCTION("IF(OR(E551="""",K551=""""),"""",IFERROR(IF(K551="""","""",query('tbl user'!$A$2:$D10975,""SELECT A WHERE D = '""&amp;K551&amp;""'"")),""USER TIDAK DIKETAHUI""))"),"#REF!")</f>
        <v>#REF!</v>
      </c>
    </row>
    <row r="552">
      <c r="A552" s="21">
        <f t="shared" si="1"/>
        <v>0</v>
      </c>
      <c r="B552" s="32" t="s">
        <v>197</v>
      </c>
      <c r="C552" s="23" t="s">
        <v>198</v>
      </c>
      <c r="D552" s="23" t="s">
        <v>58</v>
      </c>
      <c r="E552" s="24">
        <v>45389.0</v>
      </c>
      <c r="F552" s="25">
        <v>0.20625</v>
      </c>
      <c r="G552" s="25">
        <v>0.6805555555555556</v>
      </c>
      <c r="H552" s="27">
        <f t="shared" si="2"/>
        <v>0.4743055556</v>
      </c>
      <c r="I552" s="28">
        <v>4.0</v>
      </c>
      <c r="J552" s="29" t="s">
        <v>55</v>
      </c>
      <c r="K552" s="30" t="s">
        <v>23</v>
      </c>
      <c r="L552" s="31" t="str">
        <f>IFERROR(__xludf.DUMMYFUNCTION("IF(OR(E552="""",K552=""""),"""",IFERROR(IF(K552="""","""",query('tbl user'!$A$2:$D10975,""SELECT A WHERE D = '""&amp;K552&amp;""'"")),""USER TIDAK DIKETAHUI""))"),"#REF!")</f>
        <v>#REF!</v>
      </c>
    </row>
    <row r="553">
      <c r="A553" s="21">
        <f t="shared" si="1"/>
        <v>0</v>
      </c>
      <c r="B553" s="32" t="s">
        <v>253</v>
      </c>
      <c r="C553" s="23" t="s">
        <v>102</v>
      </c>
      <c r="D553" s="23" t="s">
        <v>21</v>
      </c>
      <c r="E553" s="24">
        <v>45389.0</v>
      </c>
      <c r="F553" s="25">
        <v>0.24861111111111112</v>
      </c>
      <c r="G553" s="25">
        <v>0.4986111111111111</v>
      </c>
      <c r="H553" s="27">
        <f t="shared" si="2"/>
        <v>0.25</v>
      </c>
      <c r="I553" s="28">
        <v>1.0</v>
      </c>
      <c r="J553" s="29" t="s">
        <v>462</v>
      </c>
      <c r="K553" s="30" t="s">
        <v>23</v>
      </c>
      <c r="L553" s="31" t="str">
        <f>IFERROR(__xludf.DUMMYFUNCTION("IF(OR(E553="""",K553=""""),"""",IFERROR(IF(K553="""","""",query('tbl user'!$A$2:$D10975,""SELECT A WHERE D = '""&amp;K553&amp;""'"")),""USER TIDAK DIKETAHUI""))"),"#REF!")</f>
        <v>#REF!</v>
      </c>
    </row>
    <row r="554">
      <c r="A554" s="21">
        <f t="shared" si="1"/>
        <v>0</v>
      </c>
      <c r="B554" s="32" t="s">
        <v>175</v>
      </c>
      <c r="C554" s="23" t="s">
        <v>35</v>
      </c>
      <c r="D554" s="23" t="s">
        <v>21</v>
      </c>
      <c r="E554" s="24">
        <v>45389.0</v>
      </c>
      <c r="F554" s="25">
        <v>0.28125</v>
      </c>
      <c r="G554" s="25">
        <v>0.6881944444444444</v>
      </c>
      <c r="H554" s="27">
        <f t="shared" si="2"/>
        <v>0.4069444444</v>
      </c>
      <c r="I554" s="28">
        <v>2.0</v>
      </c>
      <c r="J554" s="29" t="s">
        <v>463</v>
      </c>
      <c r="K554" s="30" t="s">
        <v>23</v>
      </c>
      <c r="L554" s="31" t="str">
        <f>IFERROR(__xludf.DUMMYFUNCTION("IF(OR(E554="""",K554=""""),"""",IFERROR(IF(K554="""","""",query('tbl user'!$A$2:$D10975,""SELECT A WHERE D = '""&amp;K554&amp;""'"")),""USER TIDAK DIKETAHUI""))"),"#REF!")</f>
        <v>#REF!</v>
      </c>
    </row>
    <row r="555">
      <c r="A555" s="21">
        <f t="shared" si="1"/>
        <v>0</v>
      </c>
      <c r="B555" s="32" t="s">
        <v>238</v>
      </c>
      <c r="C555" s="23" t="s">
        <v>239</v>
      </c>
      <c r="D555" s="23" t="s">
        <v>21</v>
      </c>
      <c r="E555" s="24">
        <v>45389.0</v>
      </c>
      <c r="F555" s="25">
        <v>0.31319444444444444</v>
      </c>
      <c r="G555" s="25">
        <v>0.7256944444444444</v>
      </c>
      <c r="H555" s="27">
        <f t="shared" si="2"/>
        <v>0.4125</v>
      </c>
      <c r="I555" s="28">
        <v>2.0</v>
      </c>
      <c r="J555" s="29" t="s">
        <v>464</v>
      </c>
      <c r="K555" s="30" t="s">
        <v>23</v>
      </c>
      <c r="L555" s="31" t="str">
        <f>IFERROR(__xludf.DUMMYFUNCTION("IF(OR(E555="""",K555=""""),"""",IFERROR(IF(K555="""","""",query('tbl user'!$A$2:$D10975,""SELECT A WHERE D = '""&amp;K555&amp;""'"")),""USER TIDAK DIKETAHUI""))"),"#REF!")</f>
        <v>#REF!</v>
      </c>
    </row>
    <row r="556">
      <c r="A556" s="21">
        <f t="shared" si="1"/>
        <v>0</v>
      </c>
      <c r="B556" s="32" t="s">
        <v>243</v>
      </c>
      <c r="C556" s="23" t="s">
        <v>244</v>
      </c>
      <c r="D556" s="23" t="s">
        <v>21</v>
      </c>
      <c r="E556" s="24">
        <v>45389.0</v>
      </c>
      <c r="F556" s="25">
        <v>0.33402777777777776</v>
      </c>
      <c r="G556" s="25">
        <v>0.7027777777777777</v>
      </c>
      <c r="H556" s="27">
        <f t="shared" si="2"/>
        <v>0.36875</v>
      </c>
      <c r="I556" s="28">
        <v>2.0</v>
      </c>
      <c r="J556" s="29" t="s">
        <v>465</v>
      </c>
      <c r="K556" s="30" t="s">
        <v>23</v>
      </c>
      <c r="L556" s="31" t="str">
        <f>IFERROR(__xludf.DUMMYFUNCTION("IF(OR(E556="""",K556=""""),"""",IFERROR(IF(K556="""","""",query('tbl user'!$A$2:$D10975,""SELECT A WHERE D = '""&amp;K556&amp;""'"")),""USER TIDAK DIKETAHUI""))"),"#REF!")</f>
        <v>#REF!</v>
      </c>
    </row>
    <row r="557">
      <c r="A557" s="21">
        <f t="shared" si="1"/>
        <v>0</v>
      </c>
      <c r="B557" s="32" t="s">
        <v>24</v>
      </c>
      <c r="C557" s="23" t="s">
        <v>25</v>
      </c>
      <c r="D557" s="23" t="s">
        <v>21</v>
      </c>
      <c r="E557" s="24">
        <v>45389.0</v>
      </c>
      <c r="F557" s="25">
        <v>0.28055555555555556</v>
      </c>
      <c r="G557" s="25">
        <v>0.6611111111111111</v>
      </c>
      <c r="H557" s="27">
        <f t="shared" si="2"/>
        <v>0.3805555556</v>
      </c>
      <c r="I557" s="28">
        <v>2.0</v>
      </c>
      <c r="J557" s="29" t="s">
        <v>465</v>
      </c>
      <c r="K557" s="30" t="s">
        <v>23</v>
      </c>
      <c r="L557" s="31" t="str">
        <f>IFERROR(__xludf.DUMMYFUNCTION("IF(OR(E557="""",K557=""""),"""",IFERROR(IF(K557="""","""",query('tbl user'!$A$2:$D10975,""SELECT A WHERE D = '""&amp;K557&amp;""'"")),""USER TIDAK DIKETAHUI""))"),"#REF!")</f>
        <v>#REF!</v>
      </c>
    </row>
    <row r="558">
      <c r="A558" s="21">
        <f t="shared" si="1"/>
        <v>0</v>
      </c>
      <c r="B558" s="32" t="s">
        <v>303</v>
      </c>
      <c r="C558" s="23" t="s">
        <v>251</v>
      </c>
      <c r="D558" s="23" t="s">
        <v>21</v>
      </c>
      <c r="E558" s="24">
        <v>45389.0</v>
      </c>
      <c r="F558" s="25">
        <v>0.40208333333333335</v>
      </c>
      <c r="G558" s="25">
        <v>0.7055555555555556</v>
      </c>
      <c r="H558" s="27">
        <f t="shared" si="2"/>
        <v>0.3034722222</v>
      </c>
      <c r="I558" s="28">
        <v>2.0</v>
      </c>
      <c r="J558" s="29" t="s">
        <v>465</v>
      </c>
      <c r="K558" s="30" t="s">
        <v>23</v>
      </c>
      <c r="L558" s="31" t="str">
        <f>IFERROR(__xludf.DUMMYFUNCTION("IF(OR(E558="""",K558=""""),"""",IFERROR(IF(K558="""","""",query('tbl user'!$A$2:$D10975,""SELECT A WHERE D = '""&amp;K558&amp;""'"")),""USER TIDAK DIKETAHUI""))"),"#REF!")</f>
        <v>#REF!</v>
      </c>
    </row>
    <row r="559">
      <c r="A559" s="21">
        <f t="shared" si="1"/>
        <v>0</v>
      </c>
      <c r="B559" s="32" t="s">
        <v>43</v>
      </c>
      <c r="C559" s="23" t="s">
        <v>44</v>
      </c>
      <c r="D559" s="23" t="s">
        <v>21</v>
      </c>
      <c r="E559" s="24">
        <v>45389.0</v>
      </c>
      <c r="F559" s="25">
        <v>0.2951388888888889</v>
      </c>
      <c r="G559" s="25">
        <v>0.6597222222222222</v>
      </c>
      <c r="H559" s="27">
        <f t="shared" si="2"/>
        <v>0.3645833333</v>
      </c>
      <c r="I559" s="28">
        <v>2.0</v>
      </c>
      <c r="J559" s="29" t="s">
        <v>465</v>
      </c>
      <c r="K559" s="30" t="s">
        <v>23</v>
      </c>
      <c r="L559" s="31" t="str">
        <f>IFERROR(__xludf.DUMMYFUNCTION("IF(OR(E559="""",K559=""""),"""",IFERROR(IF(K559="""","""",query('tbl user'!$A$2:$D10975,""SELECT A WHERE D = '""&amp;K559&amp;""'"")),""USER TIDAK DIKETAHUI""))"),"#REF!")</f>
        <v>#REF!</v>
      </c>
    </row>
    <row r="560">
      <c r="A560" s="21">
        <f t="shared" si="1"/>
        <v>0</v>
      </c>
      <c r="B560" s="32" t="s">
        <v>231</v>
      </c>
      <c r="C560" s="23" t="s">
        <v>232</v>
      </c>
      <c r="D560" s="23" t="s">
        <v>21</v>
      </c>
      <c r="E560" s="24">
        <v>45389.0</v>
      </c>
      <c r="F560" s="25">
        <v>0.3020833333333333</v>
      </c>
      <c r="G560" s="25">
        <v>0.6604166666666667</v>
      </c>
      <c r="H560" s="27">
        <f t="shared" si="2"/>
        <v>0.3583333333</v>
      </c>
      <c r="I560" s="28">
        <v>2.0</v>
      </c>
      <c r="J560" s="29" t="s">
        <v>465</v>
      </c>
      <c r="K560" s="30" t="s">
        <v>23</v>
      </c>
      <c r="L560" s="31" t="str">
        <f>IFERROR(__xludf.DUMMYFUNCTION("IF(OR(E560="""",K560=""""),"""",IFERROR(IF(K560="""","""",query('tbl user'!$A$2:$D10975,""SELECT A WHERE D = '""&amp;K560&amp;""'"")),""USER TIDAK DIKETAHUI""))"),"#REF!")</f>
        <v>#REF!</v>
      </c>
    </row>
    <row r="561">
      <c r="A561" s="21">
        <f t="shared" si="1"/>
        <v>0</v>
      </c>
      <c r="B561" s="32" t="s">
        <v>156</v>
      </c>
      <c r="C561" s="23" t="s">
        <v>234</v>
      </c>
      <c r="D561" s="23" t="s">
        <v>21</v>
      </c>
      <c r="E561" s="24">
        <v>45389.0</v>
      </c>
      <c r="F561" s="25">
        <v>0.31875</v>
      </c>
      <c r="G561" s="25">
        <v>0.7048611111111112</v>
      </c>
      <c r="H561" s="27">
        <f t="shared" si="2"/>
        <v>0.3861111111</v>
      </c>
      <c r="I561" s="28">
        <v>2.0</v>
      </c>
      <c r="J561" s="29" t="s">
        <v>465</v>
      </c>
      <c r="K561" s="30" t="s">
        <v>23</v>
      </c>
      <c r="L561" s="31" t="str">
        <f>IFERROR(__xludf.DUMMYFUNCTION("IF(OR(E561="""",K561=""""),"""",IFERROR(IF(K561="""","""",query('tbl user'!$A$2:$D10975,""SELECT A WHERE D = '""&amp;K561&amp;""'"")),""USER TIDAK DIKETAHUI""))"),"#REF!")</f>
        <v>#REF!</v>
      </c>
    </row>
    <row r="562">
      <c r="A562" s="21">
        <f t="shared" si="1"/>
        <v>0</v>
      </c>
      <c r="B562" s="32" t="s">
        <v>305</v>
      </c>
      <c r="C562" s="23" t="s">
        <v>306</v>
      </c>
      <c r="D562" s="23" t="s">
        <v>21</v>
      </c>
      <c r="E562" s="24">
        <v>45389.0</v>
      </c>
      <c r="F562" s="25">
        <v>0.23125</v>
      </c>
      <c r="G562" s="25">
        <v>0.6597222222222222</v>
      </c>
      <c r="H562" s="27">
        <f t="shared" si="2"/>
        <v>0.4284722222</v>
      </c>
      <c r="I562" s="28">
        <v>2.0</v>
      </c>
      <c r="J562" s="29" t="s">
        <v>465</v>
      </c>
      <c r="K562" s="30" t="s">
        <v>23</v>
      </c>
      <c r="L562" s="31" t="str">
        <f>IFERROR(__xludf.DUMMYFUNCTION("IF(OR(E562="""",K562=""""),"""",IFERROR(IF(K562="""","""",query('tbl user'!$A$2:$D10975,""SELECT A WHERE D = '""&amp;K562&amp;""'"")),""USER TIDAK DIKETAHUI""))"),"#REF!")</f>
        <v>#REF!</v>
      </c>
    </row>
    <row r="563">
      <c r="A563" s="21">
        <f t="shared" si="1"/>
        <v>0</v>
      </c>
      <c r="B563" s="32" t="s">
        <v>258</v>
      </c>
      <c r="C563" s="23" t="s">
        <v>259</v>
      </c>
      <c r="D563" s="23" t="s">
        <v>21</v>
      </c>
      <c r="E563" s="24">
        <v>45389.0</v>
      </c>
      <c r="F563" s="25">
        <v>0.25625</v>
      </c>
      <c r="G563" s="25">
        <v>0.6222222222222222</v>
      </c>
      <c r="H563" s="27">
        <f t="shared" si="2"/>
        <v>0.3659722222</v>
      </c>
      <c r="I563" s="28">
        <v>2.0</v>
      </c>
      <c r="J563" s="29" t="s">
        <v>300</v>
      </c>
      <c r="K563" s="30" t="s">
        <v>23</v>
      </c>
      <c r="L563" s="31" t="str">
        <f>IFERROR(__xludf.DUMMYFUNCTION("IF(OR(E563="""",K563=""""),"""",IFERROR(IF(K563="""","""",query('tbl user'!$A$2:$D10975,""SELECT A WHERE D = '""&amp;K563&amp;""'"")),""USER TIDAK DIKETAHUI""))"),"#REF!")</f>
        <v>#REF!</v>
      </c>
    </row>
    <row r="564">
      <c r="A564" s="21">
        <f t="shared" si="1"/>
        <v>0</v>
      </c>
      <c r="B564" s="32" t="s">
        <v>255</v>
      </c>
      <c r="C564" s="23" t="s">
        <v>256</v>
      </c>
      <c r="D564" s="23" t="s">
        <v>21</v>
      </c>
      <c r="E564" s="24">
        <v>45389.0</v>
      </c>
      <c r="F564" s="25">
        <v>0.20694444444444443</v>
      </c>
      <c r="G564" s="25">
        <v>0.7041666666666667</v>
      </c>
      <c r="H564" s="27">
        <f t="shared" si="2"/>
        <v>0.4972222222</v>
      </c>
      <c r="I564" s="28">
        <v>3.0</v>
      </c>
      <c r="J564" s="29" t="s">
        <v>55</v>
      </c>
      <c r="K564" s="30" t="s">
        <v>23</v>
      </c>
      <c r="L564" s="31" t="str">
        <f>IFERROR(__xludf.DUMMYFUNCTION("IF(OR(E564="""",K564=""""),"""",IFERROR(IF(K564="""","""",query('tbl user'!$A$2:$D10975,""SELECT A WHERE D = '""&amp;K564&amp;""'"")),""USER TIDAK DIKETAHUI""))"),"#REF!")</f>
        <v>#REF!</v>
      </c>
    </row>
    <row r="565">
      <c r="A565" s="21">
        <f t="shared" si="1"/>
        <v>0</v>
      </c>
      <c r="B565" s="32" t="s">
        <v>260</v>
      </c>
      <c r="C565" s="23" t="s">
        <v>261</v>
      </c>
      <c r="D565" s="23" t="s">
        <v>21</v>
      </c>
      <c r="E565" s="24">
        <v>45389.0</v>
      </c>
      <c r="F565" s="25">
        <v>0.24305555555555555</v>
      </c>
      <c r="G565" s="25">
        <v>0.7361111111111112</v>
      </c>
      <c r="H565" s="27">
        <f t="shared" si="2"/>
        <v>0.4930555556</v>
      </c>
      <c r="I565" s="28">
        <v>3.0</v>
      </c>
      <c r="J565" s="29" t="s">
        <v>55</v>
      </c>
      <c r="K565" s="30" t="s">
        <v>23</v>
      </c>
      <c r="L565" s="31" t="str">
        <f>IFERROR(__xludf.DUMMYFUNCTION("IF(OR(E565="""",K565=""""),"""",IFERROR(IF(K565="""","""",query('tbl user'!$A$2:$D10975,""SELECT A WHERE D = '""&amp;K565&amp;""'"")),""USER TIDAK DIKETAHUI""))"),"#REF!")</f>
        <v>#REF!</v>
      </c>
    </row>
    <row r="566">
      <c r="A566" s="21">
        <f t="shared" si="1"/>
        <v>0</v>
      </c>
      <c r="B566" s="32" t="s">
        <v>281</v>
      </c>
      <c r="C566" s="23" t="s">
        <v>282</v>
      </c>
      <c r="D566" s="23" t="s">
        <v>21</v>
      </c>
      <c r="E566" s="24">
        <v>45389.0</v>
      </c>
      <c r="F566" s="25">
        <v>0.3909722222222222</v>
      </c>
      <c r="G566" s="25">
        <v>0.6951388888888889</v>
      </c>
      <c r="H566" s="27">
        <f t="shared" si="2"/>
        <v>0.3041666667</v>
      </c>
      <c r="I566" s="28">
        <v>2.0</v>
      </c>
      <c r="J566" s="29" t="s">
        <v>466</v>
      </c>
      <c r="K566" s="30" t="s">
        <v>23</v>
      </c>
      <c r="L566" s="31" t="str">
        <f>IFERROR(__xludf.DUMMYFUNCTION("IF(OR(E566="""",K566=""""),"""",IFERROR(IF(K566="""","""",query('tbl user'!$A$2:$D10975,""SELECT A WHERE D = '""&amp;K566&amp;""'"")),""USER TIDAK DIKETAHUI""))"),"#REF!")</f>
        <v>#REF!</v>
      </c>
    </row>
    <row r="567">
      <c r="A567" s="21">
        <f t="shared" si="1"/>
        <v>0</v>
      </c>
      <c r="B567" s="32" t="s">
        <v>101</v>
      </c>
      <c r="C567" s="23" t="s">
        <v>27</v>
      </c>
      <c r="D567" s="23" t="s">
        <v>21</v>
      </c>
      <c r="E567" s="24">
        <v>45389.0</v>
      </c>
      <c r="F567" s="25">
        <v>0.38958333333333334</v>
      </c>
      <c r="G567" s="25">
        <v>0.6451388888888889</v>
      </c>
      <c r="H567" s="27">
        <f t="shared" si="2"/>
        <v>0.2555555556</v>
      </c>
      <c r="I567" s="28">
        <v>2.0</v>
      </c>
      <c r="J567" s="29" t="s">
        <v>410</v>
      </c>
      <c r="K567" s="30" t="s">
        <v>23</v>
      </c>
      <c r="L567" s="31" t="str">
        <f>IFERROR(__xludf.DUMMYFUNCTION("IF(OR(E567="""",K567=""""),"""",IFERROR(IF(K567="""","""",query('tbl user'!$A$2:$D10975,""SELECT A WHERE D = '""&amp;K567&amp;""'"")),""USER TIDAK DIKETAHUI""))"),"#REF!")</f>
        <v>#REF!</v>
      </c>
    </row>
    <row r="568">
      <c r="A568" s="21">
        <f t="shared" si="1"/>
        <v>0</v>
      </c>
      <c r="B568" s="32" t="s">
        <v>240</v>
      </c>
      <c r="C568" s="23" t="s">
        <v>38</v>
      </c>
      <c r="D568" s="23" t="s">
        <v>21</v>
      </c>
      <c r="E568" s="24">
        <v>45389.0</v>
      </c>
      <c r="F568" s="25">
        <v>0.26805555555555555</v>
      </c>
      <c r="G568" s="25">
        <v>0.6875</v>
      </c>
      <c r="H568" s="27">
        <f t="shared" si="2"/>
        <v>0.4194444444</v>
      </c>
      <c r="I568" s="28">
        <v>3.0</v>
      </c>
      <c r="J568" s="29" t="s">
        <v>467</v>
      </c>
      <c r="K568" s="30" t="s">
        <v>23</v>
      </c>
      <c r="L568" s="31" t="str">
        <f>IFERROR(__xludf.DUMMYFUNCTION("IF(OR(E568="""",K568=""""),"""",IFERROR(IF(K568="""","""",query('tbl user'!$A$2:$D10975,""SELECT A WHERE D = '""&amp;K568&amp;""'"")),""USER TIDAK DIKETAHUI""))"),"#REF!")</f>
        <v>#REF!</v>
      </c>
    </row>
    <row r="569">
      <c r="A569" s="21">
        <f t="shared" si="1"/>
        <v>0</v>
      </c>
      <c r="B569" s="32" t="s">
        <v>61</v>
      </c>
      <c r="C569" s="23" t="s">
        <v>62</v>
      </c>
      <c r="D569" s="23" t="s">
        <v>21</v>
      </c>
      <c r="E569" s="24">
        <v>45389.0</v>
      </c>
      <c r="F569" s="25">
        <v>0.3034722222222222</v>
      </c>
      <c r="G569" s="25">
        <v>0.66875</v>
      </c>
      <c r="H569" s="27">
        <f t="shared" si="2"/>
        <v>0.3652777778</v>
      </c>
      <c r="I569" s="28">
        <v>3.0</v>
      </c>
      <c r="J569" s="29" t="s">
        <v>468</v>
      </c>
      <c r="K569" s="30" t="s">
        <v>23</v>
      </c>
      <c r="L569" s="31" t="str">
        <f>IFERROR(__xludf.DUMMYFUNCTION("IF(OR(E569="""",K569=""""),"""",IFERROR(IF(K569="""","""",query('tbl user'!$A$2:$D10975,""SELECT A WHERE D = '""&amp;K569&amp;""'"")),""USER TIDAK DIKETAHUI""))"),"#REF!")</f>
        <v>#REF!</v>
      </c>
    </row>
    <row r="570">
      <c r="A570" s="21">
        <f t="shared" si="1"/>
        <v>0</v>
      </c>
      <c r="B570" s="32" t="s">
        <v>289</v>
      </c>
      <c r="C570" s="23" t="s">
        <v>290</v>
      </c>
      <c r="D570" s="23" t="s">
        <v>21</v>
      </c>
      <c r="E570" s="24">
        <v>45389.0</v>
      </c>
      <c r="F570" s="25">
        <v>0.3</v>
      </c>
      <c r="G570" s="25">
        <v>0.6840277777777778</v>
      </c>
      <c r="H570" s="27">
        <f t="shared" si="2"/>
        <v>0.3840277778</v>
      </c>
      <c r="I570" s="28">
        <v>3.0</v>
      </c>
      <c r="J570" s="29" t="s">
        <v>171</v>
      </c>
      <c r="K570" s="30" t="s">
        <v>23</v>
      </c>
      <c r="L570" s="31" t="str">
        <f>IFERROR(__xludf.DUMMYFUNCTION("IF(OR(E570="""",K570=""""),"""",IFERROR(IF(K570="""","""",query('tbl user'!$A$2:$D10975,""SELECT A WHERE D = '""&amp;K570&amp;""'"")),""USER TIDAK DIKETAHUI""))"),"#REF!")</f>
        <v>#REF!</v>
      </c>
    </row>
    <row r="571">
      <c r="A571" s="21">
        <f t="shared" si="1"/>
        <v>0</v>
      </c>
      <c r="B571" s="32" t="s">
        <v>64</v>
      </c>
      <c r="C571" s="23" t="s">
        <v>65</v>
      </c>
      <c r="D571" s="23" t="s">
        <v>21</v>
      </c>
      <c r="E571" s="24">
        <v>45389.0</v>
      </c>
      <c r="F571" s="25">
        <v>0.2798611111111111</v>
      </c>
      <c r="G571" s="25">
        <v>0.6680555555555555</v>
      </c>
      <c r="H571" s="27">
        <f t="shared" si="2"/>
        <v>0.3881944444</v>
      </c>
      <c r="I571" s="28">
        <v>3.0</v>
      </c>
      <c r="J571" s="29" t="s">
        <v>469</v>
      </c>
      <c r="K571" s="30" t="s">
        <v>23</v>
      </c>
      <c r="L571" s="31" t="str">
        <f>IFERROR(__xludf.DUMMYFUNCTION("IF(OR(E571="""",K571=""""),"""",IFERROR(IF(K571="""","""",query('tbl user'!$A$2:$D10975,""SELECT A WHERE D = '""&amp;K571&amp;""'"")),""USER TIDAK DIKETAHUI""))"),"#REF!")</f>
        <v>#REF!</v>
      </c>
    </row>
    <row r="572">
      <c r="A572" s="21">
        <f t="shared" si="1"/>
        <v>0</v>
      </c>
      <c r="B572" s="32" t="s">
        <v>153</v>
      </c>
      <c r="C572" s="23" t="s">
        <v>339</v>
      </c>
      <c r="D572" s="23" t="s">
        <v>21</v>
      </c>
      <c r="E572" s="24">
        <v>45389.0</v>
      </c>
      <c r="F572" s="25">
        <v>0.24305555555555555</v>
      </c>
      <c r="G572" s="25">
        <v>0.4201388888888889</v>
      </c>
      <c r="H572" s="27">
        <f t="shared" si="2"/>
        <v>0.1770833333</v>
      </c>
      <c r="I572" s="28">
        <v>2.0</v>
      </c>
      <c r="J572" s="29" t="s">
        <v>470</v>
      </c>
      <c r="K572" s="30" t="s">
        <v>23</v>
      </c>
      <c r="L572" s="31" t="str">
        <f>IFERROR(__xludf.DUMMYFUNCTION("IF(OR(E572="""",K572=""""),"""",IFERROR(IF(K572="""","""",query('tbl user'!$A$2:$D10975,""SELECT A WHERE D = '""&amp;K572&amp;""'"")),""USER TIDAK DIKETAHUI""))"),"#REF!")</f>
        <v>#REF!</v>
      </c>
    </row>
    <row r="573">
      <c r="A573" s="21">
        <f t="shared" si="1"/>
        <v>0</v>
      </c>
      <c r="B573" s="32" t="s">
        <v>333</v>
      </c>
      <c r="C573" s="23" t="s">
        <v>334</v>
      </c>
      <c r="D573" s="23" t="s">
        <v>21</v>
      </c>
      <c r="E573" s="24">
        <v>45389.0</v>
      </c>
      <c r="F573" s="25">
        <v>0.28194444444444444</v>
      </c>
      <c r="G573" s="25">
        <v>0.5666666666666667</v>
      </c>
      <c r="H573" s="27">
        <f t="shared" si="2"/>
        <v>0.2847222222</v>
      </c>
      <c r="I573" s="28">
        <v>3.0</v>
      </c>
      <c r="J573" s="29" t="s">
        <v>471</v>
      </c>
      <c r="K573" s="30" t="s">
        <v>23</v>
      </c>
      <c r="L573" s="31" t="str">
        <f>IFERROR(__xludf.DUMMYFUNCTION("IF(OR(E573="""",K573=""""),"""",IFERROR(IF(K573="""","""",query('tbl user'!$A$2:$D10975,""SELECT A WHERE D = '""&amp;K573&amp;""'"")),""USER TIDAK DIKETAHUI""))"),"#REF!")</f>
        <v>#REF!</v>
      </c>
    </row>
    <row r="574">
      <c r="A574" s="21">
        <f t="shared" si="1"/>
        <v>0</v>
      </c>
      <c r="B574" s="32" t="s">
        <v>331</v>
      </c>
      <c r="C574" s="23" t="s">
        <v>332</v>
      </c>
      <c r="D574" s="23" t="s">
        <v>21</v>
      </c>
      <c r="E574" s="24">
        <v>45389.0</v>
      </c>
      <c r="F574" s="25">
        <v>0.24861111111111112</v>
      </c>
      <c r="G574" s="25">
        <v>0.6555555555555556</v>
      </c>
      <c r="H574" s="27">
        <f t="shared" si="2"/>
        <v>0.4069444444</v>
      </c>
      <c r="I574" s="28">
        <v>5.0</v>
      </c>
      <c r="J574" s="29" t="s">
        <v>55</v>
      </c>
      <c r="K574" s="30" t="s">
        <v>23</v>
      </c>
      <c r="L574" s="31" t="str">
        <f>IFERROR(__xludf.DUMMYFUNCTION("IF(OR(E574="""",K574=""""),"""",IFERROR(IF(K574="""","""",query('tbl user'!$A$2:$D10975,""SELECT A WHERE D = '""&amp;K574&amp;""'"")),""USER TIDAK DIKETAHUI""))"),"#REF!")</f>
        <v>#REF!</v>
      </c>
    </row>
    <row r="575">
      <c r="A575" s="21">
        <f t="shared" si="1"/>
        <v>0</v>
      </c>
      <c r="B575" s="32" t="s">
        <v>78</v>
      </c>
      <c r="C575" s="23" t="s">
        <v>340</v>
      </c>
      <c r="D575" s="23" t="s">
        <v>21</v>
      </c>
      <c r="E575" s="24">
        <v>45389.0</v>
      </c>
      <c r="F575" s="25">
        <v>0.28402777777777777</v>
      </c>
      <c r="G575" s="25">
        <v>0.7013888888888888</v>
      </c>
      <c r="H575" s="27">
        <f t="shared" si="2"/>
        <v>0.4173611111</v>
      </c>
      <c r="I575" s="28">
        <v>6.0</v>
      </c>
      <c r="J575" s="29" t="s">
        <v>55</v>
      </c>
      <c r="K575" s="30" t="s">
        <v>23</v>
      </c>
      <c r="L575" s="31" t="str">
        <f>IFERROR(__xludf.DUMMYFUNCTION("IF(OR(E575="""",K575=""""),"""",IFERROR(IF(K575="""","""",query('tbl user'!$A$2:$D10975,""SELECT A WHERE D = '""&amp;K575&amp;""'"")),""USER TIDAK DIKETAHUI""))"),"#REF!")</f>
        <v>#REF!</v>
      </c>
    </row>
    <row r="576">
      <c r="A576" s="21">
        <f t="shared" si="1"/>
        <v>0</v>
      </c>
      <c r="B576" s="32" t="s">
        <v>423</v>
      </c>
      <c r="C576" s="23" t="s">
        <v>329</v>
      </c>
      <c r="D576" s="23" t="s">
        <v>21</v>
      </c>
      <c r="E576" s="24">
        <v>45389.0</v>
      </c>
      <c r="F576" s="25">
        <v>0.3034722222222222</v>
      </c>
      <c r="G576" s="25">
        <v>0.7486111111111111</v>
      </c>
      <c r="H576" s="27">
        <f t="shared" si="2"/>
        <v>0.4451388889</v>
      </c>
      <c r="I576" s="28">
        <v>6.0</v>
      </c>
      <c r="J576" s="29" t="s">
        <v>55</v>
      </c>
      <c r="K576" s="30" t="s">
        <v>23</v>
      </c>
      <c r="L576" s="31" t="str">
        <f>IFERROR(__xludf.DUMMYFUNCTION("IF(OR(E576="""",K576=""""),"""",IFERROR(IF(K576="""","""",query('tbl user'!$A$2:$D10975,""SELECT A WHERE D = '""&amp;K576&amp;""'"")),""USER TIDAK DIKETAHUI""))"),"#REF!")</f>
        <v>#REF!</v>
      </c>
    </row>
    <row r="577">
      <c r="A577" s="21">
        <f t="shared" si="1"/>
        <v>0</v>
      </c>
      <c r="B577" s="32" t="s">
        <v>127</v>
      </c>
      <c r="C577" s="23" t="s">
        <v>326</v>
      </c>
      <c r="D577" s="23" t="s">
        <v>21</v>
      </c>
      <c r="E577" s="24">
        <v>45389.0</v>
      </c>
      <c r="F577" s="25">
        <v>0.28055555555555556</v>
      </c>
      <c r="G577" s="25">
        <v>0.6756944444444445</v>
      </c>
      <c r="H577" s="27">
        <f t="shared" si="2"/>
        <v>0.3951388889</v>
      </c>
      <c r="I577" s="28">
        <v>6.0</v>
      </c>
      <c r="J577" s="29" t="s">
        <v>55</v>
      </c>
      <c r="K577" s="30" t="s">
        <v>23</v>
      </c>
      <c r="L577" s="31" t="str">
        <f>IFERROR(__xludf.DUMMYFUNCTION("IF(OR(E577="""",K577=""""),"""",IFERROR(IF(K577="""","""",query('tbl user'!$A$2:$D10975,""SELECT A WHERE D = '""&amp;K577&amp;""'"")),""USER TIDAK DIKETAHUI""))"),"#REF!")</f>
        <v>#REF!</v>
      </c>
    </row>
    <row r="578">
      <c r="A578" s="21">
        <f t="shared" si="1"/>
        <v>0</v>
      </c>
      <c r="B578" s="32" t="s">
        <v>229</v>
      </c>
      <c r="C578" s="23" t="s">
        <v>330</v>
      </c>
      <c r="D578" s="23" t="s">
        <v>21</v>
      </c>
      <c r="E578" s="24">
        <v>45389.0</v>
      </c>
      <c r="F578" s="25">
        <v>0.2902777777777778</v>
      </c>
      <c r="G578" s="25">
        <v>0.6930555555555555</v>
      </c>
      <c r="H578" s="27">
        <f t="shared" si="2"/>
        <v>0.4027777778</v>
      </c>
      <c r="I578" s="28">
        <v>6.0</v>
      </c>
      <c r="J578" s="29" t="s">
        <v>55</v>
      </c>
      <c r="K578" s="30" t="s">
        <v>23</v>
      </c>
      <c r="L578" s="31" t="str">
        <f>IFERROR(__xludf.DUMMYFUNCTION("IF(OR(E578="""",K578=""""),"""",IFERROR(IF(K578="""","""",query('tbl user'!$A$2:$D10975,""SELECT A WHERE D = '""&amp;K578&amp;""'"")),""USER TIDAK DIKETAHUI""))"),"#REF!")</f>
        <v>#REF!</v>
      </c>
    </row>
    <row r="579">
      <c r="A579" s="21">
        <f t="shared" si="1"/>
        <v>0</v>
      </c>
      <c r="B579" s="32" t="s">
        <v>337</v>
      </c>
      <c r="C579" s="23" t="s">
        <v>338</v>
      </c>
      <c r="D579" s="23" t="s">
        <v>21</v>
      </c>
      <c r="E579" s="24">
        <v>45389.0</v>
      </c>
      <c r="F579" s="25">
        <v>0.2590277777777778</v>
      </c>
      <c r="G579" s="25">
        <v>0.7006944444444444</v>
      </c>
      <c r="H579" s="27">
        <f t="shared" si="2"/>
        <v>0.4416666667</v>
      </c>
      <c r="I579" s="28">
        <v>6.0</v>
      </c>
      <c r="J579" s="29" t="s">
        <v>55</v>
      </c>
      <c r="K579" s="30" t="s">
        <v>23</v>
      </c>
      <c r="L579" s="31" t="str">
        <f>IFERROR(__xludf.DUMMYFUNCTION("IF(OR(E579="""",K579=""""),"""",IFERROR(IF(K579="""","""",query('tbl user'!$A$2:$D10975,""SELECT A WHERE D = '""&amp;K579&amp;""'"")),""USER TIDAK DIKETAHUI""))"),"#REF!")</f>
        <v>#REF!</v>
      </c>
    </row>
    <row r="580">
      <c r="A580" s="21">
        <f t="shared" si="1"/>
        <v>0</v>
      </c>
      <c r="B580" s="32" t="s">
        <v>139</v>
      </c>
      <c r="C580" s="23" t="s">
        <v>323</v>
      </c>
      <c r="D580" s="23" t="s">
        <v>21</v>
      </c>
      <c r="E580" s="24">
        <v>45389.0</v>
      </c>
      <c r="F580" s="25">
        <v>0.29097222222222224</v>
      </c>
      <c r="G580" s="25">
        <v>0.7159722222222222</v>
      </c>
      <c r="H580" s="27">
        <f t="shared" si="2"/>
        <v>0.425</v>
      </c>
      <c r="I580" s="28">
        <v>6.0</v>
      </c>
      <c r="J580" s="29" t="s">
        <v>55</v>
      </c>
      <c r="K580" s="30" t="s">
        <v>23</v>
      </c>
      <c r="L580" s="31" t="str">
        <f>IFERROR(__xludf.DUMMYFUNCTION("IF(OR(E580="""",K580=""""),"""",IFERROR(IF(K580="""","""",query('tbl user'!$A$2:$D10975,""SELECT A WHERE D = '""&amp;K580&amp;""'"")),""USER TIDAK DIKETAHUI""))"),"#REF!")</f>
        <v>#REF!</v>
      </c>
    </row>
    <row r="581">
      <c r="A581" s="21">
        <f t="shared" si="1"/>
        <v>0</v>
      </c>
      <c r="B581" s="32" t="s">
        <v>220</v>
      </c>
      <c r="C581" s="23" t="s">
        <v>316</v>
      </c>
      <c r="D581" s="23" t="s">
        <v>21</v>
      </c>
      <c r="E581" s="24">
        <v>45389.0</v>
      </c>
      <c r="F581" s="25">
        <v>0.2375</v>
      </c>
      <c r="G581" s="25">
        <v>0.7222222222222222</v>
      </c>
      <c r="H581" s="27">
        <f t="shared" si="2"/>
        <v>0.4847222222</v>
      </c>
      <c r="I581" s="28">
        <v>7.0</v>
      </c>
      <c r="J581" s="29" t="s">
        <v>55</v>
      </c>
      <c r="K581" s="30" t="s">
        <v>23</v>
      </c>
      <c r="L581" s="31" t="str">
        <f>IFERROR(__xludf.DUMMYFUNCTION("IF(OR(E581="""",K581=""""),"""",IFERROR(IF(K581="""","""",query('tbl user'!$A$2:$D10975,""SELECT A WHERE D = '""&amp;K581&amp;""'"")),""USER TIDAK DIKETAHUI""))"),"#REF!")</f>
        <v>#REF!</v>
      </c>
    </row>
    <row r="582">
      <c r="A582" s="21">
        <f t="shared" si="1"/>
        <v>0</v>
      </c>
      <c r="B582" s="32" t="s">
        <v>53</v>
      </c>
      <c r="C582" s="23" t="s">
        <v>54</v>
      </c>
      <c r="D582" s="23" t="s">
        <v>21</v>
      </c>
      <c r="E582" s="24">
        <v>45389.0</v>
      </c>
      <c r="F582" s="25">
        <v>0.25069444444444444</v>
      </c>
      <c r="G582" s="25">
        <v>0.7201388888888889</v>
      </c>
      <c r="H582" s="27">
        <f t="shared" si="2"/>
        <v>0.4694444444</v>
      </c>
      <c r="I582" s="28">
        <v>7.0</v>
      </c>
      <c r="J582" s="29" t="s">
        <v>55</v>
      </c>
      <c r="K582" s="30" t="s">
        <v>23</v>
      </c>
      <c r="L582" s="31" t="str">
        <f>IFERROR(__xludf.DUMMYFUNCTION("IF(OR(E582="""",K582=""""),"""",IFERROR(IF(K582="""","""",query('tbl user'!$A$2:$D10975,""SELECT A WHERE D = '""&amp;K582&amp;""'"")),""USER TIDAK DIKETAHUI""))"),"#REF!")</f>
        <v>#REF!</v>
      </c>
    </row>
    <row r="583">
      <c r="A583" s="21">
        <f t="shared" si="1"/>
        <v>0</v>
      </c>
      <c r="B583" s="32" t="s">
        <v>162</v>
      </c>
      <c r="C583" s="23" t="s">
        <v>190</v>
      </c>
      <c r="D583" s="23" t="s">
        <v>58</v>
      </c>
      <c r="E583" s="24">
        <v>45391.0</v>
      </c>
      <c r="F583" s="25">
        <v>0.24513888888888888</v>
      </c>
      <c r="G583" s="25">
        <v>0.40347222222222223</v>
      </c>
      <c r="H583" s="27">
        <f t="shared" si="2"/>
        <v>0.1583333333</v>
      </c>
      <c r="I583" s="28">
        <v>1.0</v>
      </c>
      <c r="J583" s="29" t="s">
        <v>472</v>
      </c>
      <c r="K583" s="30" t="s">
        <v>23</v>
      </c>
      <c r="L583" s="31" t="str">
        <f>IFERROR(__xludf.DUMMYFUNCTION("IF(OR(E583="""",K583=""""),"""",IFERROR(IF(K583="""","""",query('tbl user'!$A$2:$D10975,""SELECT A WHERE D = '""&amp;K583&amp;""'"")),""USER TIDAK DIKETAHUI""))"),"#REF!")</f>
        <v>#REF!</v>
      </c>
    </row>
    <row r="584">
      <c r="A584" s="21">
        <f t="shared" si="1"/>
        <v>0</v>
      </c>
      <c r="B584" s="32" t="s">
        <v>276</v>
      </c>
      <c r="C584" s="23" t="s">
        <v>183</v>
      </c>
      <c r="D584" s="23" t="s">
        <v>58</v>
      </c>
      <c r="E584" s="24">
        <v>45391.0</v>
      </c>
      <c r="F584" s="25">
        <v>0.28125</v>
      </c>
      <c r="G584" s="25">
        <v>0.575</v>
      </c>
      <c r="H584" s="27">
        <f t="shared" si="2"/>
        <v>0.29375</v>
      </c>
      <c r="I584" s="28">
        <v>2.0</v>
      </c>
      <c r="J584" s="29" t="s">
        <v>473</v>
      </c>
      <c r="K584" s="30" t="s">
        <v>23</v>
      </c>
      <c r="L584" s="31" t="str">
        <f>IFERROR(__xludf.DUMMYFUNCTION("IF(OR(E584="""",K584=""""),"""",IFERROR(IF(K584="""","""",query('tbl user'!$A$2:$D10975,""SELECT A WHERE D = '""&amp;K584&amp;""'"")),""USER TIDAK DIKETAHUI""))"),"#REF!")</f>
        <v>#REF!</v>
      </c>
    </row>
    <row r="585">
      <c r="A585" s="21">
        <f t="shared" si="1"/>
        <v>0</v>
      </c>
      <c r="B585" s="32" t="s">
        <v>30</v>
      </c>
      <c r="C585" s="23" t="s">
        <v>68</v>
      </c>
      <c r="D585" s="23" t="s">
        <v>58</v>
      </c>
      <c r="E585" s="24">
        <v>45391.0</v>
      </c>
      <c r="F585" s="25">
        <v>0.25277777777777777</v>
      </c>
      <c r="G585" s="25">
        <v>0.6166666666666667</v>
      </c>
      <c r="H585" s="27">
        <f t="shared" si="2"/>
        <v>0.3638888889</v>
      </c>
      <c r="I585" s="28">
        <v>2.0</v>
      </c>
      <c r="J585" s="29" t="s">
        <v>474</v>
      </c>
      <c r="K585" s="30" t="s">
        <v>23</v>
      </c>
      <c r="L585" s="31" t="str">
        <f>IFERROR(__xludf.DUMMYFUNCTION("IF(OR(E585="""",K585=""""),"""",IFERROR(IF(K585="""","""",query('tbl user'!$A$2:$D10975,""SELECT A WHERE D = '""&amp;K585&amp;""'"")),""USER TIDAK DIKETAHUI""))"),"#REF!")</f>
        <v>#REF!</v>
      </c>
    </row>
    <row r="586">
      <c r="A586" s="21">
        <f t="shared" si="1"/>
        <v>0</v>
      </c>
      <c r="B586" s="32" t="s">
        <v>267</v>
      </c>
      <c r="C586" s="23" t="s">
        <v>211</v>
      </c>
      <c r="D586" s="23" t="s">
        <v>58</v>
      </c>
      <c r="E586" s="24">
        <v>45391.0</v>
      </c>
      <c r="F586" s="25">
        <v>0.28958333333333336</v>
      </c>
      <c r="G586" s="25">
        <v>0.5451388888888888</v>
      </c>
      <c r="H586" s="27">
        <f t="shared" si="2"/>
        <v>0.2555555556</v>
      </c>
      <c r="I586" s="28">
        <v>2.0</v>
      </c>
      <c r="J586" s="29" t="s">
        <v>473</v>
      </c>
      <c r="K586" s="30" t="s">
        <v>23</v>
      </c>
      <c r="L586" s="31" t="str">
        <f>IFERROR(__xludf.DUMMYFUNCTION("IF(OR(E586="""",K586=""""),"""",IFERROR(IF(K586="""","""",query('tbl user'!$A$2:$D10975,""SELECT A WHERE D = '""&amp;K586&amp;""'"")),""USER TIDAK DIKETAHUI""))"),"#REF!")</f>
        <v>#REF!</v>
      </c>
    </row>
    <row r="587">
      <c r="A587" s="21">
        <f t="shared" si="1"/>
        <v>0</v>
      </c>
      <c r="B587" s="32" t="s">
        <v>167</v>
      </c>
      <c r="C587" s="23" t="s">
        <v>168</v>
      </c>
      <c r="D587" s="23" t="s">
        <v>58</v>
      </c>
      <c r="E587" s="24">
        <v>45391.0</v>
      </c>
      <c r="F587" s="25">
        <v>0.32222222222222224</v>
      </c>
      <c r="G587" s="25">
        <v>0.5479166666666667</v>
      </c>
      <c r="H587" s="27">
        <f t="shared" si="2"/>
        <v>0.2256944444</v>
      </c>
      <c r="I587" s="28">
        <v>2.0</v>
      </c>
      <c r="J587" s="29" t="s">
        <v>475</v>
      </c>
      <c r="K587" s="30" t="s">
        <v>23</v>
      </c>
      <c r="L587" s="31" t="str">
        <f>IFERROR(__xludf.DUMMYFUNCTION("IF(OR(E587="""",K587=""""),"""",IFERROR(IF(K587="""","""",query('tbl user'!$A$2:$D10975,""SELECT A WHERE D = '""&amp;K587&amp;""'"")),""USER TIDAK DIKETAHUI""))"),"#REF!")</f>
        <v>#REF!</v>
      </c>
    </row>
    <row r="588">
      <c r="A588" s="21">
        <f t="shared" si="1"/>
        <v>0</v>
      </c>
      <c r="B588" s="32" t="s">
        <v>363</v>
      </c>
      <c r="C588" s="23" t="s">
        <v>170</v>
      </c>
      <c r="D588" s="23" t="s">
        <v>58</v>
      </c>
      <c r="E588" s="24">
        <v>45391.0</v>
      </c>
      <c r="F588" s="25">
        <v>0.33055555555555555</v>
      </c>
      <c r="G588" s="25">
        <v>0.5694444444444444</v>
      </c>
      <c r="H588" s="27">
        <f t="shared" si="2"/>
        <v>0.2388888889</v>
      </c>
      <c r="I588" s="28">
        <v>2.0</v>
      </c>
      <c r="J588" s="29" t="s">
        <v>473</v>
      </c>
      <c r="K588" s="30" t="s">
        <v>23</v>
      </c>
      <c r="L588" s="31" t="str">
        <f>IFERROR(__xludf.DUMMYFUNCTION("IF(OR(E588="""",K588=""""),"""",IFERROR(IF(K588="""","""",query('tbl user'!$A$2:$D10975,""SELECT A WHERE D = '""&amp;K588&amp;""'"")),""USER TIDAK DIKETAHUI""))"),"#REF!")</f>
        <v>#REF!</v>
      </c>
    </row>
    <row r="589">
      <c r="A589" s="21">
        <f t="shared" si="1"/>
        <v>0</v>
      </c>
      <c r="B589" s="32" t="s">
        <v>92</v>
      </c>
      <c r="C589" s="23" t="s">
        <v>93</v>
      </c>
      <c r="D589" s="23" t="s">
        <v>58</v>
      </c>
      <c r="E589" s="24">
        <v>45391.0</v>
      </c>
      <c r="F589" s="25">
        <v>0.2673611111111111</v>
      </c>
      <c r="G589" s="25">
        <v>0.5777777777777777</v>
      </c>
      <c r="H589" s="27">
        <f t="shared" si="2"/>
        <v>0.3104166667</v>
      </c>
      <c r="I589" s="28">
        <v>2.0</v>
      </c>
      <c r="J589" s="29" t="s">
        <v>476</v>
      </c>
      <c r="K589" s="30" t="s">
        <v>23</v>
      </c>
      <c r="L589" s="31" t="str">
        <f>IFERROR(__xludf.DUMMYFUNCTION("IF(OR(E589="""",K589=""""),"""",IFERROR(IF(K589="""","""",query('tbl user'!$A$2:$D10975,""SELECT A WHERE D = '""&amp;K589&amp;""'"")),""USER TIDAK DIKETAHUI""))"),"#REF!")</f>
        <v>#REF!</v>
      </c>
    </row>
    <row r="590">
      <c r="A590" s="21">
        <f t="shared" si="1"/>
        <v>0</v>
      </c>
      <c r="B590" s="32" t="s">
        <v>215</v>
      </c>
      <c r="C590" s="23" t="s">
        <v>176</v>
      </c>
      <c r="D590" s="23" t="s">
        <v>58</v>
      </c>
      <c r="E590" s="24">
        <v>45391.0</v>
      </c>
      <c r="F590" s="25">
        <v>0.26805555555555555</v>
      </c>
      <c r="G590" s="25">
        <v>0.5541666666666667</v>
      </c>
      <c r="H590" s="27">
        <f t="shared" si="2"/>
        <v>0.2861111111</v>
      </c>
      <c r="I590" s="28">
        <v>2.0</v>
      </c>
      <c r="J590" s="29" t="s">
        <v>473</v>
      </c>
      <c r="K590" s="30" t="s">
        <v>23</v>
      </c>
      <c r="L590" s="31" t="str">
        <f>IFERROR(__xludf.DUMMYFUNCTION("IF(OR(E590="""",K590=""""),"""",IFERROR(IF(K590="""","""",query('tbl user'!$A$2:$D10975,""SELECT A WHERE D = '""&amp;K590&amp;""'"")),""USER TIDAK DIKETAHUI""))"),"#REF!")</f>
        <v>#REF!</v>
      </c>
    </row>
    <row r="591">
      <c r="A591" s="21">
        <f t="shared" si="1"/>
        <v>0</v>
      </c>
      <c r="B591" s="32" t="s">
        <v>56</v>
      </c>
      <c r="C591" s="23" t="s">
        <v>57</v>
      </c>
      <c r="D591" s="23" t="s">
        <v>58</v>
      </c>
      <c r="E591" s="24">
        <v>45391.0</v>
      </c>
      <c r="F591" s="25">
        <v>0.3055555555555556</v>
      </c>
      <c r="G591" s="25">
        <v>0.6118055555555556</v>
      </c>
      <c r="H591" s="27">
        <f t="shared" si="2"/>
        <v>0.30625</v>
      </c>
      <c r="I591" s="28">
        <v>2.0</v>
      </c>
      <c r="J591" s="29" t="s">
        <v>473</v>
      </c>
      <c r="K591" s="30" t="s">
        <v>23</v>
      </c>
      <c r="L591" s="31" t="str">
        <f>IFERROR(__xludf.DUMMYFUNCTION("IF(OR(E591="""",K591=""""),"""",IFERROR(IF(K591="""","""",query('tbl user'!$A$2:$D10975,""SELECT A WHERE D = '""&amp;K591&amp;""'"")),""USER TIDAK DIKETAHUI""))"),"#REF!")</f>
        <v>#REF!</v>
      </c>
    </row>
    <row r="592">
      <c r="A592" s="21">
        <f t="shared" si="1"/>
        <v>0</v>
      </c>
      <c r="B592" s="32" t="s">
        <v>178</v>
      </c>
      <c r="C592" s="23" t="s">
        <v>82</v>
      </c>
      <c r="D592" s="23" t="s">
        <v>58</v>
      </c>
      <c r="E592" s="24">
        <v>45391.0</v>
      </c>
      <c r="F592" s="25">
        <v>0.3548611111111111</v>
      </c>
      <c r="G592" s="25">
        <v>0.6131944444444445</v>
      </c>
      <c r="H592" s="27">
        <f t="shared" si="2"/>
        <v>0.2583333333</v>
      </c>
      <c r="I592" s="28">
        <v>2.0</v>
      </c>
      <c r="J592" s="29" t="s">
        <v>473</v>
      </c>
      <c r="K592" s="30" t="s">
        <v>23</v>
      </c>
      <c r="L592" s="31" t="str">
        <f>IFERROR(__xludf.DUMMYFUNCTION("IF(OR(E592="""",K592=""""),"""",IFERROR(IF(K592="""","""",query('tbl user'!$A$2:$D10975,""SELECT A WHERE D = '""&amp;K592&amp;""'"")),""USER TIDAK DIKETAHUI""))"),"#REF!")</f>
        <v>#REF!</v>
      </c>
    </row>
    <row r="593">
      <c r="A593" s="21">
        <f t="shared" si="1"/>
        <v>0</v>
      </c>
      <c r="B593" s="32" t="s">
        <v>133</v>
      </c>
      <c r="C593" s="23" t="s">
        <v>181</v>
      </c>
      <c r="D593" s="23" t="s">
        <v>58</v>
      </c>
      <c r="E593" s="24">
        <v>45391.0</v>
      </c>
      <c r="F593" s="25">
        <v>0.2326388888888889</v>
      </c>
      <c r="G593" s="25">
        <v>0.5458333333333333</v>
      </c>
      <c r="H593" s="27">
        <f t="shared" si="2"/>
        <v>0.3131944444</v>
      </c>
      <c r="I593" s="28">
        <v>2.0</v>
      </c>
      <c r="J593" s="29" t="s">
        <v>477</v>
      </c>
      <c r="K593" s="30" t="s">
        <v>23</v>
      </c>
      <c r="L593" s="31" t="str">
        <f>IFERROR(__xludf.DUMMYFUNCTION("IF(OR(E593="""",K593=""""),"""",IFERROR(IF(K593="""","""",query('tbl user'!$A$2:$D10975,""SELECT A WHERE D = '""&amp;K593&amp;""'"")),""USER TIDAK DIKETAHUI""))"),"#REF!")</f>
        <v>#REF!</v>
      </c>
    </row>
    <row r="594">
      <c r="A594" s="21">
        <f t="shared" si="1"/>
        <v>0</v>
      </c>
      <c r="B594" s="32" t="s">
        <v>216</v>
      </c>
      <c r="C594" s="23" t="s">
        <v>195</v>
      </c>
      <c r="D594" s="23" t="s">
        <v>58</v>
      </c>
      <c r="E594" s="24">
        <v>45391.0</v>
      </c>
      <c r="F594" s="25">
        <v>0.2263888888888889</v>
      </c>
      <c r="G594" s="25">
        <v>0.5756944444444444</v>
      </c>
      <c r="H594" s="27">
        <f t="shared" si="2"/>
        <v>0.3493055556</v>
      </c>
      <c r="I594" s="28">
        <v>2.0</v>
      </c>
      <c r="J594" s="29" t="s">
        <v>301</v>
      </c>
      <c r="K594" s="30" t="s">
        <v>23</v>
      </c>
      <c r="L594" s="31" t="str">
        <f>IFERROR(__xludf.DUMMYFUNCTION("IF(OR(E594="""",K594=""""),"""",IFERROR(IF(K594="""","""",query('tbl user'!$A$2:$D10975,""SELECT A WHERE D = '""&amp;K594&amp;""'"")),""USER TIDAK DIKETAHUI""))"),"#REF!")</f>
        <v>#REF!</v>
      </c>
    </row>
    <row r="595">
      <c r="A595" s="21">
        <f t="shared" si="1"/>
        <v>0</v>
      </c>
      <c r="B595" s="32" t="s">
        <v>110</v>
      </c>
      <c r="C595" s="23" t="s">
        <v>201</v>
      </c>
      <c r="D595" s="23" t="s">
        <v>58</v>
      </c>
      <c r="E595" s="24">
        <v>45391.0</v>
      </c>
      <c r="F595" s="25">
        <v>0.29097222222222224</v>
      </c>
      <c r="G595" s="25">
        <v>0.5590277777777778</v>
      </c>
      <c r="H595" s="27">
        <f t="shared" si="2"/>
        <v>0.2680555556</v>
      </c>
      <c r="I595" s="28">
        <v>2.0</v>
      </c>
      <c r="J595" s="29" t="s">
        <v>473</v>
      </c>
      <c r="K595" s="30" t="s">
        <v>23</v>
      </c>
      <c r="L595" s="31" t="str">
        <f>IFERROR(__xludf.DUMMYFUNCTION("IF(OR(E595="""",K595=""""),"""",IFERROR(IF(K595="""","""",query('tbl user'!$A$2:$D10975,""SELECT A WHERE D = '""&amp;K595&amp;""'"")),""USER TIDAK DIKETAHUI""))"),"#REF!")</f>
        <v>#REF!</v>
      </c>
    </row>
    <row r="596">
      <c r="A596" s="21">
        <f t="shared" si="1"/>
        <v>0</v>
      </c>
      <c r="B596" s="32" t="s">
        <v>144</v>
      </c>
      <c r="C596" s="23" t="s">
        <v>105</v>
      </c>
      <c r="D596" s="23" t="s">
        <v>58</v>
      </c>
      <c r="E596" s="24">
        <v>45391.0</v>
      </c>
      <c r="F596" s="25">
        <v>0.30833333333333335</v>
      </c>
      <c r="G596" s="25">
        <v>0.5972222222222222</v>
      </c>
      <c r="H596" s="27">
        <f t="shared" si="2"/>
        <v>0.2888888889</v>
      </c>
      <c r="I596" s="28">
        <v>2.0</v>
      </c>
      <c r="J596" s="29" t="s">
        <v>478</v>
      </c>
      <c r="K596" s="30" t="s">
        <v>23</v>
      </c>
      <c r="L596" s="31" t="str">
        <f>IFERROR(__xludf.DUMMYFUNCTION("IF(OR(E596="""",K596=""""),"""",IFERROR(IF(K596="""","""",query('tbl user'!$A$2:$D10975,""SELECT A WHERE D = '""&amp;K596&amp;""'"")),""USER TIDAK DIKETAHUI""))"),"#REF!")</f>
        <v>#REF!</v>
      </c>
    </row>
    <row r="597">
      <c r="A597" s="21">
        <f t="shared" si="1"/>
        <v>0</v>
      </c>
      <c r="B597" s="32" t="s">
        <v>209</v>
      </c>
      <c r="C597" s="23" t="s">
        <v>203</v>
      </c>
      <c r="D597" s="23" t="s">
        <v>58</v>
      </c>
      <c r="E597" s="24">
        <v>45391.0</v>
      </c>
      <c r="F597" s="25">
        <v>0.25</v>
      </c>
      <c r="G597" s="25">
        <v>0.5479166666666667</v>
      </c>
      <c r="H597" s="27">
        <f t="shared" si="2"/>
        <v>0.2979166667</v>
      </c>
      <c r="I597" s="28">
        <v>2.0</v>
      </c>
      <c r="J597" s="29" t="s">
        <v>397</v>
      </c>
      <c r="K597" s="30" t="s">
        <v>23</v>
      </c>
      <c r="L597" s="31" t="str">
        <f>IFERROR(__xludf.DUMMYFUNCTION("IF(OR(E597="""",K597=""""),"""",IFERROR(IF(K597="""","""",query('tbl user'!$A$2:$D10975,""SELECT A WHERE D = '""&amp;K597&amp;""'"")),""USER TIDAK DIKETAHUI""))"),"#REF!")</f>
        <v>#REF!</v>
      </c>
    </row>
    <row r="598">
      <c r="A598" s="21">
        <f t="shared" si="1"/>
        <v>0</v>
      </c>
      <c r="B598" s="32" t="s">
        <v>120</v>
      </c>
      <c r="C598" s="23" t="s">
        <v>206</v>
      </c>
      <c r="D598" s="23" t="s">
        <v>58</v>
      </c>
      <c r="E598" s="24">
        <v>45391.0</v>
      </c>
      <c r="F598" s="25">
        <v>0.2604166666666667</v>
      </c>
      <c r="G598" s="25">
        <v>0.5513888888888889</v>
      </c>
      <c r="H598" s="27">
        <f t="shared" si="2"/>
        <v>0.2909722222</v>
      </c>
      <c r="I598" s="28">
        <v>2.0</v>
      </c>
      <c r="J598" s="29" t="s">
        <v>473</v>
      </c>
      <c r="K598" s="30" t="s">
        <v>23</v>
      </c>
      <c r="L598" s="31" t="str">
        <f>IFERROR(__xludf.DUMMYFUNCTION("IF(OR(E598="""",K598=""""),"""",IFERROR(IF(K598="""","""",query('tbl user'!$A$2:$D10975,""SELECT A WHERE D = '""&amp;K598&amp;""'"")),""USER TIDAK DIKETAHUI""))"),"#REF!")</f>
        <v>#REF!</v>
      </c>
    </row>
    <row r="599">
      <c r="A599" s="21">
        <f t="shared" si="1"/>
        <v>0</v>
      </c>
      <c r="B599" s="32" t="s">
        <v>72</v>
      </c>
      <c r="C599" s="23" t="s">
        <v>208</v>
      </c>
      <c r="D599" s="23" t="s">
        <v>58</v>
      </c>
      <c r="E599" s="24">
        <v>45391.0</v>
      </c>
      <c r="F599" s="25">
        <v>0.2847222222222222</v>
      </c>
      <c r="G599" s="25">
        <v>0.5534722222222223</v>
      </c>
      <c r="H599" s="27">
        <f t="shared" si="2"/>
        <v>0.26875</v>
      </c>
      <c r="I599" s="28">
        <v>2.0</v>
      </c>
      <c r="J599" s="29" t="s">
        <v>473</v>
      </c>
      <c r="K599" s="30" t="s">
        <v>23</v>
      </c>
      <c r="L599" s="31" t="str">
        <f>IFERROR(__xludf.DUMMYFUNCTION("IF(OR(E599="""",K599=""""),"""",IFERROR(IF(K599="""","""",query('tbl user'!$A$2:$D10975,""SELECT A WHERE D = '""&amp;K599&amp;""'"")),""USER TIDAK DIKETAHUI""))"),"#REF!")</f>
        <v>#REF!</v>
      </c>
    </row>
    <row r="600">
      <c r="A600" s="21">
        <f t="shared" si="1"/>
        <v>0</v>
      </c>
      <c r="B600" s="32" t="s">
        <v>84</v>
      </c>
      <c r="C600" s="23" t="s">
        <v>85</v>
      </c>
      <c r="D600" s="23" t="s">
        <v>58</v>
      </c>
      <c r="E600" s="24">
        <v>45391.0</v>
      </c>
      <c r="F600" s="25">
        <v>0.22847222222222222</v>
      </c>
      <c r="G600" s="25">
        <v>0.5923611111111111</v>
      </c>
      <c r="H600" s="27">
        <f t="shared" si="2"/>
        <v>0.3638888889</v>
      </c>
      <c r="I600" s="28">
        <v>3.0</v>
      </c>
      <c r="J600" s="29" t="s">
        <v>473</v>
      </c>
      <c r="K600" s="30" t="s">
        <v>23</v>
      </c>
      <c r="L600" s="31" t="str">
        <f>IFERROR(__xludf.DUMMYFUNCTION("IF(OR(E600="""",K600=""""),"""",IFERROR(IF(K600="""","""",query('tbl user'!$A$2:$D10975,""SELECT A WHERE D = '""&amp;K600&amp;""'"")),""USER TIDAK DIKETAHUI""))"),"#REF!")</f>
        <v>#REF!</v>
      </c>
    </row>
    <row r="601">
      <c r="A601" s="21">
        <f t="shared" si="1"/>
        <v>0</v>
      </c>
      <c r="B601" s="32" t="s">
        <v>175</v>
      </c>
      <c r="C601" s="23" t="s">
        <v>35</v>
      </c>
      <c r="D601" s="23" t="s">
        <v>21</v>
      </c>
      <c r="E601" s="24">
        <v>45391.0</v>
      </c>
      <c r="F601" s="25">
        <v>0.2916666666666667</v>
      </c>
      <c r="G601" s="25">
        <v>0.5527777777777778</v>
      </c>
      <c r="H601" s="27">
        <f t="shared" si="2"/>
        <v>0.2611111111</v>
      </c>
      <c r="I601" s="28">
        <v>1.0</v>
      </c>
      <c r="J601" s="29" t="s">
        <v>473</v>
      </c>
      <c r="K601" s="30" t="s">
        <v>23</v>
      </c>
      <c r="L601" s="31" t="str">
        <f>IFERROR(__xludf.DUMMYFUNCTION("IF(OR(E601="""",K601=""""),"""",IFERROR(IF(K601="""","""",query('tbl user'!$A$2:$D10975,""SELECT A WHERE D = '""&amp;K601&amp;""'"")),""USER TIDAK DIKETAHUI""))"),"#REF!")</f>
        <v>#REF!</v>
      </c>
    </row>
    <row r="602">
      <c r="A602" s="21">
        <f t="shared" si="1"/>
        <v>0</v>
      </c>
      <c r="B602" s="32" t="s">
        <v>24</v>
      </c>
      <c r="C602" s="23" t="s">
        <v>25</v>
      </c>
      <c r="D602" s="23" t="s">
        <v>21</v>
      </c>
      <c r="E602" s="24">
        <v>45391.0</v>
      </c>
      <c r="F602" s="25">
        <v>0.2833333333333333</v>
      </c>
      <c r="G602" s="25">
        <v>0.5555555555555556</v>
      </c>
      <c r="H602" s="27">
        <f t="shared" si="2"/>
        <v>0.2722222222</v>
      </c>
      <c r="I602" s="28">
        <v>1.0</v>
      </c>
      <c r="J602" s="29" t="s">
        <v>479</v>
      </c>
      <c r="K602" s="30" t="s">
        <v>23</v>
      </c>
      <c r="L602" s="31" t="str">
        <f>IFERROR(__xludf.DUMMYFUNCTION("IF(OR(E602="""",K602=""""),"""",IFERROR(IF(K602="""","""",query('tbl user'!$A$2:$D10975,""SELECT A WHERE D = '""&amp;K602&amp;""'"")),""USER TIDAK DIKETAHUI""))"),"#REF!")</f>
        <v>#REF!</v>
      </c>
    </row>
    <row r="603">
      <c r="A603" s="21">
        <f t="shared" si="1"/>
        <v>0</v>
      </c>
      <c r="B603" s="32" t="s">
        <v>253</v>
      </c>
      <c r="C603" s="23" t="s">
        <v>102</v>
      </c>
      <c r="D603" s="23" t="s">
        <v>21</v>
      </c>
      <c r="E603" s="24">
        <v>45391.0</v>
      </c>
      <c r="F603" s="25">
        <v>0.2611111111111111</v>
      </c>
      <c r="G603" s="25">
        <v>0.5555555555555556</v>
      </c>
      <c r="H603" s="27">
        <f t="shared" si="2"/>
        <v>0.2944444444</v>
      </c>
      <c r="I603" s="28">
        <v>1.0</v>
      </c>
      <c r="J603" s="29" t="s">
        <v>473</v>
      </c>
      <c r="K603" s="30" t="s">
        <v>23</v>
      </c>
      <c r="L603" s="31" t="str">
        <f>IFERROR(__xludf.DUMMYFUNCTION("IF(OR(E603="""",K603=""""),"""",IFERROR(IF(K603="""","""",query('tbl user'!$A$2:$D10975,""SELECT A WHERE D = '""&amp;K603&amp;""'"")),""USER TIDAK DIKETAHUI""))"),"#REF!")</f>
        <v>#REF!</v>
      </c>
    </row>
    <row r="604">
      <c r="A604" s="21">
        <f t="shared" si="1"/>
        <v>0</v>
      </c>
      <c r="B604" s="32" t="s">
        <v>246</v>
      </c>
      <c r="C604" s="23" t="s">
        <v>234</v>
      </c>
      <c r="D604" s="23" t="s">
        <v>21</v>
      </c>
      <c r="E604" s="24">
        <v>45391.0</v>
      </c>
      <c r="F604" s="25">
        <v>0.34305555555555556</v>
      </c>
      <c r="G604" s="25">
        <v>0.5472222222222223</v>
      </c>
      <c r="H604" s="27">
        <f t="shared" si="2"/>
        <v>0.2041666667</v>
      </c>
      <c r="I604" s="28">
        <v>1.0</v>
      </c>
      <c r="J604" s="29" t="s">
        <v>473</v>
      </c>
      <c r="K604" s="30" t="s">
        <v>23</v>
      </c>
      <c r="L604" s="31" t="str">
        <f>IFERROR(__xludf.DUMMYFUNCTION("IF(OR(E604="""",K604=""""),"""",IFERROR(IF(K604="""","""",query('tbl user'!$A$2:$D10975,""SELECT A WHERE D = '""&amp;K604&amp;""'"")),""USER TIDAK DIKETAHUI""))"),"#REF!")</f>
        <v>#REF!</v>
      </c>
    </row>
    <row r="605">
      <c r="A605" s="21">
        <f t="shared" si="1"/>
        <v>0</v>
      </c>
      <c r="B605" s="32" t="s">
        <v>149</v>
      </c>
      <c r="C605" s="23" t="s">
        <v>236</v>
      </c>
      <c r="D605" s="23" t="s">
        <v>21</v>
      </c>
      <c r="E605" s="24">
        <v>45391.0</v>
      </c>
      <c r="F605" s="25">
        <v>0.2652777777777778</v>
      </c>
      <c r="G605" s="25">
        <v>0.5534722222222223</v>
      </c>
      <c r="H605" s="27">
        <f t="shared" si="2"/>
        <v>0.2881944444</v>
      </c>
      <c r="I605" s="28">
        <v>1.0</v>
      </c>
      <c r="J605" s="29" t="s">
        <v>473</v>
      </c>
      <c r="K605" s="30" t="s">
        <v>23</v>
      </c>
      <c r="L605" s="31" t="str">
        <f>IFERROR(__xludf.DUMMYFUNCTION("IF(OR(E605="""",K605=""""),"""",IFERROR(IF(K605="""","""",query('tbl user'!$A$2:$D10975,""SELECT A WHERE D = '""&amp;K605&amp;""'"")),""USER TIDAK DIKETAHUI""))"),"#REF!")</f>
        <v>#REF!</v>
      </c>
    </row>
    <row r="606">
      <c r="A606" s="21">
        <f t="shared" si="1"/>
        <v>0</v>
      </c>
      <c r="B606" s="32" t="s">
        <v>238</v>
      </c>
      <c r="C606" s="23" t="s">
        <v>239</v>
      </c>
      <c r="D606" s="23" t="s">
        <v>21</v>
      </c>
      <c r="E606" s="24">
        <v>45391.0</v>
      </c>
      <c r="F606" s="25">
        <v>0.28402777777777777</v>
      </c>
      <c r="G606" s="25">
        <v>0.7270833333333333</v>
      </c>
      <c r="H606" s="27">
        <f t="shared" si="2"/>
        <v>0.4430555556</v>
      </c>
      <c r="I606" s="28">
        <v>2.0</v>
      </c>
      <c r="J606" s="29" t="s">
        <v>480</v>
      </c>
      <c r="K606" s="30" t="s">
        <v>23</v>
      </c>
      <c r="L606" s="31" t="str">
        <f>IFERROR(__xludf.DUMMYFUNCTION("IF(OR(E606="""",K606=""""),"""",IFERROR(IF(K606="""","""",query('tbl user'!$A$2:$D10975,""SELECT A WHERE D = '""&amp;K606&amp;""'"")),""USER TIDAK DIKETAHUI""))"),"#REF!")</f>
        <v>#REF!</v>
      </c>
    </row>
    <row r="607">
      <c r="A607" s="21">
        <f t="shared" si="1"/>
        <v>0</v>
      </c>
      <c r="B607" s="32" t="s">
        <v>240</v>
      </c>
      <c r="C607" s="23" t="s">
        <v>241</v>
      </c>
      <c r="D607" s="23" t="s">
        <v>21</v>
      </c>
      <c r="E607" s="24">
        <v>45391.0</v>
      </c>
      <c r="F607" s="25">
        <v>0.24305555555555555</v>
      </c>
      <c r="G607" s="25">
        <v>0.6902777777777778</v>
      </c>
      <c r="H607" s="27">
        <f t="shared" si="2"/>
        <v>0.4472222222</v>
      </c>
      <c r="I607" s="28">
        <v>2.0</v>
      </c>
      <c r="J607" s="29" t="s">
        <v>473</v>
      </c>
      <c r="K607" s="30" t="s">
        <v>23</v>
      </c>
      <c r="L607" s="31" t="str">
        <f>IFERROR(__xludf.DUMMYFUNCTION("IF(OR(E607="""",K607=""""),"""",IFERROR(IF(K607="""","""",query('tbl user'!$A$2:$D10975,""SELECT A WHERE D = '""&amp;K607&amp;""'"")),""USER TIDAK DIKETAHUI""))"),"#REF!")</f>
        <v>#REF!</v>
      </c>
    </row>
    <row r="608">
      <c r="A608" s="21">
        <f t="shared" si="1"/>
        <v>0</v>
      </c>
      <c r="B608" s="32" t="s">
        <v>43</v>
      </c>
      <c r="C608" s="23" t="s">
        <v>44</v>
      </c>
      <c r="D608" s="23" t="s">
        <v>21</v>
      </c>
      <c r="E608" s="24">
        <v>45391.0</v>
      </c>
      <c r="F608" s="25">
        <v>0.28680555555555554</v>
      </c>
      <c r="G608" s="25">
        <v>0.7138888888888889</v>
      </c>
      <c r="H608" s="27">
        <f t="shared" si="2"/>
        <v>0.4270833333</v>
      </c>
      <c r="I608" s="28">
        <v>2.0</v>
      </c>
      <c r="J608" s="29" t="s">
        <v>473</v>
      </c>
      <c r="K608" s="30" t="s">
        <v>23</v>
      </c>
      <c r="L608" s="31" t="str">
        <f>IFERROR(__xludf.DUMMYFUNCTION("IF(OR(E608="""",K608=""""),"""",IFERROR(IF(K608="""","""",query('tbl user'!$A$2:$D10975,""SELECT A WHERE D = '""&amp;K608&amp;""'"")),""USER TIDAK DIKETAHUI""))"),"#REF!")</f>
        <v>#REF!</v>
      </c>
    </row>
    <row r="609">
      <c r="A609" s="21">
        <f t="shared" si="1"/>
        <v>0</v>
      </c>
      <c r="B609" s="32" t="s">
        <v>305</v>
      </c>
      <c r="C609" s="23" t="s">
        <v>306</v>
      </c>
      <c r="D609" s="23" t="s">
        <v>21</v>
      </c>
      <c r="E609" s="24">
        <v>45391.0</v>
      </c>
      <c r="F609" s="25">
        <v>0.22013888888888888</v>
      </c>
      <c r="G609" s="25">
        <v>0.5347222222222222</v>
      </c>
      <c r="H609" s="27">
        <f t="shared" si="2"/>
        <v>0.3145833333</v>
      </c>
      <c r="I609" s="28">
        <v>2.0</v>
      </c>
      <c r="J609" s="29" t="s">
        <v>481</v>
      </c>
      <c r="K609" s="30" t="s">
        <v>23</v>
      </c>
      <c r="L609" s="31" t="str">
        <f>IFERROR(__xludf.DUMMYFUNCTION("IF(OR(E609="""",K609=""""),"""",IFERROR(IF(K609="""","""",query('tbl user'!$A$2:$D10975,""SELECT A WHERE D = '""&amp;K609&amp;""'"")),""USER TIDAK DIKETAHUI""))"),"#REF!")</f>
        <v>#REF!</v>
      </c>
    </row>
    <row r="610">
      <c r="A610" s="21">
        <f t="shared" si="1"/>
        <v>0</v>
      </c>
      <c r="B610" s="32" t="s">
        <v>255</v>
      </c>
      <c r="C610" s="23" t="s">
        <v>256</v>
      </c>
      <c r="D610" s="23" t="s">
        <v>21</v>
      </c>
      <c r="E610" s="24">
        <v>45391.0</v>
      </c>
      <c r="F610" s="25">
        <v>0.2673611111111111</v>
      </c>
      <c r="G610" s="25">
        <v>0.6048611111111111</v>
      </c>
      <c r="H610" s="27">
        <f t="shared" si="2"/>
        <v>0.3375</v>
      </c>
      <c r="I610" s="28">
        <v>2.0</v>
      </c>
      <c r="J610" s="29" t="s">
        <v>482</v>
      </c>
      <c r="K610" s="30" t="s">
        <v>23</v>
      </c>
      <c r="L610" s="31" t="str">
        <f>IFERROR(__xludf.DUMMYFUNCTION("IF(OR(E610="""",K610=""""),"""",IFERROR(IF(K610="""","""",query('tbl user'!$A$2:$D10975,""SELECT A WHERE D = '""&amp;K610&amp;""'"")),""USER TIDAK DIKETAHUI""))"),"#REF!")</f>
        <v>#REF!</v>
      </c>
    </row>
    <row r="611">
      <c r="A611" s="21">
        <f t="shared" si="1"/>
        <v>0</v>
      </c>
      <c r="B611" s="32" t="s">
        <v>258</v>
      </c>
      <c r="C611" s="23" t="s">
        <v>259</v>
      </c>
      <c r="D611" s="23" t="s">
        <v>21</v>
      </c>
      <c r="E611" s="24">
        <v>45391.0</v>
      </c>
      <c r="F611" s="25">
        <v>0.25833333333333336</v>
      </c>
      <c r="G611" s="25">
        <v>0.6909722222222222</v>
      </c>
      <c r="H611" s="27">
        <f t="shared" si="2"/>
        <v>0.4326388889</v>
      </c>
      <c r="I611" s="28">
        <v>2.0</v>
      </c>
      <c r="J611" s="29" t="s">
        <v>473</v>
      </c>
      <c r="K611" s="30" t="s">
        <v>23</v>
      </c>
      <c r="L611" s="31" t="str">
        <f>IFERROR(__xludf.DUMMYFUNCTION("IF(OR(E611="""",K611=""""),"""",IFERROR(IF(K611="""","""",query('tbl user'!$A$2:$D10975,""SELECT A WHERE D = '""&amp;K611&amp;""'"")),""USER TIDAK DIKETAHUI""))"),"#REF!")</f>
        <v>#REF!</v>
      </c>
    </row>
    <row r="612">
      <c r="A612" s="21">
        <f t="shared" si="1"/>
        <v>0</v>
      </c>
      <c r="B612" s="32" t="s">
        <v>260</v>
      </c>
      <c r="C612" s="23" t="s">
        <v>261</v>
      </c>
      <c r="D612" s="23" t="s">
        <v>21</v>
      </c>
      <c r="E612" s="24">
        <v>45391.0</v>
      </c>
      <c r="F612" s="25">
        <v>0.22916666666666666</v>
      </c>
      <c r="G612" s="25">
        <v>0.5770833333333333</v>
      </c>
      <c r="H612" s="27">
        <f t="shared" si="2"/>
        <v>0.3479166667</v>
      </c>
      <c r="I612" s="28">
        <v>2.0</v>
      </c>
      <c r="J612" s="29" t="s">
        <v>483</v>
      </c>
      <c r="K612" s="30" t="s">
        <v>23</v>
      </c>
      <c r="L612" s="31" t="str">
        <f>IFERROR(__xludf.DUMMYFUNCTION("IF(OR(E612="""",K612=""""),"""",IFERROR(IF(K612="""","""",query('tbl user'!$A$2:$D10975,""SELECT A WHERE D = '""&amp;K612&amp;""'"")),""USER TIDAK DIKETAHUI""))"),"#REF!")</f>
        <v>#REF!</v>
      </c>
    </row>
    <row r="613">
      <c r="A613" s="21">
        <f t="shared" si="1"/>
        <v>0</v>
      </c>
      <c r="B613" s="32" t="s">
        <v>274</v>
      </c>
      <c r="C613" s="23" t="s">
        <v>27</v>
      </c>
      <c r="D613" s="23" t="s">
        <v>21</v>
      </c>
      <c r="E613" s="24">
        <v>45391.0</v>
      </c>
      <c r="F613" s="25">
        <v>0.30416666666666664</v>
      </c>
      <c r="G613" s="25">
        <v>0.4222222222222222</v>
      </c>
      <c r="H613" s="27">
        <f t="shared" si="2"/>
        <v>0.1180555556</v>
      </c>
      <c r="I613" s="28">
        <v>1.0</v>
      </c>
      <c r="J613" s="29" t="s">
        <v>484</v>
      </c>
      <c r="K613" s="30" t="s">
        <v>23</v>
      </c>
      <c r="L613" s="31" t="str">
        <f>IFERROR(__xludf.DUMMYFUNCTION("IF(OR(E613="""",K613=""""),"""",IFERROR(IF(K613="""","""",query('tbl user'!$A$2:$D10975,""SELECT A WHERE D = '""&amp;K613&amp;""'"")),""USER TIDAK DIKETAHUI""))"),"#REF!")</f>
        <v>#REF!</v>
      </c>
    </row>
    <row r="614">
      <c r="A614" s="21">
        <f t="shared" si="1"/>
        <v>0</v>
      </c>
      <c r="B614" s="32" t="s">
        <v>61</v>
      </c>
      <c r="C614" s="23" t="s">
        <v>62</v>
      </c>
      <c r="D614" s="23" t="s">
        <v>21</v>
      </c>
      <c r="E614" s="24">
        <v>45391.0</v>
      </c>
      <c r="F614" s="25">
        <v>0.3416666666666667</v>
      </c>
      <c r="G614" s="25">
        <v>0.58125</v>
      </c>
      <c r="H614" s="27">
        <f t="shared" si="2"/>
        <v>0.2395833333</v>
      </c>
      <c r="I614" s="28">
        <v>2.0</v>
      </c>
      <c r="J614" s="29" t="s">
        <v>485</v>
      </c>
      <c r="K614" s="30" t="s">
        <v>23</v>
      </c>
      <c r="L614" s="31" t="str">
        <f>IFERROR(__xludf.DUMMYFUNCTION("IF(OR(E614="""",K614=""""),"""",IFERROR(IF(K614="""","""",query('tbl user'!$A$2:$D10975,""SELECT A WHERE D = '""&amp;K614&amp;""'"")),""USER TIDAK DIKETAHUI""))"),"#REF!")</f>
        <v>#REF!</v>
      </c>
    </row>
    <row r="615">
      <c r="A615" s="21">
        <f t="shared" si="1"/>
        <v>0</v>
      </c>
      <c r="B615" s="32" t="s">
        <v>281</v>
      </c>
      <c r="C615" s="23" t="s">
        <v>282</v>
      </c>
      <c r="D615" s="23" t="s">
        <v>21</v>
      </c>
      <c r="E615" s="24">
        <v>45391.0</v>
      </c>
      <c r="F615" s="25">
        <v>0.28125</v>
      </c>
      <c r="G615" s="25">
        <v>0.5034722222222222</v>
      </c>
      <c r="H615" s="27">
        <f t="shared" si="2"/>
        <v>0.2222222222</v>
      </c>
      <c r="I615" s="28">
        <v>2.0</v>
      </c>
      <c r="J615" s="29" t="s">
        <v>473</v>
      </c>
      <c r="K615" s="30" t="s">
        <v>23</v>
      </c>
      <c r="L615" s="31" t="str">
        <f>IFERROR(__xludf.DUMMYFUNCTION("IF(OR(E615="""",K615=""""),"""",IFERROR(IF(K615="""","""",query('tbl user'!$A$2:$D10975,""SELECT A WHERE D = '""&amp;K615&amp;""'"")),""USER TIDAK DIKETAHUI""))"),"#REF!")</f>
        <v>#REF!</v>
      </c>
    </row>
    <row r="616">
      <c r="A616" s="21">
        <f t="shared" si="1"/>
        <v>0</v>
      </c>
      <c r="B616" s="32" t="s">
        <v>289</v>
      </c>
      <c r="C616" s="23" t="s">
        <v>290</v>
      </c>
      <c r="D616" s="23" t="s">
        <v>21</v>
      </c>
      <c r="E616" s="24">
        <v>45391.0</v>
      </c>
      <c r="F616" s="25">
        <v>0.2701388888888889</v>
      </c>
      <c r="G616" s="25">
        <v>0.6076388888888888</v>
      </c>
      <c r="H616" s="27">
        <f t="shared" si="2"/>
        <v>0.3375</v>
      </c>
      <c r="I616" s="28">
        <v>2.0</v>
      </c>
      <c r="J616" s="29" t="s">
        <v>486</v>
      </c>
      <c r="K616" s="30" t="s">
        <v>23</v>
      </c>
      <c r="L616" s="31" t="str">
        <f>IFERROR(__xludf.DUMMYFUNCTION("IF(OR(E616="""",K616=""""),"""",IFERROR(IF(K616="""","""",query('tbl user'!$A$2:$D10975,""SELECT A WHERE D = '""&amp;K616&amp;""'"")),""USER TIDAK DIKETAHUI""))"),"#REF!")</f>
        <v>#REF!</v>
      </c>
    </row>
    <row r="617">
      <c r="A617" s="21">
        <f t="shared" si="1"/>
        <v>0</v>
      </c>
      <c r="B617" s="32" t="s">
        <v>37</v>
      </c>
      <c r="C617" s="23" t="s">
        <v>38</v>
      </c>
      <c r="D617" s="23" t="s">
        <v>21</v>
      </c>
      <c r="E617" s="24">
        <v>45391.0</v>
      </c>
      <c r="F617" s="25">
        <v>0.2659722222222222</v>
      </c>
      <c r="G617" s="25">
        <v>0.5965277777777778</v>
      </c>
      <c r="H617" s="27">
        <f t="shared" si="2"/>
        <v>0.3305555556</v>
      </c>
      <c r="I617" s="28">
        <v>3.0</v>
      </c>
      <c r="J617" s="29" t="s">
        <v>473</v>
      </c>
      <c r="K617" s="30" t="s">
        <v>23</v>
      </c>
      <c r="L617" s="31" t="str">
        <f>IFERROR(__xludf.DUMMYFUNCTION("IF(OR(E617="""",K617=""""),"""",IFERROR(IF(K617="""","""",query('tbl user'!$A$2:$D10975,""SELECT A WHERE D = '""&amp;K617&amp;""'"")),""USER TIDAK DIKETAHUI""))"),"#REF!")</f>
        <v>#REF!</v>
      </c>
    </row>
    <row r="618">
      <c r="A618" s="21">
        <f t="shared" si="1"/>
        <v>0</v>
      </c>
      <c r="B618" s="32" t="s">
        <v>64</v>
      </c>
      <c r="C618" s="23" t="s">
        <v>65</v>
      </c>
      <c r="D618" s="23" t="s">
        <v>21</v>
      </c>
      <c r="E618" s="24">
        <v>45391.0</v>
      </c>
      <c r="F618" s="25">
        <v>0.2902777777777778</v>
      </c>
      <c r="G618" s="25">
        <v>0.6333333333333333</v>
      </c>
      <c r="H618" s="27">
        <f t="shared" si="2"/>
        <v>0.3430555556</v>
      </c>
      <c r="I618" s="28">
        <v>3.0</v>
      </c>
      <c r="J618" s="29" t="s">
        <v>473</v>
      </c>
      <c r="K618" s="30" t="s">
        <v>23</v>
      </c>
      <c r="L618" s="31" t="str">
        <f>IFERROR(__xludf.DUMMYFUNCTION("IF(OR(E618="""",K618=""""),"""",IFERROR(IF(K618="""","""",query('tbl user'!$A$2:$D10975,""SELECT A WHERE D = '""&amp;K618&amp;""'"")),""USER TIDAK DIKETAHUI""))"),"#REF!")</f>
        <v>#REF!</v>
      </c>
    </row>
    <row r="619">
      <c r="A619" s="21">
        <f t="shared" si="1"/>
        <v>0</v>
      </c>
      <c r="B619" s="32" t="s">
        <v>335</v>
      </c>
      <c r="C619" s="23" t="s">
        <v>336</v>
      </c>
      <c r="D619" s="23" t="s">
        <v>21</v>
      </c>
      <c r="E619" s="24">
        <v>45391.0</v>
      </c>
      <c r="F619" s="25">
        <v>0.2986111111111111</v>
      </c>
      <c r="G619" s="25">
        <v>0.5208333333333334</v>
      </c>
      <c r="H619" s="27">
        <f t="shared" si="2"/>
        <v>0.2222222222</v>
      </c>
      <c r="I619" s="28">
        <v>3.0</v>
      </c>
      <c r="J619" s="29" t="s">
        <v>402</v>
      </c>
      <c r="K619" s="30" t="s">
        <v>23</v>
      </c>
      <c r="L619" s="31" t="str">
        <f>IFERROR(__xludf.DUMMYFUNCTION("IF(OR(E619="""",K619=""""),"""",IFERROR(IF(K619="""","""",query('tbl user'!$A$2:$D10975,""SELECT A WHERE D = '""&amp;K619&amp;""'"")),""USER TIDAK DIKETAHUI""))"),"#REF!")</f>
        <v>#REF!</v>
      </c>
    </row>
    <row r="620">
      <c r="A620" s="21">
        <f t="shared" si="1"/>
        <v>0</v>
      </c>
      <c r="B620" s="32" t="s">
        <v>229</v>
      </c>
      <c r="C620" s="23" t="s">
        <v>330</v>
      </c>
      <c r="D620" s="23" t="s">
        <v>21</v>
      </c>
      <c r="E620" s="24">
        <v>45391.0</v>
      </c>
      <c r="F620" s="25">
        <v>0.29930555555555555</v>
      </c>
      <c r="G620" s="25">
        <v>0.6840277777777778</v>
      </c>
      <c r="H620" s="27">
        <f t="shared" si="2"/>
        <v>0.3847222222</v>
      </c>
      <c r="I620" s="28">
        <v>3.0</v>
      </c>
      <c r="J620" s="29" t="s">
        <v>487</v>
      </c>
      <c r="K620" s="30" t="s">
        <v>23</v>
      </c>
      <c r="L620" s="31" t="str">
        <f>IFERROR(__xludf.DUMMYFUNCTION("IF(OR(E620="""",K620=""""),"""",IFERROR(IF(K620="""","""",query('tbl user'!$A$2:$D10975,""SELECT A WHERE D = '""&amp;K620&amp;""'"")),""USER TIDAK DIKETAHUI""))"),"#REF!")</f>
        <v>#REF!</v>
      </c>
    </row>
    <row r="621">
      <c r="A621" s="21">
        <f t="shared" si="1"/>
        <v>0</v>
      </c>
      <c r="B621" s="32" t="s">
        <v>331</v>
      </c>
      <c r="C621" s="23" t="s">
        <v>332</v>
      </c>
      <c r="D621" s="23" t="s">
        <v>21</v>
      </c>
      <c r="E621" s="24">
        <v>45391.0</v>
      </c>
      <c r="F621" s="25">
        <v>0.23402777777777778</v>
      </c>
      <c r="G621" s="25">
        <v>0.575</v>
      </c>
      <c r="H621" s="27">
        <f t="shared" si="2"/>
        <v>0.3409722222</v>
      </c>
      <c r="I621" s="28">
        <v>4.0</v>
      </c>
      <c r="J621" s="29" t="s">
        <v>488</v>
      </c>
      <c r="K621" s="30" t="s">
        <v>23</v>
      </c>
      <c r="L621" s="31" t="str">
        <f>IFERROR(__xludf.DUMMYFUNCTION("IF(OR(E621="""",K621=""""),"""",IFERROR(IF(K621="""","""",query('tbl user'!$A$2:$D10975,""SELECT A WHERE D = '""&amp;K621&amp;""'"")),""USER TIDAK DIKETAHUI""))"),"#REF!")</f>
        <v>#REF!</v>
      </c>
    </row>
    <row r="622">
      <c r="A622" s="21">
        <f t="shared" si="1"/>
        <v>0</v>
      </c>
      <c r="B622" s="32" t="s">
        <v>78</v>
      </c>
      <c r="C622" s="23" t="s">
        <v>340</v>
      </c>
      <c r="D622" s="23" t="s">
        <v>21</v>
      </c>
      <c r="E622" s="24">
        <v>45391.0</v>
      </c>
      <c r="F622" s="25">
        <v>0.26666666666666666</v>
      </c>
      <c r="G622" s="25">
        <v>0.5520833333333334</v>
      </c>
      <c r="H622" s="27">
        <f t="shared" si="2"/>
        <v>0.2854166667</v>
      </c>
      <c r="I622" s="28">
        <v>4.0</v>
      </c>
      <c r="J622" s="29" t="s">
        <v>473</v>
      </c>
      <c r="K622" s="30" t="s">
        <v>23</v>
      </c>
      <c r="L622" s="31" t="str">
        <f>IFERROR(__xludf.DUMMYFUNCTION("IF(OR(E622="""",K622=""""),"""",IFERROR(IF(K622="""","""",query('tbl user'!$A$2:$D10975,""SELECT A WHERE D = '""&amp;K622&amp;""'"")),""USER TIDAK DIKETAHUI""))"),"#REF!")</f>
        <v>#REF!</v>
      </c>
    </row>
    <row r="623">
      <c r="A623" s="21">
        <f t="shared" si="1"/>
        <v>0</v>
      </c>
      <c r="B623" s="32" t="s">
        <v>127</v>
      </c>
      <c r="C623" s="23" t="s">
        <v>326</v>
      </c>
      <c r="D623" s="23" t="s">
        <v>21</v>
      </c>
      <c r="E623" s="24">
        <v>45391.0</v>
      </c>
      <c r="F623" s="25">
        <v>0.2916666666666667</v>
      </c>
      <c r="G623" s="25">
        <v>0.7048611111111112</v>
      </c>
      <c r="H623" s="27">
        <f t="shared" si="2"/>
        <v>0.4131944444</v>
      </c>
      <c r="I623" s="28">
        <v>4.0</v>
      </c>
      <c r="J623" s="29" t="s">
        <v>489</v>
      </c>
      <c r="K623" s="30" t="s">
        <v>23</v>
      </c>
      <c r="L623" s="31" t="str">
        <f>IFERROR(__xludf.DUMMYFUNCTION("IF(OR(E623="""",K623=""""),"""",IFERROR(IF(K623="""","""",query('tbl user'!$A$2:$D10975,""SELECT A WHERE D = '""&amp;K623&amp;""'"")),""USER TIDAK DIKETAHUI""))"),"#REF!")</f>
        <v>#REF!</v>
      </c>
    </row>
    <row r="624">
      <c r="A624" s="21">
        <f t="shared" si="1"/>
        <v>0</v>
      </c>
      <c r="B624" s="32" t="s">
        <v>139</v>
      </c>
      <c r="C624" s="23" t="s">
        <v>323</v>
      </c>
      <c r="D624" s="23" t="s">
        <v>21</v>
      </c>
      <c r="E624" s="24">
        <v>45391.0</v>
      </c>
      <c r="F624" s="25">
        <v>0.2798611111111111</v>
      </c>
      <c r="G624" s="25">
        <v>0.5534722222222223</v>
      </c>
      <c r="H624" s="27">
        <f t="shared" si="2"/>
        <v>0.2736111111</v>
      </c>
      <c r="I624" s="28">
        <v>4.0</v>
      </c>
      <c r="J624" s="29" t="s">
        <v>473</v>
      </c>
      <c r="K624" s="30" t="s">
        <v>23</v>
      </c>
      <c r="L624" s="31" t="str">
        <f>IFERROR(__xludf.DUMMYFUNCTION("IF(OR(E624="""",K624=""""),"""",IFERROR(IF(K624="""","""",query('tbl user'!$A$2:$D10975,""SELECT A WHERE D = '""&amp;K624&amp;""'"")),""USER TIDAK DIKETAHUI""))"),"#REF!")</f>
        <v>#REF!</v>
      </c>
    </row>
    <row r="625">
      <c r="A625" s="21">
        <f t="shared" si="1"/>
        <v>0</v>
      </c>
      <c r="B625" s="32" t="s">
        <v>333</v>
      </c>
      <c r="C625" s="23" t="s">
        <v>334</v>
      </c>
      <c r="D625" s="23" t="s">
        <v>21</v>
      </c>
      <c r="E625" s="24">
        <v>45391.0</v>
      </c>
      <c r="F625" s="25">
        <v>0.2923611111111111</v>
      </c>
      <c r="G625" s="25">
        <v>0.6798611111111111</v>
      </c>
      <c r="H625" s="27">
        <f t="shared" si="2"/>
        <v>0.3875</v>
      </c>
      <c r="I625" s="28">
        <v>5.0</v>
      </c>
      <c r="J625" s="29" t="s">
        <v>55</v>
      </c>
      <c r="K625" s="30" t="s">
        <v>23</v>
      </c>
      <c r="L625" s="31" t="str">
        <f>IFERROR(__xludf.DUMMYFUNCTION("IF(OR(E625="""",K625=""""),"""",IFERROR(IF(K625="""","""",query('tbl user'!$A$2:$D10975,""SELECT A WHERE D = '""&amp;K625&amp;""'"")),""USER TIDAK DIKETAHUI""))"),"#REF!")</f>
        <v>#REF!</v>
      </c>
    </row>
    <row r="626">
      <c r="A626" s="21">
        <f t="shared" si="1"/>
        <v>0</v>
      </c>
      <c r="B626" s="32" t="s">
        <v>423</v>
      </c>
      <c r="C626" s="23" t="s">
        <v>329</v>
      </c>
      <c r="D626" s="23" t="s">
        <v>21</v>
      </c>
      <c r="E626" s="24">
        <v>45391.0</v>
      </c>
      <c r="F626" s="25">
        <v>0.26944444444444443</v>
      </c>
      <c r="G626" s="25">
        <v>0.6180555555555556</v>
      </c>
      <c r="H626" s="27">
        <f t="shared" si="2"/>
        <v>0.3486111111</v>
      </c>
      <c r="I626" s="28">
        <v>5.0</v>
      </c>
      <c r="J626" s="29" t="s">
        <v>55</v>
      </c>
      <c r="K626" s="30" t="s">
        <v>23</v>
      </c>
      <c r="L626" s="31" t="str">
        <f>IFERROR(__xludf.DUMMYFUNCTION("IF(OR(E626="""",K626=""""),"""",IFERROR(IF(K626="""","""",query('tbl user'!$A$2:$D10975,""SELECT A WHERE D = '""&amp;K626&amp;""'"")),""USER TIDAK DIKETAHUI""))"),"#REF!")</f>
        <v>#REF!</v>
      </c>
    </row>
    <row r="627">
      <c r="A627" s="21">
        <f t="shared" si="1"/>
        <v>0</v>
      </c>
      <c r="B627" s="32" t="s">
        <v>220</v>
      </c>
      <c r="C627" s="23" t="s">
        <v>316</v>
      </c>
      <c r="D627" s="23" t="s">
        <v>21</v>
      </c>
      <c r="E627" s="24">
        <v>45391.0</v>
      </c>
      <c r="F627" s="25">
        <v>0.2298611111111111</v>
      </c>
      <c r="G627" s="25">
        <v>0.6868055555555556</v>
      </c>
      <c r="H627" s="27">
        <f t="shared" si="2"/>
        <v>0.4569444444</v>
      </c>
      <c r="I627" s="28">
        <v>6.0</v>
      </c>
      <c r="J627" s="29" t="s">
        <v>55</v>
      </c>
      <c r="K627" s="30" t="s">
        <v>23</v>
      </c>
      <c r="L627" s="31" t="str">
        <f>IFERROR(__xludf.DUMMYFUNCTION("IF(OR(E627="""",K627=""""),"""",IFERROR(IF(K627="""","""",query('tbl user'!$A$2:$D10975,""SELECT A WHERE D = '""&amp;K627&amp;""'"")),""USER TIDAK DIKETAHUI""))"),"#REF!")</f>
        <v>#REF!</v>
      </c>
    </row>
    <row r="628">
      <c r="A628" s="21">
        <f t="shared" si="1"/>
        <v>0</v>
      </c>
      <c r="B628" s="32" t="s">
        <v>53</v>
      </c>
      <c r="C628" s="23" t="s">
        <v>54</v>
      </c>
      <c r="D628" s="23" t="s">
        <v>21</v>
      </c>
      <c r="E628" s="24">
        <v>45391.0</v>
      </c>
      <c r="F628" s="25">
        <v>0.2590277777777778</v>
      </c>
      <c r="G628" s="25">
        <v>0.6756944444444445</v>
      </c>
      <c r="H628" s="27">
        <f t="shared" si="2"/>
        <v>0.4166666667</v>
      </c>
      <c r="I628" s="28">
        <v>6.0</v>
      </c>
      <c r="J628" s="29" t="s">
        <v>55</v>
      </c>
      <c r="K628" s="30" t="s">
        <v>23</v>
      </c>
      <c r="L628" s="31" t="str">
        <f>IFERROR(__xludf.DUMMYFUNCTION("IF(OR(E628="""",K628=""""),"""",IFERROR(IF(K628="""","""",query('tbl user'!$A$2:$D10975,""SELECT A WHERE D = '""&amp;K628&amp;""'"")),""USER TIDAK DIKETAHUI""))"),"#REF!")</f>
        <v>#REF!</v>
      </c>
    </row>
    <row r="629">
      <c r="A629" s="21">
        <f t="shared" si="1"/>
        <v>0</v>
      </c>
      <c r="B629" s="32" t="s">
        <v>319</v>
      </c>
      <c r="C629" s="23" t="s">
        <v>320</v>
      </c>
      <c r="D629" s="23" t="s">
        <v>21</v>
      </c>
      <c r="E629" s="24">
        <v>45391.0</v>
      </c>
      <c r="F629" s="25">
        <v>0.25972222222222224</v>
      </c>
      <c r="G629" s="25">
        <v>0.6944444444444444</v>
      </c>
      <c r="H629" s="27">
        <f t="shared" si="2"/>
        <v>0.4347222222</v>
      </c>
      <c r="I629" s="28">
        <v>6.0</v>
      </c>
      <c r="J629" s="29" t="s">
        <v>55</v>
      </c>
      <c r="K629" s="30" t="s">
        <v>23</v>
      </c>
      <c r="L629" s="31" t="str">
        <f>IFERROR(__xludf.DUMMYFUNCTION("IF(OR(E629="""",K629=""""),"""",IFERROR(IF(K629="""","""",query('tbl user'!$A$2:$D10975,""SELECT A WHERE D = '""&amp;K629&amp;""'"")),""USER TIDAK DIKETAHUI""))"),"#REF!")</f>
        <v>#REF!</v>
      </c>
    </row>
    <row r="630">
      <c r="A630" s="21">
        <f t="shared" si="1"/>
        <v>0</v>
      </c>
      <c r="B630" s="32" t="s">
        <v>337</v>
      </c>
      <c r="C630" s="23" t="s">
        <v>338</v>
      </c>
      <c r="D630" s="23" t="s">
        <v>21</v>
      </c>
      <c r="E630" s="24">
        <v>45391.0</v>
      </c>
      <c r="F630" s="25">
        <v>0.24930555555555556</v>
      </c>
      <c r="G630" s="25">
        <v>0.6895833333333333</v>
      </c>
      <c r="H630" s="27">
        <f t="shared" si="2"/>
        <v>0.4402777778</v>
      </c>
      <c r="I630" s="28">
        <v>6.0</v>
      </c>
      <c r="J630" s="29" t="s">
        <v>55</v>
      </c>
      <c r="K630" s="30" t="s">
        <v>23</v>
      </c>
      <c r="L630" s="31" t="str">
        <f>IFERROR(__xludf.DUMMYFUNCTION("IF(OR(E630="""",K630=""""),"""",IFERROR(IF(K630="""","""",query('tbl user'!$A$2:$D10975,""SELECT A WHERE D = '""&amp;K630&amp;""'"")),""USER TIDAK DIKETAHUI""))"),"#REF!")</f>
        <v>#REF!</v>
      </c>
    </row>
    <row r="631">
      <c r="A631" s="21">
        <f t="shared" si="1"/>
        <v>0</v>
      </c>
      <c r="B631" s="32" t="s">
        <v>30</v>
      </c>
      <c r="C631" s="23" t="s">
        <v>68</v>
      </c>
      <c r="D631" s="23" t="s">
        <v>58</v>
      </c>
      <c r="E631" s="24">
        <v>45394.0</v>
      </c>
      <c r="F631" s="25">
        <v>0.2611111111111111</v>
      </c>
      <c r="G631" s="25">
        <v>0.4513888888888889</v>
      </c>
      <c r="H631" s="27">
        <f t="shared" si="2"/>
        <v>0.1902777778</v>
      </c>
      <c r="I631" s="28">
        <v>1.0</v>
      </c>
      <c r="J631" s="29" t="s">
        <v>490</v>
      </c>
      <c r="K631" s="30" t="s">
        <v>23</v>
      </c>
      <c r="L631" s="31" t="str">
        <f>IFERROR(__xludf.DUMMYFUNCTION("IF(OR(E631="""",K631=""""),"""",IFERROR(IF(K631="""","""",query('tbl user'!$A$2:$D10975,""SELECT A WHERE D = '""&amp;K631&amp;""'"")),""USER TIDAK DIKETAHUI""))"),"#REF!")</f>
        <v>#REF!</v>
      </c>
    </row>
    <row r="632">
      <c r="A632" s="21">
        <f t="shared" si="1"/>
        <v>0</v>
      </c>
      <c r="B632" s="32" t="s">
        <v>293</v>
      </c>
      <c r="C632" s="23" t="s">
        <v>211</v>
      </c>
      <c r="D632" s="23" t="s">
        <v>58</v>
      </c>
      <c r="E632" s="24">
        <v>45394.0</v>
      </c>
      <c r="F632" s="25">
        <v>0.2875</v>
      </c>
      <c r="G632" s="25">
        <v>0.5694444444444444</v>
      </c>
      <c r="H632" s="27">
        <f t="shared" si="2"/>
        <v>0.2819444444</v>
      </c>
      <c r="I632" s="28">
        <v>1.0</v>
      </c>
      <c r="J632" s="29" t="s">
        <v>491</v>
      </c>
      <c r="K632" s="30" t="s">
        <v>23</v>
      </c>
      <c r="L632" s="31" t="str">
        <f>IFERROR(__xludf.DUMMYFUNCTION("IF(OR(E632="""",K632=""""),"""",IFERROR(IF(K632="""","""",query('tbl user'!$A$2:$D10975,""SELECT A WHERE D = '""&amp;K632&amp;""'"")),""USER TIDAK DIKETAHUI""))"),"#REF!")</f>
        <v>#REF!</v>
      </c>
    </row>
    <row r="633">
      <c r="A633" s="21">
        <f t="shared" si="1"/>
        <v>0</v>
      </c>
      <c r="B633" s="32" t="s">
        <v>56</v>
      </c>
      <c r="C633" s="23" t="s">
        <v>57</v>
      </c>
      <c r="D633" s="23" t="s">
        <v>58</v>
      </c>
      <c r="E633" s="24">
        <v>45394.0</v>
      </c>
      <c r="F633" s="25">
        <v>0.29097222222222224</v>
      </c>
      <c r="G633" s="25">
        <v>0.6215277777777778</v>
      </c>
      <c r="H633" s="27">
        <f t="shared" si="2"/>
        <v>0.3305555556</v>
      </c>
      <c r="I633" s="28">
        <v>1.0</v>
      </c>
      <c r="J633" s="29" t="s">
        <v>492</v>
      </c>
      <c r="K633" s="30" t="s">
        <v>23</v>
      </c>
      <c r="L633" s="31" t="str">
        <f>IFERROR(__xludf.DUMMYFUNCTION("IF(OR(E633="""",K633=""""),"""",IFERROR(IF(K633="""","""",query('tbl user'!$A$2:$D10975,""SELECT A WHERE D = '""&amp;K633&amp;""'"")),""USER TIDAK DIKETAHUI""))"),"#REF!")</f>
        <v>#REF!</v>
      </c>
    </row>
    <row r="634">
      <c r="A634" s="21">
        <f t="shared" si="1"/>
        <v>0</v>
      </c>
      <c r="B634" s="32" t="s">
        <v>209</v>
      </c>
      <c r="C634" s="23" t="s">
        <v>203</v>
      </c>
      <c r="D634" s="23" t="s">
        <v>58</v>
      </c>
      <c r="E634" s="24">
        <v>45394.0</v>
      </c>
      <c r="F634" s="25">
        <v>0.2548611111111111</v>
      </c>
      <c r="G634" s="25">
        <v>0.4513888888888889</v>
      </c>
      <c r="H634" s="27">
        <f t="shared" si="2"/>
        <v>0.1965277778</v>
      </c>
      <c r="I634" s="28">
        <v>1.0</v>
      </c>
      <c r="J634" s="29" t="s">
        <v>493</v>
      </c>
      <c r="K634" s="30" t="s">
        <v>23</v>
      </c>
      <c r="L634" s="31" t="str">
        <f>IFERROR(__xludf.DUMMYFUNCTION("IF(OR(E634="""",K634=""""),"""",IFERROR(IF(K634="""","""",query('tbl user'!$A$2:$D10975,""SELECT A WHERE D = '""&amp;K634&amp;""'"")),""USER TIDAK DIKETAHUI""))"),"#REF!")</f>
        <v>#REF!</v>
      </c>
    </row>
    <row r="635">
      <c r="A635" s="21">
        <f t="shared" si="1"/>
        <v>0</v>
      </c>
      <c r="B635" s="32" t="s">
        <v>297</v>
      </c>
      <c r="C635" s="23" t="s">
        <v>348</v>
      </c>
      <c r="D635" s="23" t="s">
        <v>58</v>
      </c>
      <c r="E635" s="24">
        <v>45394.0</v>
      </c>
      <c r="F635" s="25">
        <v>0.2604166666666667</v>
      </c>
      <c r="G635" s="25">
        <v>0.5770833333333333</v>
      </c>
      <c r="H635" s="27">
        <f t="shared" si="2"/>
        <v>0.3166666667</v>
      </c>
      <c r="I635" s="28">
        <v>1.0</v>
      </c>
      <c r="J635" s="29" t="s">
        <v>494</v>
      </c>
      <c r="K635" s="30" t="s">
        <v>23</v>
      </c>
      <c r="L635" s="31" t="str">
        <f>IFERROR(__xludf.DUMMYFUNCTION("IF(OR(E635="""",K635=""""),"""",IFERROR(IF(K635="""","""",query('tbl user'!$A$2:$D10975,""SELECT A WHERE D = '""&amp;K635&amp;""'"")),""USER TIDAK DIKETAHUI""))"),"#REF!")</f>
        <v>#REF!</v>
      </c>
    </row>
    <row r="636">
      <c r="A636" s="21">
        <f t="shared" si="1"/>
        <v>0</v>
      </c>
      <c r="B636" s="32" t="s">
        <v>167</v>
      </c>
      <c r="C636" s="23" t="s">
        <v>168</v>
      </c>
      <c r="D636" s="23" t="s">
        <v>58</v>
      </c>
      <c r="E636" s="24">
        <v>45394.0</v>
      </c>
      <c r="F636" s="25">
        <v>0.2875</v>
      </c>
      <c r="G636" s="25">
        <v>0.5625</v>
      </c>
      <c r="H636" s="27">
        <f t="shared" si="2"/>
        <v>0.275</v>
      </c>
      <c r="I636" s="28">
        <v>2.0</v>
      </c>
      <c r="J636" s="29" t="s">
        <v>495</v>
      </c>
      <c r="K636" s="30" t="s">
        <v>23</v>
      </c>
      <c r="L636" s="31" t="str">
        <f>IFERROR(__xludf.DUMMYFUNCTION("IF(OR(E636="""",K636=""""),"""",IFERROR(IF(K636="""","""",query('tbl user'!$A$2:$D10975,""SELECT A WHERE D = '""&amp;K636&amp;""'"")),""USER TIDAK DIKETAHUI""))"),"#REF!")</f>
        <v>#REF!</v>
      </c>
    </row>
    <row r="637">
      <c r="A637" s="21">
        <f t="shared" si="1"/>
        <v>0</v>
      </c>
      <c r="B637" s="32" t="s">
        <v>363</v>
      </c>
      <c r="C637" s="23" t="s">
        <v>170</v>
      </c>
      <c r="D637" s="23" t="s">
        <v>58</v>
      </c>
      <c r="E637" s="24">
        <v>45394.0</v>
      </c>
      <c r="F637" s="25">
        <v>0.3020833333333333</v>
      </c>
      <c r="G637" s="25">
        <v>0.6833333333333333</v>
      </c>
      <c r="H637" s="27">
        <f t="shared" si="2"/>
        <v>0.38125</v>
      </c>
      <c r="I637" s="28">
        <v>2.0</v>
      </c>
      <c r="J637" s="29" t="s">
        <v>399</v>
      </c>
      <c r="K637" s="30" t="s">
        <v>23</v>
      </c>
      <c r="L637" s="31" t="str">
        <f>IFERROR(__xludf.DUMMYFUNCTION("IF(OR(E637="""",K637=""""),"""",IFERROR(IF(K637="""","""",query('tbl user'!$A$2:$D10975,""SELECT A WHERE D = '""&amp;K637&amp;""'"")),""USER TIDAK DIKETAHUI""))"),"#REF!")</f>
        <v>#REF!</v>
      </c>
    </row>
    <row r="638">
      <c r="A638" s="21">
        <f t="shared" si="1"/>
        <v>0</v>
      </c>
      <c r="B638" s="32" t="s">
        <v>178</v>
      </c>
      <c r="C638" s="23" t="s">
        <v>82</v>
      </c>
      <c r="D638" s="23" t="s">
        <v>58</v>
      </c>
      <c r="E638" s="24">
        <v>45394.0</v>
      </c>
      <c r="F638" s="25">
        <v>0.28402777777777777</v>
      </c>
      <c r="G638" s="25">
        <v>0.7291666666666666</v>
      </c>
      <c r="H638" s="27">
        <f t="shared" si="2"/>
        <v>0.4451388889</v>
      </c>
      <c r="I638" s="28">
        <v>2.0</v>
      </c>
      <c r="J638" s="29" t="s">
        <v>399</v>
      </c>
      <c r="K638" s="30" t="s">
        <v>23</v>
      </c>
      <c r="L638" s="31" t="str">
        <f>IFERROR(__xludf.DUMMYFUNCTION("IF(OR(E638="""",K638=""""),"""",IFERROR(IF(K638="""","""",query('tbl user'!$A$2:$D10975,""SELECT A WHERE D = '""&amp;K638&amp;""'"")),""USER TIDAK DIKETAHUI""))"),"#REF!")</f>
        <v>#REF!</v>
      </c>
    </row>
    <row r="639">
      <c r="A639" s="21">
        <f t="shared" si="1"/>
        <v>0</v>
      </c>
      <c r="B639" s="32" t="s">
        <v>144</v>
      </c>
      <c r="C639" s="23" t="s">
        <v>185</v>
      </c>
      <c r="D639" s="23" t="s">
        <v>58</v>
      </c>
      <c r="E639" s="24">
        <v>45394.0</v>
      </c>
      <c r="F639" s="25">
        <v>0.28958333333333336</v>
      </c>
      <c r="G639" s="25">
        <v>0.6506944444444445</v>
      </c>
      <c r="H639" s="27">
        <f t="shared" si="2"/>
        <v>0.3611111111</v>
      </c>
      <c r="I639" s="28">
        <v>2.0</v>
      </c>
      <c r="J639" s="29" t="s">
        <v>399</v>
      </c>
      <c r="K639" s="30" t="s">
        <v>23</v>
      </c>
      <c r="L639" s="31" t="str">
        <f>IFERROR(__xludf.DUMMYFUNCTION("IF(OR(E639="""",K639=""""),"""",IFERROR(IF(K639="""","""",query('tbl user'!$A$2:$D10975,""SELECT A WHERE D = '""&amp;K639&amp;""'"")),""USER TIDAK DIKETAHUI""))"),"#REF!")</f>
        <v>#REF!</v>
      </c>
    </row>
    <row r="640">
      <c r="A640" s="21">
        <f t="shared" si="1"/>
        <v>0</v>
      </c>
      <c r="B640" s="32" t="s">
        <v>263</v>
      </c>
      <c r="C640" s="23" t="s">
        <v>188</v>
      </c>
      <c r="D640" s="23" t="s">
        <v>58</v>
      </c>
      <c r="E640" s="24">
        <v>45394.0</v>
      </c>
      <c r="F640" s="25">
        <v>0.2902777777777778</v>
      </c>
      <c r="G640" s="25">
        <v>0.6625</v>
      </c>
      <c r="H640" s="27">
        <f t="shared" si="2"/>
        <v>0.3722222222</v>
      </c>
      <c r="I640" s="28">
        <v>2.0</v>
      </c>
      <c r="J640" s="29" t="s">
        <v>496</v>
      </c>
      <c r="K640" s="30" t="s">
        <v>23</v>
      </c>
      <c r="L640" s="31" t="str">
        <f>IFERROR(__xludf.DUMMYFUNCTION("IF(OR(E640="""",K640=""""),"""",IFERROR(IF(K640="""","""",query('tbl user'!$A$2:$D10975,""SELECT A WHERE D = '""&amp;K640&amp;""'"")),""USER TIDAK DIKETAHUI""))"),"#REF!")</f>
        <v>#REF!</v>
      </c>
    </row>
    <row r="641">
      <c r="A641" s="21">
        <f t="shared" si="1"/>
        <v>0</v>
      </c>
      <c r="B641" s="32" t="s">
        <v>162</v>
      </c>
      <c r="C641" s="23" t="s">
        <v>190</v>
      </c>
      <c r="D641" s="23" t="s">
        <v>58</v>
      </c>
      <c r="E641" s="24">
        <v>45394.0</v>
      </c>
      <c r="F641" s="25">
        <v>0.24375</v>
      </c>
      <c r="G641" s="25">
        <v>0.61875</v>
      </c>
      <c r="H641" s="27">
        <f t="shared" si="2"/>
        <v>0.375</v>
      </c>
      <c r="I641" s="28">
        <v>2.0</v>
      </c>
      <c r="J641" s="29" t="s">
        <v>399</v>
      </c>
      <c r="K641" s="30" t="s">
        <v>23</v>
      </c>
      <c r="L641" s="31" t="str">
        <f>IFERROR(__xludf.DUMMYFUNCTION("IF(OR(E641="""",K641=""""),"""",IFERROR(IF(K641="""","""",query('tbl user'!$A$2:$D10975,""SELECT A WHERE D = '""&amp;K641&amp;""'"")),""USER TIDAK DIKETAHUI""))"),"#REF!")</f>
        <v>#REF!</v>
      </c>
    </row>
    <row r="642">
      <c r="A642" s="21">
        <f t="shared" si="1"/>
        <v>0</v>
      </c>
      <c r="B642" s="32" t="s">
        <v>123</v>
      </c>
      <c r="C642" s="23" t="s">
        <v>192</v>
      </c>
      <c r="D642" s="23" t="s">
        <v>58</v>
      </c>
      <c r="E642" s="37">
        <v>45394.0</v>
      </c>
      <c r="F642" s="25">
        <v>0.20902777777777778</v>
      </c>
      <c r="G642" s="25">
        <v>0.6381944444444444</v>
      </c>
      <c r="H642" s="27">
        <f t="shared" si="2"/>
        <v>0.4291666667</v>
      </c>
      <c r="I642" s="28">
        <v>2.0</v>
      </c>
      <c r="J642" s="29" t="s">
        <v>399</v>
      </c>
      <c r="K642" s="30" t="s">
        <v>23</v>
      </c>
      <c r="L642" s="31" t="str">
        <f>IFERROR(__xludf.DUMMYFUNCTION("IF(OR(E642="""",K642=""""),"""",IFERROR(IF(K642="""","""",query('tbl user'!$A$2:$D10975,""SELECT A WHERE D = '""&amp;K642&amp;""'"")),""USER TIDAK DIKETAHUI""))"),"#REF!")</f>
        <v>#REF!</v>
      </c>
    </row>
    <row r="643">
      <c r="A643" s="21">
        <f t="shared" si="1"/>
        <v>0</v>
      </c>
      <c r="B643" s="32" t="s">
        <v>216</v>
      </c>
      <c r="C643" s="23" t="s">
        <v>195</v>
      </c>
      <c r="D643" s="23" t="s">
        <v>58</v>
      </c>
      <c r="E643" s="37">
        <v>45394.0</v>
      </c>
      <c r="F643" s="25">
        <v>0.29097222222222224</v>
      </c>
      <c r="G643" s="25">
        <v>0.6041666666666666</v>
      </c>
      <c r="H643" s="27">
        <f t="shared" si="2"/>
        <v>0.3131944444</v>
      </c>
      <c r="I643" s="28">
        <v>2.0</v>
      </c>
      <c r="J643" s="29" t="s">
        <v>497</v>
      </c>
      <c r="K643" s="30" t="s">
        <v>23</v>
      </c>
      <c r="L643" s="31" t="str">
        <f>IFERROR(__xludf.DUMMYFUNCTION("IF(OR(E643="""",K643=""""),"""",IFERROR(IF(K643="""","""",query('tbl user'!$A$2:$D10975,""SELECT A WHERE D = '""&amp;K643&amp;""'"")),""USER TIDAK DIKETAHUI""))"),"#REF!")</f>
        <v>#REF!</v>
      </c>
    </row>
    <row r="644">
      <c r="A644" s="21">
        <f t="shared" si="1"/>
        <v>0</v>
      </c>
      <c r="B644" s="32" t="s">
        <v>110</v>
      </c>
      <c r="C644" s="23" t="s">
        <v>201</v>
      </c>
      <c r="D644" s="23" t="s">
        <v>58</v>
      </c>
      <c r="E644" s="37">
        <v>45394.0</v>
      </c>
      <c r="F644" s="25">
        <v>0.29097222222222224</v>
      </c>
      <c r="G644" s="25">
        <v>0.64375</v>
      </c>
      <c r="H644" s="27">
        <f t="shared" si="2"/>
        <v>0.3527777778</v>
      </c>
      <c r="I644" s="28">
        <v>2.0</v>
      </c>
      <c r="J644" s="29" t="s">
        <v>399</v>
      </c>
      <c r="K644" s="30" t="s">
        <v>23</v>
      </c>
      <c r="L644" s="31" t="str">
        <f>IFERROR(__xludf.DUMMYFUNCTION("IF(OR(E644="""",K644=""""),"""",IFERROR(IF(K644="""","""",query('tbl user'!$A$2:$D10975,""SELECT A WHERE D = '""&amp;K644&amp;""'"")),""USER TIDAK DIKETAHUI""))"),"#REF!")</f>
        <v>#REF!</v>
      </c>
    </row>
    <row r="645">
      <c r="A645" s="21">
        <f t="shared" si="1"/>
        <v>0</v>
      </c>
      <c r="B645" s="32" t="s">
        <v>104</v>
      </c>
      <c r="C645" s="23" t="s">
        <v>105</v>
      </c>
      <c r="D645" s="23" t="s">
        <v>58</v>
      </c>
      <c r="E645" s="37">
        <v>45394.0</v>
      </c>
      <c r="F645" s="25">
        <v>0.25069444444444444</v>
      </c>
      <c r="G645" s="25">
        <v>0.6972222222222222</v>
      </c>
      <c r="H645" s="27">
        <f t="shared" si="2"/>
        <v>0.4465277778</v>
      </c>
      <c r="I645" s="28">
        <v>2.0</v>
      </c>
      <c r="J645" s="29" t="s">
        <v>399</v>
      </c>
      <c r="K645" s="30" t="s">
        <v>23</v>
      </c>
      <c r="L645" s="31" t="str">
        <f>IFERROR(__xludf.DUMMYFUNCTION("IF(OR(E645="""",K645=""""),"""",IFERROR(IF(K645="""","""",query('tbl user'!$A$2:$D10975,""SELECT A WHERE D = '""&amp;K645&amp;""'"")),""USER TIDAK DIKETAHUI""))"),"#REF!")</f>
        <v>#REF!</v>
      </c>
    </row>
    <row r="646">
      <c r="A646" s="21">
        <f t="shared" si="1"/>
        <v>0</v>
      </c>
      <c r="B646" s="32" t="s">
        <v>120</v>
      </c>
      <c r="C646" s="23" t="s">
        <v>206</v>
      </c>
      <c r="D646" s="23" t="s">
        <v>58</v>
      </c>
      <c r="E646" s="37">
        <v>45394.0</v>
      </c>
      <c r="F646" s="25">
        <v>0.26805555555555555</v>
      </c>
      <c r="G646" s="25">
        <v>0.7298611111111111</v>
      </c>
      <c r="H646" s="27">
        <f t="shared" si="2"/>
        <v>0.4618055556</v>
      </c>
      <c r="I646" s="28">
        <v>2.0</v>
      </c>
      <c r="J646" s="29" t="s">
        <v>399</v>
      </c>
      <c r="K646" s="30" t="s">
        <v>23</v>
      </c>
      <c r="L646" s="31" t="str">
        <f>IFERROR(__xludf.DUMMYFUNCTION("IF(OR(E646="""",K646=""""),"""",IFERROR(IF(K646="""","""",query('tbl user'!$A$2:$D10975,""SELECT A WHERE D = '""&amp;K646&amp;""'"")),""USER TIDAK DIKETAHUI""))"),"#REF!")</f>
        <v>#REF!</v>
      </c>
    </row>
    <row r="647">
      <c r="A647" s="21">
        <f t="shared" si="1"/>
        <v>0</v>
      </c>
      <c r="B647" s="32" t="s">
        <v>72</v>
      </c>
      <c r="C647" s="23" t="s">
        <v>208</v>
      </c>
      <c r="D647" s="23" t="s">
        <v>58</v>
      </c>
      <c r="E647" s="37">
        <v>45394.0</v>
      </c>
      <c r="F647" s="25">
        <v>0.3402777777777778</v>
      </c>
      <c r="G647" s="25">
        <v>0.7194444444444444</v>
      </c>
      <c r="H647" s="27">
        <f t="shared" si="2"/>
        <v>0.3791666667</v>
      </c>
      <c r="I647" s="28">
        <v>2.0</v>
      </c>
      <c r="J647" s="29" t="s">
        <v>399</v>
      </c>
      <c r="K647" s="30" t="s">
        <v>23</v>
      </c>
      <c r="L647" s="31" t="str">
        <f>IFERROR(__xludf.DUMMYFUNCTION("IF(OR(E647="""",K647=""""),"""",IFERROR(IF(K647="""","""",query('tbl user'!$A$2:$D10975,""SELECT A WHERE D = '""&amp;K647&amp;""'"")),""USER TIDAK DIKETAHUI""))"),"#REF!")</f>
        <v>#REF!</v>
      </c>
    </row>
    <row r="648">
      <c r="A648" s="21">
        <f t="shared" si="1"/>
        <v>0</v>
      </c>
      <c r="B648" s="32" t="s">
        <v>92</v>
      </c>
      <c r="C648" s="23" t="s">
        <v>93</v>
      </c>
      <c r="D648" s="23" t="s">
        <v>58</v>
      </c>
      <c r="E648" s="37">
        <v>45394.0</v>
      </c>
      <c r="F648" s="25">
        <v>0.26319444444444445</v>
      </c>
      <c r="G648" s="25">
        <v>0.7090277777777778</v>
      </c>
      <c r="H648" s="27">
        <f t="shared" si="2"/>
        <v>0.4458333333</v>
      </c>
      <c r="I648" s="28">
        <v>3.0</v>
      </c>
      <c r="J648" s="29" t="s">
        <v>399</v>
      </c>
      <c r="K648" s="30" t="s">
        <v>23</v>
      </c>
      <c r="L648" s="31" t="str">
        <f>IFERROR(__xludf.DUMMYFUNCTION("IF(OR(E648="""",K648=""""),"""",IFERROR(IF(K648="""","""",query('tbl user'!$A$2:$D10975,""SELECT A WHERE D = '""&amp;K648&amp;""'"")),""USER TIDAK DIKETAHUI""))"),"#REF!")</f>
        <v>#REF!</v>
      </c>
    </row>
    <row r="649">
      <c r="A649" s="21">
        <f t="shared" si="1"/>
        <v>0</v>
      </c>
      <c r="B649" s="32" t="s">
        <v>215</v>
      </c>
      <c r="C649" s="23" t="s">
        <v>176</v>
      </c>
      <c r="D649" s="23" t="s">
        <v>58</v>
      </c>
      <c r="E649" s="37">
        <v>45394.0</v>
      </c>
      <c r="F649" s="25">
        <v>0.2638888888888889</v>
      </c>
      <c r="G649" s="25">
        <v>0.6888888888888889</v>
      </c>
      <c r="H649" s="27">
        <f t="shared" si="2"/>
        <v>0.425</v>
      </c>
      <c r="I649" s="28">
        <v>3.0</v>
      </c>
      <c r="J649" s="29" t="s">
        <v>399</v>
      </c>
      <c r="K649" s="30" t="s">
        <v>23</v>
      </c>
      <c r="L649" s="31" t="str">
        <f>IFERROR(__xludf.DUMMYFUNCTION("IF(OR(E649="""",K649=""""),"""",IFERROR(IF(K649="""","""",query('tbl user'!$A$2:$D10975,""SELECT A WHERE D = '""&amp;K649&amp;""'"")),""USER TIDAK DIKETAHUI""))"),"#REF!")</f>
        <v>#REF!</v>
      </c>
    </row>
    <row r="650">
      <c r="A650" s="21">
        <f t="shared" si="1"/>
        <v>0</v>
      </c>
      <c r="B650" s="32" t="s">
        <v>133</v>
      </c>
      <c r="C650" s="23" t="s">
        <v>181</v>
      </c>
      <c r="D650" s="23" t="s">
        <v>58</v>
      </c>
      <c r="E650" s="37">
        <v>45394.0</v>
      </c>
      <c r="F650" s="25">
        <v>0.30069444444444443</v>
      </c>
      <c r="G650" s="25">
        <v>0.6694444444444444</v>
      </c>
      <c r="H650" s="27">
        <f t="shared" si="2"/>
        <v>0.36875</v>
      </c>
      <c r="I650" s="28">
        <v>3.0</v>
      </c>
      <c r="J650" s="29" t="s">
        <v>399</v>
      </c>
      <c r="K650" s="30" t="s">
        <v>23</v>
      </c>
      <c r="L650" s="31" t="str">
        <f>IFERROR(__xludf.DUMMYFUNCTION("IF(OR(E650="""",K650=""""),"""",IFERROR(IF(K650="""","""",query('tbl user'!$A$2:$D10975,""SELECT A WHERE D = '""&amp;K650&amp;""'"")),""USER TIDAK DIKETAHUI""))"),"#REF!")</f>
        <v>#REF!</v>
      </c>
    </row>
    <row r="651">
      <c r="A651" s="21">
        <f t="shared" si="1"/>
        <v>0</v>
      </c>
      <c r="B651" s="32" t="s">
        <v>276</v>
      </c>
      <c r="C651" s="23" t="s">
        <v>183</v>
      </c>
      <c r="D651" s="23" t="s">
        <v>58</v>
      </c>
      <c r="E651" s="37">
        <v>45394.0</v>
      </c>
      <c r="F651" s="25">
        <v>0.29097222222222224</v>
      </c>
      <c r="G651" s="25">
        <v>0.7111111111111111</v>
      </c>
      <c r="H651" s="27">
        <f t="shared" si="2"/>
        <v>0.4201388889</v>
      </c>
      <c r="I651" s="28">
        <v>3.0</v>
      </c>
      <c r="J651" s="29" t="s">
        <v>399</v>
      </c>
      <c r="K651" s="30" t="s">
        <v>23</v>
      </c>
      <c r="L651" s="31" t="str">
        <f>IFERROR(__xludf.DUMMYFUNCTION("IF(OR(E651="""",K651=""""),"""",IFERROR(IF(K651="""","""",query('tbl user'!$A$2:$D10975,""SELECT A WHERE D = '""&amp;K651&amp;""'"")),""USER TIDAK DIKETAHUI""))"),"#REF!")</f>
        <v>#REF!</v>
      </c>
    </row>
    <row r="652">
      <c r="A652" s="21">
        <f t="shared" si="1"/>
        <v>0</v>
      </c>
      <c r="B652" s="32" t="s">
        <v>197</v>
      </c>
      <c r="C652" s="23" t="s">
        <v>198</v>
      </c>
      <c r="D652" s="23" t="s">
        <v>58</v>
      </c>
      <c r="E652" s="37">
        <v>45394.0</v>
      </c>
      <c r="F652" s="25">
        <v>0.25069444444444444</v>
      </c>
      <c r="G652" s="25">
        <v>0.6673611111111111</v>
      </c>
      <c r="H652" s="27">
        <f t="shared" si="2"/>
        <v>0.4166666667</v>
      </c>
      <c r="I652" s="28">
        <v>3.0</v>
      </c>
      <c r="J652" s="29" t="s">
        <v>399</v>
      </c>
      <c r="K652" s="30" t="s">
        <v>23</v>
      </c>
      <c r="L652" s="31" t="str">
        <f>IFERROR(__xludf.DUMMYFUNCTION("IF(OR(E652="""",K652=""""),"""",IFERROR(IF(K652="""","""",query('tbl user'!$A$2:$D10975,""SELECT A WHERE D = '""&amp;K652&amp;""'"")),""USER TIDAK DIKETAHUI""))"),"#REF!")</f>
        <v>#REF!</v>
      </c>
    </row>
    <row r="653">
      <c r="A653" s="21">
        <f t="shared" si="1"/>
        <v>0</v>
      </c>
      <c r="B653" s="32" t="s">
        <v>84</v>
      </c>
      <c r="C653" s="23" t="s">
        <v>85</v>
      </c>
      <c r="D653" s="23" t="s">
        <v>58</v>
      </c>
      <c r="E653" s="37">
        <v>45394.0</v>
      </c>
      <c r="F653" s="25">
        <v>0.22916666666666666</v>
      </c>
      <c r="G653" s="25">
        <v>0.6979166666666666</v>
      </c>
      <c r="H653" s="27">
        <f t="shared" si="2"/>
        <v>0.46875</v>
      </c>
      <c r="I653" s="28">
        <v>3.0</v>
      </c>
      <c r="J653" s="29" t="s">
        <v>399</v>
      </c>
      <c r="K653" s="30" t="s">
        <v>23</v>
      </c>
      <c r="L653" s="31" t="str">
        <f>IFERROR(__xludf.DUMMYFUNCTION("IF(OR(E653="""",K653=""""),"""",IFERROR(IF(K653="""","""",query('tbl user'!$A$2:$D10975,""SELECT A WHERE D = '""&amp;K653&amp;""'"")),""USER TIDAK DIKETAHUI""))"),"#REF!")</f>
        <v>#REF!</v>
      </c>
    </row>
    <row r="654">
      <c r="A654" s="21" t="str">
        <f t="shared" si="1"/>
        <v/>
      </c>
      <c r="B654" s="35"/>
      <c r="C654" s="23" t="s">
        <v>35</v>
      </c>
      <c r="D654" s="23" t="s">
        <v>21</v>
      </c>
      <c r="E654" s="37">
        <v>45394.0</v>
      </c>
      <c r="F654" s="25">
        <v>0.2833333333333333</v>
      </c>
      <c r="G654" s="25">
        <v>0.38958333333333334</v>
      </c>
      <c r="H654" s="27">
        <f t="shared" si="2"/>
        <v>0.10625</v>
      </c>
      <c r="I654" s="28">
        <v>1.0</v>
      </c>
      <c r="J654" s="29" t="s">
        <v>498</v>
      </c>
      <c r="K654" s="30" t="s">
        <v>23</v>
      </c>
      <c r="L654" s="31" t="str">
        <f>IFERROR(__xludf.DUMMYFUNCTION("IF(OR(E654="""",K654=""""),"""",IFERROR(IF(K654="""","""",query('tbl user'!$A$2:$D10975,""SELECT A WHERE D = '""&amp;K654&amp;""'"")),""USER TIDAK DIKETAHUI""))"),"#REF!")</f>
        <v>#REF!</v>
      </c>
    </row>
    <row r="655">
      <c r="A655" s="21">
        <f t="shared" si="1"/>
        <v>0</v>
      </c>
      <c r="B655" s="32" t="s">
        <v>246</v>
      </c>
      <c r="C655" s="23" t="s">
        <v>99</v>
      </c>
      <c r="D655" s="23" t="s">
        <v>21</v>
      </c>
      <c r="E655" s="37">
        <v>45394.0</v>
      </c>
      <c r="F655" s="25">
        <v>0.27569444444444446</v>
      </c>
      <c r="G655" s="25">
        <v>0.55625</v>
      </c>
      <c r="H655" s="27">
        <f t="shared" si="2"/>
        <v>0.2805555556</v>
      </c>
      <c r="I655" s="28">
        <v>1.0</v>
      </c>
      <c r="J655" s="29" t="s">
        <v>499</v>
      </c>
      <c r="K655" s="30" t="s">
        <v>23</v>
      </c>
      <c r="L655" s="31" t="str">
        <f>IFERROR(__xludf.DUMMYFUNCTION("IF(OR(E655="""",K655=""""),"""",IFERROR(IF(K655="""","""",query('tbl user'!$A$2:$D10975,""SELECT A WHERE D = '""&amp;K655&amp;""'"")),""USER TIDAK DIKETAHUI""))"),"#REF!")</f>
        <v>#REF!</v>
      </c>
    </row>
    <row r="656">
      <c r="A656" s="21">
        <f t="shared" si="1"/>
        <v>0</v>
      </c>
      <c r="B656" s="32" t="s">
        <v>243</v>
      </c>
      <c r="C656" s="23" t="s">
        <v>244</v>
      </c>
      <c r="D656" s="23" t="s">
        <v>21</v>
      </c>
      <c r="E656" s="37">
        <v>45394.0</v>
      </c>
      <c r="F656" s="25">
        <v>0.2965277777777778</v>
      </c>
      <c r="G656" s="25">
        <v>0.6388888888888888</v>
      </c>
      <c r="H656" s="27">
        <f t="shared" si="2"/>
        <v>0.3423611111</v>
      </c>
      <c r="I656" s="28">
        <v>1.0</v>
      </c>
      <c r="J656" s="29" t="s">
        <v>500</v>
      </c>
      <c r="K656" s="30" t="s">
        <v>23</v>
      </c>
      <c r="L656" s="31" t="str">
        <f>IFERROR(__xludf.DUMMYFUNCTION("IF(OR(E656="""",K656=""""),"""",IFERROR(IF(K656="""","""",query('tbl user'!$A$2:$D10975,""SELECT A WHERE D = '""&amp;K656&amp;""'"")),""USER TIDAK DIKETAHUI""))"),"#REF!")</f>
        <v>#REF!</v>
      </c>
    </row>
    <row r="657">
      <c r="A657" s="21">
        <f t="shared" si="1"/>
        <v>0</v>
      </c>
      <c r="B657" s="32" t="s">
        <v>303</v>
      </c>
      <c r="C657" s="23" t="s">
        <v>251</v>
      </c>
      <c r="D657" s="23" t="s">
        <v>21</v>
      </c>
      <c r="E657" s="37">
        <v>45394.0</v>
      </c>
      <c r="F657" s="25">
        <v>0.33819444444444446</v>
      </c>
      <c r="G657" s="25">
        <v>0.6368055555555555</v>
      </c>
      <c r="H657" s="27">
        <f t="shared" si="2"/>
        <v>0.2986111111</v>
      </c>
      <c r="I657" s="28">
        <v>1.0</v>
      </c>
      <c r="J657" s="29" t="s">
        <v>501</v>
      </c>
      <c r="K657" s="30" t="s">
        <v>23</v>
      </c>
      <c r="L657" s="31" t="str">
        <f>IFERROR(__xludf.DUMMYFUNCTION("IF(OR(E657="""",K657=""""),"""",IFERROR(IF(K657="""","""",query('tbl user'!$A$2:$D10975,""SELECT A WHERE D = '""&amp;K657&amp;""'"")),""USER TIDAK DIKETAHUI""))"),"#REF!")</f>
        <v>#REF!</v>
      </c>
    </row>
    <row r="658">
      <c r="A658" s="21">
        <f t="shared" si="1"/>
        <v>0</v>
      </c>
      <c r="B658" s="32" t="s">
        <v>253</v>
      </c>
      <c r="C658" s="23" t="s">
        <v>102</v>
      </c>
      <c r="D658" s="23" t="s">
        <v>21</v>
      </c>
      <c r="E658" s="37">
        <v>45394.0</v>
      </c>
      <c r="F658" s="25">
        <v>0.2604166666666667</v>
      </c>
      <c r="G658" s="25">
        <v>0.5423611111111111</v>
      </c>
      <c r="H658" s="27">
        <f t="shared" si="2"/>
        <v>0.2819444444</v>
      </c>
      <c r="I658" s="28">
        <v>1.0</v>
      </c>
      <c r="J658" s="29" t="s">
        <v>502</v>
      </c>
      <c r="K658" s="30" t="s">
        <v>23</v>
      </c>
      <c r="L658" s="31" t="str">
        <f>IFERROR(__xludf.DUMMYFUNCTION("IF(OR(E658="""",K658=""""),"""",IFERROR(IF(K658="""","""",query('tbl user'!$A$2:$D10975,""SELECT A WHERE D = '""&amp;K658&amp;""'"")),""USER TIDAK DIKETAHUI""))"),"#REF!")</f>
        <v>#REF!</v>
      </c>
    </row>
    <row r="659">
      <c r="A659" s="21">
        <f t="shared" si="1"/>
        <v>0</v>
      </c>
      <c r="B659" s="32" t="s">
        <v>149</v>
      </c>
      <c r="C659" s="23" t="s">
        <v>236</v>
      </c>
      <c r="D659" s="23" t="s">
        <v>21</v>
      </c>
      <c r="E659" s="37">
        <v>45394.0</v>
      </c>
      <c r="F659" s="25">
        <v>0.32430555555555557</v>
      </c>
      <c r="G659" s="25">
        <v>0.6354166666666666</v>
      </c>
      <c r="H659" s="27">
        <f t="shared" si="2"/>
        <v>0.3111111111</v>
      </c>
      <c r="I659" s="28">
        <v>1.0</v>
      </c>
      <c r="J659" s="29" t="s">
        <v>503</v>
      </c>
      <c r="K659" s="30" t="s">
        <v>23</v>
      </c>
      <c r="L659" s="31" t="str">
        <f>IFERROR(__xludf.DUMMYFUNCTION("IF(OR(E659="""",K659=""""),"""",IFERROR(IF(K659="""","""",query('tbl user'!$A$2:$D10975,""SELECT A WHERE D = '""&amp;K659&amp;""'"")),""USER TIDAK DIKETAHUI""))"),"#REF!")</f>
        <v>#REF!</v>
      </c>
    </row>
    <row r="660">
      <c r="A660" s="21">
        <f t="shared" si="1"/>
        <v>0</v>
      </c>
      <c r="B660" s="32" t="s">
        <v>258</v>
      </c>
      <c r="C660" s="23" t="s">
        <v>259</v>
      </c>
      <c r="D660" s="23" t="s">
        <v>21</v>
      </c>
      <c r="E660" s="37">
        <v>45394.0</v>
      </c>
      <c r="F660" s="25">
        <v>0.25972222222222224</v>
      </c>
      <c r="G660" s="25">
        <v>0.5555555555555556</v>
      </c>
      <c r="H660" s="27">
        <f t="shared" si="2"/>
        <v>0.2958333333</v>
      </c>
      <c r="I660" s="28">
        <v>1.0</v>
      </c>
      <c r="J660" s="29" t="s">
        <v>504</v>
      </c>
      <c r="K660" s="30" t="s">
        <v>23</v>
      </c>
      <c r="L660" s="31" t="str">
        <f>IFERROR(__xludf.DUMMYFUNCTION("IF(OR(E660="""",K660=""""),"""",IFERROR(IF(K660="""","""",query('tbl user'!$A$2:$D10975,""SELECT A WHERE D = '""&amp;K660&amp;""'"")),""USER TIDAK DIKETAHUI""))"),"#REF!")</f>
        <v>#REF!</v>
      </c>
    </row>
    <row r="661">
      <c r="A661" s="21">
        <f t="shared" si="1"/>
        <v>0</v>
      </c>
      <c r="B661" s="32" t="s">
        <v>255</v>
      </c>
      <c r="C661" s="23" t="s">
        <v>20</v>
      </c>
      <c r="D661" s="23" t="s">
        <v>21</v>
      </c>
      <c r="E661" s="37">
        <v>45394.0</v>
      </c>
      <c r="F661" s="25">
        <v>0.2111111111111111</v>
      </c>
      <c r="G661" s="25">
        <v>0.6805555555555556</v>
      </c>
      <c r="H661" s="27">
        <f t="shared" si="2"/>
        <v>0.4694444444</v>
      </c>
      <c r="I661" s="28">
        <v>2.0</v>
      </c>
      <c r="J661" s="29" t="s">
        <v>399</v>
      </c>
      <c r="K661" s="30" t="s">
        <v>23</v>
      </c>
      <c r="L661" s="31" t="str">
        <f>IFERROR(__xludf.DUMMYFUNCTION("IF(OR(E661="""",K661=""""),"""",IFERROR(IF(K661="""","""",query('tbl user'!$A$2:$D10975,""SELECT A WHERE D = '""&amp;K661&amp;""'"")),""USER TIDAK DIKETAHUI""))"),"#REF!")</f>
        <v>#REF!</v>
      </c>
    </row>
    <row r="662">
      <c r="A662" s="21">
        <f t="shared" si="1"/>
        <v>0</v>
      </c>
      <c r="B662" s="32" t="s">
        <v>240</v>
      </c>
      <c r="C662" s="23" t="s">
        <v>241</v>
      </c>
      <c r="D662" s="23" t="s">
        <v>21</v>
      </c>
      <c r="E662" s="37">
        <v>45394.0</v>
      </c>
      <c r="F662" s="25">
        <v>0.2875</v>
      </c>
      <c r="G662" s="25">
        <v>0.7270833333333333</v>
      </c>
      <c r="H662" s="27">
        <f t="shared" si="2"/>
        <v>0.4395833333</v>
      </c>
      <c r="I662" s="28">
        <v>2.0</v>
      </c>
      <c r="J662" s="29" t="s">
        <v>420</v>
      </c>
      <c r="K662" s="30" t="s">
        <v>23</v>
      </c>
      <c r="L662" s="31" t="str">
        <f>IFERROR(__xludf.DUMMYFUNCTION("IF(OR(E662="""",K662=""""),"""",IFERROR(IF(K662="""","""",query('tbl user'!$A$2:$D10975,""SELECT A WHERE D = '""&amp;K662&amp;""'"")),""USER TIDAK DIKETAHUI""))"),"#REF!")</f>
        <v>#REF!</v>
      </c>
    </row>
    <row r="663">
      <c r="A663" s="21">
        <f t="shared" si="1"/>
        <v>0</v>
      </c>
      <c r="B663" s="32" t="s">
        <v>24</v>
      </c>
      <c r="C663" s="23" t="s">
        <v>25</v>
      </c>
      <c r="D663" s="23" t="s">
        <v>21</v>
      </c>
      <c r="E663" s="37">
        <v>45394.0</v>
      </c>
      <c r="F663" s="25">
        <v>0.21041666666666667</v>
      </c>
      <c r="G663" s="33">
        <v>0.6527777777777778</v>
      </c>
      <c r="H663" s="27">
        <f t="shared" si="2"/>
        <v>0.4423611111</v>
      </c>
      <c r="I663" s="28">
        <v>2.0</v>
      </c>
      <c r="J663" s="29" t="s">
        <v>505</v>
      </c>
      <c r="K663" s="30" t="s">
        <v>23</v>
      </c>
      <c r="L663" s="31" t="str">
        <f>IFERROR(__xludf.DUMMYFUNCTION("IF(OR(E663="""",K663=""""),"""",IFERROR(IF(K663="""","""",query('tbl user'!$A$2:$D10975,""SELECT A WHERE D = '""&amp;K663&amp;""'"")),""USER TIDAK DIKETAHUI""))"),"#REF!")</f>
        <v>#REF!</v>
      </c>
    </row>
    <row r="664">
      <c r="A664" s="21">
        <f t="shared" si="1"/>
        <v>0</v>
      </c>
      <c r="B664" s="32" t="s">
        <v>43</v>
      </c>
      <c r="C664" s="23" t="s">
        <v>44</v>
      </c>
      <c r="D664" s="23" t="s">
        <v>21</v>
      </c>
      <c r="E664" s="37">
        <v>45394.0</v>
      </c>
      <c r="F664" s="25">
        <v>0.28888888888888886</v>
      </c>
      <c r="G664" s="33">
        <v>0.7194444444444444</v>
      </c>
      <c r="H664" s="27">
        <f t="shared" si="2"/>
        <v>0.4305555556</v>
      </c>
      <c r="I664" s="28">
        <v>2.0</v>
      </c>
      <c r="J664" s="29" t="s">
        <v>399</v>
      </c>
      <c r="K664" s="30" t="s">
        <v>23</v>
      </c>
      <c r="L664" s="31" t="str">
        <f>IFERROR(__xludf.DUMMYFUNCTION("IF(OR(E664="""",K664=""""),"""",IFERROR(IF(K664="""","""",query('tbl user'!$A$2:$D10975,""SELECT A WHERE D = '""&amp;K664&amp;""'"")),""USER TIDAK DIKETAHUI""))"),"#REF!")</f>
        <v>#REF!</v>
      </c>
    </row>
    <row r="665">
      <c r="A665" s="21">
        <f t="shared" si="1"/>
        <v>0</v>
      </c>
      <c r="B665" s="32" t="s">
        <v>231</v>
      </c>
      <c r="C665" s="23" t="s">
        <v>232</v>
      </c>
      <c r="D665" s="23" t="s">
        <v>21</v>
      </c>
      <c r="E665" s="37">
        <v>45394.0</v>
      </c>
      <c r="F665" s="25">
        <v>0.29097222222222224</v>
      </c>
      <c r="G665" s="25">
        <v>0.7444444444444445</v>
      </c>
      <c r="H665" s="27">
        <f t="shared" si="2"/>
        <v>0.4534722222</v>
      </c>
      <c r="I665" s="28">
        <v>2.0</v>
      </c>
      <c r="J665" s="29" t="s">
        <v>399</v>
      </c>
      <c r="K665" s="30" t="s">
        <v>23</v>
      </c>
      <c r="L665" s="31" t="str">
        <f>IFERROR(__xludf.DUMMYFUNCTION("IF(OR(E665="""",K665=""""),"""",IFERROR(IF(K665="""","""",query('tbl user'!$A$2:$D10975,""SELECT A WHERE D = '""&amp;K665&amp;""'"")),""USER TIDAK DIKETAHUI""))"),"#REF!")</f>
        <v>#REF!</v>
      </c>
    </row>
    <row r="666">
      <c r="A666" s="21">
        <f t="shared" si="1"/>
        <v>0</v>
      </c>
      <c r="B666" s="32" t="s">
        <v>156</v>
      </c>
      <c r="C666" s="23" t="s">
        <v>234</v>
      </c>
      <c r="D666" s="23" t="s">
        <v>21</v>
      </c>
      <c r="E666" s="37">
        <v>45394.0</v>
      </c>
      <c r="F666" s="25">
        <v>0.2777777777777778</v>
      </c>
      <c r="G666" s="25">
        <v>0.6986111111111111</v>
      </c>
      <c r="H666" s="27">
        <f t="shared" si="2"/>
        <v>0.4208333333</v>
      </c>
      <c r="I666" s="28">
        <v>2.0</v>
      </c>
      <c r="J666" s="29" t="s">
        <v>399</v>
      </c>
      <c r="K666" s="30" t="s">
        <v>23</v>
      </c>
      <c r="L666" s="31" t="str">
        <f>IFERROR(__xludf.DUMMYFUNCTION("IF(OR(E666="""",K666=""""),"""",IFERROR(IF(K666="""","""",query('tbl user'!$A$2:$D10975,""SELECT A WHERE D = '""&amp;K666&amp;""'"")),""USER TIDAK DIKETAHUI""))"),"#REF!")</f>
        <v>#REF!</v>
      </c>
    </row>
    <row r="667">
      <c r="A667" s="21">
        <f t="shared" si="1"/>
        <v>0</v>
      </c>
      <c r="B667" s="32" t="s">
        <v>305</v>
      </c>
      <c r="C667" s="23" t="s">
        <v>306</v>
      </c>
      <c r="D667" s="23" t="s">
        <v>21</v>
      </c>
      <c r="E667" s="37">
        <v>45394.0</v>
      </c>
      <c r="F667" s="25">
        <v>0.2743055555555556</v>
      </c>
      <c r="G667" s="25">
        <v>0.6951388888888889</v>
      </c>
      <c r="H667" s="27">
        <f t="shared" si="2"/>
        <v>0.4208333333</v>
      </c>
      <c r="I667" s="28">
        <v>2.0</v>
      </c>
      <c r="J667" s="29" t="s">
        <v>399</v>
      </c>
      <c r="K667" s="30" t="s">
        <v>23</v>
      </c>
      <c r="L667" s="31" t="str">
        <f>IFERROR(__xludf.DUMMYFUNCTION("IF(OR(E667="""",K667=""""),"""",IFERROR(IF(K667="""","""",query('tbl user'!$A$2:$D10975,""SELECT A WHERE D = '""&amp;K667&amp;""'"")),""USER TIDAK DIKETAHUI""))"),"#REF!")</f>
        <v>#REF!</v>
      </c>
    </row>
    <row r="668">
      <c r="A668" s="21">
        <f t="shared" si="1"/>
        <v>0</v>
      </c>
      <c r="B668" s="32" t="s">
        <v>260</v>
      </c>
      <c r="C668" s="23" t="s">
        <v>261</v>
      </c>
      <c r="D668" s="23" t="s">
        <v>21</v>
      </c>
      <c r="E668" s="37">
        <v>45394.0</v>
      </c>
      <c r="F668" s="25">
        <v>0.23680555555555555</v>
      </c>
      <c r="G668" s="25">
        <v>0.6458333333333334</v>
      </c>
      <c r="H668" s="27">
        <f t="shared" si="2"/>
        <v>0.4090277778</v>
      </c>
      <c r="I668" s="28">
        <v>2.0</v>
      </c>
      <c r="J668" s="29" t="s">
        <v>506</v>
      </c>
      <c r="K668" s="30" t="s">
        <v>23</v>
      </c>
      <c r="L668" s="31" t="str">
        <f>IFERROR(__xludf.DUMMYFUNCTION("IF(OR(E668="""",K668=""""),"""",IFERROR(IF(K668="""","""",query('tbl user'!$A$2:$D10975,""SELECT A WHERE D = '""&amp;K668&amp;""'"")),""USER TIDAK DIKETAHUI""))"),"#REF!")</f>
        <v>#REF!</v>
      </c>
    </row>
    <row r="669">
      <c r="A669" s="21">
        <f t="shared" si="1"/>
        <v>0</v>
      </c>
      <c r="B669" s="32" t="s">
        <v>37</v>
      </c>
      <c r="C669" s="23" t="s">
        <v>38</v>
      </c>
      <c r="D669" s="23" t="s">
        <v>21</v>
      </c>
      <c r="E669" s="37">
        <v>45394.0</v>
      </c>
      <c r="F669" s="25">
        <v>0.2833333333333333</v>
      </c>
      <c r="G669" s="25">
        <v>0.6520833333333333</v>
      </c>
      <c r="H669" s="27">
        <f t="shared" si="2"/>
        <v>0.36875</v>
      </c>
      <c r="I669" s="28">
        <v>2.0</v>
      </c>
      <c r="J669" s="29" t="s">
        <v>507</v>
      </c>
      <c r="K669" s="30" t="s">
        <v>23</v>
      </c>
      <c r="L669" s="31" t="str">
        <f>IFERROR(__xludf.DUMMYFUNCTION("IF(OR(E669="""",K669=""""),"""",IFERROR(IF(K669="""","""",query('tbl user'!$A$2:$D10975,""SELECT A WHERE D = '""&amp;K669&amp;""'"")),""USER TIDAK DIKETAHUI""))"),"#REF!")</f>
        <v>#REF!</v>
      </c>
    </row>
    <row r="670">
      <c r="A670" s="21">
        <f t="shared" si="1"/>
        <v>0</v>
      </c>
      <c r="B670" s="32" t="s">
        <v>61</v>
      </c>
      <c r="C670" s="23" t="s">
        <v>62</v>
      </c>
      <c r="D670" s="23" t="s">
        <v>21</v>
      </c>
      <c r="E670" s="37">
        <v>45394.0</v>
      </c>
      <c r="F670" s="25">
        <v>0.275</v>
      </c>
      <c r="G670" s="25">
        <v>0.6479166666666667</v>
      </c>
      <c r="H670" s="27">
        <f t="shared" si="2"/>
        <v>0.3729166667</v>
      </c>
      <c r="I670" s="28">
        <v>3.0</v>
      </c>
      <c r="J670" s="29" t="s">
        <v>399</v>
      </c>
      <c r="K670" s="30" t="s">
        <v>23</v>
      </c>
      <c r="L670" s="31" t="str">
        <f>IFERROR(__xludf.DUMMYFUNCTION("IF(OR(E670="""",K670=""""),"""",IFERROR(IF(K670="""","""",query('tbl user'!$A$2:$D10975,""SELECT A WHERE D = '""&amp;K670&amp;""'"")),""USER TIDAK DIKETAHUI""))"),"#REF!")</f>
        <v>#REF!</v>
      </c>
    </row>
    <row r="671">
      <c r="A671" s="21">
        <f t="shared" si="1"/>
        <v>0</v>
      </c>
      <c r="B671" s="32" t="s">
        <v>238</v>
      </c>
      <c r="C671" s="23" t="s">
        <v>290</v>
      </c>
      <c r="D671" s="23" t="s">
        <v>21</v>
      </c>
      <c r="E671" s="37">
        <v>45394.0</v>
      </c>
      <c r="F671" s="25">
        <v>0.28958333333333336</v>
      </c>
      <c r="G671" s="25">
        <v>0.6854166666666667</v>
      </c>
      <c r="H671" s="27">
        <f t="shared" si="2"/>
        <v>0.3958333333</v>
      </c>
      <c r="I671" s="28">
        <v>3.0</v>
      </c>
      <c r="J671" s="29" t="s">
        <v>399</v>
      </c>
      <c r="K671" s="30" t="s">
        <v>23</v>
      </c>
      <c r="L671" s="31" t="str">
        <f>IFERROR(__xludf.DUMMYFUNCTION("IF(OR(E671="""",K671=""""),"""",IFERROR(IF(K671="""","""",query('tbl user'!$A$2:$D10975,""SELECT A WHERE D = '""&amp;K671&amp;""'"")),""USER TIDAK DIKETAHUI""))"),"#REF!")</f>
        <v>#REF!</v>
      </c>
    </row>
    <row r="672">
      <c r="A672" s="21">
        <f t="shared" si="1"/>
        <v>0</v>
      </c>
      <c r="B672" s="32" t="s">
        <v>64</v>
      </c>
      <c r="C672" s="23" t="s">
        <v>65</v>
      </c>
      <c r="D672" s="23" t="s">
        <v>21</v>
      </c>
      <c r="E672" s="37">
        <v>45394.0</v>
      </c>
      <c r="F672" s="25">
        <v>0.3</v>
      </c>
      <c r="G672" s="25">
        <v>0.6881944444444444</v>
      </c>
      <c r="H672" s="27">
        <f t="shared" si="2"/>
        <v>0.3881944444</v>
      </c>
      <c r="I672" s="28">
        <v>3.0</v>
      </c>
      <c r="J672" s="29" t="s">
        <v>399</v>
      </c>
      <c r="K672" s="30" t="s">
        <v>23</v>
      </c>
      <c r="L672" s="31" t="str">
        <f>IFERROR(__xludf.DUMMYFUNCTION("IF(OR(E672="""",K672=""""),"""",IFERROR(IF(K672="""","""",query('tbl user'!$A$2:$D10975,""SELECT A WHERE D = '""&amp;K672&amp;""'"")),""USER TIDAK DIKETAHUI""))"),"#REF!")</f>
        <v>#REF!</v>
      </c>
    </row>
    <row r="673">
      <c r="A673" s="21">
        <f t="shared" si="1"/>
        <v>0</v>
      </c>
      <c r="B673" s="32" t="s">
        <v>146</v>
      </c>
      <c r="C673" s="23" t="s">
        <v>339</v>
      </c>
      <c r="D673" s="23" t="s">
        <v>21</v>
      </c>
      <c r="E673" s="37">
        <v>45394.0</v>
      </c>
      <c r="F673" s="25">
        <v>0.36736111111111114</v>
      </c>
      <c r="G673" s="25">
        <v>0.6736111111111112</v>
      </c>
      <c r="H673" s="27">
        <f t="shared" si="2"/>
        <v>0.30625</v>
      </c>
      <c r="I673" s="28">
        <v>2.0</v>
      </c>
      <c r="J673" s="29" t="s">
        <v>449</v>
      </c>
      <c r="K673" s="30" t="s">
        <v>23</v>
      </c>
      <c r="L673" s="31" t="str">
        <f>IFERROR(__xludf.DUMMYFUNCTION("IF(OR(E673="""",K673=""""),"""",IFERROR(IF(K673="""","""",query('tbl user'!$A$2:$D10975,""SELECT A WHERE D = '""&amp;K673&amp;""'"")),""USER TIDAK DIKETAHUI""))"),"#REF!")</f>
        <v>#REF!</v>
      </c>
    </row>
    <row r="674">
      <c r="A674" s="21">
        <f t="shared" si="1"/>
        <v>0</v>
      </c>
      <c r="B674" s="32" t="s">
        <v>335</v>
      </c>
      <c r="C674" s="23" t="s">
        <v>336</v>
      </c>
      <c r="D674" s="23" t="s">
        <v>21</v>
      </c>
      <c r="E674" s="37">
        <v>45394.0</v>
      </c>
      <c r="F674" s="25">
        <v>0.3013888888888889</v>
      </c>
      <c r="G674" s="25">
        <v>0.7270833333333333</v>
      </c>
      <c r="H674" s="27">
        <f t="shared" si="2"/>
        <v>0.4256944444</v>
      </c>
      <c r="I674" s="28">
        <v>2.0</v>
      </c>
      <c r="J674" s="29" t="s">
        <v>508</v>
      </c>
      <c r="K674" s="30" t="s">
        <v>23</v>
      </c>
      <c r="L674" s="31" t="str">
        <f>IFERROR(__xludf.DUMMYFUNCTION("IF(OR(E674="""",K674=""""),"""",IFERROR(IF(K674="""","""",query('tbl user'!$A$2:$D10975,""SELECT A WHERE D = '""&amp;K674&amp;""'"")),""USER TIDAK DIKETAHUI""))"),"#REF!")</f>
        <v>#REF!</v>
      </c>
    </row>
    <row r="675">
      <c r="A675" s="21">
        <f t="shared" si="1"/>
        <v>0</v>
      </c>
      <c r="B675" s="32" t="s">
        <v>423</v>
      </c>
      <c r="C675" s="23" t="s">
        <v>329</v>
      </c>
      <c r="D675" s="23" t="s">
        <v>21</v>
      </c>
      <c r="E675" s="37">
        <v>45394.0</v>
      </c>
      <c r="F675" s="25">
        <v>0.28680555555555554</v>
      </c>
      <c r="G675" s="25">
        <v>0.5625</v>
      </c>
      <c r="H675" s="27">
        <f t="shared" si="2"/>
        <v>0.2756944444</v>
      </c>
      <c r="I675" s="28">
        <v>2.0</v>
      </c>
      <c r="J675" s="29" t="s">
        <v>509</v>
      </c>
      <c r="K675" s="30" t="s">
        <v>23</v>
      </c>
      <c r="L675" s="31" t="str">
        <f>IFERROR(__xludf.DUMMYFUNCTION("IF(OR(E675="""",K675=""""),"""",IFERROR(IF(K675="""","""",query('tbl user'!$A$2:$D10975,""SELECT A WHERE D = '""&amp;K675&amp;""'"")),""USER TIDAK DIKETAHUI""))"),"#REF!")</f>
        <v>#REF!</v>
      </c>
    </row>
    <row r="676">
      <c r="A676" s="21">
        <f t="shared" si="1"/>
        <v>0</v>
      </c>
      <c r="B676" s="32" t="s">
        <v>333</v>
      </c>
      <c r="C676" s="23" t="s">
        <v>334</v>
      </c>
      <c r="D676" s="23" t="s">
        <v>21</v>
      </c>
      <c r="E676" s="37">
        <v>45394.0</v>
      </c>
      <c r="F676" s="25">
        <v>0.30416666666666664</v>
      </c>
      <c r="G676" s="25">
        <v>0.7361111111111112</v>
      </c>
      <c r="H676" s="27">
        <f t="shared" si="2"/>
        <v>0.4319444444</v>
      </c>
      <c r="I676" s="28">
        <v>3.0</v>
      </c>
      <c r="J676" s="29" t="s">
        <v>510</v>
      </c>
      <c r="K676" s="30" t="s">
        <v>23</v>
      </c>
      <c r="L676" s="31" t="str">
        <f>IFERROR(__xludf.DUMMYFUNCTION("IF(OR(E676="""",K676=""""),"""",IFERROR(IF(K676="""","""",query('tbl user'!$A$2:$D10975,""SELECT A WHERE D = '""&amp;K676&amp;""'"")),""USER TIDAK DIKETAHUI""))"),"#REF!")</f>
        <v>#REF!</v>
      </c>
    </row>
    <row r="677">
      <c r="A677" s="21">
        <f t="shared" si="1"/>
        <v>0</v>
      </c>
      <c r="B677" s="32" t="s">
        <v>220</v>
      </c>
      <c r="C677" s="23" t="s">
        <v>316</v>
      </c>
      <c r="D677" s="23" t="s">
        <v>21</v>
      </c>
      <c r="E677" s="37">
        <v>45394.0</v>
      </c>
      <c r="F677" s="25">
        <v>0.30069444444444443</v>
      </c>
      <c r="G677" s="25">
        <v>0.675</v>
      </c>
      <c r="H677" s="27">
        <f t="shared" si="2"/>
        <v>0.3743055556</v>
      </c>
      <c r="I677" s="28">
        <v>3.0</v>
      </c>
      <c r="J677" s="29" t="s">
        <v>511</v>
      </c>
      <c r="K677" s="30" t="s">
        <v>23</v>
      </c>
      <c r="L677" s="31" t="str">
        <f>IFERROR(__xludf.DUMMYFUNCTION("IF(OR(E677="""",K677=""""),"""",IFERROR(IF(K677="""","""",query('tbl user'!$A$2:$D10975,""SELECT A WHERE D = '""&amp;K677&amp;""'"")),""USER TIDAK DIKETAHUI""))"),"#REF!")</f>
        <v>#REF!</v>
      </c>
    </row>
    <row r="678">
      <c r="A678" s="21">
        <f t="shared" si="1"/>
        <v>0</v>
      </c>
      <c r="B678" s="32" t="s">
        <v>78</v>
      </c>
      <c r="C678" s="23" t="s">
        <v>340</v>
      </c>
      <c r="D678" s="23" t="s">
        <v>21</v>
      </c>
      <c r="E678" s="37">
        <v>45394.0</v>
      </c>
      <c r="F678" s="25">
        <v>0.28194444444444444</v>
      </c>
      <c r="G678" s="25">
        <v>0.6833333333333333</v>
      </c>
      <c r="H678" s="27">
        <f t="shared" si="2"/>
        <v>0.4013888889</v>
      </c>
      <c r="I678" s="28">
        <v>4.0</v>
      </c>
      <c r="J678" s="29" t="s">
        <v>399</v>
      </c>
      <c r="K678" s="30" t="s">
        <v>23</v>
      </c>
      <c r="L678" s="31" t="str">
        <f>IFERROR(__xludf.DUMMYFUNCTION("IF(OR(E678="""",K678=""""),"""",IFERROR(IF(K678="""","""",query('tbl user'!$A$2:$D10975,""SELECT A WHERE D = '""&amp;K678&amp;""'"")),""USER TIDAK DIKETAHUI""))"),"#REF!")</f>
        <v>#REF!</v>
      </c>
    </row>
    <row r="679">
      <c r="A679" s="21">
        <f t="shared" si="1"/>
        <v>0</v>
      </c>
      <c r="B679" s="32" t="s">
        <v>337</v>
      </c>
      <c r="C679" s="23" t="s">
        <v>88</v>
      </c>
      <c r="D679" s="23" t="s">
        <v>21</v>
      </c>
      <c r="E679" s="37">
        <v>45394.0</v>
      </c>
      <c r="F679" s="25">
        <v>0.25069444444444444</v>
      </c>
      <c r="G679" s="25">
        <v>0.6347222222222222</v>
      </c>
      <c r="H679" s="27">
        <f t="shared" si="2"/>
        <v>0.3840277778</v>
      </c>
      <c r="I679" s="28">
        <v>4.0</v>
      </c>
      <c r="J679" s="29" t="s">
        <v>512</v>
      </c>
      <c r="K679" s="30" t="s">
        <v>23</v>
      </c>
      <c r="L679" s="31" t="str">
        <f>IFERROR(__xludf.DUMMYFUNCTION("IF(OR(E679="""",K679=""""),"""",IFERROR(IF(K679="""","""",query('tbl user'!$A$2:$D10975,""SELECT A WHERE D = '""&amp;K679&amp;""'"")),""USER TIDAK DIKETAHUI""))"),"#REF!")</f>
        <v>#REF!</v>
      </c>
    </row>
    <row r="680">
      <c r="A680" s="21">
        <f t="shared" si="1"/>
        <v>0</v>
      </c>
      <c r="B680" s="32" t="s">
        <v>127</v>
      </c>
      <c r="C680" s="23" t="s">
        <v>326</v>
      </c>
      <c r="D680" s="23" t="s">
        <v>21</v>
      </c>
      <c r="E680" s="37">
        <v>45394.0</v>
      </c>
      <c r="F680" s="25">
        <v>0.28680555555555554</v>
      </c>
      <c r="G680" s="25">
        <v>0.74375</v>
      </c>
      <c r="H680" s="27">
        <f t="shared" si="2"/>
        <v>0.4569444444</v>
      </c>
      <c r="I680" s="28">
        <v>4.0</v>
      </c>
      <c r="J680" s="29" t="s">
        <v>399</v>
      </c>
      <c r="K680" s="30" t="s">
        <v>23</v>
      </c>
      <c r="L680" s="31" t="str">
        <f>IFERROR(__xludf.DUMMYFUNCTION("IF(OR(E680="""",K680=""""),"""",IFERROR(IF(K680="""","""",query('tbl user'!$A$2:$D10975,""SELECT A WHERE D = '""&amp;K680&amp;""'"")),""USER TIDAK DIKETAHUI""))"),"#REF!")</f>
        <v>#REF!</v>
      </c>
    </row>
    <row r="681">
      <c r="A681" s="21">
        <f t="shared" si="1"/>
        <v>0</v>
      </c>
      <c r="B681" s="32" t="s">
        <v>229</v>
      </c>
      <c r="C681" s="23" t="s">
        <v>330</v>
      </c>
      <c r="D681" s="23" t="s">
        <v>21</v>
      </c>
      <c r="E681" s="37">
        <v>45394.0</v>
      </c>
      <c r="F681" s="25">
        <v>0.3020833333333333</v>
      </c>
      <c r="G681" s="25">
        <v>0.7319444444444444</v>
      </c>
      <c r="H681" s="27">
        <f t="shared" si="2"/>
        <v>0.4298611111</v>
      </c>
      <c r="I681" s="28">
        <v>4.0</v>
      </c>
      <c r="J681" s="29" t="s">
        <v>399</v>
      </c>
      <c r="K681" s="30" t="s">
        <v>23</v>
      </c>
      <c r="L681" s="31" t="str">
        <f>IFERROR(__xludf.DUMMYFUNCTION("IF(OR(E681="""",K681=""""),"""",IFERROR(IF(K681="""","""",query('tbl user'!$A$2:$D10975,""SELECT A WHERE D = '""&amp;K681&amp;""'"")),""USER TIDAK DIKETAHUI""))"),"#REF!")</f>
        <v>#REF!</v>
      </c>
    </row>
    <row r="682">
      <c r="A682" s="21">
        <f t="shared" si="1"/>
        <v>0</v>
      </c>
      <c r="B682" s="32" t="s">
        <v>53</v>
      </c>
      <c r="C682" s="23" t="s">
        <v>54</v>
      </c>
      <c r="D682" s="23" t="s">
        <v>21</v>
      </c>
      <c r="E682" s="37">
        <v>45394.0</v>
      </c>
      <c r="F682" s="25">
        <v>0.25069444444444444</v>
      </c>
      <c r="G682" s="25">
        <v>0.7340277777777777</v>
      </c>
      <c r="H682" s="27">
        <f t="shared" si="2"/>
        <v>0.4833333333</v>
      </c>
      <c r="I682" s="28">
        <v>5.0</v>
      </c>
      <c r="J682" s="29" t="s">
        <v>55</v>
      </c>
      <c r="K682" s="30" t="s">
        <v>23</v>
      </c>
      <c r="L682" s="31" t="str">
        <f>IFERROR(__xludf.DUMMYFUNCTION("IF(OR(E682="""",K682=""""),"""",IFERROR(IF(K682="""","""",query('tbl user'!$A$2:$D10975,""SELECT A WHERE D = '""&amp;K682&amp;""'"")),""USER TIDAK DIKETAHUI""))"),"#REF!")</f>
        <v>#REF!</v>
      </c>
    </row>
    <row r="683">
      <c r="A683" s="21">
        <f t="shared" si="1"/>
        <v>0</v>
      </c>
      <c r="B683" s="32" t="s">
        <v>319</v>
      </c>
      <c r="C683" s="23" t="s">
        <v>320</v>
      </c>
      <c r="D683" s="23" t="s">
        <v>21</v>
      </c>
      <c r="E683" s="37">
        <v>45394.0</v>
      </c>
      <c r="F683" s="25">
        <v>0.23819444444444443</v>
      </c>
      <c r="G683" s="33">
        <v>0.6763888888888889</v>
      </c>
      <c r="H683" s="27">
        <f t="shared" si="2"/>
        <v>0.4381944444</v>
      </c>
      <c r="I683" s="28">
        <v>5.0</v>
      </c>
      <c r="J683" s="29" t="s">
        <v>55</v>
      </c>
      <c r="K683" s="30" t="s">
        <v>23</v>
      </c>
      <c r="L683" s="31" t="str">
        <f>IFERROR(__xludf.DUMMYFUNCTION("IF(OR(E683="""",K683=""""),"""",IFERROR(IF(K683="""","""",query('tbl user'!$A$2:$D10975,""SELECT A WHERE D = '""&amp;K683&amp;""'"")),""USER TIDAK DIKETAHUI""))"),"#REF!")</f>
        <v>#REF!</v>
      </c>
    </row>
    <row r="684">
      <c r="A684" s="21">
        <f t="shared" si="1"/>
        <v>0</v>
      </c>
      <c r="B684" s="32" t="s">
        <v>139</v>
      </c>
      <c r="C684" s="23" t="s">
        <v>323</v>
      </c>
      <c r="D684" s="23" t="s">
        <v>21</v>
      </c>
      <c r="E684" s="37">
        <v>45394.0</v>
      </c>
      <c r="F684" s="25">
        <v>0.26875</v>
      </c>
      <c r="G684" s="25">
        <v>0.7340277777777777</v>
      </c>
      <c r="H684" s="27">
        <f t="shared" si="2"/>
        <v>0.4652777778</v>
      </c>
      <c r="I684" s="28">
        <v>5.0</v>
      </c>
      <c r="J684" s="29" t="s">
        <v>55</v>
      </c>
      <c r="K684" s="30" t="s">
        <v>23</v>
      </c>
      <c r="L684" s="31" t="str">
        <f>IFERROR(__xludf.DUMMYFUNCTION("IF(OR(E684="""",K684=""""),"""",IFERROR(IF(K684="""","""",query('tbl user'!$A$2:$D10975,""SELECT A WHERE D = '""&amp;K684&amp;""'"")),""USER TIDAK DIKETAHUI""))"),"#REF!")</f>
        <v>#REF!</v>
      </c>
    </row>
    <row r="685">
      <c r="A685" s="21">
        <f t="shared" si="1"/>
        <v>0</v>
      </c>
      <c r="B685" s="32" t="s">
        <v>293</v>
      </c>
      <c r="C685" s="23" t="s">
        <v>211</v>
      </c>
      <c r="D685" s="23" t="s">
        <v>58</v>
      </c>
      <c r="E685" s="37">
        <v>45395.0</v>
      </c>
      <c r="F685" s="25">
        <v>0.28125</v>
      </c>
      <c r="G685" s="25">
        <v>0.4027777777777778</v>
      </c>
      <c r="H685" s="27">
        <f t="shared" si="2"/>
        <v>0.1215277778</v>
      </c>
      <c r="I685" s="28">
        <v>1.0</v>
      </c>
      <c r="J685" s="29" t="s">
        <v>513</v>
      </c>
      <c r="K685" s="30" t="s">
        <v>23</v>
      </c>
      <c r="L685" s="31" t="str">
        <f>IFERROR(__xludf.DUMMYFUNCTION("IF(OR(E685="""",K685=""""),"""",IFERROR(IF(K685="""","""",query('tbl user'!$A$2:$D10975,""SELECT A WHERE D = '""&amp;K685&amp;""'"")),""USER TIDAK DIKETAHUI""))"),"#REF!")</f>
        <v>#REF!</v>
      </c>
    </row>
    <row r="686">
      <c r="A686" s="21">
        <f t="shared" si="1"/>
        <v>0</v>
      </c>
      <c r="B686" s="32" t="s">
        <v>297</v>
      </c>
      <c r="C686" s="23" t="s">
        <v>348</v>
      </c>
      <c r="D686" s="23" t="s">
        <v>58</v>
      </c>
      <c r="E686" s="37">
        <v>45395.0</v>
      </c>
      <c r="F686" s="25">
        <v>0.2423611111111111</v>
      </c>
      <c r="G686" s="25">
        <v>0.4652777777777778</v>
      </c>
      <c r="H686" s="27">
        <f t="shared" si="2"/>
        <v>0.2229166667</v>
      </c>
      <c r="I686" s="28">
        <v>1.0</v>
      </c>
      <c r="J686" s="29" t="s">
        <v>514</v>
      </c>
      <c r="K686" s="30" t="s">
        <v>23</v>
      </c>
      <c r="L686" s="31" t="str">
        <f>IFERROR(__xludf.DUMMYFUNCTION("IF(OR(E686="""",K686=""""),"""",IFERROR(IF(K686="""","""",query('tbl user'!$A$2:$D10975,""SELECT A WHERE D = '""&amp;K686&amp;""'"")),""USER TIDAK DIKETAHUI""))"),"#REF!")</f>
        <v>#REF!</v>
      </c>
    </row>
    <row r="687">
      <c r="A687" s="21">
        <f t="shared" si="1"/>
        <v>0</v>
      </c>
      <c r="B687" s="32" t="s">
        <v>30</v>
      </c>
      <c r="C687" s="23" t="s">
        <v>68</v>
      </c>
      <c r="D687" s="23" t="s">
        <v>58</v>
      </c>
      <c r="E687" s="37">
        <v>45395.0</v>
      </c>
      <c r="F687" s="25">
        <v>0.3111111111111111</v>
      </c>
      <c r="G687" s="25">
        <v>0.6541666666666667</v>
      </c>
      <c r="H687" s="27">
        <f t="shared" si="2"/>
        <v>0.3430555556</v>
      </c>
      <c r="I687" s="28">
        <v>2.0</v>
      </c>
      <c r="J687" s="29" t="s">
        <v>515</v>
      </c>
      <c r="K687" s="30" t="s">
        <v>23</v>
      </c>
      <c r="L687" s="31" t="str">
        <f>IFERROR(__xludf.DUMMYFUNCTION("IF(OR(E687="""",K687=""""),"""",IFERROR(IF(K687="""","""",query('tbl user'!$A$2:$D10975,""SELECT A WHERE D = '""&amp;K687&amp;""'"")),""USER TIDAK DIKETAHUI""))"),"#REF!")</f>
        <v>#REF!</v>
      </c>
    </row>
    <row r="688">
      <c r="A688" s="21">
        <f t="shared" si="1"/>
        <v>0</v>
      </c>
      <c r="B688" s="32" t="s">
        <v>276</v>
      </c>
      <c r="C688" s="23" t="s">
        <v>183</v>
      </c>
      <c r="D688" s="23" t="s">
        <v>58</v>
      </c>
      <c r="E688" s="37">
        <v>45395.0</v>
      </c>
      <c r="F688" s="25">
        <v>0.28958333333333336</v>
      </c>
      <c r="G688" s="25">
        <v>0.5534722222222223</v>
      </c>
      <c r="H688" s="27">
        <f t="shared" si="2"/>
        <v>0.2638888889</v>
      </c>
      <c r="I688" s="28">
        <v>2.0</v>
      </c>
      <c r="J688" s="29" t="s">
        <v>516</v>
      </c>
      <c r="K688" s="30" t="s">
        <v>23</v>
      </c>
      <c r="L688" s="31" t="str">
        <f>IFERROR(__xludf.DUMMYFUNCTION("IF(OR(E688="""",K688=""""),"""",IFERROR(IF(K688="""","""",query('tbl user'!$A$2:$D10975,""SELECT A WHERE D = '""&amp;K688&amp;""'"")),""USER TIDAK DIKETAHUI""))"),"#REF!")</f>
        <v>#REF!</v>
      </c>
    </row>
    <row r="689">
      <c r="A689" s="21">
        <f t="shared" si="1"/>
        <v>0</v>
      </c>
      <c r="B689" s="32" t="s">
        <v>72</v>
      </c>
      <c r="C689" s="23" t="s">
        <v>208</v>
      </c>
      <c r="D689" s="23" t="s">
        <v>58</v>
      </c>
      <c r="E689" s="37">
        <v>45395.0</v>
      </c>
      <c r="F689" s="25">
        <v>0.2611111111111111</v>
      </c>
      <c r="G689" s="25">
        <v>0.5791666666666667</v>
      </c>
      <c r="H689" s="27">
        <f t="shared" si="2"/>
        <v>0.3180555556</v>
      </c>
      <c r="I689" s="28">
        <v>2.0</v>
      </c>
      <c r="J689" s="29" t="s">
        <v>517</v>
      </c>
      <c r="K689" s="30" t="s">
        <v>23</v>
      </c>
      <c r="L689" s="31" t="str">
        <f>IFERROR(__xludf.DUMMYFUNCTION("IF(OR(E689="""",K689=""""),"""",IFERROR(IF(K689="""","""",query('tbl user'!$A$2:$D10975,""SELECT A WHERE D = '""&amp;K689&amp;""'"")),""USER TIDAK DIKETAHUI""))"),"#REF!")</f>
        <v>#REF!</v>
      </c>
    </row>
    <row r="690">
      <c r="A690" s="21">
        <f t="shared" si="1"/>
        <v>0</v>
      </c>
      <c r="B690" s="32" t="s">
        <v>167</v>
      </c>
      <c r="C690" s="23" t="s">
        <v>168</v>
      </c>
      <c r="D690" s="23" t="s">
        <v>58</v>
      </c>
      <c r="E690" s="37">
        <v>45395.0</v>
      </c>
      <c r="F690" s="25">
        <v>0.2875</v>
      </c>
      <c r="G690" s="25">
        <v>0.7055555555555556</v>
      </c>
      <c r="H690" s="27">
        <f t="shared" si="2"/>
        <v>0.4180555556</v>
      </c>
      <c r="I690" s="28">
        <v>3.0</v>
      </c>
      <c r="J690" s="29" t="s">
        <v>518</v>
      </c>
      <c r="K690" s="30" t="s">
        <v>23</v>
      </c>
      <c r="L690" s="31" t="str">
        <f>IFERROR(__xludf.DUMMYFUNCTION("IF(OR(E690="""",K690=""""),"""",IFERROR(IF(K690="""","""",query('tbl user'!$A$2:$D10975,""SELECT A WHERE D = '""&amp;K690&amp;""'"")),""USER TIDAK DIKETAHUI""))"),"#REF!")</f>
        <v>#REF!</v>
      </c>
    </row>
    <row r="691">
      <c r="A691" s="21">
        <f t="shared" si="1"/>
        <v>0</v>
      </c>
      <c r="B691" s="32" t="s">
        <v>215</v>
      </c>
      <c r="C691" s="23" t="s">
        <v>176</v>
      </c>
      <c r="D691" s="23" t="s">
        <v>58</v>
      </c>
      <c r="E691" s="37">
        <v>45395.0</v>
      </c>
      <c r="F691" s="25">
        <v>0.2708333333333333</v>
      </c>
      <c r="G691" s="25">
        <v>0.6340277777777777</v>
      </c>
      <c r="H691" s="27">
        <f t="shared" si="2"/>
        <v>0.3631944444</v>
      </c>
      <c r="I691" s="28">
        <v>3.0</v>
      </c>
      <c r="J691" s="29" t="s">
        <v>283</v>
      </c>
      <c r="K691" s="30" t="s">
        <v>23</v>
      </c>
      <c r="L691" s="31" t="str">
        <f>IFERROR(__xludf.DUMMYFUNCTION("IF(OR(E691="""",K691=""""),"""",IFERROR(IF(K691="""","""",query('tbl user'!$A$2:$D10975,""SELECT A WHERE D = '""&amp;K691&amp;""'"")),""USER TIDAK DIKETAHUI""))"),"#REF!")</f>
        <v>#REF!</v>
      </c>
    </row>
    <row r="692">
      <c r="A692" s="21">
        <f t="shared" si="1"/>
        <v>0</v>
      </c>
      <c r="B692" s="32" t="s">
        <v>56</v>
      </c>
      <c r="C692" s="23" t="s">
        <v>57</v>
      </c>
      <c r="D692" s="23" t="s">
        <v>58</v>
      </c>
      <c r="E692" s="37">
        <v>45395.0</v>
      </c>
      <c r="F692" s="25">
        <v>0.2881944444444444</v>
      </c>
      <c r="G692" s="25">
        <v>0.6833333333333333</v>
      </c>
      <c r="H692" s="27">
        <f t="shared" si="2"/>
        <v>0.3951388889</v>
      </c>
      <c r="I692" s="28">
        <v>3.0</v>
      </c>
      <c r="J692" s="29" t="s">
        <v>283</v>
      </c>
      <c r="K692" s="30" t="s">
        <v>23</v>
      </c>
      <c r="L692" s="31" t="str">
        <f>IFERROR(__xludf.DUMMYFUNCTION("IF(OR(E692="""",K692=""""),"""",IFERROR(IF(K692="""","""",query('tbl user'!$A$2:$D10975,""SELECT A WHERE D = '""&amp;K692&amp;""'"")),""USER TIDAK DIKETAHUI""))"),"#REF!")</f>
        <v>#REF!</v>
      </c>
    </row>
    <row r="693">
      <c r="A693" s="21">
        <f t="shared" si="1"/>
        <v>0</v>
      </c>
      <c r="B693" s="32" t="s">
        <v>263</v>
      </c>
      <c r="C693" s="23" t="s">
        <v>188</v>
      </c>
      <c r="D693" s="23" t="s">
        <v>58</v>
      </c>
      <c r="E693" s="37">
        <v>45395.0</v>
      </c>
      <c r="F693" s="25">
        <v>0.24027777777777778</v>
      </c>
      <c r="G693" s="25">
        <v>0.6736111111111112</v>
      </c>
      <c r="H693" s="27">
        <f t="shared" si="2"/>
        <v>0.4333333333</v>
      </c>
      <c r="I693" s="28">
        <v>3.0</v>
      </c>
      <c r="J693" s="29" t="s">
        <v>519</v>
      </c>
      <c r="K693" s="30" t="s">
        <v>23</v>
      </c>
      <c r="L693" s="31" t="str">
        <f>IFERROR(__xludf.DUMMYFUNCTION("IF(OR(E693="""",K693=""""),"""",IFERROR(IF(K693="""","""",query('tbl user'!$A$2:$D10975,""SELECT A WHERE D = '""&amp;K693&amp;""'"")),""USER TIDAK DIKETAHUI""))"),"#REF!")</f>
        <v>#REF!</v>
      </c>
    </row>
    <row r="694">
      <c r="A694" s="21">
        <f t="shared" si="1"/>
        <v>0</v>
      </c>
      <c r="B694" s="32" t="s">
        <v>162</v>
      </c>
      <c r="C694" s="23" t="s">
        <v>190</v>
      </c>
      <c r="D694" s="23" t="s">
        <v>58</v>
      </c>
      <c r="E694" s="37">
        <v>45395.0</v>
      </c>
      <c r="F694" s="25">
        <v>0.25555555555555554</v>
      </c>
      <c r="G694" s="25">
        <v>0.6208333333333333</v>
      </c>
      <c r="H694" s="27">
        <f t="shared" si="2"/>
        <v>0.3652777778</v>
      </c>
      <c r="I694" s="28">
        <v>3.0</v>
      </c>
      <c r="J694" s="29" t="s">
        <v>283</v>
      </c>
      <c r="K694" s="30" t="s">
        <v>23</v>
      </c>
      <c r="L694" s="31" t="str">
        <f>IFERROR(__xludf.DUMMYFUNCTION("IF(OR(E694="""",K694=""""),"""",IFERROR(IF(K694="""","""",query('tbl user'!$A$2:$D10975,""SELECT A WHERE D = '""&amp;K694&amp;""'"")),""USER TIDAK DIKETAHUI""))"),"#REF!")</f>
        <v>#REF!</v>
      </c>
    </row>
    <row r="695">
      <c r="A695" s="21">
        <f t="shared" si="1"/>
        <v>0</v>
      </c>
      <c r="B695" s="32" t="s">
        <v>346</v>
      </c>
      <c r="C695" s="23" t="s">
        <v>192</v>
      </c>
      <c r="D695" s="23" t="s">
        <v>58</v>
      </c>
      <c r="E695" s="37">
        <v>45395.0</v>
      </c>
      <c r="F695" s="25">
        <v>0.28958333333333336</v>
      </c>
      <c r="G695" s="25">
        <v>0.6465277777777778</v>
      </c>
      <c r="H695" s="27">
        <f t="shared" si="2"/>
        <v>0.3569444444</v>
      </c>
      <c r="I695" s="28">
        <v>3.0</v>
      </c>
      <c r="J695" s="29" t="s">
        <v>283</v>
      </c>
      <c r="K695" s="30" t="s">
        <v>23</v>
      </c>
      <c r="L695" s="31" t="str">
        <f>IFERROR(__xludf.DUMMYFUNCTION("IF(OR(E695="""",K695=""""),"""",IFERROR(IF(K695="""","""",query('tbl user'!$A$2:$D10975,""SELECT A WHERE D = '""&amp;K695&amp;""'"")),""USER TIDAK DIKETAHUI""))"),"#REF!")</f>
        <v>#REF!</v>
      </c>
    </row>
    <row r="696">
      <c r="A696" s="21">
        <f t="shared" si="1"/>
        <v>0</v>
      </c>
      <c r="B696" s="32" t="s">
        <v>110</v>
      </c>
      <c r="C696" s="23" t="s">
        <v>201</v>
      </c>
      <c r="D696" s="23" t="s">
        <v>58</v>
      </c>
      <c r="E696" s="37">
        <v>45395.0</v>
      </c>
      <c r="F696" s="25">
        <v>0.2923611111111111</v>
      </c>
      <c r="G696" s="25">
        <v>0.6597222222222222</v>
      </c>
      <c r="H696" s="27">
        <f t="shared" si="2"/>
        <v>0.3673611111</v>
      </c>
      <c r="I696" s="28">
        <v>3.0</v>
      </c>
      <c r="J696" s="29" t="s">
        <v>283</v>
      </c>
      <c r="K696" s="30" t="s">
        <v>23</v>
      </c>
      <c r="L696" s="31" t="str">
        <f>IFERROR(__xludf.DUMMYFUNCTION("IF(OR(E696="""",K696=""""),"""",IFERROR(IF(K696="""","""",query('tbl user'!$A$2:$D10975,""SELECT A WHERE D = '""&amp;K696&amp;""'"")),""USER TIDAK DIKETAHUI""))"),"#REF!")</f>
        <v>#REF!</v>
      </c>
    </row>
    <row r="697">
      <c r="A697" s="21">
        <f t="shared" si="1"/>
        <v>0</v>
      </c>
      <c r="B697" s="32" t="s">
        <v>209</v>
      </c>
      <c r="C697" s="23" t="s">
        <v>203</v>
      </c>
      <c r="D697" s="23" t="s">
        <v>58</v>
      </c>
      <c r="E697" s="37">
        <v>45395.0</v>
      </c>
      <c r="F697" s="25">
        <v>0.2548611111111111</v>
      </c>
      <c r="G697" s="25">
        <v>0.6402777777777777</v>
      </c>
      <c r="H697" s="27">
        <f t="shared" si="2"/>
        <v>0.3854166667</v>
      </c>
      <c r="I697" s="28">
        <v>3.0</v>
      </c>
      <c r="J697" s="29" t="s">
        <v>283</v>
      </c>
      <c r="K697" s="30" t="s">
        <v>23</v>
      </c>
      <c r="L697" s="31" t="str">
        <f>IFERROR(__xludf.DUMMYFUNCTION("IF(OR(E697="""",K697=""""),"""",IFERROR(IF(K697="""","""",query('tbl user'!$A$2:$D10975,""SELECT A WHERE D = '""&amp;K697&amp;""'"")),""USER TIDAK DIKETAHUI""))"),"#REF!")</f>
        <v>#REF!</v>
      </c>
    </row>
    <row r="698">
      <c r="A698" s="21">
        <f t="shared" si="1"/>
        <v>0</v>
      </c>
      <c r="B698" s="32" t="s">
        <v>120</v>
      </c>
      <c r="C698" s="23" t="s">
        <v>206</v>
      </c>
      <c r="D698" s="23" t="s">
        <v>58</v>
      </c>
      <c r="E698" s="37">
        <v>45395.0</v>
      </c>
      <c r="F698" s="25">
        <v>0.27569444444444446</v>
      </c>
      <c r="G698" s="25">
        <v>0.6840277777777778</v>
      </c>
      <c r="H698" s="27">
        <f t="shared" si="2"/>
        <v>0.4083333333</v>
      </c>
      <c r="I698" s="28">
        <v>3.0</v>
      </c>
      <c r="J698" s="29" t="s">
        <v>520</v>
      </c>
      <c r="K698" s="30" t="s">
        <v>23</v>
      </c>
      <c r="L698" s="31" t="str">
        <f>IFERROR(__xludf.DUMMYFUNCTION("IF(OR(E698="""",K698=""""),"""",IFERROR(IF(K698="""","""",query('tbl user'!$A$2:$D10975,""SELECT A WHERE D = '""&amp;K698&amp;""'"")),""USER TIDAK DIKETAHUI""))"),"#REF!")</f>
        <v>#REF!</v>
      </c>
    </row>
    <row r="699">
      <c r="A699" s="21">
        <f t="shared" si="1"/>
        <v>0</v>
      </c>
      <c r="B699" s="32" t="s">
        <v>84</v>
      </c>
      <c r="C699" s="23" t="s">
        <v>85</v>
      </c>
      <c r="D699" s="23" t="s">
        <v>58</v>
      </c>
      <c r="E699" s="37">
        <v>45395.0</v>
      </c>
      <c r="F699" s="25">
        <v>0.23819444444444443</v>
      </c>
      <c r="G699" s="25">
        <v>0.6263888888888889</v>
      </c>
      <c r="H699" s="27">
        <f t="shared" si="2"/>
        <v>0.3881944444</v>
      </c>
      <c r="I699" s="28">
        <v>3.0</v>
      </c>
      <c r="J699" s="29" t="s">
        <v>521</v>
      </c>
      <c r="K699" s="30" t="s">
        <v>23</v>
      </c>
      <c r="L699" s="31" t="str">
        <f>IFERROR(__xludf.DUMMYFUNCTION("IF(OR(E699="""",K699=""""),"""",IFERROR(IF(K699="""","""",query('tbl user'!$A$2:$D10975,""SELECT A WHERE D = '""&amp;K699&amp;""'"")),""USER TIDAK DIKETAHUI""))"),"#REF!")</f>
        <v>#REF!</v>
      </c>
    </row>
    <row r="700">
      <c r="A700" s="21">
        <f t="shared" si="1"/>
        <v>0</v>
      </c>
      <c r="B700" s="32" t="s">
        <v>92</v>
      </c>
      <c r="C700" s="23" t="s">
        <v>93</v>
      </c>
      <c r="D700" s="23" t="s">
        <v>58</v>
      </c>
      <c r="E700" s="37">
        <v>45395.0</v>
      </c>
      <c r="F700" s="25">
        <v>0.25069444444444444</v>
      </c>
      <c r="G700" s="25">
        <v>0.7076388888888889</v>
      </c>
      <c r="H700" s="27">
        <f t="shared" si="2"/>
        <v>0.4569444444</v>
      </c>
      <c r="I700" s="28">
        <v>4.0</v>
      </c>
      <c r="J700" s="29" t="s">
        <v>55</v>
      </c>
      <c r="K700" s="30" t="s">
        <v>23</v>
      </c>
      <c r="L700" s="31" t="str">
        <f>IFERROR(__xludf.DUMMYFUNCTION("IF(OR(E700="""",K700=""""),"""",IFERROR(IF(K700="""","""",query('tbl user'!$A$2:$D10975,""SELECT A WHERE D = '""&amp;K700&amp;""'"")),""USER TIDAK DIKETAHUI""))"),"#REF!")</f>
        <v>#REF!</v>
      </c>
    </row>
    <row r="701">
      <c r="A701" s="21">
        <f t="shared" si="1"/>
        <v>0</v>
      </c>
      <c r="B701" s="32" t="s">
        <v>178</v>
      </c>
      <c r="C701" s="23" t="s">
        <v>82</v>
      </c>
      <c r="D701" s="23" t="s">
        <v>58</v>
      </c>
      <c r="E701" s="37">
        <v>45395.0</v>
      </c>
      <c r="F701" s="25">
        <v>0.2708333333333333</v>
      </c>
      <c r="G701" s="25">
        <v>0.6930555555555555</v>
      </c>
      <c r="H701" s="27">
        <f t="shared" si="2"/>
        <v>0.4222222222</v>
      </c>
      <c r="I701" s="28">
        <v>4.0</v>
      </c>
      <c r="J701" s="29" t="s">
        <v>55</v>
      </c>
      <c r="K701" s="30" t="s">
        <v>23</v>
      </c>
      <c r="L701" s="31" t="str">
        <f>IFERROR(__xludf.DUMMYFUNCTION("IF(OR(E701="""",K701=""""),"""",IFERROR(IF(K701="""","""",query('tbl user'!$A$2:$D10975,""SELECT A WHERE D = '""&amp;K701&amp;""'"")),""USER TIDAK DIKETAHUI""))"),"#REF!")</f>
        <v>#REF!</v>
      </c>
    </row>
    <row r="702">
      <c r="A702" s="21">
        <f t="shared" si="1"/>
        <v>0</v>
      </c>
      <c r="B702" s="32" t="s">
        <v>133</v>
      </c>
      <c r="C702" s="23" t="s">
        <v>181</v>
      </c>
      <c r="D702" s="23" t="s">
        <v>58</v>
      </c>
      <c r="E702" s="37">
        <v>45395.0</v>
      </c>
      <c r="F702" s="25">
        <v>0.2361111111111111</v>
      </c>
      <c r="G702" s="25">
        <v>0.6888888888888889</v>
      </c>
      <c r="H702" s="27">
        <f t="shared" si="2"/>
        <v>0.4527777778</v>
      </c>
      <c r="I702" s="28">
        <v>4.0</v>
      </c>
      <c r="J702" s="29" t="s">
        <v>55</v>
      </c>
      <c r="K702" s="30" t="s">
        <v>23</v>
      </c>
      <c r="L702" s="31" t="str">
        <f>IFERROR(__xludf.DUMMYFUNCTION("IF(OR(E702="""",K702=""""),"""",IFERROR(IF(K702="""","""",query('tbl user'!$A$2:$D10975,""SELECT A WHERE D = '""&amp;K702&amp;""'"")),""USER TIDAK DIKETAHUI""))"),"#REF!")</f>
        <v>#REF!</v>
      </c>
    </row>
    <row r="703">
      <c r="A703" s="21">
        <f t="shared" si="1"/>
        <v>0</v>
      </c>
      <c r="B703" s="32" t="s">
        <v>144</v>
      </c>
      <c r="C703" s="23" t="s">
        <v>185</v>
      </c>
      <c r="D703" s="23" t="s">
        <v>58</v>
      </c>
      <c r="E703" s="37">
        <v>45395.0</v>
      </c>
      <c r="F703" s="25">
        <v>0.28055555555555556</v>
      </c>
      <c r="G703" s="25">
        <v>0.7125</v>
      </c>
      <c r="H703" s="27">
        <f t="shared" si="2"/>
        <v>0.4319444444</v>
      </c>
      <c r="I703" s="28">
        <v>4.0</v>
      </c>
      <c r="J703" s="29" t="s">
        <v>55</v>
      </c>
      <c r="K703" s="30" t="s">
        <v>23</v>
      </c>
      <c r="L703" s="31" t="str">
        <f>IFERROR(__xludf.DUMMYFUNCTION("IF(OR(E703="""",K703=""""),"""",IFERROR(IF(K703="""","""",query('tbl user'!$A$2:$D10975,""SELECT A WHERE D = '""&amp;K703&amp;""'"")),""USER TIDAK DIKETAHUI""))"),"#REF!")</f>
        <v>#REF!</v>
      </c>
    </row>
    <row r="704">
      <c r="A704" s="21">
        <f t="shared" si="1"/>
        <v>0</v>
      </c>
      <c r="B704" s="32" t="s">
        <v>216</v>
      </c>
      <c r="C704" s="23" t="s">
        <v>195</v>
      </c>
      <c r="D704" s="23" t="s">
        <v>58</v>
      </c>
      <c r="E704" s="37">
        <v>45395.0</v>
      </c>
      <c r="F704" s="25">
        <v>0.21736111111111112</v>
      </c>
      <c r="G704" s="25">
        <v>0.7006944444444444</v>
      </c>
      <c r="H704" s="27">
        <f t="shared" si="2"/>
        <v>0.4833333333</v>
      </c>
      <c r="I704" s="28">
        <v>4.0</v>
      </c>
      <c r="J704" s="29" t="s">
        <v>55</v>
      </c>
      <c r="K704" s="30" t="s">
        <v>23</v>
      </c>
      <c r="L704" s="31" t="str">
        <f>IFERROR(__xludf.DUMMYFUNCTION("IF(OR(E704="""",K704=""""),"""",IFERROR(IF(K704="""","""",query('tbl user'!$A$2:$D10975,""SELECT A WHERE D = '""&amp;K704&amp;""'"")),""USER TIDAK DIKETAHUI""))"),"#REF!")</f>
        <v>#REF!</v>
      </c>
    </row>
    <row r="705">
      <c r="A705" s="21">
        <f t="shared" si="1"/>
        <v>0</v>
      </c>
      <c r="B705" s="32" t="s">
        <v>197</v>
      </c>
      <c r="C705" s="23" t="s">
        <v>198</v>
      </c>
      <c r="D705" s="23" t="s">
        <v>58</v>
      </c>
      <c r="E705" s="37">
        <v>45395.0</v>
      </c>
      <c r="F705" s="25">
        <v>0.20972222222222223</v>
      </c>
      <c r="G705" s="25">
        <v>0.6875</v>
      </c>
      <c r="H705" s="27">
        <f t="shared" si="2"/>
        <v>0.4777777778</v>
      </c>
      <c r="I705" s="28">
        <v>4.0</v>
      </c>
      <c r="J705" s="29" t="s">
        <v>55</v>
      </c>
      <c r="K705" s="30" t="s">
        <v>23</v>
      </c>
      <c r="L705" s="31" t="str">
        <f>IFERROR(__xludf.DUMMYFUNCTION("IF(OR(E705="""",K705=""""),"""",IFERROR(IF(K705="""","""",query('tbl user'!$A$2:$D10975,""SELECT A WHERE D = '""&amp;K705&amp;""'"")),""USER TIDAK DIKETAHUI""))"),"#REF!")</f>
        <v>#REF!</v>
      </c>
    </row>
    <row r="706">
      <c r="A706" s="21">
        <f t="shared" si="1"/>
        <v>0</v>
      </c>
      <c r="B706" s="32" t="s">
        <v>303</v>
      </c>
      <c r="C706" s="23" t="s">
        <v>251</v>
      </c>
      <c r="D706" s="23" t="s">
        <v>21</v>
      </c>
      <c r="E706" s="37">
        <v>45395.0</v>
      </c>
      <c r="F706" s="25">
        <v>0.28958333333333336</v>
      </c>
      <c r="G706" s="25">
        <v>0.5444444444444444</v>
      </c>
      <c r="H706" s="27">
        <f t="shared" si="2"/>
        <v>0.2548611111</v>
      </c>
      <c r="I706" s="28">
        <v>1.0</v>
      </c>
      <c r="J706" s="29" t="s">
        <v>522</v>
      </c>
      <c r="K706" s="30" t="s">
        <v>23</v>
      </c>
      <c r="L706" s="31" t="str">
        <f>IFERROR(__xludf.DUMMYFUNCTION("IF(OR(E706="""",K706=""""),"""",IFERROR(IF(K706="""","""",query('tbl user'!$A$2:$D10975,""SELECT A WHERE D = '""&amp;K706&amp;""'"")),""USER TIDAK DIKETAHUI""))"),"#REF!")</f>
        <v>#REF!</v>
      </c>
    </row>
    <row r="707">
      <c r="A707" s="21">
        <f t="shared" si="1"/>
        <v>0</v>
      </c>
      <c r="B707" s="32" t="s">
        <v>43</v>
      </c>
      <c r="C707" s="23" t="s">
        <v>236</v>
      </c>
      <c r="D707" s="23" t="s">
        <v>21</v>
      </c>
      <c r="E707" s="37">
        <v>45395.0</v>
      </c>
      <c r="F707" s="25">
        <v>0.3104166666666667</v>
      </c>
      <c r="G707" s="25">
        <v>0.5277777777777778</v>
      </c>
      <c r="H707" s="27">
        <f t="shared" si="2"/>
        <v>0.2173611111</v>
      </c>
      <c r="I707" s="28">
        <v>1.0</v>
      </c>
      <c r="J707" s="29" t="s">
        <v>523</v>
      </c>
      <c r="K707" s="30" t="s">
        <v>23</v>
      </c>
      <c r="L707" s="31" t="str">
        <f>IFERROR(__xludf.DUMMYFUNCTION("IF(OR(E707="""",K707=""""),"""",IFERROR(IF(K707="""","""",query('tbl user'!$A$2:$D10975,""SELECT A WHERE D = '""&amp;K707&amp;""'"")),""USER TIDAK DIKETAHUI""))"),"#REF!")</f>
        <v>#REF!</v>
      </c>
    </row>
    <row r="708">
      <c r="A708" s="21">
        <f t="shared" si="1"/>
        <v>0</v>
      </c>
      <c r="B708" s="32" t="s">
        <v>175</v>
      </c>
      <c r="C708" s="23" t="s">
        <v>35</v>
      </c>
      <c r="D708" s="23" t="s">
        <v>21</v>
      </c>
      <c r="E708" s="37">
        <v>45395.0</v>
      </c>
      <c r="F708" s="25">
        <v>0.2763888888888889</v>
      </c>
      <c r="G708" s="25">
        <v>0.6166666666666667</v>
      </c>
      <c r="H708" s="27">
        <f t="shared" si="2"/>
        <v>0.3402777778</v>
      </c>
      <c r="I708" s="28">
        <v>2.0</v>
      </c>
      <c r="J708" s="29" t="s">
        <v>524</v>
      </c>
      <c r="K708" s="30" t="s">
        <v>23</v>
      </c>
      <c r="L708" s="31" t="str">
        <f>IFERROR(__xludf.DUMMYFUNCTION("IF(OR(E708="""",K708=""""),"""",IFERROR(IF(K708="""","""",query('tbl user'!$A$2:$D10975,""SELECT A WHERE D = '""&amp;K708&amp;""'"")),""USER TIDAK DIKETAHUI""))"),"#REF!")</f>
        <v>#REF!</v>
      </c>
    </row>
    <row r="709">
      <c r="A709" s="21">
        <f t="shared" si="1"/>
        <v>0</v>
      </c>
      <c r="B709" s="32" t="s">
        <v>238</v>
      </c>
      <c r="C709" s="23" t="s">
        <v>239</v>
      </c>
      <c r="D709" s="23" t="s">
        <v>21</v>
      </c>
      <c r="E709" s="37">
        <v>45395.0</v>
      </c>
      <c r="F709" s="25">
        <v>0.28194444444444444</v>
      </c>
      <c r="G709" s="25">
        <v>0.6694444444444444</v>
      </c>
      <c r="H709" s="27">
        <f t="shared" si="2"/>
        <v>0.3875</v>
      </c>
      <c r="I709" s="28">
        <v>2.0</v>
      </c>
      <c r="J709" s="29" t="s">
        <v>525</v>
      </c>
      <c r="K709" s="30" t="s">
        <v>23</v>
      </c>
      <c r="L709" s="31" t="str">
        <f>IFERROR(__xludf.DUMMYFUNCTION("IF(OR(E709="""",K709=""""),"""",IFERROR(IF(K709="""","""",query('tbl user'!$A$2:$D10975,""SELECT A WHERE D = '""&amp;K709&amp;""'"")),""USER TIDAK DIKETAHUI""))"),"#REF!")</f>
        <v>#REF!</v>
      </c>
    </row>
    <row r="710">
      <c r="A710" s="21">
        <f t="shared" si="1"/>
        <v>0</v>
      </c>
      <c r="B710" s="32" t="s">
        <v>240</v>
      </c>
      <c r="C710" s="23" t="s">
        <v>241</v>
      </c>
      <c r="D710" s="23" t="s">
        <v>21</v>
      </c>
      <c r="E710" s="37">
        <v>45395.0</v>
      </c>
      <c r="F710" s="25">
        <v>0.21041666666666667</v>
      </c>
      <c r="G710" s="25">
        <v>0.7125</v>
      </c>
      <c r="H710" s="27">
        <f t="shared" si="2"/>
        <v>0.5020833333</v>
      </c>
      <c r="I710" s="28">
        <v>2.0</v>
      </c>
      <c r="J710" s="29" t="s">
        <v>526</v>
      </c>
      <c r="K710" s="30" t="s">
        <v>23</v>
      </c>
      <c r="L710" s="31" t="str">
        <f>IFERROR(__xludf.DUMMYFUNCTION("IF(OR(E710="""",K710=""""),"""",IFERROR(IF(K710="""","""",query('tbl user'!$A$2:$D10975,""SELECT A WHERE D = '""&amp;K710&amp;""'"")),""USER TIDAK DIKETAHUI""))"),"#REF!")</f>
        <v>#REF!</v>
      </c>
    </row>
    <row r="711">
      <c r="A711" s="21">
        <f t="shared" si="1"/>
        <v>0</v>
      </c>
      <c r="B711" s="32" t="s">
        <v>246</v>
      </c>
      <c r="C711" s="23" t="s">
        <v>99</v>
      </c>
      <c r="D711" s="23" t="s">
        <v>21</v>
      </c>
      <c r="E711" s="37">
        <v>45395.0</v>
      </c>
      <c r="F711" s="25">
        <v>0.2923611111111111</v>
      </c>
      <c r="G711" s="25">
        <v>0.6638888888888889</v>
      </c>
      <c r="H711" s="27">
        <f t="shared" si="2"/>
        <v>0.3715277778</v>
      </c>
      <c r="I711" s="28">
        <v>2.0</v>
      </c>
      <c r="J711" s="29" t="s">
        <v>525</v>
      </c>
      <c r="K711" s="30" t="s">
        <v>23</v>
      </c>
      <c r="L711" s="31" t="str">
        <f>IFERROR(__xludf.DUMMYFUNCTION("IF(OR(E711="""",K711=""""),"""",IFERROR(IF(K711="""","""",query('tbl user'!$A$2:$D10975,""SELECT A WHERE D = '""&amp;K711&amp;""'"")),""USER TIDAK DIKETAHUI""))"),"#REF!")</f>
        <v>#REF!</v>
      </c>
    </row>
    <row r="712">
      <c r="A712" s="21">
        <f t="shared" si="1"/>
        <v>0</v>
      </c>
      <c r="B712" s="32" t="s">
        <v>231</v>
      </c>
      <c r="C712" s="23" t="s">
        <v>232</v>
      </c>
      <c r="D712" s="23" t="s">
        <v>21</v>
      </c>
      <c r="E712" s="37">
        <v>45395.0</v>
      </c>
      <c r="F712" s="25">
        <v>0.2875</v>
      </c>
      <c r="G712" s="25">
        <v>0.6770833333333334</v>
      </c>
      <c r="H712" s="27">
        <f t="shared" si="2"/>
        <v>0.3895833333</v>
      </c>
      <c r="I712" s="28">
        <v>2.0</v>
      </c>
      <c r="J712" s="29" t="s">
        <v>527</v>
      </c>
      <c r="K712" s="30" t="s">
        <v>23</v>
      </c>
      <c r="L712" s="31" t="str">
        <f>IFERROR(__xludf.DUMMYFUNCTION("IF(OR(E712="""",K712=""""),"""",IFERROR(IF(K712="""","""",query('tbl user'!$A$2:$D10975,""SELECT A WHERE D = '""&amp;K712&amp;""'"")),""USER TIDAK DIKETAHUI""))"),"#REF!")</f>
        <v>#REF!</v>
      </c>
    </row>
    <row r="713">
      <c r="A713" s="21">
        <f t="shared" si="1"/>
        <v>0</v>
      </c>
      <c r="B713" s="32" t="s">
        <v>156</v>
      </c>
      <c r="C713" s="23" t="s">
        <v>234</v>
      </c>
      <c r="D713" s="23" t="s">
        <v>21</v>
      </c>
      <c r="E713" s="37">
        <v>45395.0</v>
      </c>
      <c r="F713" s="25">
        <v>0.2625</v>
      </c>
      <c r="G713" s="25">
        <v>0.6395833333333333</v>
      </c>
      <c r="H713" s="27">
        <f t="shared" si="2"/>
        <v>0.3770833333</v>
      </c>
      <c r="I713" s="28">
        <v>2.0</v>
      </c>
      <c r="J713" s="29" t="s">
        <v>525</v>
      </c>
      <c r="K713" s="30" t="s">
        <v>23</v>
      </c>
      <c r="L713" s="31" t="str">
        <f>IFERROR(__xludf.DUMMYFUNCTION("IF(OR(E713="""",K713=""""),"""",IFERROR(IF(K713="""","""",query('tbl user'!$A$2:$D10975,""SELECT A WHERE D = '""&amp;K713&amp;""'"")),""USER TIDAK DIKETAHUI""))"),"#REF!")</f>
        <v>#REF!</v>
      </c>
    </row>
    <row r="714">
      <c r="A714" s="21">
        <f t="shared" si="1"/>
        <v>0</v>
      </c>
      <c r="B714" s="32" t="s">
        <v>305</v>
      </c>
      <c r="C714" s="23" t="s">
        <v>306</v>
      </c>
      <c r="D714" s="23" t="s">
        <v>21</v>
      </c>
      <c r="E714" s="37">
        <v>45395.0</v>
      </c>
      <c r="F714" s="25">
        <v>0.24305555555555555</v>
      </c>
      <c r="G714" s="25">
        <v>0.5847222222222223</v>
      </c>
      <c r="H714" s="27">
        <f t="shared" si="2"/>
        <v>0.3416666667</v>
      </c>
      <c r="I714" s="28">
        <v>2.0</v>
      </c>
      <c r="J714" s="29" t="s">
        <v>528</v>
      </c>
      <c r="K714" s="30" t="s">
        <v>23</v>
      </c>
      <c r="L714" s="31" t="str">
        <f>IFERROR(__xludf.DUMMYFUNCTION("IF(OR(E714="""",K714=""""),"""",IFERROR(IF(K714="""","""",query('tbl user'!$A$2:$D10975,""SELECT A WHERE D = '""&amp;K714&amp;""'"")),""USER TIDAK DIKETAHUI""))"),"#REF!")</f>
        <v>#REF!</v>
      </c>
    </row>
    <row r="715">
      <c r="A715" s="21">
        <f t="shared" si="1"/>
        <v>0</v>
      </c>
      <c r="B715" s="32" t="s">
        <v>258</v>
      </c>
      <c r="C715" s="23" t="s">
        <v>259</v>
      </c>
      <c r="D715" s="23" t="s">
        <v>21</v>
      </c>
      <c r="E715" s="37">
        <v>45395.0</v>
      </c>
      <c r="F715" s="25">
        <v>0.28958333333333336</v>
      </c>
      <c r="G715" s="25">
        <v>0.6506944444444445</v>
      </c>
      <c r="H715" s="27">
        <f t="shared" si="2"/>
        <v>0.3611111111</v>
      </c>
      <c r="I715" s="28">
        <v>2.0</v>
      </c>
      <c r="J715" s="29" t="s">
        <v>525</v>
      </c>
      <c r="K715" s="30" t="s">
        <v>23</v>
      </c>
      <c r="L715" s="31" t="str">
        <f>IFERROR(__xludf.DUMMYFUNCTION("IF(OR(E715="""",K715=""""),"""",IFERROR(IF(K715="""","""",query('tbl user'!$A$2:$D10975,""SELECT A WHERE D = '""&amp;K715&amp;""'"")),""USER TIDAK DIKETAHUI""))"),"#REF!")</f>
        <v>#REF!</v>
      </c>
    </row>
    <row r="716">
      <c r="A716" s="21">
        <f t="shared" si="1"/>
        <v>0</v>
      </c>
      <c r="B716" s="32" t="s">
        <v>260</v>
      </c>
      <c r="C716" s="23" t="s">
        <v>261</v>
      </c>
      <c r="D716" s="23" t="s">
        <v>21</v>
      </c>
      <c r="E716" s="37">
        <v>45395.0</v>
      </c>
      <c r="F716" s="25">
        <v>0.27569444444444446</v>
      </c>
      <c r="G716" s="25">
        <v>0.6201388888888889</v>
      </c>
      <c r="H716" s="27">
        <f t="shared" si="2"/>
        <v>0.3444444444</v>
      </c>
      <c r="I716" s="28">
        <v>2.0</v>
      </c>
      <c r="J716" s="29" t="s">
        <v>525</v>
      </c>
      <c r="K716" s="30" t="s">
        <v>23</v>
      </c>
      <c r="L716" s="31" t="str">
        <f>IFERROR(__xludf.DUMMYFUNCTION("IF(OR(E716="""",K716=""""),"""",IFERROR(IF(K716="""","""",query('tbl user'!$A$2:$D10975,""SELECT A WHERE D = '""&amp;K716&amp;""'"")),""USER TIDAK DIKETAHUI""))"),"#REF!")</f>
        <v>#REF!</v>
      </c>
    </row>
    <row r="717">
      <c r="A717" s="21">
        <f t="shared" si="1"/>
        <v>0</v>
      </c>
      <c r="B717" s="32" t="s">
        <v>243</v>
      </c>
      <c r="C717" s="23" t="s">
        <v>244</v>
      </c>
      <c r="D717" s="23" t="s">
        <v>21</v>
      </c>
      <c r="E717" s="37">
        <v>45395.0</v>
      </c>
      <c r="F717" s="25">
        <v>0.275</v>
      </c>
      <c r="G717" s="25">
        <v>0.7243055555555555</v>
      </c>
      <c r="H717" s="27">
        <f t="shared" si="2"/>
        <v>0.4493055556</v>
      </c>
      <c r="I717" s="28">
        <v>3.0</v>
      </c>
      <c r="J717" s="29" t="s">
        <v>55</v>
      </c>
      <c r="K717" s="30" t="s">
        <v>23</v>
      </c>
      <c r="L717" s="31" t="str">
        <f>IFERROR(__xludf.DUMMYFUNCTION("IF(OR(E717="""",K717=""""),"""",IFERROR(IF(K717="""","""",query('tbl user'!$A$2:$D10975,""SELECT A WHERE D = '""&amp;K717&amp;""'"")),""USER TIDAK DIKETAHUI""))"),"#REF!")</f>
        <v>#REF!</v>
      </c>
    </row>
    <row r="718">
      <c r="A718" s="21">
        <f t="shared" si="1"/>
        <v>0</v>
      </c>
      <c r="B718" s="32" t="s">
        <v>255</v>
      </c>
      <c r="C718" s="23" t="s">
        <v>256</v>
      </c>
      <c r="D718" s="23" t="s">
        <v>21</v>
      </c>
      <c r="E718" s="37">
        <v>45395.0</v>
      </c>
      <c r="F718" s="25">
        <v>0.21319444444444444</v>
      </c>
      <c r="G718" s="25">
        <v>0.6923611111111111</v>
      </c>
      <c r="H718" s="27">
        <f t="shared" si="2"/>
        <v>0.4791666667</v>
      </c>
      <c r="I718" s="28">
        <v>3.0</v>
      </c>
      <c r="J718" s="29" t="s">
        <v>55</v>
      </c>
      <c r="K718" s="30" t="s">
        <v>23</v>
      </c>
      <c r="L718" s="31" t="str">
        <f>IFERROR(__xludf.DUMMYFUNCTION("IF(OR(E718="""",K718=""""),"""",IFERROR(IF(K718="""","""",query('tbl user'!$A$2:$D10975,""SELECT A WHERE D = '""&amp;K718&amp;""'"")),""USER TIDAK DIKETAHUI""))"),"#REF!")</f>
        <v>#REF!</v>
      </c>
    </row>
    <row r="719">
      <c r="A719" s="21">
        <f t="shared" si="1"/>
        <v>0</v>
      </c>
      <c r="B719" s="32" t="s">
        <v>149</v>
      </c>
      <c r="C719" s="23" t="s">
        <v>290</v>
      </c>
      <c r="D719" s="23" t="s">
        <v>21</v>
      </c>
      <c r="E719" s="37">
        <v>45395.0</v>
      </c>
      <c r="F719" s="25">
        <v>0.3736111111111111</v>
      </c>
      <c r="G719" s="25">
        <v>0.4965277777777778</v>
      </c>
      <c r="H719" s="27">
        <f t="shared" si="2"/>
        <v>0.1229166667</v>
      </c>
      <c r="I719" s="28">
        <v>1.0</v>
      </c>
      <c r="J719" s="29" t="s">
        <v>529</v>
      </c>
      <c r="K719" s="30" t="s">
        <v>23</v>
      </c>
      <c r="L719" s="31" t="str">
        <f>IFERROR(__xludf.DUMMYFUNCTION("IF(OR(E719="""",K719=""""),"""",IFERROR(IF(K719="""","""",query('tbl user'!$A$2:$D10975,""SELECT A WHERE D = '""&amp;K719&amp;""'"")),""USER TIDAK DIKETAHUI""))"),"#REF!")</f>
        <v>#REF!</v>
      </c>
    </row>
    <row r="720">
      <c r="A720" s="21">
        <f t="shared" si="1"/>
        <v>0</v>
      </c>
      <c r="B720" s="32" t="s">
        <v>37</v>
      </c>
      <c r="C720" s="23" t="s">
        <v>38</v>
      </c>
      <c r="D720" s="23" t="s">
        <v>21</v>
      </c>
      <c r="E720" s="37">
        <v>45395.0</v>
      </c>
      <c r="F720" s="25">
        <v>0.2604166666666667</v>
      </c>
      <c r="G720" s="25">
        <v>0.6027777777777777</v>
      </c>
      <c r="H720" s="27">
        <f t="shared" si="2"/>
        <v>0.3423611111</v>
      </c>
      <c r="I720" s="28">
        <v>3.0</v>
      </c>
      <c r="J720" s="29" t="s">
        <v>530</v>
      </c>
      <c r="K720" s="30" t="s">
        <v>23</v>
      </c>
      <c r="L720" s="31" t="str">
        <f>IFERROR(__xludf.DUMMYFUNCTION("IF(OR(E720="""",K720=""""),"""",IFERROR(IF(K720="""","""",query('tbl user'!$A$2:$D10975,""SELECT A WHERE D = '""&amp;K720&amp;""'"")),""USER TIDAK DIKETAHUI""))"),"#REF!")</f>
        <v>#REF!</v>
      </c>
    </row>
    <row r="721">
      <c r="A721" s="21">
        <f t="shared" si="1"/>
        <v>0</v>
      </c>
      <c r="B721" s="32" t="s">
        <v>61</v>
      </c>
      <c r="C721" s="23" t="s">
        <v>62</v>
      </c>
      <c r="D721" s="23" t="s">
        <v>21</v>
      </c>
      <c r="E721" s="37">
        <v>45395.0</v>
      </c>
      <c r="F721" s="25">
        <v>0.2652777777777778</v>
      </c>
      <c r="G721" s="25">
        <v>0.7</v>
      </c>
      <c r="H721" s="27">
        <f t="shared" si="2"/>
        <v>0.4347222222</v>
      </c>
      <c r="I721" s="28">
        <v>4.0</v>
      </c>
      <c r="J721" s="29" t="s">
        <v>55</v>
      </c>
      <c r="K721" s="30" t="s">
        <v>23</v>
      </c>
      <c r="L721" s="31" t="str">
        <f>IFERROR(__xludf.DUMMYFUNCTION("IF(OR(E721="""",K721=""""),"""",IFERROR(IF(K721="""","""",query('tbl user'!$A$2:$D10975,""SELECT A WHERE D = '""&amp;K721&amp;""'"")),""USER TIDAK DIKETAHUI""))"),"#REF!")</f>
        <v>#REF!</v>
      </c>
    </row>
    <row r="722">
      <c r="A722" s="21">
        <f t="shared" si="1"/>
        <v>0</v>
      </c>
      <c r="B722" s="32" t="s">
        <v>281</v>
      </c>
      <c r="C722" s="23" t="s">
        <v>282</v>
      </c>
      <c r="D722" s="23" t="s">
        <v>21</v>
      </c>
      <c r="E722" s="37">
        <v>45395.0</v>
      </c>
      <c r="F722" s="25">
        <v>0.27361111111111114</v>
      </c>
      <c r="G722" s="25">
        <v>0.4027777777777778</v>
      </c>
      <c r="H722" s="27">
        <f t="shared" si="2"/>
        <v>0.1291666667</v>
      </c>
      <c r="I722" s="28">
        <v>1.0</v>
      </c>
      <c r="J722" s="29" t="s">
        <v>531</v>
      </c>
      <c r="K722" s="30" t="s">
        <v>23</v>
      </c>
      <c r="L722" s="31" t="str">
        <f>IFERROR(__xludf.DUMMYFUNCTION("IF(OR(E722="""",K722=""""),"""",IFERROR(IF(K722="""","""",query('tbl user'!$A$2:$D10975,""SELECT A WHERE D = '""&amp;K722&amp;""'"")),""USER TIDAK DIKETAHUI""))"),"#REF!")</f>
        <v>#REF!</v>
      </c>
    </row>
    <row r="723">
      <c r="A723" s="21">
        <f t="shared" si="1"/>
        <v>0</v>
      </c>
      <c r="B723" s="32" t="s">
        <v>64</v>
      </c>
      <c r="C723" s="23" t="s">
        <v>65</v>
      </c>
      <c r="D723" s="23" t="s">
        <v>21</v>
      </c>
      <c r="E723" s="37">
        <v>45395.0</v>
      </c>
      <c r="F723" s="25">
        <v>0.29097222222222224</v>
      </c>
      <c r="G723" s="25">
        <v>0.6972222222222222</v>
      </c>
      <c r="H723" s="27">
        <f t="shared" si="2"/>
        <v>0.40625</v>
      </c>
      <c r="I723" s="28">
        <v>4.0</v>
      </c>
      <c r="J723" s="29" t="s">
        <v>55</v>
      </c>
      <c r="K723" s="30" t="s">
        <v>23</v>
      </c>
      <c r="L723" s="31" t="str">
        <f>IFERROR(__xludf.DUMMYFUNCTION("IF(OR(E723="""",K723=""""),"""",IFERROR(IF(K723="""","""",query('tbl user'!$A$2:$D10975,""SELECT A WHERE D = '""&amp;K723&amp;""'"")),""USER TIDAK DIKETAHUI""))"),"#REF!")</f>
        <v>#REF!</v>
      </c>
    </row>
    <row r="724">
      <c r="A724" s="21">
        <f t="shared" si="1"/>
        <v>0</v>
      </c>
      <c r="B724" s="32" t="s">
        <v>286</v>
      </c>
      <c r="C724" s="23" t="s">
        <v>287</v>
      </c>
      <c r="D724" s="23" t="s">
        <v>21</v>
      </c>
      <c r="E724" s="37">
        <v>45395.0</v>
      </c>
      <c r="F724" s="25">
        <v>0.26458333333333334</v>
      </c>
      <c r="G724" s="33">
        <v>0.6645833333333333</v>
      </c>
      <c r="H724" s="27">
        <f t="shared" si="2"/>
        <v>0.4</v>
      </c>
      <c r="I724" s="28">
        <v>4.0</v>
      </c>
      <c r="J724" s="29" t="s">
        <v>55</v>
      </c>
      <c r="K724" s="30" t="s">
        <v>23</v>
      </c>
      <c r="L724" s="31" t="str">
        <f>IFERROR(__xludf.DUMMYFUNCTION("IF(OR(E724="""",K724=""""),"""",IFERROR(IF(K724="""","""",query('tbl user'!$A$2:$D10975,""SELECT A WHERE D = '""&amp;K724&amp;""'"")),""USER TIDAK DIKETAHUI""))"),"#REF!")</f>
        <v>#REF!</v>
      </c>
    </row>
    <row r="725">
      <c r="A725" s="21">
        <f t="shared" si="1"/>
        <v>0</v>
      </c>
      <c r="B725" s="32" t="s">
        <v>146</v>
      </c>
      <c r="C725" s="23" t="s">
        <v>339</v>
      </c>
      <c r="D725" s="23" t="s">
        <v>21</v>
      </c>
      <c r="E725" s="37">
        <v>45395.0</v>
      </c>
      <c r="F725" s="25">
        <v>0.29305555555555557</v>
      </c>
      <c r="G725" s="25">
        <v>0.4</v>
      </c>
      <c r="H725" s="27">
        <f t="shared" si="2"/>
        <v>0.1069444444</v>
      </c>
      <c r="I725" s="28">
        <v>1.0</v>
      </c>
      <c r="J725" s="29" t="s">
        <v>532</v>
      </c>
      <c r="K725" s="30" t="s">
        <v>23</v>
      </c>
      <c r="L725" s="31" t="str">
        <f>IFERROR(__xludf.DUMMYFUNCTION("IF(OR(E725="""",K725=""""),"""",IFERROR(IF(K725="""","""",query('tbl user'!$A$2:$D10975,""SELECT A WHERE D = '""&amp;K725&amp;""'"")),""USER TIDAK DIKETAHUI""))"),"#REF!")</f>
        <v>#REF!</v>
      </c>
    </row>
    <row r="726">
      <c r="A726" s="21">
        <f t="shared" si="1"/>
        <v>0</v>
      </c>
      <c r="B726" s="32" t="s">
        <v>78</v>
      </c>
      <c r="C726" s="23" t="s">
        <v>340</v>
      </c>
      <c r="D726" s="23" t="s">
        <v>21</v>
      </c>
      <c r="E726" s="37">
        <v>45395.0</v>
      </c>
      <c r="F726" s="25">
        <v>0.2659722222222222</v>
      </c>
      <c r="G726" s="25">
        <v>0.5694444444444444</v>
      </c>
      <c r="H726" s="27">
        <f t="shared" si="2"/>
        <v>0.3034722222</v>
      </c>
      <c r="I726" s="28">
        <v>4.0</v>
      </c>
      <c r="J726" s="29" t="s">
        <v>533</v>
      </c>
      <c r="K726" s="30" t="s">
        <v>23</v>
      </c>
      <c r="L726" s="31" t="str">
        <f>IFERROR(__xludf.DUMMYFUNCTION("IF(OR(E726="""",K726=""""),"""",IFERROR(IF(K726="""","""",query('tbl user'!$A$2:$D10975,""SELECT A WHERE D = '""&amp;K726&amp;""'"")),""USER TIDAK DIKETAHUI""))"),"#REF!")</f>
        <v>#REF!</v>
      </c>
    </row>
    <row r="727">
      <c r="A727" s="21">
        <f t="shared" si="1"/>
        <v>0</v>
      </c>
      <c r="B727" s="32" t="s">
        <v>127</v>
      </c>
      <c r="C727" s="23" t="s">
        <v>326</v>
      </c>
      <c r="D727" s="23" t="s">
        <v>21</v>
      </c>
      <c r="E727" s="37">
        <v>45395.0</v>
      </c>
      <c r="F727" s="25">
        <v>0.37569444444444444</v>
      </c>
      <c r="G727" s="25">
        <v>0.7055555555555556</v>
      </c>
      <c r="H727" s="27">
        <f t="shared" si="2"/>
        <v>0.3298611111</v>
      </c>
      <c r="I727" s="28">
        <v>5.0</v>
      </c>
      <c r="J727" s="29" t="s">
        <v>55</v>
      </c>
      <c r="K727" s="30" t="s">
        <v>23</v>
      </c>
      <c r="L727" s="31" t="str">
        <f>IFERROR(__xludf.DUMMYFUNCTION("IF(OR(E727="""",K727=""""),"""",IFERROR(IF(K727="""","""",query('tbl user'!$A$2:$D10975,""SELECT A WHERE D = '""&amp;K727&amp;""'"")),""USER TIDAK DIKETAHUI""))"),"#REF!")</f>
        <v>#REF!</v>
      </c>
    </row>
    <row r="728">
      <c r="A728" s="21">
        <f t="shared" si="1"/>
        <v>0</v>
      </c>
      <c r="B728" s="32" t="s">
        <v>331</v>
      </c>
      <c r="C728" s="23" t="s">
        <v>332</v>
      </c>
      <c r="D728" s="23" t="s">
        <v>21</v>
      </c>
      <c r="E728" s="37">
        <v>45395.0</v>
      </c>
      <c r="F728" s="25">
        <v>0.22916666666666666</v>
      </c>
      <c r="G728" s="25">
        <v>0.6638888888888889</v>
      </c>
      <c r="H728" s="27">
        <f t="shared" si="2"/>
        <v>0.4347222222</v>
      </c>
      <c r="I728" s="28">
        <v>6.0</v>
      </c>
      <c r="J728" s="29" t="s">
        <v>55</v>
      </c>
      <c r="K728" s="30" t="s">
        <v>23</v>
      </c>
      <c r="L728" s="31" t="str">
        <f>IFERROR(__xludf.DUMMYFUNCTION("IF(OR(E728="""",K728=""""),"""",IFERROR(IF(K728="""","""",query('tbl user'!$A$2:$D10975,""SELECT A WHERE D = '""&amp;K728&amp;""'"")),""USER TIDAK DIKETAHUI""))"),"#REF!")</f>
        <v>#REF!</v>
      </c>
    </row>
    <row r="729">
      <c r="A729" s="21">
        <f t="shared" si="1"/>
        <v>0</v>
      </c>
      <c r="B729" s="32" t="s">
        <v>333</v>
      </c>
      <c r="C729" s="23" t="s">
        <v>334</v>
      </c>
      <c r="D729" s="23" t="s">
        <v>21</v>
      </c>
      <c r="E729" s="37">
        <v>45395.0</v>
      </c>
      <c r="F729" s="25">
        <v>0.2847222222222222</v>
      </c>
      <c r="G729" s="25">
        <v>0.7465277777777778</v>
      </c>
      <c r="H729" s="27">
        <f t="shared" si="2"/>
        <v>0.4618055556</v>
      </c>
      <c r="I729" s="28">
        <v>6.0</v>
      </c>
      <c r="J729" s="29" t="s">
        <v>55</v>
      </c>
      <c r="K729" s="30" t="s">
        <v>23</v>
      </c>
      <c r="L729" s="31" t="str">
        <f>IFERROR(__xludf.DUMMYFUNCTION("IF(OR(E729="""",K729=""""),"""",IFERROR(IF(K729="""","""",query('tbl user'!$A$2:$D10975,""SELECT A WHERE D = '""&amp;K729&amp;""'"")),""USER TIDAK DIKETAHUI""))"),"#REF!")</f>
        <v>#REF!</v>
      </c>
    </row>
    <row r="730">
      <c r="A730" s="21">
        <f t="shared" si="1"/>
        <v>0</v>
      </c>
      <c r="B730" s="32" t="s">
        <v>337</v>
      </c>
      <c r="C730" s="23" t="s">
        <v>338</v>
      </c>
      <c r="D730" s="23" t="s">
        <v>21</v>
      </c>
      <c r="E730" s="37">
        <v>45395.0</v>
      </c>
      <c r="F730" s="25">
        <v>0.25833333333333336</v>
      </c>
      <c r="G730" s="25">
        <v>0.6694444444444444</v>
      </c>
      <c r="H730" s="27">
        <f t="shared" si="2"/>
        <v>0.4111111111</v>
      </c>
      <c r="I730" s="28">
        <v>6.0</v>
      </c>
      <c r="J730" s="29" t="s">
        <v>55</v>
      </c>
      <c r="K730" s="30" t="s">
        <v>23</v>
      </c>
      <c r="L730" s="31" t="str">
        <f>IFERROR(__xludf.DUMMYFUNCTION("IF(OR(E730="""",K730=""""),"""",IFERROR(IF(K730="""","""",query('tbl user'!$A$2:$D10975,""SELECT A WHERE D = '""&amp;K730&amp;""'"")),""USER TIDAK DIKETAHUI""))"),"#REF!")</f>
        <v>#REF!</v>
      </c>
    </row>
    <row r="731">
      <c r="A731" s="21">
        <f t="shared" si="1"/>
        <v>0</v>
      </c>
      <c r="B731" s="32" t="s">
        <v>139</v>
      </c>
      <c r="C731" s="23" t="s">
        <v>323</v>
      </c>
      <c r="D731" s="23" t="s">
        <v>21</v>
      </c>
      <c r="E731" s="37">
        <v>45395.0</v>
      </c>
      <c r="F731" s="25">
        <v>0.30069444444444443</v>
      </c>
      <c r="G731" s="25">
        <v>0.7222222222222222</v>
      </c>
      <c r="H731" s="27">
        <f t="shared" si="2"/>
        <v>0.4215277778</v>
      </c>
      <c r="I731" s="28">
        <v>6.0</v>
      </c>
      <c r="J731" s="29" t="s">
        <v>55</v>
      </c>
      <c r="K731" s="30" t="s">
        <v>23</v>
      </c>
      <c r="L731" s="31" t="str">
        <f>IFERROR(__xludf.DUMMYFUNCTION("IF(OR(E731="""",K731=""""),"""",IFERROR(IF(K731="""","""",query('tbl user'!$A$2:$D10975,""SELECT A WHERE D = '""&amp;K731&amp;""'"")),""USER TIDAK DIKETAHUI""))"),"#REF!")</f>
        <v>#REF!</v>
      </c>
    </row>
    <row r="732">
      <c r="A732" s="21">
        <f t="shared" si="1"/>
        <v>0</v>
      </c>
      <c r="B732" s="32" t="s">
        <v>335</v>
      </c>
      <c r="C732" s="23" t="s">
        <v>336</v>
      </c>
      <c r="D732" s="23" t="s">
        <v>21</v>
      </c>
      <c r="E732" s="37">
        <v>45395.0</v>
      </c>
      <c r="F732" s="25">
        <v>0.2881944444444444</v>
      </c>
      <c r="G732" s="25">
        <v>0.7138888888888889</v>
      </c>
      <c r="H732" s="27">
        <f t="shared" si="2"/>
        <v>0.4256944444</v>
      </c>
      <c r="I732" s="28">
        <v>7.0</v>
      </c>
      <c r="J732" s="29" t="s">
        <v>55</v>
      </c>
      <c r="K732" s="30" t="s">
        <v>23</v>
      </c>
      <c r="L732" s="31" t="str">
        <f>IFERROR(__xludf.DUMMYFUNCTION("IF(OR(E732="""",K732=""""),"""",IFERROR(IF(K732="""","""",query('tbl user'!$A$2:$D10975,""SELECT A WHERE D = '""&amp;K732&amp;""'"")),""USER TIDAK DIKETAHUI""))"),"#REF!")</f>
        <v>#REF!</v>
      </c>
    </row>
    <row r="733">
      <c r="A733" s="21">
        <f t="shared" si="1"/>
        <v>0</v>
      </c>
      <c r="B733" s="32" t="s">
        <v>220</v>
      </c>
      <c r="C733" s="23" t="s">
        <v>316</v>
      </c>
      <c r="D733" s="23" t="s">
        <v>21</v>
      </c>
      <c r="E733" s="37">
        <v>45395.0</v>
      </c>
      <c r="F733" s="25">
        <v>0.24444444444444444</v>
      </c>
      <c r="G733" s="25">
        <v>0.7097222222222223</v>
      </c>
      <c r="H733" s="27">
        <f t="shared" si="2"/>
        <v>0.4652777778</v>
      </c>
      <c r="I733" s="28">
        <v>7.0</v>
      </c>
      <c r="J733" s="29" t="s">
        <v>55</v>
      </c>
      <c r="K733" s="30" t="s">
        <v>23</v>
      </c>
      <c r="L733" s="31" t="str">
        <f>IFERROR(__xludf.DUMMYFUNCTION("IF(OR(E733="""",K733=""""),"""",IFERROR(IF(K733="""","""",query('tbl user'!$A$2:$D10975,""SELECT A WHERE D = '""&amp;K733&amp;""'"")),""USER TIDAK DIKETAHUI""))"),"#REF!")</f>
        <v>#REF!</v>
      </c>
    </row>
    <row r="734">
      <c r="A734" s="21">
        <f t="shared" si="1"/>
        <v>0</v>
      </c>
      <c r="B734" s="32" t="s">
        <v>423</v>
      </c>
      <c r="C734" s="23" t="s">
        <v>329</v>
      </c>
      <c r="D734" s="23" t="s">
        <v>21</v>
      </c>
      <c r="E734" s="37">
        <v>45395.0</v>
      </c>
      <c r="F734" s="25">
        <v>0.2513888888888889</v>
      </c>
      <c r="G734" s="25">
        <v>0.7527777777777778</v>
      </c>
      <c r="H734" s="27">
        <f t="shared" si="2"/>
        <v>0.5013888889</v>
      </c>
      <c r="I734" s="28">
        <v>7.0</v>
      </c>
      <c r="J734" s="29" t="s">
        <v>55</v>
      </c>
      <c r="K734" s="30" t="s">
        <v>23</v>
      </c>
      <c r="L734" s="31" t="str">
        <f>IFERROR(__xludf.DUMMYFUNCTION("IF(OR(E734="""",K734=""""),"""",IFERROR(IF(K734="""","""",query('tbl user'!$A$2:$D10975,""SELECT A WHERE D = '""&amp;K734&amp;""'"")),""USER TIDAK DIKETAHUI""))"),"#REF!")</f>
        <v>#REF!</v>
      </c>
    </row>
    <row r="735">
      <c r="A735" s="21">
        <f t="shared" si="1"/>
        <v>0</v>
      </c>
      <c r="B735" s="32" t="s">
        <v>53</v>
      </c>
      <c r="C735" s="23" t="s">
        <v>54</v>
      </c>
      <c r="D735" s="23" t="s">
        <v>21</v>
      </c>
      <c r="E735" s="37">
        <v>45395.0</v>
      </c>
      <c r="F735" s="25">
        <v>0.24791666666666667</v>
      </c>
      <c r="G735" s="25">
        <v>0.73125</v>
      </c>
      <c r="H735" s="27">
        <f t="shared" si="2"/>
        <v>0.4833333333</v>
      </c>
      <c r="I735" s="28">
        <v>7.0</v>
      </c>
      <c r="J735" s="29" t="s">
        <v>55</v>
      </c>
      <c r="K735" s="30" t="s">
        <v>23</v>
      </c>
      <c r="L735" s="31" t="str">
        <f>IFERROR(__xludf.DUMMYFUNCTION("IF(OR(E735="""",K735=""""),"""",IFERROR(IF(K735="""","""",query('tbl user'!$A$2:$D10975,""SELECT A WHERE D = '""&amp;K735&amp;""'"")),""USER TIDAK DIKETAHUI""))"),"#REF!")</f>
        <v>#REF!</v>
      </c>
    </row>
    <row r="736">
      <c r="A736" s="21">
        <f t="shared" si="1"/>
        <v>0</v>
      </c>
      <c r="B736" s="32" t="s">
        <v>319</v>
      </c>
      <c r="C736" s="23" t="s">
        <v>320</v>
      </c>
      <c r="D736" s="23" t="s">
        <v>21</v>
      </c>
      <c r="E736" s="37">
        <v>45395.0</v>
      </c>
      <c r="F736" s="25">
        <v>0.2222222222222222</v>
      </c>
      <c r="G736" s="25">
        <v>0.6736111111111112</v>
      </c>
      <c r="H736" s="27">
        <f t="shared" si="2"/>
        <v>0.4513888889</v>
      </c>
      <c r="I736" s="28">
        <v>7.0</v>
      </c>
      <c r="J736" s="29" t="s">
        <v>55</v>
      </c>
      <c r="K736" s="30" t="s">
        <v>23</v>
      </c>
      <c r="L736" s="31" t="str">
        <f>IFERROR(__xludf.DUMMYFUNCTION("IF(OR(E736="""",K736=""""),"""",IFERROR(IF(K736="""","""",query('tbl user'!$A$2:$D10975,""SELECT A WHERE D = '""&amp;K736&amp;""'"")),""USER TIDAK DIKETAHUI""))"),"#REF!")</f>
        <v>#REF!</v>
      </c>
    </row>
    <row r="737">
      <c r="A737" s="21">
        <f t="shared" si="1"/>
        <v>0</v>
      </c>
      <c r="B737" s="32" t="s">
        <v>172</v>
      </c>
      <c r="C737" s="23" t="s">
        <v>168</v>
      </c>
      <c r="D737" s="23" t="s">
        <v>58</v>
      </c>
      <c r="E737" s="37">
        <v>45396.0</v>
      </c>
      <c r="F737" s="25">
        <v>0.30833333333333335</v>
      </c>
      <c r="G737" s="25">
        <v>0.5444444444444444</v>
      </c>
      <c r="H737" s="27">
        <f t="shared" si="2"/>
        <v>0.2361111111</v>
      </c>
      <c r="I737" s="28">
        <v>1.0</v>
      </c>
      <c r="J737" s="29" t="s">
        <v>534</v>
      </c>
      <c r="K737" s="30" t="s">
        <v>23</v>
      </c>
      <c r="L737" s="31" t="str">
        <f>IFERROR(__xludf.DUMMYFUNCTION("IF(OR(E737="""",K737=""""),"""",IFERROR(IF(K737="""","""",query('tbl user'!$A$2:$D10975,""SELECT A WHERE D = '""&amp;K737&amp;""'"")),""USER TIDAK DIKETAHUI""))"),"#REF!")</f>
        <v>#REF!</v>
      </c>
    </row>
    <row r="738">
      <c r="A738" s="21">
        <f t="shared" si="1"/>
        <v>0</v>
      </c>
      <c r="B738" s="32" t="s">
        <v>276</v>
      </c>
      <c r="C738" s="23" t="s">
        <v>183</v>
      </c>
      <c r="D738" s="23" t="s">
        <v>58</v>
      </c>
      <c r="E738" s="37">
        <v>45396.0</v>
      </c>
      <c r="F738" s="25">
        <v>0.31180555555555556</v>
      </c>
      <c r="G738" s="25">
        <v>0.41597222222222224</v>
      </c>
      <c r="H738" s="27">
        <f t="shared" si="2"/>
        <v>0.1041666667</v>
      </c>
      <c r="I738" s="28">
        <v>1.0</v>
      </c>
      <c r="J738" s="29" t="s">
        <v>535</v>
      </c>
      <c r="K738" s="30" t="s">
        <v>23</v>
      </c>
      <c r="L738" s="31" t="str">
        <f>IFERROR(__xludf.DUMMYFUNCTION("IF(OR(E738="""",K738=""""),"""",IFERROR(IF(K738="""","""",query('tbl user'!$A$2:$D10975,""SELECT A WHERE D = '""&amp;K738&amp;""'"")),""USER TIDAK DIKETAHUI""))"),"#REF!")</f>
        <v>#REF!</v>
      </c>
    </row>
    <row r="739">
      <c r="A739" s="21">
        <f t="shared" si="1"/>
        <v>0</v>
      </c>
      <c r="B739" s="32" t="s">
        <v>220</v>
      </c>
      <c r="C739" s="23" t="s">
        <v>211</v>
      </c>
      <c r="D739" s="23" t="s">
        <v>58</v>
      </c>
      <c r="E739" s="37">
        <v>45396.0</v>
      </c>
      <c r="F739" s="25">
        <v>0.37569444444444444</v>
      </c>
      <c r="G739" s="25">
        <v>0.5944444444444444</v>
      </c>
      <c r="H739" s="27">
        <f t="shared" si="2"/>
        <v>0.21875</v>
      </c>
      <c r="I739" s="28">
        <v>2.0</v>
      </c>
      <c r="J739" s="29" t="s">
        <v>536</v>
      </c>
      <c r="K739" s="30" t="s">
        <v>23</v>
      </c>
      <c r="L739" s="31" t="str">
        <f>IFERROR(__xludf.DUMMYFUNCTION("IF(OR(E739="""",K739=""""),"""",IFERROR(IF(K739="""","""",query('tbl user'!$A$2:$D10975,""SELECT A WHERE D = '""&amp;K739&amp;""'"")),""USER TIDAK DIKETAHUI""))"),"#REF!")</f>
        <v>#REF!</v>
      </c>
    </row>
    <row r="740">
      <c r="A740" s="21">
        <f t="shared" si="1"/>
        <v>0</v>
      </c>
      <c r="B740" s="32" t="s">
        <v>178</v>
      </c>
      <c r="C740" s="23" t="s">
        <v>82</v>
      </c>
      <c r="D740" s="23" t="s">
        <v>58</v>
      </c>
      <c r="E740" s="37">
        <v>45396.0</v>
      </c>
      <c r="F740" s="25">
        <v>0.2861111111111111</v>
      </c>
      <c r="G740" s="25">
        <v>0.4875</v>
      </c>
      <c r="H740" s="27">
        <f t="shared" si="2"/>
        <v>0.2013888889</v>
      </c>
      <c r="I740" s="28">
        <v>2.0</v>
      </c>
      <c r="J740" s="29" t="s">
        <v>537</v>
      </c>
      <c r="K740" s="30" t="s">
        <v>23</v>
      </c>
      <c r="L740" s="31" t="str">
        <f>IFERROR(__xludf.DUMMYFUNCTION("IF(OR(E740="""",K740=""""),"""",IFERROR(IF(K740="""","""",query('tbl user'!$A$2:$D10975,""SELECT A WHERE D = '""&amp;K740&amp;""'"")),""USER TIDAK DIKETAHUI""))"),"#REF!")</f>
        <v>#REF!</v>
      </c>
    </row>
    <row r="741">
      <c r="A741" s="21">
        <f t="shared" si="1"/>
        <v>0</v>
      </c>
      <c r="B741" s="32" t="s">
        <v>346</v>
      </c>
      <c r="C741" s="23" t="s">
        <v>192</v>
      </c>
      <c r="D741" s="23" t="s">
        <v>58</v>
      </c>
      <c r="E741" s="37">
        <v>45396.0</v>
      </c>
      <c r="F741" s="25">
        <v>0.29930555555555555</v>
      </c>
      <c r="G741" s="25">
        <v>0.5534722222222223</v>
      </c>
      <c r="H741" s="27">
        <f t="shared" si="2"/>
        <v>0.2541666667</v>
      </c>
      <c r="I741" s="28">
        <v>2.0</v>
      </c>
      <c r="J741" s="29" t="s">
        <v>538</v>
      </c>
      <c r="K741" s="30" t="s">
        <v>23</v>
      </c>
      <c r="L741" s="31" t="str">
        <f>IFERROR(__xludf.DUMMYFUNCTION("IF(OR(E741="""",K741=""""),"""",IFERROR(IF(K741="""","""",query('tbl user'!$A$2:$D10975,""SELECT A WHERE D = '""&amp;K741&amp;""'"")),""USER TIDAK DIKETAHUI""))"),"#REF!")</f>
        <v>#REF!</v>
      </c>
    </row>
    <row r="742">
      <c r="A742" s="21">
        <f t="shared" si="1"/>
        <v>0</v>
      </c>
      <c r="B742" s="32" t="s">
        <v>209</v>
      </c>
      <c r="C742" s="23" t="s">
        <v>203</v>
      </c>
      <c r="D742" s="23" t="s">
        <v>58</v>
      </c>
      <c r="E742" s="37">
        <v>45396.0</v>
      </c>
      <c r="F742" s="25">
        <v>0.2611111111111111</v>
      </c>
      <c r="G742" s="25">
        <v>0.5944444444444444</v>
      </c>
      <c r="H742" s="27">
        <f t="shared" si="2"/>
        <v>0.3333333333</v>
      </c>
      <c r="I742" s="28">
        <v>2.0</v>
      </c>
      <c r="J742" s="29" t="s">
        <v>539</v>
      </c>
      <c r="K742" s="30" t="s">
        <v>23</v>
      </c>
      <c r="L742" s="31" t="str">
        <f>IFERROR(__xludf.DUMMYFUNCTION("IF(OR(E742="""",K742=""""),"""",IFERROR(IF(K742="""","""",query('tbl user'!$A$2:$D10975,""SELECT A WHERE D = '""&amp;K742&amp;""'"")),""USER TIDAK DIKETAHUI""))"),"#REF!")</f>
        <v>#REF!</v>
      </c>
    </row>
    <row r="743">
      <c r="A743" s="21">
        <f t="shared" si="1"/>
        <v>0</v>
      </c>
      <c r="B743" s="32" t="s">
        <v>56</v>
      </c>
      <c r="C743" s="23" t="s">
        <v>57</v>
      </c>
      <c r="D743" s="23" t="s">
        <v>58</v>
      </c>
      <c r="E743" s="37">
        <v>45396.0</v>
      </c>
      <c r="F743" s="25">
        <v>0.3173611111111111</v>
      </c>
      <c r="G743" s="25">
        <v>0.6618055555555555</v>
      </c>
      <c r="H743" s="27">
        <f t="shared" si="2"/>
        <v>0.3444444444</v>
      </c>
      <c r="I743" s="28">
        <v>3.0</v>
      </c>
      <c r="J743" s="29" t="s">
        <v>352</v>
      </c>
      <c r="K743" s="30" t="s">
        <v>23</v>
      </c>
      <c r="L743" s="31" t="str">
        <f>IFERROR(__xludf.DUMMYFUNCTION("IF(OR(E743="""",K743=""""),"""",IFERROR(IF(K743="""","""",query('tbl user'!$A$2:$D10975,""SELECT A WHERE D = '""&amp;K743&amp;""'"")),""USER TIDAK DIKETAHUI""))"),"#REF!")</f>
        <v>#REF!</v>
      </c>
    </row>
    <row r="744">
      <c r="A744" s="21">
        <f t="shared" si="1"/>
        <v>0</v>
      </c>
      <c r="B744" s="32" t="s">
        <v>144</v>
      </c>
      <c r="C744" s="23" t="s">
        <v>185</v>
      </c>
      <c r="D744" s="23" t="s">
        <v>58</v>
      </c>
      <c r="E744" s="37">
        <v>45396.0</v>
      </c>
      <c r="F744" s="25">
        <v>0.3506944444444444</v>
      </c>
      <c r="G744" s="25">
        <v>0.6451388888888889</v>
      </c>
      <c r="H744" s="27">
        <f t="shared" si="2"/>
        <v>0.2944444444</v>
      </c>
      <c r="I744" s="28">
        <v>3.0</v>
      </c>
      <c r="J744" s="29" t="s">
        <v>352</v>
      </c>
      <c r="K744" s="30" t="s">
        <v>23</v>
      </c>
      <c r="L744" s="31" t="str">
        <f>IFERROR(__xludf.DUMMYFUNCTION("IF(OR(E744="""",K744=""""),"""",IFERROR(IF(K744="""","""",query('tbl user'!$A$2:$D10975,""SELECT A WHERE D = '""&amp;K744&amp;""'"")),""USER TIDAK DIKETAHUI""))"),"#REF!")</f>
        <v>#REF!</v>
      </c>
    </row>
    <row r="745">
      <c r="A745" s="21">
        <f t="shared" si="1"/>
        <v>0</v>
      </c>
      <c r="B745" s="32" t="s">
        <v>110</v>
      </c>
      <c r="C745" s="23" t="s">
        <v>201</v>
      </c>
      <c r="D745" s="23" t="s">
        <v>58</v>
      </c>
      <c r="E745" s="37">
        <v>45396.0</v>
      </c>
      <c r="F745" s="25">
        <v>0.3076388888888889</v>
      </c>
      <c r="G745" s="25">
        <v>0.58125</v>
      </c>
      <c r="H745" s="27">
        <f t="shared" si="2"/>
        <v>0.2736111111</v>
      </c>
      <c r="I745" s="28">
        <v>3.0</v>
      </c>
      <c r="J745" s="29" t="s">
        <v>540</v>
      </c>
      <c r="K745" s="30" t="s">
        <v>23</v>
      </c>
      <c r="L745" s="31" t="str">
        <f>IFERROR(__xludf.DUMMYFUNCTION("IF(OR(E745="""",K745=""""),"""",IFERROR(IF(K745="""","""",query('tbl user'!$A$2:$D10975,""SELECT A WHERE D = '""&amp;K745&amp;""'"")),""USER TIDAK DIKETAHUI""))"),"#REF!")</f>
        <v>#REF!</v>
      </c>
    </row>
    <row r="746">
      <c r="A746" s="21">
        <f t="shared" si="1"/>
        <v>0</v>
      </c>
      <c r="B746" s="32" t="s">
        <v>120</v>
      </c>
      <c r="C746" s="23" t="s">
        <v>206</v>
      </c>
      <c r="D746" s="23" t="s">
        <v>58</v>
      </c>
      <c r="E746" s="37">
        <v>45396.0</v>
      </c>
      <c r="F746" s="25">
        <v>0.2569444444444444</v>
      </c>
      <c r="G746" s="25">
        <v>0.6229166666666667</v>
      </c>
      <c r="H746" s="27">
        <f t="shared" si="2"/>
        <v>0.3659722222</v>
      </c>
      <c r="I746" s="28">
        <v>3.0</v>
      </c>
      <c r="J746" s="29" t="s">
        <v>352</v>
      </c>
      <c r="K746" s="30" t="s">
        <v>23</v>
      </c>
      <c r="L746" s="31" t="str">
        <f>IFERROR(__xludf.DUMMYFUNCTION("IF(OR(E746="""",K746=""""),"""",IFERROR(IF(K746="""","""",query('tbl user'!$A$2:$D10975,""SELECT A WHERE D = '""&amp;K746&amp;""'"")),""USER TIDAK DIKETAHUI""))"),"#REF!")</f>
        <v>#REF!</v>
      </c>
    </row>
    <row r="747">
      <c r="A747" s="21">
        <f t="shared" si="1"/>
        <v>0</v>
      </c>
      <c r="B747" s="32" t="s">
        <v>337</v>
      </c>
      <c r="C747" s="23" t="s">
        <v>68</v>
      </c>
      <c r="D747" s="23" t="s">
        <v>58</v>
      </c>
      <c r="E747" s="37">
        <v>45396.0</v>
      </c>
      <c r="F747" s="25">
        <v>0.275</v>
      </c>
      <c r="G747" s="25">
        <v>0.6791666666666667</v>
      </c>
      <c r="H747" s="27">
        <f t="shared" si="2"/>
        <v>0.4041666667</v>
      </c>
      <c r="I747" s="28">
        <v>4.0</v>
      </c>
      <c r="J747" s="29" t="s">
        <v>55</v>
      </c>
      <c r="K747" s="30" t="s">
        <v>23</v>
      </c>
      <c r="L747" s="31" t="str">
        <f>IFERROR(__xludf.DUMMYFUNCTION("IF(OR(E747="""",K747=""""),"""",IFERROR(IF(K747="""","""",query('tbl user'!$A$2:$D10975,""SELECT A WHERE D = '""&amp;K747&amp;""'"")),""USER TIDAK DIKETAHUI""))"),"#REF!")</f>
        <v>#REF!</v>
      </c>
    </row>
    <row r="748">
      <c r="A748" s="21">
        <f t="shared" si="1"/>
        <v>0</v>
      </c>
      <c r="B748" s="32" t="s">
        <v>214</v>
      </c>
      <c r="C748" s="23" t="s">
        <v>170</v>
      </c>
      <c r="D748" s="23" t="s">
        <v>58</v>
      </c>
      <c r="E748" s="37">
        <v>45396.0</v>
      </c>
      <c r="F748" s="25">
        <v>0.28125</v>
      </c>
      <c r="G748" s="25">
        <v>0.65625</v>
      </c>
      <c r="H748" s="27">
        <f t="shared" si="2"/>
        <v>0.375</v>
      </c>
      <c r="I748" s="28">
        <v>4.0</v>
      </c>
      <c r="J748" s="29" t="s">
        <v>55</v>
      </c>
      <c r="K748" s="30" t="s">
        <v>23</v>
      </c>
      <c r="L748" s="31" t="str">
        <f>IFERROR(__xludf.DUMMYFUNCTION("IF(OR(E748="""",K748=""""),"""",IFERROR(IF(K748="""","""",query('tbl user'!$A$2:$D10975,""SELECT A WHERE D = '""&amp;K748&amp;""'"")),""USER TIDAK DIKETAHUI""))"),"#REF!")</f>
        <v>#REF!</v>
      </c>
    </row>
    <row r="749">
      <c r="A749" s="21">
        <f t="shared" si="1"/>
        <v>0</v>
      </c>
      <c r="B749" s="32" t="s">
        <v>92</v>
      </c>
      <c r="C749" s="23" t="s">
        <v>93</v>
      </c>
      <c r="D749" s="23" t="s">
        <v>58</v>
      </c>
      <c r="E749" s="37">
        <v>45396.0</v>
      </c>
      <c r="F749" s="25">
        <v>0.26319444444444445</v>
      </c>
      <c r="G749" s="25">
        <v>0.6451388888888889</v>
      </c>
      <c r="H749" s="27">
        <f t="shared" si="2"/>
        <v>0.3819444444</v>
      </c>
      <c r="I749" s="28">
        <v>4.0</v>
      </c>
      <c r="J749" s="29" t="s">
        <v>55</v>
      </c>
      <c r="K749" s="30" t="s">
        <v>23</v>
      </c>
      <c r="L749" s="31" t="str">
        <f>IFERROR(__xludf.DUMMYFUNCTION("IF(OR(E749="""",K749=""""),"""",IFERROR(IF(K749="""","""",query('tbl user'!$A$2:$D10975,""SELECT A WHERE D = '""&amp;K749&amp;""'"")),""USER TIDAK DIKETAHUI""))"),"#REF!")</f>
        <v>#REF!</v>
      </c>
    </row>
    <row r="750">
      <c r="A750" s="21">
        <f t="shared" si="1"/>
        <v>0</v>
      </c>
      <c r="B750" s="32" t="s">
        <v>215</v>
      </c>
      <c r="C750" s="23" t="s">
        <v>176</v>
      </c>
      <c r="D750" s="23" t="s">
        <v>58</v>
      </c>
      <c r="E750" s="37">
        <v>45396.0</v>
      </c>
      <c r="F750" s="25">
        <v>0.28125</v>
      </c>
      <c r="G750" s="25">
        <v>0.65</v>
      </c>
      <c r="H750" s="27">
        <f t="shared" si="2"/>
        <v>0.36875</v>
      </c>
      <c r="I750" s="28">
        <v>4.0</v>
      </c>
      <c r="J750" s="29" t="s">
        <v>55</v>
      </c>
      <c r="K750" s="30" t="s">
        <v>23</v>
      </c>
      <c r="L750" s="31" t="str">
        <f>IFERROR(__xludf.DUMMYFUNCTION("IF(OR(E750="""",K750=""""),"""",IFERROR(IF(K750="""","""",query('tbl user'!$A$2:$D10975,""SELECT A WHERE D = '""&amp;K750&amp;""'"")),""USER TIDAK DIKETAHUI""))"),"#REF!")</f>
        <v>#REF!</v>
      </c>
    </row>
    <row r="751">
      <c r="A751" s="21">
        <f t="shared" si="1"/>
        <v>0</v>
      </c>
      <c r="B751" s="32" t="s">
        <v>133</v>
      </c>
      <c r="C751" s="23" t="s">
        <v>181</v>
      </c>
      <c r="D751" s="23" t="s">
        <v>58</v>
      </c>
      <c r="E751" s="37">
        <v>45396.0</v>
      </c>
      <c r="F751" s="25">
        <v>0.22361111111111112</v>
      </c>
      <c r="G751" s="25">
        <v>0.6368055555555555</v>
      </c>
      <c r="H751" s="27">
        <f t="shared" si="2"/>
        <v>0.4131944444</v>
      </c>
      <c r="I751" s="28">
        <v>4.0</v>
      </c>
      <c r="J751" s="29" t="s">
        <v>55</v>
      </c>
      <c r="K751" s="30" t="s">
        <v>23</v>
      </c>
      <c r="L751" s="31" t="str">
        <f>IFERROR(__xludf.DUMMYFUNCTION("IF(OR(E751="""",K751=""""),"""",IFERROR(IF(K751="""","""",query('tbl user'!$A$2:$D10975,""SELECT A WHERE D = '""&amp;K751&amp;""'"")),""USER TIDAK DIKETAHUI""))"),"#REF!")</f>
        <v>#REF!</v>
      </c>
    </row>
    <row r="752">
      <c r="A752" s="21">
        <f t="shared" si="1"/>
        <v>0</v>
      </c>
      <c r="B752" s="32" t="s">
        <v>162</v>
      </c>
      <c r="C752" s="23" t="s">
        <v>190</v>
      </c>
      <c r="D752" s="23" t="s">
        <v>58</v>
      </c>
      <c r="E752" s="37">
        <v>45396.0</v>
      </c>
      <c r="F752" s="25">
        <v>0.225</v>
      </c>
      <c r="G752" s="25">
        <v>0.6416666666666667</v>
      </c>
      <c r="H752" s="27">
        <f t="shared" si="2"/>
        <v>0.4166666667</v>
      </c>
      <c r="I752" s="28">
        <v>4.0</v>
      </c>
      <c r="J752" s="29" t="s">
        <v>55</v>
      </c>
      <c r="K752" s="30" t="s">
        <v>23</v>
      </c>
      <c r="L752" s="31" t="str">
        <f>IFERROR(__xludf.DUMMYFUNCTION("IF(OR(E752="""",K752=""""),"""",IFERROR(IF(K752="""","""",query('tbl user'!$A$2:$D10975,""SELECT A WHERE D = '""&amp;K752&amp;""'"")),""USER TIDAK DIKETAHUI""))"),"#REF!")</f>
        <v>#REF!</v>
      </c>
    </row>
    <row r="753">
      <c r="A753" s="21">
        <f t="shared" si="1"/>
        <v>0</v>
      </c>
      <c r="B753" s="32" t="s">
        <v>216</v>
      </c>
      <c r="C753" s="23" t="s">
        <v>195</v>
      </c>
      <c r="D753" s="23" t="s">
        <v>58</v>
      </c>
      <c r="E753" s="37">
        <v>45396.0</v>
      </c>
      <c r="F753" s="25">
        <v>0.22916666666666666</v>
      </c>
      <c r="G753" s="25">
        <v>0.6451388888888889</v>
      </c>
      <c r="H753" s="27">
        <f t="shared" si="2"/>
        <v>0.4159722222</v>
      </c>
      <c r="I753" s="28">
        <v>4.0</v>
      </c>
      <c r="J753" s="29" t="s">
        <v>55</v>
      </c>
      <c r="K753" s="30" t="s">
        <v>23</v>
      </c>
      <c r="L753" s="31" t="str">
        <f>IFERROR(__xludf.DUMMYFUNCTION("IF(OR(E753="""",K753=""""),"""",IFERROR(IF(K753="""","""",query('tbl user'!$A$2:$D10975,""SELECT A WHERE D = '""&amp;K753&amp;""'"")),""USER TIDAK DIKETAHUI""))"),"#REF!")</f>
        <v>#REF!</v>
      </c>
    </row>
    <row r="754">
      <c r="A754" s="21">
        <f t="shared" si="1"/>
        <v>0</v>
      </c>
      <c r="B754" s="32" t="s">
        <v>197</v>
      </c>
      <c r="C754" s="23" t="s">
        <v>198</v>
      </c>
      <c r="D754" s="23" t="s">
        <v>58</v>
      </c>
      <c r="E754" s="37">
        <v>45396.0</v>
      </c>
      <c r="F754" s="25">
        <v>0.20972222222222223</v>
      </c>
      <c r="G754" s="25">
        <v>0.5909722222222222</v>
      </c>
      <c r="H754" s="27">
        <f t="shared" si="2"/>
        <v>0.38125</v>
      </c>
      <c r="I754" s="28">
        <v>4.0</v>
      </c>
      <c r="J754" s="29" t="s">
        <v>55</v>
      </c>
      <c r="K754" s="30" t="s">
        <v>23</v>
      </c>
      <c r="L754" s="31" t="str">
        <f>IFERROR(__xludf.DUMMYFUNCTION("IF(OR(E754="""",K754=""""),"""",IFERROR(IF(K754="""","""",query('tbl user'!$A$2:$D10975,""SELECT A WHERE D = '""&amp;K754&amp;""'"")),""USER TIDAK DIKETAHUI""))"),"#REF!")</f>
        <v>#REF!</v>
      </c>
    </row>
    <row r="755">
      <c r="A755" s="21">
        <f t="shared" si="1"/>
        <v>0</v>
      </c>
      <c r="B755" s="32" t="s">
        <v>104</v>
      </c>
      <c r="C755" s="23" t="s">
        <v>105</v>
      </c>
      <c r="D755" s="23" t="s">
        <v>58</v>
      </c>
      <c r="E755" s="37">
        <v>45396.0</v>
      </c>
      <c r="F755" s="25">
        <v>0.25833333333333336</v>
      </c>
      <c r="G755" s="25">
        <v>0.7069444444444445</v>
      </c>
      <c r="H755" s="27">
        <f t="shared" si="2"/>
        <v>0.4486111111</v>
      </c>
      <c r="I755" s="28">
        <v>4.0</v>
      </c>
      <c r="J755" s="29" t="s">
        <v>55</v>
      </c>
      <c r="K755" s="30" t="s">
        <v>23</v>
      </c>
      <c r="L755" s="31" t="str">
        <f>IFERROR(__xludf.DUMMYFUNCTION("IF(OR(E755="""",K755=""""),"""",IFERROR(IF(K755="""","""",query('tbl user'!$A$2:$D10975,""SELECT A WHERE D = '""&amp;K755&amp;""'"")),""USER TIDAK DIKETAHUI""))"),"#REF!")</f>
        <v>#REF!</v>
      </c>
    </row>
    <row r="756">
      <c r="A756" s="21">
        <f t="shared" si="1"/>
        <v>0</v>
      </c>
      <c r="B756" s="32" t="s">
        <v>224</v>
      </c>
      <c r="C756" s="23" t="s">
        <v>208</v>
      </c>
      <c r="D756" s="23" t="s">
        <v>58</v>
      </c>
      <c r="E756" s="37">
        <v>45396.0</v>
      </c>
      <c r="F756" s="25">
        <v>0.28888888888888886</v>
      </c>
      <c r="G756" s="33">
        <v>0.7006944444444444</v>
      </c>
      <c r="H756" s="27">
        <f t="shared" si="2"/>
        <v>0.4118055556</v>
      </c>
      <c r="I756" s="28">
        <v>4.0</v>
      </c>
      <c r="J756" s="29" t="s">
        <v>55</v>
      </c>
      <c r="K756" s="30" t="s">
        <v>23</v>
      </c>
      <c r="L756" s="31" t="str">
        <f>IFERROR(__xludf.DUMMYFUNCTION("IF(OR(E756="""",K756=""""),"""",IFERROR(IF(K756="""","""",query('tbl user'!$A$2:$D10975,""SELECT A WHERE D = '""&amp;K756&amp;""'"")),""USER TIDAK DIKETAHUI""))"),"#REF!")</f>
        <v>#REF!</v>
      </c>
    </row>
    <row r="757">
      <c r="A757" s="21">
        <f t="shared" si="1"/>
        <v>0</v>
      </c>
      <c r="B757" s="32" t="s">
        <v>84</v>
      </c>
      <c r="C757" s="23" t="s">
        <v>85</v>
      </c>
      <c r="D757" s="23" t="s">
        <v>58</v>
      </c>
      <c r="E757" s="37">
        <v>45396.0</v>
      </c>
      <c r="F757" s="25">
        <v>0.2569444444444444</v>
      </c>
      <c r="G757" s="25">
        <v>0.6645833333333333</v>
      </c>
      <c r="H757" s="27">
        <f t="shared" si="2"/>
        <v>0.4076388889</v>
      </c>
      <c r="I757" s="28">
        <v>4.0</v>
      </c>
      <c r="J757" s="29" t="s">
        <v>55</v>
      </c>
      <c r="K757" s="30" t="s">
        <v>23</v>
      </c>
      <c r="L757" s="31" t="str">
        <f>IFERROR(__xludf.DUMMYFUNCTION("IF(OR(E757="""",K757=""""),"""",IFERROR(IF(K757="""","""",query('tbl user'!$A$2:$D10975,""SELECT A WHERE D = '""&amp;K757&amp;""'"")),""USER TIDAK DIKETAHUI""))"),"#REF!")</f>
        <v>#REF!</v>
      </c>
    </row>
    <row r="758">
      <c r="A758" s="21">
        <f t="shared" si="1"/>
        <v>0</v>
      </c>
      <c r="B758" s="32" t="s">
        <v>238</v>
      </c>
      <c r="C758" s="23" t="s">
        <v>239</v>
      </c>
      <c r="D758" s="23" t="s">
        <v>21</v>
      </c>
      <c r="E758" s="37">
        <v>45396.0</v>
      </c>
      <c r="F758" s="25">
        <v>0.2965277777777778</v>
      </c>
      <c r="G758" s="25">
        <v>0.5375</v>
      </c>
      <c r="H758" s="27">
        <f t="shared" si="2"/>
        <v>0.2409722222</v>
      </c>
      <c r="I758" s="28">
        <v>1.0</v>
      </c>
      <c r="J758" s="29" t="s">
        <v>541</v>
      </c>
      <c r="K758" s="30" t="s">
        <v>23</v>
      </c>
      <c r="L758" s="31" t="str">
        <f>IFERROR(__xludf.DUMMYFUNCTION("IF(OR(E758="""",K758=""""),"""",IFERROR(IF(K758="""","""",query('tbl user'!$A$2:$D10975,""SELECT A WHERE D = '""&amp;K758&amp;""'"")),""USER TIDAK DIKETAHUI""))"),"#REF!")</f>
        <v>#REF!</v>
      </c>
    </row>
    <row r="759">
      <c r="A759" s="21">
        <f t="shared" si="1"/>
        <v>0</v>
      </c>
      <c r="B759" s="32" t="s">
        <v>24</v>
      </c>
      <c r="C759" s="23" t="s">
        <v>20</v>
      </c>
      <c r="D759" s="23" t="s">
        <v>21</v>
      </c>
      <c r="E759" s="37">
        <v>45396.0</v>
      </c>
      <c r="F759" s="25">
        <v>0.6534722222222222</v>
      </c>
      <c r="G759" s="25">
        <v>0.7486111111111111</v>
      </c>
      <c r="H759" s="27">
        <f t="shared" si="2"/>
        <v>0.09513888889</v>
      </c>
      <c r="I759" s="28">
        <v>1.0</v>
      </c>
      <c r="J759" s="29" t="s">
        <v>542</v>
      </c>
      <c r="K759" s="30" t="s">
        <v>23</v>
      </c>
      <c r="L759" s="31" t="str">
        <f>IFERROR(__xludf.DUMMYFUNCTION("IF(OR(E759="""",K759=""""),"""",IFERROR(IF(K759="""","""",query('tbl user'!$A$2:$D10975,""SELECT A WHERE D = '""&amp;K759&amp;""'"")),""USER TIDAK DIKETAHUI""))"),"#REF!")</f>
        <v>#REF!</v>
      </c>
    </row>
    <row r="760">
      <c r="A760" s="21">
        <f t="shared" si="1"/>
        <v>0</v>
      </c>
      <c r="B760" s="32" t="s">
        <v>43</v>
      </c>
      <c r="C760" s="23" t="s">
        <v>44</v>
      </c>
      <c r="D760" s="23" t="s">
        <v>21</v>
      </c>
      <c r="E760" s="37">
        <v>45396.0</v>
      </c>
      <c r="F760" s="25">
        <v>0.2875</v>
      </c>
      <c r="G760" s="25">
        <v>0.5555555555555556</v>
      </c>
      <c r="H760" s="27">
        <f t="shared" si="2"/>
        <v>0.2680555556</v>
      </c>
      <c r="I760" s="28">
        <v>1.0</v>
      </c>
      <c r="J760" s="29" t="s">
        <v>543</v>
      </c>
      <c r="K760" s="30" t="s">
        <v>23</v>
      </c>
      <c r="L760" s="31" t="str">
        <f>IFERROR(__xludf.DUMMYFUNCTION("IF(OR(E760="""",K760=""""),"""",IFERROR(IF(K760="""","""",query('tbl user'!$A$2:$D10975,""SELECT A WHERE D = '""&amp;K760&amp;""'"")),""USER TIDAK DIKETAHUI""))"),"#REF!")</f>
        <v>#REF!</v>
      </c>
    </row>
    <row r="761">
      <c r="A761" s="21">
        <f t="shared" si="1"/>
        <v>0</v>
      </c>
      <c r="B761" s="32" t="s">
        <v>175</v>
      </c>
      <c r="C761" s="23" t="s">
        <v>35</v>
      </c>
      <c r="D761" s="23" t="s">
        <v>21</v>
      </c>
      <c r="E761" s="37">
        <v>45396.0</v>
      </c>
      <c r="F761" s="25">
        <v>0.2833333333333333</v>
      </c>
      <c r="G761" s="25">
        <v>0.6590277777777778</v>
      </c>
      <c r="H761" s="27">
        <f t="shared" si="2"/>
        <v>0.3756944444</v>
      </c>
      <c r="I761" s="28">
        <v>2.0</v>
      </c>
      <c r="J761" s="29" t="s">
        <v>544</v>
      </c>
      <c r="K761" s="30" t="s">
        <v>23</v>
      </c>
      <c r="L761" s="31" t="str">
        <f>IFERROR(__xludf.DUMMYFUNCTION("IF(OR(E761="""",K761=""""),"""",IFERROR(IF(K761="""","""",query('tbl user'!$A$2:$D10975,""SELECT A WHERE D = '""&amp;K761&amp;""'"")),""USER TIDAK DIKETAHUI""))"),"#REF!")</f>
        <v>#REF!</v>
      </c>
    </row>
    <row r="762">
      <c r="A762" s="21">
        <f t="shared" si="1"/>
        <v>0</v>
      </c>
      <c r="B762" s="32" t="s">
        <v>246</v>
      </c>
      <c r="C762" s="23" t="s">
        <v>99</v>
      </c>
      <c r="D762" s="23" t="s">
        <v>21</v>
      </c>
      <c r="E762" s="37">
        <v>45396.0</v>
      </c>
      <c r="F762" s="25">
        <v>0.2881944444444444</v>
      </c>
      <c r="G762" s="25">
        <v>0.6805555555555556</v>
      </c>
      <c r="H762" s="27">
        <f t="shared" si="2"/>
        <v>0.3923611111</v>
      </c>
      <c r="I762" s="28">
        <v>2.0</v>
      </c>
      <c r="J762" s="29" t="s">
        <v>545</v>
      </c>
      <c r="K762" s="30" t="s">
        <v>23</v>
      </c>
      <c r="L762" s="31" t="str">
        <f>IFERROR(__xludf.DUMMYFUNCTION("IF(OR(E762="""",K762=""""),"""",IFERROR(IF(K762="""","""",query('tbl user'!$A$2:$D10975,""SELECT A WHERE D = '""&amp;K762&amp;""'"")),""USER TIDAK DIKETAHUI""))"),"#REF!")</f>
        <v>#REF!</v>
      </c>
    </row>
    <row r="763">
      <c r="A763" s="21">
        <f t="shared" si="1"/>
        <v>0</v>
      </c>
      <c r="B763" s="32" t="s">
        <v>243</v>
      </c>
      <c r="C763" s="23" t="s">
        <v>244</v>
      </c>
      <c r="D763" s="23" t="s">
        <v>21</v>
      </c>
      <c r="E763" s="37">
        <v>45396.0</v>
      </c>
      <c r="F763" s="25">
        <v>0.31805555555555554</v>
      </c>
      <c r="G763" s="25">
        <v>0.6833333333333333</v>
      </c>
      <c r="H763" s="27">
        <f t="shared" si="2"/>
        <v>0.3652777778</v>
      </c>
      <c r="I763" s="28">
        <v>2.0</v>
      </c>
      <c r="J763" s="29" t="s">
        <v>410</v>
      </c>
      <c r="K763" s="30" t="s">
        <v>23</v>
      </c>
      <c r="L763" s="31" t="str">
        <f>IFERROR(__xludf.DUMMYFUNCTION("IF(OR(E763="""",K763=""""),"""",IFERROR(IF(K763="""","""",query('tbl user'!$A$2:$D10975,""SELECT A WHERE D = '""&amp;K763&amp;""'"")),""USER TIDAK DIKETAHUI""))"),"#REF!")</f>
        <v>#REF!</v>
      </c>
    </row>
    <row r="764">
      <c r="A764" s="21">
        <f t="shared" si="1"/>
        <v>0</v>
      </c>
      <c r="B764" s="32" t="s">
        <v>303</v>
      </c>
      <c r="C764" s="23" t="s">
        <v>251</v>
      </c>
      <c r="D764" s="23" t="s">
        <v>21</v>
      </c>
      <c r="E764" s="37">
        <v>45396.0</v>
      </c>
      <c r="F764" s="25">
        <v>0.3013888888888889</v>
      </c>
      <c r="G764" s="25">
        <v>0.6597222222222222</v>
      </c>
      <c r="H764" s="27">
        <f t="shared" si="2"/>
        <v>0.3583333333</v>
      </c>
      <c r="I764" s="28">
        <v>2.0</v>
      </c>
      <c r="J764" s="29" t="s">
        <v>545</v>
      </c>
      <c r="K764" s="30" t="s">
        <v>23</v>
      </c>
      <c r="L764" s="31" t="str">
        <f>IFERROR(__xludf.DUMMYFUNCTION("IF(OR(E764="""",K764=""""),"""",IFERROR(IF(K764="""","""",query('tbl user'!$A$2:$D10975,""SELECT A WHERE D = '""&amp;K764&amp;""'"")),""USER TIDAK DIKETAHUI""))"),"#REF!")</f>
        <v>#REF!</v>
      </c>
    </row>
    <row r="765">
      <c r="A765" s="21">
        <f t="shared" si="1"/>
        <v>0</v>
      </c>
      <c r="B765" s="32" t="s">
        <v>253</v>
      </c>
      <c r="C765" s="23" t="s">
        <v>102</v>
      </c>
      <c r="D765" s="23" t="s">
        <v>21</v>
      </c>
      <c r="E765" s="37">
        <v>45396.0</v>
      </c>
      <c r="F765" s="25">
        <v>0.29097222222222224</v>
      </c>
      <c r="G765" s="25">
        <v>0.7027777777777777</v>
      </c>
      <c r="H765" s="27">
        <f t="shared" si="2"/>
        <v>0.4118055556</v>
      </c>
      <c r="I765" s="28">
        <v>2.0</v>
      </c>
      <c r="J765" s="29" t="s">
        <v>545</v>
      </c>
      <c r="K765" s="30" t="s">
        <v>23</v>
      </c>
      <c r="L765" s="31" t="str">
        <f>IFERROR(__xludf.DUMMYFUNCTION("IF(OR(E765="""",K765=""""),"""",IFERROR(IF(K765="""","""",query('tbl user'!$A$2:$D10975,""SELECT A WHERE D = '""&amp;K765&amp;""'"")),""USER TIDAK DIKETAHUI""))"),"#REF!")</f>
        <v>#REF!</v>
      </c>
    </row>
    <row r="766">
      <c r="A766" s="21">
        <f t="shared" si="1"/>
        <v>0</v>
      </c>
      <c r="B766" s="32" t="s">
        <v>156</v>
      </c>
      <c r="C766" s="23" t="s">
        <v>234</v>
      </c>
      <c r="D766" s="23" t="s">
        <v>21</v>
      </c>
      <c r="E766" s="37">
        <v>45396.0</v>
      </c>
      <c r="F766" s="25">
        <v>0.24791666666666667</v>
      </c>
      <c r="G766" s="25">
        <v>0.6416666666666667</v>
      </c>
      <c r="H766" s="27">
        <f t="shared" si="2"/>
        <v>0.39375</v>
      </c>
      <c r="I766" s="28">
        <v>2.0</v>
      </c>
      <c r="J766" s="29" t="s">
        <v>546</v>
      </c>
      <c r="K766" s="30" t="s">
        <v>23</v>
      </c>
      <c r="L766" s="31" t="str">
        <f>IFERROR(__xludf.DUMMYFUNCTION("IF(OR(E766="""",K766=""""),"""",IFERROR(IF(K766="""","""",query('tbl user'!$A$2:$D10975,""SELECT A WHERE D = '""&amp;K766&amp;""'"")),""USER TIDAK DIKETAHUI""))"),"#REF!")</f>
        <v>#REF!</v>
      </c>
    </row>
    <row r="767">
      <c r="A767" s="21">
        <f t="shared" si="1"/>
        <v>0</v>
      </c>
      <c r="B767" s="32" t="s">
        <v>305</v>
      </c>
      <c r="C767" s="23" t="s">
        <v>306</v>
      </c>
      <c r="D767" s="23" t="s">
        <v>21</v>
      </c>
      <c r="E767" s="37">
        <v>45396.0</v>
      </c>
      <c r="F767" s="25">
        <v>0.24722222222222223</v>
      </c>
      <c r="G767" s="25">
        <v>0.7458333333333333</v>
      </c>
      <c r="H767" s="27">
        <f t="shared" si="2"/>
        <v>0.4986111111</v>
      </c>
      <c r="I767" s="28">
        <v>2.0</v>
      </c>
      <c r="J767" s="29" t="s">
        <v>547</v>
      </c>
      <c r="K767" s="30" t="s">
        <v>23</v>
      </c>
      <c r="L767" s="31" t="str">
        <f>IFERROR(__xludf.DUMMYFUNCTION("IF(OR(E767="""",K767=""""),"""",IFERROR(IF(K767="""","""",query('tbl user'!$A$2:$D10975,""SELECT A WHERE D = '""&amp;K767&amp;""'"")),""USER TIDAK DIKETAHUI""))"),"#REF!")</f>
        <v>#REF!</v>
      </c>
    </row>
    <row r="768">
      <c r="A768" s="21">
        <f t="shared" si="1"/>
        <v>0</v>
      </c>
      <c r="B768" s="32" t="s">
        <v>258</v>
      </c>
      <c r="C768" s="23" t="s">
        <v>259</v>
      </c>
      <c r="D768" s="23" t="s">
        <v>21</v>
      </c>
      <c r="E768" s="37">
        <v>45396.0</v>
      </c>
      <c r="F768" s="25">
        <v>0.2548611111111111</v>
      </c>
      <c r="G768" s="25">
        <v>0.6513888888888889</v>
      </c>
      <c r="H768" s="27">
        <f t="shared" si="2"/>
        <v>0.3965277778</v>
      </c>
      <c r="I768" s="28">
        <v>2.0</v>
      </c>
      <c r="J768" s="29" t="s">
        <v>545</v>
      </c>
      <c r="K768" s="30" t="s">
        <v>23</v>
      </c>
      <c r="L768" s="31" t="str">
        <f>IFERROR(__xludf.DUMMYFUNCTION("IF(OR(E768="""",K768=""""),"""",IFERROR(IF(K768="""","""",query('tbl user'!$A$2:$D10975,""SELECT A WHERE D = '""&amp;K768&amp;""'"")),""USER TIDAK DIKETAHUI""))"),"#REF!")</f>
        <v>#REF!</v>
      </c>
    </row>
    <row r="769">
      <c r="A769" s="21">
        <f t="shared" si="1"/>
        <v>0</v>
      </c>
      <c r="B769" s="32" t="s">
        <v>260</v>
      </c>
      <c r="C769" s="23" t="s">
        <v>261</v>
      </c>
      <c r="D769" s="23" t="s">
        <v>21</v>
      </c>
      <c r="E769" s="37">
        <v>45396.0</v>
      </c>
      <c r="F769" s="25">
        <v>0.22291666666666668</v>
      </c>
      <c r="G769" s="25">
        <v>0.5819444444444445</v>
      </c>
      <c r="H769" s="27">
        <f t="shared" si="2"/>
        <v>0.3590277778</v>
      </c>
      <c r="I769" s="28">
        <v>2.0</v>
      </c>
      <c r="J769" s="29" t="s">
        <v>548</v>
      </c>
      <c r="K769" s="30" t="s">
        <v>23</v>
      </c>
      <c r="L769" s="31" t="str">
        <f>IFERROR(__xludf.DUMMYFUNCTION("IF(OR(E769="""",K769=""""),"""",IFERROR(IF(K769="""","""",query('tbl user'!$A$2:$D10975,""SELECT A WHERE D = '""&amp;K769&amp;""'"")),""USER TIDAK DIKETAHUI""))"),"#REF!")</f>
        <v>#REF!</v>
      </c>
    </row>
    <row r="770">
      <c r="A770" s="21">
        <f t="shared" si="1"/>
        <v>0</v>
      </c>
      <c r="B770" s="32" t="s">
        <v>240</v>
      </c>
      <c r="C770" s="23" t="s">
        <v>241</v>
      </c>
      <c r="D770" s="23" t="s">
        <v>21</v>
      </c>
      <c r="E770" s="37">
        <v>45396.0</v>
      </c>
      <c r="F770" s="25">
        <v>0.2152777777777778</v>
      </c>
      <c r="G770" s="25">
        <v>0.7222222222222222</v>
      </c>
      <c r="H770" s="27">
        <f t="shared" si="2"/>
        <v>0.5069444444</v>
      </c>
      <c r="I770" s="28">
        <v>3.0</v>
      </c>
      <c r="J770" s="29" t="s">
        <v>55</v>
      </c>
      <c r="K770" s="30" t="s">
        <v>23</v>
      </c>
      <c r="L770" s="31" t="str">
        <f>IFERROR(__xludf.DUMMYFUNCTION("IF(OR(E770="""",K770=""""),"""",IFERROR(IF(K770="""","""",query('tbl user'!$A$2:$D10975,""SELECT A WHERE D = '""&amp;K770&amp;""'"")),""USER TIDAK DIKETAHUI""))"),"#REF!")</f>
        <v>#REF!</v>
      </c>
    </row>
    <row r="771">
      <c r="A771" s="21">
        <f t="shared" si="1"/>
        <v>0</v>
      </c>
      <c r="B771" s="32" t="s">
        <v>255</v>
      </c>
      <c r="C771" s="23" t="s">
        <v>256</v>
      </c>
      <c r="D771" s="23" t="s">
        <v>21</v>
      </c>
      <c r="E771" s="37">
        <v>45396.0</v>
      </c>
      <c r="F771" s="25">
        <v>0.21319444444444444</v>
      </c>
      <c r="G771" s="25">
        <v>0.7222222222222222</v>
      </c>
      <c r="H771" s="27">
        <f t="shared" si="2"/>
        <v>0.5090277778</v>
      </c>
      <c r="I771" s="28">
        <v>3.0</v>
      </c>
      <c r="J771" s="29" t="s">
        <v>55</v>
      </c>
      <c r="K771" s="30" t="s">
        <v>23</v>
      </c>
      <c r="L771" s="31" t="str">
        <f>IFERROR(__xludf.DUMMYFUNCTION("IF(OR(E771="""",K771=""""),"""",IFERROR(IF(K771="""","""",query('tbl user'!$A$2:$D10975,""SELECT A WHERE D = '""&amp;K771&amp;""'"")),""USER TIDAK DIKETAHUI""))"),"#REF!")</f>
        <v>#REF!</v>
      </c>
    </row>
    <row r="772">
      <c r="A772" s="21">
        <f t="shared" si="1"/>
        <v>0</v>
      </c>
      <c r="B772" s="32" t="s">
        <v>281</v>
      </c>
      <c r="C772" s="23" t="s">
        <v>290</v>
      </c>
      <c r="D772" s="23" t="s">
        <v>21</v>
      </c>
      <c r="E772" s="37">
        <v>45396.0</v>
      </c>
      <c r="F772" s="25">
        <v>0.34375</v>
      </c>
      <c r="G772" s="25">
        <v>0.6145833333333334</v>
      </c>
      <c r="H772" s="27">
        <f t="shared" si="2"/>
        <v>0.2708333333</v>
      </c>
      <c r="I772" s="28">
        <v>2.0</v>
      </c>
      <c r="J772" s="29" t="s">
        <v>549</v>
      </c>
      <c r="K772" s="30" t="s">
        <v>23</v>
      </c>
      <c r="L772" s="31" t="str">
        <f>IFERROR(__xludf.DUMMYFUNCTION("IF(OR(E772="""",K772=""""),"""",IFERROR(IF(K772="""","""",query('tbl user'!$A$2:$D10975,""SELECT A WHERE D = '""&amp;K772&amp;""'"")),""USER TIDAK DIKETAHUI""))"),"#REF!")</f>
        <v>#REF!</v>
      </c>
    </row>
    <row r="773">
      <c r="A773" s="21">
        <f t="shared" si="1"/>
        <v>0</v>
      </c>
      <c r="B773" s="32" t="s">
        <v>286</v>
      </c>
      <c r="C773" s="23" t="s">
        <v>287</v>
      </c>
      <c r="D773" s="23" t="s">
        <v>21</v>
      </c>
      <c r="E773" s="37">
        <v>45396.0</v>
      </c>
      <c r="F773" s="25">
        <v>0.28125</v>
      </c>
      <c r="G773" s="25">
        <v>0.5527777777777778</v>
      </c>
      <c r="H773" s="27">
        <f t="shared" si="2"/>
        <v>0.2715277778</v>
      </c>
      <c r="I773" s="28">
        <v>2.0</v>
      </c>
      <c r="J773" s="29" t="s">
        <v>550</v>
      </c>
      <c r="K773" s="30" t="s">
        <v>23</v>
      </c>
      <c r="L773" s="31" t="str">
        <f>IFERROR(__xludf.DUMMYFUNCTION("IF(OR(E773="""",K773=""""),"""",IFERROR(IF(K773="""","""",query('tbl user'!$A$2:$D10975,""SELECT A WHERE D = '""&amp;K773&amp;""'"")),""USER TIDAK DIKETAHUI""))"),"#REF!")</f>
        <v>#REF!</v>
      </c>
    </row>
    <row r="774">
      <c r="A774" s="21">
        <f t="shared" si="1"/>
        <v>0</v>
      </c>
      <c r="B774" s="32" t="s">
        <v>101</v>
      </c>
      <c r="C774" s="23" t="s">
        <v>38</v>
      </c>
      <c r="D774" s="23" t="s">
        <v>21</v>
      </c>
      <c r="E774" s="37">
        <v>45396.0</v>
      </c>
      <c r="F774" s="25">
        <v>0.33611111111111114</v>
      </c>
      <c r="G774" s="25">
        <v>0.6833333333333333</v>
      </c>
      <c r="H774" s="27">
        <f t="shared" si="2"/>
        <v>0.3472222222</v>
      </c>
      <c r="I774" s="28">
        <v>3.0</v>
      </c>
      <c r="J774" s="29" t="s">
        <v>551</v>
      </c>
      <c r="K774" s="30" t="s">
        <v>23</v>
      </c>
      <c r="L774" s="31" t="str">
        <f>IFERROR(__xludf.DUMMYFUNCTION("IF(OR(E774="""",K774=""""),"""",IFERROR(IF(K774="""","""",query('tbl user'!$A$2:$D10975,""SELECT A WHERE D = '""&amp;K774&amp;""'"")),""USER TIDAK DIKETAHUI""))"),"#REF!")</f>
        <v>#REF!</v>
      </c>
    </row>
    <row r="775">
      <c r="A775" s="21">
        <f t="shared" si="1"/>
        <v>0</v>
      </c>
      <c r="B775" s="32" t="s">
        <v>61</v>
      </c>
      <c r="C775" s="23" t="s">
        <v>62</v>
      </c>
      <c r="D775" s="23" t="s">
        <v>21</v>
      </c>
      <c r="E775" s="37">
        <v>45396.0</v>
      </c>
      <c r="F775" s="25">
        <v>0.22013888888888888</v>
      </c>
      <c r="G775" s="25">
        <v>0.6791666666666667</v>
      </c>
      <c r="H775" s="27">
        <f t="shared" si="2"/>
        <v>0.4590277778</v>
      </c>
      <c r="I775" s="28">
        <v>4.0</v>
      </c>
      <c r="J775" s="29" t="s">
        <v>55</v>
      </c>
      <c r="K775" s="30" t="s">
        <v>23</v>
      </c>
      <c r="L775" s="31" t="str">
        <f>IFERROR(__xludf.DUMMYFUNCTION("IF(OR(E775="""",K775=""""),"""",IFERROR(IF(K775="""","""",query('tbl user'!$A$2:$D10975,""SELECT A WHERE D = '""&amp;K775&amp;""'"")),""USER TIDAK DIKETAHUI""))"),"#REF!")</f>
        <v>#REF!</v>
      </c>
    </row>
    <row r="776">
      <c r="A776" s="21">
        <f t="shared" si="1"/>
        <v>0</v>
      </c>
      <c r="B776" s="32" t="s">
        <v>64</v>
      </c>
      <c r="C776" s="23" t="s">
        <v>65</v>
      </c>
      <c r="D776" s="23" t="s">
        <v>21</v>
      </c>
      <c r="E776" s="37">
        <v>45396.0</v>
      </c>
      <c r="F776" s="25">
        <v>0.26458333333333334</v>
      </c>
      <c r="G776" s="25">
        <v>0.7138888888888889</v>
      </c>
      <c r="H776" s="27">
        <f t="shared" si="2"/>
        <v>0.4493055556</v>
      </c>
      <c r="I776" s="28">
        <v>4.0</v>
      </c>
      <c r="J776" s="29" t="s">
        <v>55</v>
      </c>
      <c r="K776" s="30" t="s">
        <v>23</v>
      </c>
      <c r="L776" s="31" t="str">
        <f>IFERROR(__xludf.DUMMYFUNCTION("IF(OR(E776="""",K776=""""),"""",IFERROR(IF(K776="""","""",query('tbl user'!$A$2:$D10975,""SELECT A WHERE D = '""&amp;K776&amp;""'"")),""USER TIDAK DIKETAHUI""))"),"#REF!")</f>
        <v>#REF!</v>
      </c>
    </row>
    <row r="777">
      <c r="A777" s="21">
        <f t="shared" si="1"/>
        <v>0</v>
      </c>
      <c r="B777" s="32" t="s">
        <v>220</v>
      </c>
      <c r="C777" s="23" t="s">
        <v>316</v>
      </c>
      <c r="D777" s="23" t="s">
        <v>21</v>
      </c>
      <c r="E777" s="37">
        <v>45396.0</v>
      </c>
      <c r="F777" s="25">
        <v>0.21736111111111112</v>
      </c>
      <c r="G777" s="25">
        <v>0.3625</v>
      </c>
      <c r="H777" s="27">
        <f t="shared" si="2"/>
        <v>0.1451388889</v>
      </c>
      <c r="I777" s="28">
        <v>1.0</v>
      </c>
      <c r="J777" s="29" t="s">
        <v>552</v>
      </c>
      <c r="K777" s="30" t="s">
        <v>23</v>
      </c>
      <c r="L777" s="31" t="str">
        <f>IFERROR(__xludf.DUMMYFUNCTION("IF(OR(E777="""",K777=""""),"""",IFERROR(IF(K777="""","""",query('tbl user'!$A$2:$D10975,""SELECT A WHERE D = '""&amp;K777&amp;""'"")),""USER TIDAK DIKETAHUI""))"),"#REF!")</f>
        <v>#REF!</v>
      </c>
    </row>
    <row r="778">
      <c r="A778" s="21">
        <f t="shared" si="1"/>
        <v>0</v>
      </c>
      <c r="B778" s="32" t="s">
        <v>229</v>
      </c>
      <c r="C778" s="23" t="s">
        <v>330</v>
      </c>
      <c r="D778" s="23" t="s">
        <v>21</v>
      </c>
      <c r="E778" s="37">
        <v>45396.0</v>
      </c>
      <c r="F778" s="25">
        <v>0.2625</v>
      </c>
      <c r="G778" s="25">
        <v>0.7208333333333333</v>
      </c>
      <c r="H778" s="27">
        <f t="shared" si="2"/>
        <v>0.4583333333</v>
      </c>
      <c r="I778" s="28">
        <v>2.0</v>
      </c>
      <c r="J778" s="29" t="s">
        <v>553</v>
      </c>
      <c r="K778" s="30" t="s">
        <v>23</v>
      </c>
      <c r="L778" s="31" t="str">
        <f>IFERROR(__xludf.DUMMYFUNCTION("IF(OR(E778="""",K778=""""),"""",IFERROR(IF(K778="""","""",query('tbl user'!$A$2:$D10975,""SELECT A WHERE D = '""&amp;K778&amp;""'"")),""USER TIDAK DIKETAHUI""))"),"#REF!")</f>
        <v>#REF!</v>
      </c>
    </row>
    <row r="779">
      <c r="A779" s="21">
        <f t="shared" si="1"/>
        <v>0</v>
      </c>
      <c r="B779" s="32" t="s">
        <v>331</v>
      </c>
      <c r="C779" s="23" t="s">
        <v>332</v>
      </c>
      <c r="D779" s="23" t="s">
        <v>21</v>
      </c>
      <c r="E779" s="37">
        <v>45396.0</v>
      </c>
      <c r="F779" s="25">
        <v>0.22708333333333333</v>
      </c>
      <c r="G779" s="25">
        <v>0.4861111111111111</v>
      </c>
      <c r="H779" s="27">
        <f t="shared" si="2"/>
        <v>0.2590277778</v>
      </c>
      <c r="I779" s="28">
        <v>3.0</v>
      </c>
      <c r="J779" s="29" t="s">
        <v>554</v>
      </c>
      <c r="K779" s="30" t="s">
        <v>23</v>
      </c>
      <c r="L779" s="31" t="str">
        <f>IFERROR(__xludf.DUMMYFUNCTION("IF(OR(E779="""",K779=""""),"""",IFERROR(IF(K779="""","""",query('tbl user'!$A$2:$D10975,""SELECT A WHERE D = '""&amp;K779&amp;""'"")),""USER TIDAK DIKETAHUI""))"),"#REF!")</f>
        <v>#REF!</v>
      </c>
    </row>
    <row r="780">
      <c r="A780" s="21">
        <f t="shared" si="1"/>
        <v>0</v>
      </c>
      <c r="B780" s="32" t="s">
        <v>335</v>
      </c>
      <c r="C780" s="23" t="s">
        <v>336</v>
      </c>
      <c r="D780" s="23" t="s">
        <v>21</v>
      </c>
      <c r="E780" s="37">
        <v>45396.0</v>
      </c>
      <c r="F780" s="25">
        <v>0.3020833333333333</v>
      </c>
      <c r="G780" s="25">
        <v>0.5138888888888888</v>
      </c>
      <c r="H780" s="27">
        <f t="shared" si="2"/>
        <v>0.2118055556</v>
      </c>
      <c r="I780" s="28">
        <v>3.0</v>
      </c>
      <c r="J780" s="29" t="s">
        <v>555</v>
      </c>
      <c r="K780" s="30" t="s">
        <v>23</v>
      </c>
      <c r="L780" s="31" t="str">
        <f>IFERROR(__xludf.DUMMYFUNCTION("IF(OR(E780="""",K780=""""),"""",IFERROR(IF(K780="""","""",query('tbl user'!$A$2:$D10975,""SELECT A WHERE D = '""&amp;K780&amp;""'"")),""USER TIDAK DIKETAHUI""))"),"#REF!")</f>
        <v>#REF!</v>
      </c>
    </row>
    <row r="781">
      <c r="A781" s="21">
        <f t="shared" si="1"/>
        <v>0</v>
      </c>
      <c r="B781" s="32" t="s">
        <v>319</v>
      </c>
      <c r="C781" s="23" t="s">
        <v>320</v>
      </c>
      <c r="D781" s="23" t="s">
        <v>21</v>
      </c>
      <c r="E781" s="37">
        <v>45396.0</v>
      </c>
      <c r="F781" s="25">
        <v>0.21805555555555556</v>
      </c>
      <c r="G781" s="25">
        <v>0.5506944444444445</v>
      </c>
      <c r="H781" s="27">
        <f t="shared" si="2"/>
        <v>0.3326388889</v>
      </c>
      <c r="I781" s="28">
        <v>4.0</v>
      </c>
      <c r="J781" s="29" t="s">
        <v>556</v>
      </c>
      <c r="K781" s="30" t="s">
        <v>23</v>
      </c>
      <c r="L781" s="31" t="str">
        <f>IFERROR(__xludf.DUMMYFUNCTION("IF(OR(E781="""",K781=""""),"""",IFERROR(IF(K781="""","""",query('tbl user'!$A$2:$D10975,""SELECT A WHERE D = '""&amp;K781&amp;""'"")),""USER TIDAK DIKETAHUI""))"),"#REF!")</f>
        <v>#REF!</v>
      </c>
    </row>
    <row r="782">
      <c r="A782" s="21">
        <f t="shared" si="1"/>
        <v>0</v>
      </c>
      <c r="B782" s="32" t="s">
        <v>127</v>
      </c>
      <c r="C782" s="23" t="s">
        <v>339</v>
      </c>
      <c r="D782" s="23" t="s">
        <v>21</v>
      </c>
      <c r="E782" s="37">
        <v>45396.0</v>
      </c>
      <c r="F782" s="25">
        <v>0.3229166666666667</v>
      </c>
      <c r="G782" s="25">
        <v>0.6923611111111111</v>
      </c>
      <c r="H782" s="27">
        <f t="shared" si="2"/>
        <v>0.3694444444</v>
      </c>
      <c r="I782" s="28">
        <v>5.0</v>
      </c>
      <c r="J782" s="29" t="s">
        <v>55</v>
      </c>
      <c r="K782" s="30" t="s">
        <v>23</v>
      </c>
      <c r="L782" s="31" t="str">
        <f>IFERROR(__xludf.DUMMYFUNCTION("IF(OR(E782="""",K782=""""),"""",IFERROR(IF(K782="""","""",query('tbl user'!$A$2:$D10975,""SELECT A WHERE D = '""&amp;K782&amp;""'"")),""USER TIDAK DIKETAHUI""))"),"#REF!")</f>
        <v>#REF!</v>
      </c>
    </row>
    <row r="783">
      <c r="A783" s="21">
        <f t="shared" si="1"/>
        <v>0</v>
      </c>
      <c r="B783" s="32" t="s">
        <v>333</v>
      </c>
      <c r="C783" s="23" t="s">
        <v>334</v>
      </c>
      <c r="D783" s="23" t="s">
        <v>21</v>
      </c>
      <c r="E783" s="37">
        <v>45396.0</v>
      </c>
      <c r="F783" s="25">
        <v>0.27708333333333335</v>
      </c>
      <c r="G783" s="25">
        <v>0.7055555555555556</v>
      </c>
      <c r="H783" s="27">
        <f t="shared" si="2"/>
        <v>0.4284722222</v>
      </c>
      <c r="I783" s="28">
        <v>6.0</v>
      </c>
      <c r="J783" s="29" t="s">
        <v>55</v>
      </c>
      <c r="K783" s="30" t="s">
        <v>23</v>
      </c>
      <c r="L783" s="31" t="str">
        <f>IFERROR(__xludf.DUMMYFUNCTION("IF(OR(E783="""",K783=""""),"""",IFERROR(IF(K783="""","""",query('tbl user'!$A$2:$D10975,""SELECT A WHERE D = '""&amp;K783&amp;""'"")),""USER TIDAK DIKETAHUI""))"),"#REF!")</f>
        <v>#REF!</v>
      </c>
    </row>
    <row r="784">
      <c r="A784" s="21">
        <f t="shared" si="1"/>
        <v>0</v>
      </c>
      <c r="B784" s="32" t="s">
        <v>139</v>
      </c>
      <c r="C784" s="23" t="s">
        <v>323</v>
      </c>
      <c r="D784" s="23" t="s">
        <v>21</v>
      </c>
      <c r="E784" s="37">
        <v>45396.0</v>
      </c>
      <c r="F784" s="25">
        <v>0.31666666666666665</v>
      </c>
      <c r="G784" s="25">
        <v>0.7451388888888889</v>
      </c>
      <c r="H784" s="27">
        <f t="shared" si="2"/>
        <v>0.4284722222</v>
      </c>
      <c r="I784" s="28">
        <v>6.0</v>
      </c>
      <c r="J784" s="29" t="s">
        <v>55</v>
      </c>
      <c r="K784" s="30" t="s">
        <v>23</v>
      </c>
      <c r="L784" s="31" t="str">
        <f>IFERROR(__xludf.DUMMYFUNCTION("IF(OR(E784="""",K784=""""),"""",IFERROR(IF(K784="""","""",query('tbl user'!$A$2:$D10975,""SELECT A WHERE D = '""&amp;K784&amp;""'"")),""USER TIDAK DIKETAHUI""))"),"#REF!")</f>
        <v>#REF!</v>
      </c>
    </row>
    <row r="785">
      <c r="A785" s="21">
        <f t="shared" si="1"/>
        <v>0</v>
      </c>
      <c r="B785" s="32" t="s">
        <v>423</v>
      </c>
      <c r="C785" s="23" t="s">
        <v>329</v>
      </c>
      <c r="D785" s="23" t="s">
        <v>21</v>
      </c>
      <c r="E785" s="37">
        <v>45396.0</v>
      </c>
      <c r="F785" s="25">
        <v>0.26666666666666666</v>
      </c>
      <c r="G785" s="25">
        <v>0.7548611111111111</v>
      </c>
      <c r="H785" s="27">
        <f t="shared" si="2"/>
        <v>0.4881944444</v>
      </c>
      <c r="I785" s="28">
        <v>7.0</v>
      </c>
      <c r="J785" s="29" t="s">
        <v>55</v>
      </c>
      <c r="K785" s="30" t="s">
        <v>23</v>
      </c>
      <c r="L785" s="31" t="str">
        <f>IFERROR(__xludf.DUMMYFUNCTION("IF(OR(E785="""",K785=""""),"""",IFERROR(IF(K785="""","""",query('tbl user'!$A$2:$D10975,""SELECT A WHERE D = '""&amp;K785&amp;""'"")),""USER TIDAK DIKETAHUI""))"),"#REF!")</f>
        <v>#REF!</v>
      </c>
    </row>
    <row r="786">
      <c r="A786" s="21">
        <f t="shared" si="1"/>
        <v>0</v>
      </c>
      <c r="B786" s="32" t="s">
        <v>53</v>
      </c>
      <c r="C786" s="23" t="s">
        <v>54</v>
      </c>
      <c r="D786" s="23" t="s">
        <v>21</v>
      </c>
      <c r="E786" s="37">
        <v>45396.0</v>
      </c>
      <c r="F786" s="25">
        <v>0.21805555555555556</v>
      </c>
      <c r="G786" s="25">
        <v>0.7201388888888889</v>
      </c>
      <c r="H786" s="27">
        <f t="shared" si="2"/>
        <v>0.5020833333</v>
      </c>
      <c r="I786" s="28">
        <v>7.0</v>
      </c>
      <c r="J786" s="29" t="s">
        <v>55</v>
      </c>
      <c r="K786" s="30" t="s">
        <v>23</v>
      </c>
      <c r="L786" s="31" t="str">
        <f>IFERROR(__xludf.DUMMYFUNCTION("IF(OR(E786="""",K786=""""),"""",IFERROR(IF(K786="""","""",query('tbl user'!$A$2:$D10975,""SELECT A WHERE D = '""&amp;K786&amp;""'"")),""USER TIDAK DIKETAHUI""))"),"#REF!")</f>
        <v>#REF!</v>
      </c>
    </row>
    <row r="787">
      <c r="A787" s="21" t="str">
        <f t="shared" si="1"/>
        <v/>
      </c>
      <c r="B787" s="35"/>
      <c r="C787" s="23" t="s">
        <v>90</v>
      </c>
      <c r="D787" s="23" t="s">
        <v>32</v>
      </c>
      <c r="E787" s="37">
        <v>45396.0</v>
      </c>
      <c r="F787" s="25">
        <v>0.28125</v>
      </c>
      <c r="G787" s="25">
        <v>0.3263888888888889</v>
      </c>
      <c r="H787" s="27">
        <f t="shared" si="2"/>
        <v>0.04513888889</v>
      </c>
      <c r="I787" s="28">
        <v>0.0</v>
      </c>
      <c r="J787" s="29" t="s">
        <v>557</v>
      </c>
      <c r="K787" s="30" t="s">
        <v>23</v>
      </c>
      <c r="L787" s="31" t="str">
        <f>IFERROR(__xludf.DUMMYFUNCTION("IF(OR(E787="""",K787=""""),"""",IFERROR(IF(K787="""","""",query('tbl user'!$A$2:$D10975,""SELECT A WHERE D = '""&amp;K787&amp;""'"")),""USER TIDAK DIKETAHUI""))"),"#REF!")</f>
        <v>#REF!</v>
      </c>
    </row>
    <row r="788">
      <c r="A788" s="21">
        <f t="shared" si="1"/>
        <v>0</v>
      </c>
      <c r="B788" s="32" t="s">
        <v>412</v>
      </c>
      <c r="C788" s="23" t="s">
        <v>413</v>
      </c>
      <c r="D788" s="23" t="s">
        <v>32</v>
      </c>
      <c r="E788" s="37">
        <v>45396.0</v>
      </c>
      <c r="F788" s="25">
        <v>0.29583333333333334</v>
      </c>
      <c r="G788" s="25">
        <v>0.6958333333333333</v>
      </c>
      <c r="H788" s="27">
        <f t="shared" si="2"/>
        <v>0.4</v>
      </c>
      <c r="I788" s="28">
        <v>2.0</v>
      </c>
      <c r="J788" s="29" t="s">
        <v>218</v>
      </c>
      <c r="K788" s="30" t="s">
        <v>23</v>
      </c>
      <c r="L788" s="31" t="str">
        <f>IFERROR(__xludf.DUMMYFUNCTION("IF(OR(E788="""",K788=""""),"""",IFERROR(IF(K788="""","""",query('tbl user'!$A$2:$D10975,""SELECT A WHERE D = '""&amp;K788&amp;""'"")),""USER TIDAK DIKETAHUI""))"),"#REF!")</f>
        <v>#REF!</v>
      </c>
    </row>
    <row r="789">
      <c r="A789" s="21">
        <f t="shared" si="1"/>
        <v>0</v>
      </c>
      <c r="B789" s="32" t="s">
        <v>46</v>
      </c>
      <c r="C789" s="23" t="s">
        <v>47</v>
      </c>
      <c r="D789" s="23" t="s">
        <v>32</v>
      </c>
      <c r="E789" s="37">
        <v>45396.0</v>
      </c>
      <c r="F789" s="25">
        <v>0.2569444444444444</v>
      </c>
      <c r="G789" s="25">
        <v>0.54375</v>
      </c>
      <c r="H789" s="27">
        <f t="shared" si="2"/>
        <v>0.2868055556</v>
      </c>
      <c r="I789" s="28">
        <v>2.0</v>
      </c>
      <c r="J789" s="29" t="s">
        <v>558</v>
      </c>
      <c r="K789" s="30" t="s">
        <v>23</v>
      </c>
      <c r="L789" s="31" t="str">
        <f>IFERROR(__xludf.DUMMYFUNCTION("IF(OR(E789="""",K789=""""),"""",IFERROR(IF(K789="""","""",query('tbl user'!$A$2:$D10975,""SELECT A WHERE D = '""&amp;K789&amp;""'"")),""USER TIDAK DIKETAHUI""))"),"#REF!")</f>
        <v>#REF!</v>
      </c>
    </row>
    <row r="790">
      <c r="A790" s="21">
        <f t="shared" si="1"/>
        <v>0</v>
      </c>
      <c r="B790" s="32" t="s">
        <v>72</v>
      </c>
      <c r="C790" s="23" t="s">
        <v>73</v>
      </c>
      <c r="D790" s="23" t="s">
        <v>32</v>
      </c>
      <c r="E790" s="37">
        <v>45396.0</v>
      </c>
      <c r="F790" s="25">
        <v>0.3</v>
      </c>
      <c r="G790" s="25">
        <v>0.6854166666666667</v>
      </c>
      <c r="H790" s="27">
        <f t="shared" si="2"/>
        <v>0.3854166667</v>
      </c>
      <c r="I790" s="28">
        <v>2.0</v>
      </c>
      <c r="J790" s="29" t="s">
        <v>559</v>
      </c>
      <c r="K790" s="30" t="s">
        <v>23</v>
      </c>
      <c r="L790" s="31" t="str">
        <f>IFERROR(__xludf.DUMMYFUNCTION("IF(OR(E790="""",K790=""""),"""",IFERROR(IF(K790="""","""",query('tbl user'!$A$2:$D10975,""SELECT A WHERE D = '""&amp;K790&amp;""'"")),""USER TIDAK DIKETAHUI""))"),"#REF!")</f>
        <v>#REF!</v>
      </c>
    </row>
    <row r="791">
      <c r="A791" s="21">
        <f t="shared" si="1"/>
        <v>0</v>
      </c>
      <c r="B791" s="32" t="s">
        <v>363</v>
      </c>
      <c r="C791" s="23" t="s">
        <v>315</v>
      </c>
      <c r="D791" s="23" t="s">
        <v>32</v>
      </c>
      <c r="E791" s="37">
        <v>45396.0</v>
      </c>
      <c r="F791" s="25">
        <v>0.3729166666666667</v>
      </c>
      <c r="G791" s="25">
        <v>0.7006944444444444</v>
      </c>
      <c r="H791" s="27">
        <f t="shared" si="2"/>
        <v>0.3277777778</v>
      </c>
      <c r="I791" s="28">
        <v>3.0</v>
      </c>
      <c r="J791" s="29" t="s">
        <v>560</v>
      </c>
      <c r="K791" s="30" t="s">
        <v>23</v>
      </c>
      <c r="L791" s="31" t="str">
        <f>IFERROR(__xludf.DUMMYFUNCTION("IF(OR(E791="""",K791=""""),"""",IFERROR(IF(K791="""","""",query('tbl user'!$A$2:$D10975,""SELECT A WHERE D = '""&amp;K791&amp;""'"")),""USER TIDAK DIKETAHUI""))"),"#REF!")</f>
        <v>#REF!</v>
      </c>
    </row>
    <row r="792">
      <c r="A792" s="21">
        <f t="shared" si="1"/>
        <v>0</v>
      </c>
      <c r="B792" s="32" t="s">
        <v>263</v>
      </c>
      <c r="C792" s="23" t="s">
        <v>264</v>
      </c>
      <c r="D792" s="23" t="s">
        <v>32</v>
      </c>
      <c r="E792" s="37">
        <v>45396.0</v>
      </c>
      <c r="F792" s="25">
        <v>0.29305555555555557</v>
      </c>
      <c r="G792" s="25">
        <v>0.6986111111111111</v>
      </c>
      <c r="H792" s="27">
        <f t="shared" si="2"/>
        <v>0.4055555556</v>
      </c>
      <c r="I792" s="28">
        <v>3.0</v>
      </c>
      <c r="J792" s="29" t="s">
        <v>561</v>
      </c>
      <c r="K792" s="30" t="s">
        <v>23</v>
      </c>
      <c r="L792" s="31" t="str">
        <f>IFERROR(__xludf.DUMMYFUNCTION("IF(OR(E792="""",K792=""""),"""",IFERROR(IF(K792="""","""",query('tbl user'!$A$2:$D10975,""SELECT A WHERE D = '""&amp;K792&amp;""'"")),""USER TIDAK DIKETAHUI""))"),"#REF!")</f>
        <v>#REF!</v>
      </c>
    </row>
    <row r="793">
      <c r="A793" s="21">
        <f t="shared" si="1"/>
        <v>0</v>
      </c>
      <c r="B793" s="32" t="s">
        <v>135</v>
      </c>
      <c r="C793" s="23" t="s">
        <v>136</v>
      </c>
      <c r="D793" s="23" t="s">
        <v>32</v>
      </c>
      <c r="E793" s="37">
        <v>45396.0</v>
      </c>
      <c r="F793" s="25">
        <v>0.275</v>
      </c>
      <c r="G793" s="25">
        <v>0.6743055555555556</v>
      </c>
      <c r="H793" s="27">
        <f t="shared" si="2"/>
        <v>0.3993055556</v>
      </c>
      <c r="I793" s="28">
        <v>3.0</v>
      </c>
      <c r="J793" s="29" t="s">
        <v>218</v>
      </c>
      <c r="K793" s="30" t="s">
        <v>23</v>
      </c>
      <c r="L793" s="31" t="str">
        <f>IFERROR(__xludf.DUMMYFUNCTION("IF(OR(E793="""",K793=""""),"""",IFERROR(IF(K793="""","""",query('tbl user'!$A$2:$D10975,""SELECT A WHERE D = '""&amp;K793&amp;""'"")),""USER TIDAK DIKETAHUI""))"),"#REF!")</f>
        <v>#REF!</v>
      </c>
    </row>
    <row r="794">
      <c r="A794" s="21">
        <f t="shared" si="1"/>
        <v>0</v>
      </c>
      <c r="B794" s="32" t="s">
        <v>146</v>
      </c>
      <c r="C794" s="23" t="s">
        <v>147</v>
      </c>
      <c r="D794" s="23" t="s">
        <v>32</v>
      </c>
      <c r="E794" s="37">
        <v>45396.0</v>
      </c>
      <c r="F794" s="25">
        <v>0.31180555555555556</v>
      </c>
      <c r="G794" s="25">
        <v>0.6923611111111111</v>
      </c>
      <c r="H794" s="27">
        <f t="shared" si="2"/>
        <v>0.3805555556</v>
      </c>
      <c r="I794" s="28">
        <v>3.0</v>
      </c>
      <c r="J794" s="29" t="s">
        <v>561</v>
      </c>
      <c r="K794" s="30" t="s">
        <v>23</v>
      </c>
      <c r="L794" s="31" t="str">
        <f>IFERROR(__xludf.DUMMYFUNCTION("IF(OR(E794="""",K794=""""),"""",IFERROR(IF(K794="""","""",query('tbl user'!$A$2:$D10975,""SELECT A WHERE D = '""&amp;K794&amp;""'"")),""USER TIDAK DIKETAHUI""))"),"#REF!")</f>
        <v>#REF!</v>
      </c>
    </row>
    <row r="795">
      <c r="A795" s="21">
        <f t="shared" si="1"/>
        <v>0</v>
      </c>
      <c r="B795" s="32" t="s">
        <v>137</v>
      </c>
      <c r="C795" s="23" t="s">
        <v>138</v>
      </c>
      <c r="D795" s="23" t="s">
        <v>32</v>
      </c>
      <c r="E795" s="37">
        <v>45396.0</v>
      </c>
      <c r="F795" s="25">
        <v>0.2951388888888889</v>
      </c>
      <c r="G795" s="25">
        <v>0.7055555555555556</v>
      </c>
      <c r="H795" s="27">
        <f t="shared" si="2"/>
        <v>0.4104166667</v>
      </c>
      <c r="I795" s="28">
        <v>4.0</v>
      </c>
      <c r="J795" s="29" t="s">
        <v>55</v>
      </c>
      <c r="K795" s="30" t="s">
        <v>23</v>
      </c>
      <c r="L795" s="31" t="str">
        <f>IFERROR(__xludf.DUMMYFUNCTION("IF(OR(E795="""",K795=""""),"""",IFERROR(IF(K795="""","""",query('tbl user'!$A$2:$D10975,""SELECT A WHERE D = '""&amp;K795&amp;""'"")),""USER TIDAK DIKETAHUI""))"),"#REF!")</f>
        <v>#REF!</v>
      </c>
    </row>
    <row r="796">
      <c r="A796" s="21">
        <f t="shared" si="1"/>
        <v>0</v>
      </c>
      <c r="B796" s="32" t="s">
        <v>312</v>
      </c>
      <c r="C796" s="23" t="s">
        <v>313</v>
      </c>
      <c r="D796" s="23" t="s">
        <v>32</v>
      </c>
      <c r="E796" s="37">
        <v>45396.0</v>
      </c>
      <c r="F796" s="25">
        <v>0.31180555555555556</v>
      </c>
      <c r="G796" s="25">
        <v>0.7229166666666667</v>
      </c>
      <c r="H796" s="27">
        <f t="shared" si="2"/>
        <v>0.4111111111</v>
      </c>
      <c r="I796" s="28">
        <v>4.0</v>
      </c>
      <c r="J796" s="29" t="s">
        <v>55</v>
      </c>
      <c r="K796" s="30" t="s">
        <v>23</v>
      </c>
      <c r="L796" s="31" t="str">
        <f>IFERROR(__xludf.DUMMYFUNCTION("IF(OR(E796="""",K796=""""),"""",IFERROR(IF(K796="""","""",query('tbl user'!$A$2:$D10975,""SELECT A WHERE D = '""&amp;K796&amp;""'"")),""USER TIDAK DIKETAHUI""))"),"#REF!")</f>
        <v>#REF!</v>
      </c>
    </row>
    <row r="797">
      <c r="A797" s="21">
        <f t="shared" si="1"/>
        <v>0</v>
      </c>
      <c r="B797" s="32" t="s">
        <v>293</v>
      </c>
      <c r="C797" s="23" t="s">
        <v>211</v>
      </c>
      <c r="D797" s="23" t="s">
        <v>58</v>
      </c>
      <c r="E797" s="37">
        <v>45397.0</v>
      </c>
      <c r="F797" s="25">
        <v>0.33819444444444446</v>
      </c>
      <c r="G797" s="25">
        <v>0.6006944444444444</v>
      </c>
      <c r="H797" s="27">
        <f t="shared" si="2"/>
        <v>0.2625</v>
      </c>
      <c r="I797" s="28">
        <v>2.0</v>
      </c>
      <c r="J797" s="29" t="s">
        <v>562</v>
      </c>
      <c r="K797" s="30" t="s">
        <v>23</v>
      </c>
      <c r="L797" s="31" t="str">
        <f>IFERROR(__xludf.DUMMYFUNCTION("IF(OR(E797="""",K797=""""),"""",IFERROR(IF(K797="""","""",query('tbl user'!$A$2:$D10975,""SELECT A WHERE D = '""&amp;K797&amp;""'"")),""USER TIDAK DIKETAHUI""))"),"#REF!")</f>
        <v>#REF!</v>
      </c>
    </row>
    <row r="798">
      <c r="A798" s="21">
        <f t="shared" si="1"/>
        <v>0</v>
      </c>
      <c r="B798" s="32" t="s">
        <v>167</v>
      </c>
      <c r="C798" s="23" t="s">
        <v>168</v>
      </c>
      <c r="D798" s="23" t="s">
        <v>58</v>
      </c>
      <c r="E798" s="37">
        <v>45397.0</v>
      </c>
      <c r="F798" s="25">
        <v>0.2881944444444444</v>
      </c>
      <c r="G798" s="25">
        <v>0.7118055555555556</v>
      </c>
      <c r="H798" s="27">
        <f t="shared" si="2"/>
        <v>0.4236111111</v>
      </c>
      <c r="I798" s="28">
        <v>4.0</v>
      </c>
      <c r="J798" s="29" t="s">
        <v>55</v>
      </c>
      <c r="K798" s="30" t="s">
        <v>23</v>
      </c>
      <c r="L798" s="31" t="str">
        <f>IFERROR(__xludf.DUMMYFUNCTION("IF(OR(E798="""",K798=""""),"""",IFERROR(IF(K798="""","""",query('tbl user'!$A$2:$D10975,""SELECT A WHERE D = '""&amp;K798&amp;""'"")),""USER TIDAK DIKETAHUI""))"),"#REF!")</f>
        <v>#REF!</v>
      </c>
    </row>
    <row r="799">
      <c r="A799" s="21">
        <f t="shared" si="1"/>
        <v>0</v>
      </c>
      <c r="B799" s="32" t="s">
        <v>214</v>
      </c>
      <c r="C799" s="23" t="s">
        <v>170</v>
      </c>
      <c r="D799" s="23" t="s">
        <v>58</v>
      </c>
      <c r="E799" s="37">
        <v>45397.0</v>
      </c>
      <c r="F799" s="25">
        <v>0.28958333333333336</v>
      </c>
      <c r="G799" s="25">
        <v>0.46319444444444446</v>
      </c>
      <c r="H799" s="27">
        <f t="shared" si="2"/>
        <v>0.1736111111</v>
      </c>
      <c r="I799" s="28">
        <v>2.0</v>
      </c>
      <c r="J799" s="29" t="s">
        <v>563</v>
      </c>
      <c r="K799" s="30" t="s">
        <v>23</v>
      </c>
      <c r="L799" s="31" t="str">
        <f>IFERROR(__xludf.DUMMYFUNCTION("IF(OR(E799="""",K799=""""),"""",IFERROR(IF(K799="""","""",query('tbl user'!$A$2:$D10975,""SELECT A WHERE D = '""&amp;K799&amp;""'"")),""USER TIDAK DIKETAHUI""))"),"#REF!")</f>
        <v>#REF!</v>
      </c>
    </row>
    <row r="800">
      <c r="A800" s="21">
        <f t="shared" si="1"/>
        <v>0</v>
      </c>
      <c r="B800" s="32" t="s">
        <v>92</v>
      </c>
      <c r="C800" s="23" t="s">
        <v>93</v>
      </c>
      <c r="D800" s="23" t="s">
        <v>58</v>
      </c>
      <c r="E800" s="37">
        <v>45397.0</v>
      </c>
      <c r="F800" s="25">
        <v>0.21041666666666667</v>
      </c>
      <c r="G800" s="25">
        <v>0.7118055555555556</v>
      </c>
      <c r="H800" s="27">
        <f t="shared" si="2"/>
        <v>0.5013888889</v>
      </c>
      <c r="I800" s="28">
        <v>5.0</v>
      </c>
      <c r="J800" s="29" t="s">
        <v>55</v>
      </c>
      <c r="K800" s="30" t="s">
        <v>23</v>
      </c>
      <c r="L800" s="31" t="str">
        <f>IFERROR(__xludf.DUMMYFUNCTION("IF(OR(E800="""",K800=""""),"""",IFERROR(IF(K800="""","""",query('tbl user'!$A$2:$D10975,""SELECT A WHERE D = '""&amp;K800&amp;""'"")),""USER TIDAK DIKETAHUI""))"),"#REF!")</f>
        <v>#REF!</v>
      </c>
    </row>
    <row r="801">
      <c r="A801" s="21">
        <f t="shared" si="1"/>
        <v>0</v>
      </c>
      <c r="B801" s="32" t="s">
        <v>215</v>
      </c>
      <c r="C801" s="23" t="s">
        <v>176</v>
      </c>
      <c r="D801" s="23" t="s">
        <v>58</v>
      </c>
      <c r="E801" s="37">
        <v>45397.0</v>
      </c>
      <c r="F801" s="25">
        <v>0.27569444444444446</v>
      </c>
      <c r="G801" s="25">
        <v>0.6833333333333333</v>
      </c>
      <c r="H801" s="27">
        <f t="shared" si="2"/>
        <v>0.4076388889</v>
      </c>
      <c r="I801" s="28">
        <v>4.0</v>
      </c>
      <c r="J801" s="29" t="s">
        <v>55</v>
      </c>
      <c r="K801" s="30" t="s">
        <v>23</v>
      </c>
      <c r="L801" s="31" t="str">
        <f>IFERROR(__xludf.DUMMYFUNCTION("IF(OR(E801="""",K801=""""),"""",IFERROR(IF(K801="""","""",query('tbl user'!$A$2:$D10975,""SELECT A WHERE D = '""&amp;K801&amp;""'"")),""USER TIDAK DIKETAHUI""))"),"#REF!")</f>
        <v>#REF!</v>
      </c>
    </row>
    <row r="802">
      <c r="A802" s="21">
        <f t="shared" si="1"/>
        <v>0</v>
      </c>
      <c r="B802" s="32" t="s">
        <v>178</v>
      </c>
      <c r="C802" s="23" t="s">
        <v>82</v>
      </c>
      <c r="D802" s="23" t="s">
        <v>58</v>
      </c>
      <c r="E802" s="37">
        <v>45397.0</v>
      </c>
      <c r="F802" s="25">
        <v>0.27361111111111114</v>
      </c>
      <c r="G802" s="25">
        <v>0.5208333333333334</v>
      </c>
      <c r="H802" s="27">
        <f t="shared" si="2"/>
        <v>0.2472222222</v>
      </c>
      <c r="I802" s="28">
        <v>2.0</v>
      </c>
      <c r="J802" s="29" t="s">
        <v>564</v>
      </c>
      <c r="K802" s="30" t="s">
        <v>23</v>
      </c>
      <c r="L802" s="31" t="str">
        <f>IFERROR(__xludf.DUMMYFUNCTION("IF(OR(E802="""",K802=""""),"""",IFERROR(IF(K802="""","""",query('tbl user'!$A$2:$D10975,""SELECT A WHERE D = '""&amp;K802&amp;""'"")),""USER TIDAK DIKETAHUI""))"),"#REF!")</f>
        <v>#REF!</v>
      </c>
    </row>
    <row r="803">
      <c r="A803" s="21">
        <f t="shared" si="1"/>
        <v>0</v>
      </c>
      <c r="B803" s="32" t="s">
        <v>133</v>
      </c>
      <c r="C803" s="23" t="s">
        <v>181</v>
      </c>
      <c r="D803" s="23" t="s">
        <v>58</v>
      </c>
      <c r="E803" s="37">
        <v>45397.0</v>
      </c>
      <c r="F803" s="25">
        <v>0.24166666666666667</v>
      </c>
      <c r="G803" s="25">
        <v>0.6277777777777778</v>
      </c>
      <c r="H803" s="27">
        <f t="shared" si="2"/>
        <v>0.3861111111</v>
      </c>
      <c r="I803" s="28">
        <v>4.0</v>
      </c>
      <c r="J803" s="29" t="s">
        <v>55</v>
      </c>
      <c r="K803" s="30" t="s">
        <v>23</v>
      </c>
      <c r="L803" s="31" t="str">
        <f>IFERROR(__xludf.DUMMYFUNCTION("IF(OR(E803="""",K803=""""),"""",IFERROR(IF(K803="""","""",query('tbl user'!$A$2:$D10975,""SELECT A WHERE D = '""&amp;K803&amp;""'"")),""USER TIDAK DIKETAHUI""))"),"#REF!")</f>
        <v>#REF!</v>
      </c>
    </row>
    <row r="804">
      <c r="A804" s="21">
        <f t="shared" si="1"/>
        <v>0</v>
      </c>
      <c r="B804" s="32" t="s">
        <v>276</v>
      </c>
      <c r="C804" s="23" t="s">
        <v>183</v>
      </c>
      <c r="D804" s="23" t="s">
        <v>58</v>
      </c>
      <c r="E804" s="37">
        <v>45397.0</v>
      </c>
      <c r="F804" s="25">
        <v>0.3034722222222222</v>
      </c>
      <c r="G804" s="25">
        <v>0.6243055555555556</v>
      </c>
      <c r="H804" s="27">
        <f t="shared" si="2"/>
        <v>0.3208333333</v>
      </c>
      <c r="I804" s="28">
        <v>3.0</v>
      </c>
      <c r="J804" s="29" t="s">
        <v>352</v>
      </c>
      <c r="K804" s="30" t="s">
        <v>23</v>
      </c>
      <c r="L804" s="31" t="str">
        <f>IFERROR(__xludf.DUMMYFUNCTION("IF(OR(E804="""",K804=""""),"""",IFERROR(IF(K804="""","""",query('tbl user'!$A$2:$D10975,""SELECT A WHERE D = '""&amp;K804&amp;""'"")),""USER TIDAK DIKETAHUI""))"),"#REF!")</f>
        <v>#REF!</v>
      </c>
    </row>
    <row r="805">
      <c r="A805" s="21">
        <f t="shared" si="1"/>
        <v>0</v>
      </c>
      <c r="B805" s="32" t="s">
        <v>184</v>
      </c>
      <c r="C805" s="23" t="s">
        <v>185</v>
      </c>
      <c r="D805" s="23" t="s">
        <v>58</v>
      </c>
      <c r="E805" s="37">
        <v>45397.0</v>
      </c>
      <c r="F805" s="25">
        <v>0.26666666666666666</v>
      </c>
      <c r="G805" s="25">
        <v>0.6506944444444445</v>
      </c>
      <c r="H805" s="27">
        <f t="shared" si="2"/>
        <v>0.3840277778</v>
      </c>
      <c r="I805" s="28">
        <v>4.0</v>
      </c>
      <c r="J805" s="29" t="s">
        <v>55</v>
      </c>
      <c r="K805" s="30" t="s">
        <v>23</v>
      </c>
      <c r="L805" s="31" t="str">
        <f>IFERROR(__xludf.DUMMYFUNCTION("IF(OR(E805="""",K805=""""),"""",IFERROR(IF(K805="""","""",query('tbl user'!$A$2:$D10975,""SELECT A WHERE D = '""&amp;K805&amp;""'"")),""USER TIDAK DIKETAHUI""))"),"#REF!")</f>
        <v>#REF!</v>
      </c>
    </row>
    <row r="806">
      <c r="A806" s="21">
        <f t="shared" si="1"/>
        <v>0</v>
      </c>
      <c r="B806" s="32" t="s">
        <v>162</v>
      </c>
      <c r="C806" s="23" t="s">
        <v>190</v>
      </c>
      <c r="D806" s="23" t="s">
        <v>58</v>
      </c>
      <c r="E806" s="37">
        <v>45397.0</v>
      </c>
      <c r="F806" s="25">
        <v>0.2986111111111111</v>
      </c>
      <c r="G806" s="25">
        <v>0.6256944444444444</v>
      </c>
      <c r="H806" s="27">
        <f t="shared" si="2"/>
        <v>0.3270833333</v>
      </c>
      <c r="I806" s="28">
        <v>3.0</v>
      </c>
      <c r="J806" s="29" t="s">
        <v>353</v>
      </c>
      <c r="K806" s="30" t="s">
        <v>23</v>
      </c>
      <c r="L806" s="31" t="str">
        <f>IFERROR(__xludf.DUMMYFUNCTION("IF(OR(E806="""",K806=""""),"""",IFERROR(IF(K806="""","""",query('tbl user'!$A$2:$D10975,""SELECT A WHERE D = '""&amp;K806&amp;""'"")),""USER TIDAK DIKETAHUI""))"),"#REF!")</f>
        <v>#REF!</v>
      </c>
    </row>
    <row r="807">
      <c r="A807" s="21">
        <f t="shared" si="1"/>
        <v>0</v>
      </c>
      <c r="B807" s="32" t="s">
        <v>191</v>
      </c>
      <c r="C807" s="23" t="s">
        <v>192</v>
      </c>
      <c r="D807" s="23" t="s">
        <v>58</v>
      </c>
      <c r="E807" s="37">
        <v>45397.0</v>
      </c>
      <c r="F807" s="25">
        <v>0.27569444444444446</v>
      </c>
      <c r="G807" s="25">
        <v>0.64375</v>
      </c>
      <c r="H807" s="27">
        <f t="shared" si="2"/>
        <v>0.3680555556</v>
      </c>
      <c r="I807" s="28">
        <v>4.0</v>
      </c>
      <c r="J807" s="29" t="s">
        <v>55</v>
      </c>
      <c r="K807" s="30" t="s">
        <v>23</v>
      </c>
      <c r="L807" s="31" t="str">
        <f>IFERROR(__xludf.DUMMYFUNCTION("IF(OR(E807="""",K807=""""),"""",IFERROR(IF(K807="""","""",query('tbl user'!$A$2:$D10975,""SELECT A WHERE D = '""&amp;K807&amp;""'"")),""USER TIDAK DIKETAHUI""))"),"#REF!")</f>
        <v>#REF!</v>
      </c>
    </row>
    <row r="808">
      <c r="A808" s="21">
        <f t="shared" si="1"/>
        <v>0</v>
      </c>
      <c r="B808" s="32" t="s">
        <v>84</v>
      </c>
      <c r="C808" s="23" t="s">
        <v>195</v>
      </c>
      <c r="D808" s="23" t="s">
        <v>58</v>
      </c>
      <c r="E808" s="37">
        <v>45397.0</v>
      </c>
      <c r="F808" s="25">
        <v>0.2638888888888889</v>
      </c>
      <c r="G808" s="25">
        <v>0.6854166666666667</v>
      </c>
      <c r="H808" s="27">
        <f t="shared" si="2"/>
        <v>0.4215277778</v>
      </c>
      <c r="I808" s="28">
        <v>4.0</v>
      </c>
      <c r="J808" s="29" t="s">
        <v>55</v>
      </c>
      <c r="K808" s="30" t="s">
        <v>23</v>
      </c>
      <c r="L808" s="31" t="str">
        <f>IFERROR(__xludf.DUMMYFUNCTION("IF(OR(E808="""",K808=""""),"""",IFERROR(IF(K808="""","""",query('tbl user'!$A$2:$D10975,""SELECT A WHERE D = '""&amp;K808&amp;""'"")),""USER TIDAK DIKETAHUI""))"),"#REF!")</f>
        <v>#REF!</v>
      </c>
    </row>
    <row r="809">
      <c r="A809" s="21">
        <f t="shared" si="1"/>
        <v>0</v>
      </c>
      <c r="B809" s="32" t="s">
        <v>197</v>
      </c>
      <c r="C809" s="23" t="s">
        <v>198</v>
      </c>
      <c r="D809" s="23" t="s">
        <v>58</v>
      </c>
      <c r="E809" s="37">
        <v>45397.0</v>
      </c>
      <c r="F809" s="25">
        <v>0.20902777777777778</v>
      </c>
      <c r="G809" s="25">
        <v>0.6875</v>
      </c>
      <c r="H809" s="27">
        <f t="shared" si="2"/>
        <v>0.4784722222</v>
      </c>
      <c r="I809" s="28">
        <v>5.0</v>
      </c>
      <c r="J809" s="29" t="s">
        <v>55</v>
      </c>
      <c r="K809" s="30" t="s">
        <v>23</v>
      </c>
      <c r="L809" s="31" t="str">
        <f>IFERROR(__xludf.DUMMYFUNCTION("IF(OR(E809="""",K809=""""),"""",IFERROR(IF(K809="""","""",query('tbl user'!$A$2:$D10975,""SELECT A WHERE D = '""&amp;K809&amp;""'"")),""USER TIDAK DIKETAHUI""))"),"#REF!")</f>
        <v>#REF!</v>
      </c>
    </row>
    <row r="810">
      <c r="A810" s="21">
        <f t="shared" si="1"/>
        <v>0</v>
      </c>
      <c r="B810" s="32" t="s">
        <v>127</v>
      </c>
      <c r="C810" s="23" t="s">
        <v>201</v>
      </c>
      <c r="D810" s="23" t="s">
        <v>58</v>
      </c>
      <c r="E810" s="37">
        <v>45397.0</v>
      </c>
      <c r="F810" s="25">
        <v>0.3715277777777778</v>
      </c>
      <c r="G810" s="25">
        <v>0.6923611111111111</v>
      </c>
      <c r="H810" s="27">
        <f t="shared" si="2"/>
        <v>0.3208333333</v>
      </c>
      <c r="I810" s="28">
        <v>3.0</v>
      </c>
      <c r="J810" s="29" t="s">
        <v>565</v>
      </c>
      <c r="K810" s="30" t="s">
        <v>23</v>
      </c>
      <c r="L810" s="31" t="str">
        <f>IFERROR(__xludf.DUMMYFUNCTION("IF(OR(E810="""",K810=""""),"""",IFERROR(IF(K810="""","""",query('tbl user'!$A$2:$D10975,""SELECT A WHERE D = '""&amp;K810&amp;""'"")),""USER TIDAK DIKETAHUI""))"),"#REF!")</f>
        <v>#REF!</v>
      </c>
    </row>
    <row r="811">
      <c r="A811" s="21">
        <f t="shared" si="1"/>
        <v>0</v>
      </c>
      <c r="B811" s="32" t="s">
        <v>104</v>
      </c>
      <c r="C811" s="23" t="s">
        <v>105</v>
      </c>
      <c r="D811" s="23" t="s">
        <v>58</v>
      </c>
      <c r="E811" s="37">
        <v>45397.0</v>
      </c>
      <c r="F811" s="25">
        <v>0.2611111111111111</v>
      </c>
      <c r="G811" s="25">
        <v>0.6319444444444444</v>
      </c>
      <c r="H811" s="27">
        <f t="shared" si="2"/>
        <v>0.3708333333</v>
      </c>
      <c r="I811" s="28">
        <v>3.0</v>
      </c>
      <c r="J811" s="29" t="s">
        <v>566</v>
      </c>
      <c r="K811" s="30" t="s">
        <v>23</v>
      </c>
      <c r="L811" s="31" t="str">
        <f>IFERROR(__xludf.DUMMYFUNCTION("IF(OR(E811="""",K811=""""),"""",IFERROR(IF(K811="""","""",query('tbl user'!$A$2:$D10975,""SELECT A WHERE D = '""&amp;K811&amp;""'"")),""USER TIDAK DIKETAHUI""))"),"#REF!")</f>
        <v>#REF!</v>
      </c>
    </row>
    <row r="812">
      <c r="A812" s="21">
        <f t="shared" si="1"/>
        <v>0</v>
      </c>
      <c r="B812" s="32" t="s">
        <v>209</v>
      </c>
      <c r="C812" s="23" t="s">
        <v>203</v>
      </c>
      <c r="D812" s="23" t="s">
        <v>58</v>
      </c>
      <c r="E812" s="37">
        <v>45397.0</v>
      </c>
      <c r="F812" s="25">
        <v>0.2548611111111111</v>
      </c>
      <c r="G812" s="25">
        <v>0.6395833333333333</v>
      </c>
      <c r="H812" s="27">
        <f t="shared" si="2"/>
        <v>0.3847222222</v>
      </c>
      <c r="I812" s="28">
        <v>4.0</v>
      </c>
      <c r="J812" s="29" t="s">
        <v>55</v>
      </c>
      <c r="K812" s="30" t="s">
        <v>23</v>
      </c>
      <c r="L812" s="31" t="str">
        <f>IFERROR(__xludf.DUMMYFUNCTION("IF(OR(E812="""",K812=""""),"""",IFERROR(IF(K812="""","""",query('tbl user'!$A$2:$D10975,""SELECT A WHERE D = '""&amp;K812&amp;""'"")),""USER TIDAK DIKETAHUI""))"),"#REF!")</f>
        <v>#REF!</v>
      </c>
    </row>
    <row r="813">
      <c r="A813" s="21">
        <f t="shared" si="1"/>
        <v>0</v>
      </c>
      <c r="B813" s="32" t="s">
        <v>120</v>
      </c>
      <c r="C813" s="23" t="s">
        <v>206</v>
      </c>
      <c r="D813" s="23" t="s">
        <v>58</v>
      </c>
      <c r="E813" s="37">
        <v>45397.0</v>
      </c>
      <c r="F813" s="25">
        <v>0.2569444444444444</v>
      </c>
      <c r="G813" s="25">
        <v>0.3611111111111111</v>
      </c>
      <c r="H813" s="27">
        <f t="shared" si="2"/>
        <v>0.1041666667</v>
      </c>
      <c r="I813" s="28">
        <v>1.0</v>
      </c>
      <c r="J813" s="29" t="s">
        <v>567</v>
      </c>
      <c r="K813" s="30" t="s">
        <v>23</v>
      </c>
      <c r="L813" s="31" t="str">
        <f>IFERROR(__xludf.DUMMYFUNCTION("IF(OR(E813="""",K813=""""),"""",IFERROR(IF(K813="""","""",query('tbl user'!$A$2:$D10975,""SELECT A WHERE D = '""&amp;K813&amp;""'"")),""USER TIDAK DIKETAHUI""))"),"#REF!")</f>
        <v>#REF!</v>
      </c>
    </row>
    <row r="814">
      <c r="A814" s="21">
        <f t="shared" si="1"/>
        <v>0</v>
      </c>
      <c r="B814" s="32" t="s">
        <v>224</v>
      </c>
      <c r="C814" s="23" t="s">
        <v>208</v>
      </c>
      <c r="D814" s="23" t="s">
        <v>58</v>
      </c>
      <c r="E814" s="37">
        <v>45397.0</v>
      </c>
      <c r="F814" s="25">
        <v>0.2520833333333333</v>
      </c>
      <c r="G814" s="25">
        <v>0.4861111111111111</v>
      </c>
      <c r="H814" s="27">
        <f t="shared" si="2"/>
        <v>0.2340277778</v>
      </c>
      <c r="I814" s="28">
        <v>2.0</v>
      </c>
      <c r="J814" s="29" t="s">
        <v>568</v>
      </c>
      <c r="K814" s="30" t="s">
        <v>23</v>
      </c>
      <c r="L814" s="31" t="str">
        <f>IFERROR(__xludf.DUMMYFUNCTION("IF(OR(E814="""",K814=""""),"""",IFERROR(IF(K814="""","""",query('tbl user'!$A$2:$D10975,""SELECT A WHERE D = '""&amp;K814&amp;""'"")),""USER TIDAK DIKETAHUI""))"),"#REF!")</f>
        <v>#REF!</v>
      </c>
    </row>
    <row r="815">
      <c r="A815" s="21">
        <f t="shared" si="1"/>
        <v>0</v>
      </c>
      <c r="B815" s="32" t="s">
        <v>267</v>
      </c>
      <c r="C815" s="23" t="s">
        <v>85</v>
      </c>
      <c r="D815" s="23" t="s">
        <v>58</v>
      </c>
      <c r="E815" s="37">
        <v>45397.0</v>
      </c>
      <c r="F815" s="25">
        <v>0.29444444444444445</v>
      </c>
      <c r="G815" s="25">
        <v>0.6805555555555556</v>
      </c>
      <c r="H815" s="27">
        <f t="shared" si="2"/>
        <v>0.3861111111</v>
      </c>
      <c r="I815" s="28">
        <v>2.0</v>
      </c>
      <c r="J815" s="29" t="s">
        <v>352</v>
      </c>
      <c r="K815" s="30" t="s">
        <v>23</v>
      </c>
      <c r="L815" s="31" t="str">
        <f>IFERROR(__xludf.DUMMYFUNCTION("IF(OR(E815="""",K815=""""),"""",IFERROR(IF(K815="""","""",query('tbl user'!$A$2:$D10975,""SELECT A WHERE D = '""&amp;K815&amp;""'"")),""USER TIDAK DIKETAHUI""))"),"#REF!")</f>
        <v>#REF!</v>
      </c>
    </row>
    <row r="816">
      <c r="A816" s="21">
        <f t="shared" si="1"/>
        <v>0</v>
      </c>
      <c r="B816" s="32" t="s">
        <v>246</v>
      </c>
      <c r="C816" s="23" t="s">
        <v>99</v>
      </c>
      <c r="D816" s="23" t="s">
        <v>21</v>
      </c>
      <c r="E816" s="37">
        <v>45397.0</v>
      </c>
      <c r="F816" s="25">
        <v>0.2777777777777778</v>
      </c>
      <c r="G816" s="25">
        <v>0.4708333333333333</v>
      </c>
      <c r="H816" s="27">
        <f t="shared" si="2"/>
        <v>0.1930555556</v>
      </c>
      <c r="I816" s="28">
        <v>1.0</v>
      </c>
      <c r="J816" s="29" t="s">
        <v>569</v>
      </c>
      <c r="K816" s="30" t="s">
        <v>23</v>
      </c>
      <c r="L816" s="31" t="str">
        <f>IFERROR(__xludf.DUMMYFUNCTION("IF(OR(E816="""",K816=""""),"""",IFERROR(IF(K816="""","""",query('tbl user'!$A$2:$D10975,""SELECT A WHERE D = '""&amp;K816&amp;""'"")),""USER TIDAK DIKETAHUI""))"),"#REF!")</f>
        <v>#REF!</v>
      </c>
    </row>
    <row r="817">
      <c r="A817" s="21">
        <f t="shared" si="1"/>
        <v>0</v>
      </c>
      <c r="B817" s="32" t="s">
        <v>24</v>
      </c>
      <c r="C817" s="23" t="s">
        <v>25</v>
      </c>
      <c r="D817" s="23" t="s">
        <v>21</v>
      </c>
      <c r="E817" s="37">
        <v>45397.0</v>
      </c>
      <c r="F817" s="25">
        <v>0.2861111111111111</v>
      </c>
      <c r="G817" s="25">
        <v>0.6048611111111111</v>
      </c>
      <c r="H817" s="27">
        <f t="shared" si="2"/>
        <v>0.31875</v>
      </c>
      <c r="I817" s="28">
        <v>1.0</v>
      </c>
      <c r="J817" s="29" t="s">
        <v>570</v>
      </c>
      <c r="K817" s="30" t="s">
        <v>23</v>
      </c>
      <c r="L817" s="31" t="str">
        <f>IFERROR(__xludf.DUMMYFUNCTION("IF(OR(E817="""",K817=""""),"""",IFERROR(IF(K817="""","""",query('tbl user'!$A$2:$D10975,""SELECT A WHERE D = '""&amp;K817&amp;""'"")),""USER TIDAK DIKETAHUI""))"),"#REF!")</f>
        <v>#REF!</v>
      </c>
    </row>
    <row r="818">
      <c r="A818" s="21">
        <f t="shared" si="1"/>
        <v>0</v>
      </c>
      <c r="B818" s="32" t="s">
        <v>303</v>
      </c>
      <c r="C818" s="23" t="s">
        <v>251</v>
      </c>
      <c r="D818" s="23" t="s">
        <v>21</v>
      </c>
      <c r="E818" s="37">
        <v>45397.0</v>
      </c>
      <c r="F818" s="25">
        <v>0.30416666666666664</v>
      </c>
      <c r="G818" s="25">
        <v>0.5555555555555556</v>
      </c>
      <c r="H818" s="27">
        <f t="shared" si="2"/>
        <v>0.2513888889</v>
      </c>
      <c r="I818" s="28">
        <v>1.0</v>
      </c>
      <c r="J818" s="29" t="s">
        <v>571</v>
      </c>
      <c r="K818" s="30" t="s">
        <v>23</v>
      </c>
      <c r="L818" s="31" t="str">
        <f>IFERROR(__xludf.DUMMYFUNCTION("IF(OR(E818="""",K818=""""),"""",IFERROR(IF(K818="""","""",query('tbl user'!$A$2:$D10975,""SELECT A WHERE D = '""&amp;K818&amp;""'"")),""USER TIDAK DIKETAHUI""))"),"#REF!")</f>
        <v>#REF!</v>
      </c>
    </row>
    <row r="819">
      <c r="A819" s="21">
        <f t="shared" si="1"/>
        <v>0</v>
      </c>
      <c r="B819" s="32" t="s">
        <v>231</v>
      </c>
      <c r="C819" s="23" t="s">
        <v>232</v>
      </c>
      <c r="D819" s="23" t="s">
        <v>21</v>
      </c>
      <c r="E819" s="37">
        <v>45397.0</v>
      </c>
      <c r="F819" s="25">
        <v>0.25625</v>
      </c>
      <c r="G819" s="25">
        <v>0.5208333333333334</v>
      </c>
      <c r="H819" s="27">
        <f t="shared" si="2"/>
        <v>0.2645833333</v>
      </c>
      <c r="I819" s="28">
        <v>1.0</v>
      </c>
      <c r="J819" s="29" t="s">
        <v>572</v>
      </c>
      <c r="K819" s="30" t="s">
        <v>23</v>
      </c>
      <c r="L819" s="31" t="str">
        <f>IFERROR(__xludf.DUMMYFUNCTION("IF(OR(E819="""",K819=""""),"""",IFERROR(IF(K819="""","""",query('tbl user'!$A$2:$D10975,""SELECT A WHERE D = '""&amp;K819&amp;""'"")),""USER TIDAK DIKETAHUI""))"),"#REF!")</f>
        <v>#REF!</v>
      </c>
    </row>
    <row r="820">
      <c r="A820" s="21">
        <f t="shared" si="1"/>
        <v>0</v>
      </c>
      <c r="B820" s="32" t="s">
        <v>253</v>
      </c>
      <c r="C820" s="23" t="s">
        <v>102</v>
      </c>
      <c r="D820" s="23" t="s">
        <v>21</v>
      </c>
      <c r="E820" s="37">
        <v>45397.0</v>
      </c>
      <c r="F820" s="25">
        <v>0.28194444444444444</v>
      </c>
      <c r="G820" s="25">
        <v>0.6486111111111111</v>
      </c>
      <c r="H820" s="27">
        <f t="shared" si="2"/>
        <v>0.3666666667</v>
      </c>
      <c r="I820" s="28">
        <v>1.0</v>
      </c>
      <c r="J820" s="29" t="s">
        <v>573</v>
      </c>
      <c r="K820" s="30" t="s">
        <v>23</v>
      </c>
      <c r="L820" s="31" t="str">
        <f>IFERROR(__xludf.DUMMYFUNCTION("IF(OR(E820="""",K820=""""),"""",IFERROR(IF(K820="""","""",query('tbl user'!$A$2:$D10975,""SELECT A WHERE D = '""&amp;K820&amp;""'"")),""USER TIDAK DIKETAHUI""))"),"#REF!")</f>
        <v>#REF!</v>
      </c>
    </row>
    <row r="821">
      <c r="A821" s="21">
        <f t="shared" si="1"/>
        <v>0</v>
      </c>
      <c r="B821" s="32" t="s">
        <v>175</v>
      </c>
      <c r="C821" s="23" t="s">
        <v>35</v>
      </c>
      <c r="D821" s="23" t="s">
        <v>21</v>
      </c>
      <c r="E821" s="37">
        <v>45397.0</v>
      </c>
      <c r="F821" s="25">
        <v>0.28055555555555556</v>
      </c>
      <c r="G821" s="25">
        <v>0.6347222222222222</v>
      </c>
      <c r="H821" s="27">
        <f t="shared" si="2"/>
        <v>0.3541666667</v>
      </c>
      <c r="I821" s="28">
        <v>2.0</v>
      </c>
      <c r="J821" s="29" t="s">
        <v>574</v>
      </c>
      <c r="K821" s="30" t="s">
        <v>23</v>
      </c>
      <c r="L821" s="31" t="str">
        <f>IFERROR(__xludf.DUMMYFUNCTION("IF(OR(E821="""",K821=""""),"""",IFERROR(IF(K821="""","""",query('tbl user'!$A$2:$D10975,""SELECT A WHERE D = '""&amp;K821&amp;""'"")),""USER TIDAK DIKETAHUI""))"),"#REF!")</f>
        <v>#REF!</v>
      </c>
    </row>
    <row r="822">
      <c r="A822" s="21">
        <f t="shared" si="1"/>
        <v>0</v>
      </c>
      <c r="B822" s="32" t="s">
        <v>101</v>
      </c>
      <c r="C822" s="23" t="s">
        <v>20</v>
      </c>
      <c r="D822" s="23" t="s">
        <v>21</v>
      </c>
      <c r="E822" s="37">
        <v>45397.0</v>
      </c>
      <c r="F822" s="25">
        <v>0.2965277777777778</v>
      </c>
      <c r="G822" s="25">
        <v>0.7069444444444445</v>
      </c>
      <c r="H822" s="27">
        <f t="shared" si="2"/>
        <v>0.4104166667</v>
      </c>
      <c r="I822" s="28">
        <v>2.0</v>
      </c>
      <c r="J822" s="29" t="s">
        <v>574</v>
      </c>
      <c r="K822" s="30" t="s">
        <v>23</v>
      </c>
      <c r="L822" s="31" t="str">
        <f>IFERROR(__xludf.DUMMYFUNCTION("IF(OR(E822="""",K822=""""),"""",IFERROR(IF(K822="""","""",query('tbl user'!$A$2:$D10975,""SELECT A WHERE D = '""&amp;K822&amp;""'"")),""USER TIDAK DIKETAHUI""))"),"#REF!")</f>
        <v>#REF!</v>
      </c>
    </row>
    <row r="823">
      <c r="A823" s="21">
        <f t="shared" si="1"/>
        <v>0</v>
      </c>
      <c r="B823" s="32" t="s">
        <v>43</v>
      </c>
      <c r="C823" s="23" t="s">
        <v>44</v>
      </c>
      <c r="D823" s="23" t="s">
        <v>21</v>
      </c>
      <c r="E823" s="37">
        <v>45397.0</v>
      </c>
      <c r="F823" s="25">
        <v>0.33125</v>
      </c>
      <c r="G823" s="25">
        <v>0.7013888888888888</v>
      </c>
      <c r="H823" s="27">
        <f t="shared" si="2"/>
        <v>0.3701388889</v>
      </c>
      <c r="I823" s="28">
        <v>2.0</v>
      </c>
      <c r="J823" s="29" t="s">
        <v>574</v>
      </c>
      <c r="K823" s="30" t="s">
        <v>23</v>
      </c>
      <c r="L823" s="31" t="str">
        <f>IFERROR(__xludf.DUMMYFUNCTION("IF(OR(E823="""",K823=""""),"""",IFERROR(IF(K823="""","""",query('tbl user'!$A$2:$D10975,""SELECT A WHERE D = '""&amp;K823&amp;""'"")),""USER TIDAK DIKETAHUI""))"),"#REF!")</f>
        <v>#REF!</v>
      </c>
    </row>
    <row r="824">
      <c r="A824" s="21">
        <f t="shared" si="1"/>
        <v>0</v>
      </c>
      <c r="B824" s="32" t="s">
        <v>95</v>
      </c>
      <c r="C824" s="23" t="s">
        <v>234</v>
      </c>
      <c r="D824" s="23" t="s">
        <v>21</v>
      </c>
      <c r="E824" s="37">
        <v>45397.0</v>
      </c>
      <c r="F824" s="25">
        <v>0.32916666666666666</v>
      </c>
      <c r="G824" s="25">
        <v>0.7090277777777778</v>
      </c>
      <c r="H824" s="27">
        <f t="shared" si="2"/>
        <v>0.3798611111</v>
      </c>
      <c r="I824" s="28">
        <v>2.0</v>
      </c>
      <c r="J824" s="29" t="s">
        <v>574</v>
      </c>
      <c r="K824" s="30" t="s">
        <v>23</v>
      </c>
      <c r="L824" s="31" t="str">
        <f>IFERROR(__xludf.DUMMYFUNCTION("IF(OR(E824="""",K824=""""),"""",IFERROR(IF(K824="""","""",query('tbl user'!$A$2:$D10975,""SELECT A WHERE D = '""&amp;K824&amp;""'"")),""USER TIDAK DIKETAHUI""))"),"#REF!")</f>
        <v>#REF!</v>
      </c>
    </row>
    <row r="825">
      <c r="A825" s="21">
        <f t="shared" si="1"/>
        <v>0</v>
      </c>
      <c r="B825" s="32" t="s">
        <v>238</v>
      </c>
      <c r="C825" s="23" t="s">
        <v>236</v>
      </c>
      <c r="D825" s="23" t="s">
        <v>21</v>
      </c>
      <c r="E825" s="37">
        <v>45397.0</v>
      </c>
      <c r="F825" s="25">
        <v>0.33194444444444443</v>
      </c>
      <c r="G825" s="25">
        <v>0.7069444444444445</v>
      </c>
      <c r="H825" s="27">
        <f t="shared" si="2"/>
        <v>0.375</v>
      </c>
      <c r="I825" s="28">
        <v>2.0</v>
      </c>
      <c r="J825" s="29" t="s">
        <v>299</v>
      </c>
      <c r="K825" s="30" t="s">
        <v>23</v>
      </c>
      <c r="L825" s="31" t="str">
        <f>IFERROR(__xludf.DUMMYFUNCTION("IF(OR(E825="""",K825=""""),"""",IFERROR(IF(K825="""","""",query('tbl user'!$A$2:$D10975,""SELECT A WHERE D = '""&amp;K825&amp;""'"")),""USER TIDAK DIKETAHUI""))"),"#REF!")</f>
        <v>#REF!</v>
      </c>
    </row>
    <row r="826">
      <c r="A826" s="21">
        <f t="shared" si="1"/>
        <v>0</v>
      </c>
      <c r="B826" s="32" t="s">
        <v>258</v>
      </c>
      <c r="C826" s="23" t="s">
        <v>259</v>
      </c>
      <c r="D826" s="23" t="s">
        <v>21</v>
      </c>
      <c r="E826" s="37">
        <v>45397.0</v>
      </c>
      <c r="F826" s="25">
        <v>0.2701388888888889</v>
      </c>
      <c r="G826" s="25">
        <v>0.5604166666666667</v>
      </c>
      <c r="H826" s="27">
        <f t="shared" si="2"/>
        <v>0.2902777778</v>
      </c>
      <c r="I826" s="28">
        <v>2.0</v>
      </c>
      <c r="J826" s="29" t="s">
        <v>575</v>
      </c>
      <c r="K826" s="30" t="s">
        <v>23</v>
      </c>
      <c r="L826" s="31" t="str">
        <f>IFERROR(__xludf.DUMMYFUNCTION("IF(OR(E826="""",K826=""""),"""",IFERROR(IF(K826="""","""",query('tbl user'!$A$2:$D10975,""SELECT A WHERE D = '""&amp;K826&amp;""'"")),""USER TIDAK DIKETAHUI""))"),"#REF!")</f>
        <v>#REF!</v>
      </c>
    </row>
    <row r="827">
      <c r="A827" s="21">
        <f t="shared" si="1"/>
        <v>0</v>
      </c>
      <c r="B827" s="32" t="s">
        <v>240</v>
      </c>
      <c r="C827" s="23" t="s">
        <v>241</v>
      </c>
      <c r="D827" s="23" t="s">
        <v>21</v>
      </c>
      <c r="E827" s="37">
        <v>45397.0</v>
      </c>
      <c r="F827" s="25">
        <v>0.2111111111111111</v>
      </c>
      <c r="G827" s="25">
        <v>0.6833333333333333</v>
      </c>
      <c r="H827" s="27">
        <f t="shared" si="2"/>
        <v>0.4722222222</v>
      </c>
      <c r="I827" s="28">
        <v>3.0</v>
      </c>
      <c r="J827" s="29" t="s">
        <v>55</v>
      </c>
      <c r="K827" s="30" t="s">
        <v>23</v>
      </c>
      <c r="L827" s="31" t="str">
        <f>IFERROR(__xludf.DUMMYFUNCTION("IF(OR(E827="""",K827=""""),"""",IFERROR(IF(K827="""","""",query('tbl user'!$A$2:$D10975,""SELECT A WHERE D = '""&amp;K827&amp;""'"")),""USER TIDAK DIKETAHUI""))"),"#REF!")</f>
        <v>#REF!</v>
      </c>
    </row>
    <row r="828">
      <c r="A828" s="21">
        <f t="shared" si="1"/>
        <v>0</v>
      </c>
      <c r="B828" s="32" t="s">
        <v>243</v>
      </c>
      <c r="C828" s="23" t="s">
        <v>244</v>
      </c>
      <c r="D828" s="23" t="s">
        <v>21</v>
      </c>
      <c r="E828" s="37">
        <v>45397.0</v>
      </c>
      <c r="F828" s="25">
        <v>0.2361111111111111</v>
      </c>
      <c r="G828" s="25">
        <v>0.7270833333333333</v>
      </c>
      <c r="H828" s="27">
        <f t="shared" si="2"/>
        <v>0.4909722222</v>
      </c>
      <c r="I828" s="28">
        <v>3.0</v>
      </c>
      <c r="J828" s="29" t="s">
        <v>55</v>
      </c>
      <c r="K828" s="30" t="s">
        <v>23</v>
      </c>
      <c r="L828" s="31" t="str">
        <f>IFERROR(__xludf.DUMMYFUNCTION("IF(OR(E828="""",K828=""""),"""",IFERROR(IF(K828="""","""",query('tbl user'!$A$2:$D10975,""SELECT A WHERE D = '""&amp;K828&amp;""'"")),""USER TIDAK DIKETAHUI""))"),"#REF!")</f>
        <v>#REF!</v>
      </c>
    </row>
    <row r="829">
      <c r="A829" s="21">
        <f t="shared" si="1"/>
        <v>0</v>
      </c>
      <c r="B829" s="32" t="s">
        <v>305</v>
      </c>
      <c r="C829" s="23" t="s">
        <v>306</v>
      </c>
      <c r="D829" s="23" t="s">
        <v>21</v>
      </c>
      <c r="E829" s="37">
        <v>45397.0</v>
      </c>
      <c r="F829" s="25">
        <v>0.21736111111111112</v>
      </c>
      <c r="G829" s="25">
        <v>0.7368055555555556</v>
      </c>
      <c r="H829" s="27">
        <f t="shared" si="2"/>
        <v>0.5194444444</v>
      </c>
      <c r="I829" s="28">
        <v>3.0</v>
      </c>
      <c r="J829" s="29" t="s">
        <v>55</v>
      </c>
      <c r="K829" s="30" t="s">
        <v>23</v>
      </c>
      <c r="L829" s="31" t="str">
        <f>IFERROR(__xludf.DUMMYFUNCTION("IF(OR(E829="""",K829=""""),"""",IFERROR(IF(K829="""","""",query('tbl user'!$A$2:$D10975,""SELECT A WHERE D = '""&amp;K829&amp;""'"")),""USER TIDAK DIKETAHUI""))"),"#REF!")</f>
        <v>#REF!</v>
      </c>
    </row>
    <row r="830">
      <c r="A830" s="21">
        <f t="shared" si="1"/>
        <v>0</v>
      </c>
      <c r="B830" s="32" t="s">
        <v>255</v>
      </c>
      <c r="C830" s="23" t="s">
        <v>256</v>
      </c>
      <c r="D830" s="23" t="s">
        <v>21</v>
      </c>
      <c r="E830" s="37">
        <v>45397.0</v>
      </c>
      <c r="F830" s="25">
        <v>0.21319444444444444</v>
      </c>
      <c r="G830" s="25">
        <v>0.6854166666666667</v>
      </c>
      <c r="H830" s="27">
        <f t="shared" si="2"/>
        <v>0.4722222222</v>
      </c>
      <c r="I830" s="28">
        <v>3.0</v>
      </c>
      <c r="J830" s="29" t="s">
        <v>55</v>
      </c>
      <c r="K830" s="30" t="s">
        <v>23</v>
      </c>
      <c r="L830" s="31" t="str">
        <f>IFERROR(__xludf.DUMMYFUNCTION("IF(OR(E830="""",K830=""""),"""",IFERROR(IF(K830="""","""",query('tbl user'!$A$2:$D10975,""SELECT A WHERE D = '""&amp;K830&amp;""'"")),""USER TIDAK DIKETAHUI""))"),"#REF!")</f>
        <v>#REF!</v>
      </c>
    </row>
    <row r="831">
      <c r="A831" s="21">
        <f t="shared" si="1"/>
        <v>0</v>
      </c>
      <c r="B831" s="32" t="s">
        <v>284</v>
      </c>
      <c r="C831" s="23" t="s">
        <v>285</v>
      </c>
      <c r="D831" s="23" t="s">
        <v>21</v>
      </c>
      <c r="E831" s="37">
        <v>45397.0</v>
      </c>
      <c r="F831" s="25">
        <v>0.3958333333333333</v>
      </c>
      <c r="G831" s="25">
        <v>0.5645833333333333</v>
      </c>
      <c r="H831" s="27">
        <f t="shared" si="2"/>
        <v>0.16875</v>
      </c>
      <c r="I831" s="28">
        <v>1.0</v>
      </c>
      <c r="J831" s="29" t="s">
        <v>576</v>
      </c>
      <c r="K831" s="30" t="s">
        <v>23</v>
      </c>
      <c r="L831" s="31" t="str">
        <f>IFERROR(__xludf.DUMMYFUNCTION("IF(OR(E831="""",K831=""""),"""",IFERROR(IF(K831="""","""",query('tbl user'!$A$2:$D10975,""SELECT A WHERE D = '""&amp;K831&amp;""'"")),""USER TIDAK DIKETAHUI""))"),"#REF!")</f>
        <v>#REF!</v>
      </c>
    </row>
    <row r="832">
      <c r="A832" s="21">
        <f t="shared" si="1"/>
        <v>0</v>
      </c>
      <c r="B832" s="32" t="s">
        <v>281</v>
      </c>
      <c r="C832" s="23" t="s">
        <v>282</v>
      </c>
      <c r="D832" s="23" t="s">
        <v>21</v>
      </c>
      <c r="E832" s="37">
        <v>45397.0</v>
      </c>
      <c r="F832" s="25">
        <v>0.30069444444444443</v>
      </c>
      <c r="G832" s="25">
        <v>0.5881944444444445</v>
      </c>
      <c r="H832" s="27">
        <f t="shared" si="2"/>
        <v>0.2875</v>
      </c>
      <c r="I832" s="28">
        <v>2.0</v>
      </c>
      <c r="J832" s="29" t="s">
        <v>352</v>
      </c>
      <c r="K832" s="30" t="s">
        <v>23</v>
      </c>
      <c r="L832" s="31" t="str">
        <f>IFERROR(__xludf.DUMMYFUNCTION("IF(OR(E832="""",K832=""""),"""",IFERROR(IF(K832="""","""",query('tbl user'!$A$2:$D10975,""SELECT A WHERE D = '""&amp;K832&amp;""'"")),""USER TIDAK DIKETAHUI""))"),"#REF!")</f>
        <v>#REF!</v>
      </c>
    </row>
    <row r="833">
      <c r="A833" s="21">
        <f t="shared" si="1"/>
        <v>0</v>
      </c>
      <c r="B833" s="32" t="s">
        <v>101</v>
      </c>
      <c r="C833" s="23" t="s">
        <v>38</v>
      </c>
      <c r="D833" s="23" t="s">
        <v>21</v>
      </c>
      <c r="E833" s="37">
        <v>45397.0</v>
      </c>
      <c r="F833" s="25">
        <v>0.275</v>
      </c>
      <c r="G833" s="25">
        <v>0.6611111111111111</v>
      </c>
      <c r="H833" s="27">
        <f t="shared" si="2"/>
        <v>0.3861111111</v>
      </c>
      <c r="I833" s="28">
        <v>3.0</v>
      </c>
      <c r="J833" s="29" t="s">
        <v>352</v>
      </c>
      <c r="K833" s="30" t="s">
        <v>23</v>
      </c>
      <c r="L833" s="31" t="str">
        <f>IFERROR(__xludf.DUMMYFUNCTION("IF(OR(E833="""",K833=""""),"""",IFERROR(IF(K833="""","""",query('tbl user'!$A$2:$D10975,""SELECT A WHERE D = '""&amp;K833&amp;""'"")),""USER TIDAK DIKETAHUI""))"),"#REF!")</f>
        <v>#REF!</v>
      </c>
    </row>
    <row r="834">
      <c r="A834" s="21">
        <f t="shared" si="1"/>
        <v>0</v>
      </c>
      <c r="B834" s="32" t="s">
        <v>61</v>
      </c>
      <c r="C834" s="23" t="s">
        <v>62</v>
      </c>
      <c r="D834" s="23" t="s">
        <v>21</v>
      </c>
      <c r="E834" s="37">
        <v>45397.0</v>
      </c>
      <c r="F834" s="25">
        <v>0.26666666666666666</v>
      </c>
      <c r="G834" s="25">
        <v>0.6423611111111112</v>
      </c>
      <c r="H834" s="27">
        <f t="shared" si="2"/>
        <v>0.3756944444</v>
      </c>
      <c r="I834" s="28">
        <v>3.0</v>
      </c>
      <c r="J834" s="29" t="s">
        <v>352</v>
      </c>
      <c r="K834" s="30" t="s">
        <v>23</v>
      </c>
      <c r="L834" s="31" t="str">
        <f>IFERROR(__xludf.DUMMYFUNCTION("IF(OR(E834="""",K834=""""),"""",IFERROR(IF(K834="""","""",query('tbl user'!$A$2:$D10975,""SELECT A WHERE D = '""&amp;K834&amp;""'"")),""USER TIDAK DIKETAHUI""))"),"#REF!")</f>
        <v>#REF!</v>
      </c>
    </row>
    <row r="835">
      <c r="A835" s="21">
        <f t="shared" si="1"/>
        <v>0</v>
      </c>
      <c r="B835" s="32" t="s">
        <v>64</v>
      </c>
      <c r="C835" s="23" t="s">
        <v>65</v>
      </c>
      <c r="D835" s="23" t="s">
        <v>21</v>
      </c>
      <c r="E835" s="37">
        <v>45397.0</v>
      </c>
      <c r="F835" s="25">
        <v>0.28402777777777777</v>
      </c>
      <c r="G835" s="25">
        <v>0.6673611111111111</v>
      </c>
      <c r="H835" s="27">
        <f t="shared" si="2"/>
        <v>0.3833333333</v>
      </c>
      <c r="I835" s="28">
        <v>3.0</v>
      </c>
      <c r="J835" s="29" t="s">
        <v>352</v>
      </c>
      <c r="K835" s="30" t="s">
        <v>23</v>
      </c>
      <c r="L835" s="31" t="str">
        <f>IFERROR(__xludf.DUMMYFUNCTION("IF(OR(E835="""",K835=""""),"""",IFERROR(IF(K835="""","""",query('tbl user'!$A$2:$D10975,""SELECT A WHERE D = '""&amp;K835&amp;""'"")),""USER TIDAK DIKETAHUI""))"),"#REF!")</f>
        <v>#REF!</v>
      </c>
    </row>
    <row r="836">
      <c r="A836" s="21">
        <f t="shared" si="1"/>
        <v>0</v>
      </c>
      <c r="B836" s="32" t="s">
        <v>577</v>
      </c>
      <c r="C836" s="23" t="s">
        <v>330</v>
      </c>
      <c r="D836" s="23" t="s">
        <v>21</v>
      </c>
      <c r="E836" s="37">
        <v>45397.0</v>
      </c>
      <c r="F836" s="25">
        <v>0.29097222222222224</v>
      </c>
      <c r="G836" s="25">
        <v>0.6673611111111111</v>
      </c>
      <c r="H836" s="27">
        <f t="shared" si="2"/>
        <v>0.3763888889</v>
      </c>
      <c r="I836" s="28">
        <v>3.0</v>
      </c>
      <c r="J836" s="29" t="s">
        <v>578</v>
      </c>
      <c r="K836" s="30" t="s">
        <v>23</v>
      </c>
      <c r="L836" s="31" t="str">
        <f>IFERROR(__xludf.DUMMYFUNCTION("IF(OR(E836="""",K836=""""),"""",IFERROR(IF(K836="""","""",query('tbl user'!$A$2:$D10975,""SELECT A WHERE D = '""&amp;K836&amp;""'"")),""USER TIDAK DIKETAHUI""))"),"#REF!")</f>
        <v>#REF!</v>
      </c>
    </row>
    <row r="837">
      <c r="A837" s="21">
        <f t="shared" si="1"/>
        <v>0</v>
      </c>
      <c r="B837" s="32" t="s">
        <v>172</v>
      </c>
      <c r="C837" s="23" t="s">
        <v>336</v>
      </c>
      <c r="D837" s="23" t="s">
        <v>21</v>
      </c>
      <c r="E837" s="37">
        <v>45397.0</v>
      </c>
      <c r="F837" s="25">
        <v>0.3347222222222222</v>
      </c>
      <c r="G837" s="25">
        <v>0.7194444444444444</v>
      </c>
      <c r="H837" s="27">
        <f t="shared" si="2"/>
        <v>0.3847222222</v>
      </c>
      <c r="I837" s="28">
        <v>5.0</v>
      </c>
      <c r="J837" s="29" t="s">
        <v>579</v>
      </c>
      <c r="K837" s="30" t="s">
        <v>23</v>
      </c>
      <c r="L837" s="31" t="str">
        <f>IFERROR(__xludf.DUMMYFUNCTION("IF(OR(E837="""",K837=""""),"""",IFERROR(IF(K837="""","""",query('tbl user'!$A$2:$D10975,""SELECT A WHERE D = '""&amp;K837&amp;""'"")),""USER TIDAK DIKETAHUI""))"),"#REF!")</f>
        <v>#REF!</v>
      </c>
    </row>
    <row r="838">
      <c r="A838" s="21">
        <f t="shared" si="1"/>
        <v>0</v>
      </c>
      <c r="B838" s="32" t="s">
        <v>229</v>
      </c>
      <c r="C838" s="23" t="s">
        <v>339</v>
      </c>
      <c r="D838" s="23" t="s">
        <v>21</v>
      </c>
      <c r="E838" s="37">
        <v>45397.0</v>
      </c>
      <c r="F838" s="25">
        <v>0.2902777777777778</v>
      </c>
      <c r="G838" s="25">
        <v>0.7208333333333333</v>
      </c>
      <c r="H838" s="27">
        <f t="shared" si="2"/>
        <v>0.4305555556</v>
      </c>
      <c r="I838" s="28">
        <v>6.0</v>
      </c>
      <c r="J838" s="29" t="s">
        <v>55</v>
      </c>
      <c r="K838" s="30" t="s">
        <v>23</v>
      </c>
      <c r="L838" s="31" t="str">
        <f>IFERROR(__xludf.DUMMYFUNCTION("IF(OR(E838="""",K838=""""),"""",IFERROR(IF(K838="""","""",query('tbl user'!$A$2:$D10975,""SELECT A WHERE D = '""&amp;K838&amp;""'"")),""USER TIDAK DIKETAHUI""))"),"#REF!")</f>
        <v>#REF!</v>
      </c>
    </row>
    <row r="839">
      <c r="A839" s="21">
        <f t="shared" si="1"/>
        <v>0</v>
      </c>
      <c r="B839" s="32" t="s">
        <v>333</v>
      </c>
      <c r="C839" s="23" t="s">
        <v>334</v>
      </c>
      <c r="D839" s="23" t="s">
        <v>21</v>
      </c>
      <c r="E839" s="37">
        <v>45397.0</v>
      </c>
      <c r="F839" s="25">
        <v>0.2777777777777778</v>
      </c>
      <c r="G839" s="33">
        <v>0.7208333333333333</v>
      </c>
      <c r="H839" s="27">
        <f t="shared" si="2"/>
        <v>0.4430555556</v>
      </c>
      <c r="I839" s="28">
        <v>6.0</v>
      </c>
      <c r="J839" s="29" t="s">
        <v>55</v>
      </c>
      <c r="K839" s="30" t="s">
        <v>23</v>
      </c>
      <c r="L839" s="31" t="str">
        <f>IFERROR(__xludf.DUMMYFUNCTION("IF(OR(E839="""",K839=""""),"""",IFERROR(IF(K839="""","""",query('tbl user'!$A$2:$D10975,""SELECT A WHERE D = '""&amp;K839&amp;""'"")),""USER TIDAK DIKETAHUI""))"),"#REF!")</f>
        <v>#REF!</v>
      </c>
    </row>
    <row r="840">
      <c r="A840" s="21">
        <f t="shared" si="1"/>
        <v>0</v>
      </c>
      <c r="B840" s="32" t="s">
        <v>220</v>
      </c>
      <c r="C840" s="23" t="s">
        <v>316</v>
      </c>
      <c r="D840" s="23" t="s">
        <v>21</v>
      </c>
      <c r="E840" s="37">
        <v>45397.0</v>
      </c>
      <c r="F840" s="25">
        <v>0.22916666666666666</v>
      </c>
      <c r="G840" s="25">
        <v>0.6847222222222222</v>
      </c>
      <c r="H840" s="27">
        <f t="shared" si="2"/>
        <v>0.4555555556</v>
      </c>
      <c r="I840" s="28">
        <v>6.0</v>
      </c>
      <c r="J840" s="29" t="s">
        <v>55</v>
      </c>
      <c r="K840" s="30" t="s">
        <v>23</v>
      </c>
      <c r="L840" s="31" t="str">
        <f>IFERROR(__xludf.DUMMYFUNCTION("IF(OR(E840="""",K840=""""),"""",IFERROR(IF(K840="""","""",query('tbl user'!$A$2:$D10975,""SELECT A WHERE D = '""&amp;K840&amp;""'"")),""USER TIDAK DIKETAHUI""))"),"#REF!")</f>
        <v>#REF!</v>
      </c>
    </row>
    <row r="841">
      <c r="A841" s="21">
        <f t="shared" si="1"/>
        <v>0</v>
      </c>
      <c r="B841" s="32" t="s">
        <v>78</v>
      </c>
      <c r="C841" s="23" t="s">
        <v>340</v>
      </c>
      <c r="D841" s="23" t="s">
        <v>21</v>
      </c>
      <c r="E841" s="37">
        <v>45397.0</v>
      </c>
      <c r="F841" s="25">
        <v>0.26805555555555555</v>
      </c>
      <c r="G841" s="25">
        <v>0.7131944444444445</v>
      </c>
      <c r="H841" s="27">
        <f t="shared" si="2"/>
        <v>0.4451388889</v>
      </c>
      <c r="I841" s="28">
        <v>6.0</v>
      </c>
      <c r="J841" s="29" t="s">
        <v>55</v>
      </c>
      <c r="K841" s="30" t="s">
        <v>23</v>
      </c>
      <c r="L841" s="31" t="str">
        <f>IFERROR(__xludf.DUMMYFUNCTION("IF(OR(E841="""",K841=""""),"""",IFERROR(IF(K841="""","""",query('tbl user'!$A$2:$D10975,""SELECT A WHERE D = '""&amp;K841&amp;""'"")),""USER TIDAK DIKETAHUI""))"),"#REF!")</f>
        <v>#REF!</v>
      </c>
    </row>
    <row r="842">
      <c r="A842" s="21">
        <f t="shared" si="1"/>
        <v>0</v>
      </c>
      <c r="B842" s="32" t="s">
        <v>423</v>
      </c>
      <c r="C842" s="23" t="s">
        <v>329</v>
      </c>
      <c r="D842" s="23" t="s">
        <v>21</v>
      </c>
      <c r="E842" s="37">
        <v>45397.0</v>
      </c>
      <c r="F842" s="25">
        <v>0.29375</v>
      </c>
      <c r="G842" s="25">
        <v>0.7423611111111111</v>
      </c>
      <c r="H842" s="27">
        <f t="shared" si="2"/>
        <v>0.4486111111</v>
      </c>
      <c r="I842" s="28">
        <v>6.0</v>
      </c>
      <c r="J842" s="29" t="s">
        <v>55</v>
      </c>
      <c r="K842" s="30" t="s">
        <v>23</v>
      </c>
      <c r="L842" s="31" t="str">
        <f>IFERROR(__xludf.DUMMYFUNCTION("IF(OR(E842="""",K842=""""),"""",IFERROR(IF(K842="""","""",query('tbl user'!$A$2:$D10975,""SELECT A WHERE D = '""&amp;K842&amp;""'"")),""USER TIDAK DIKETAHUI""))"),"#REF!")</f>
        <v>#REF!</v>
      </c>
    </row>
    <row r="843">
      <c r="A843" s="21">
        <f t="shared" si="1"/>
        <v>0</v>
      </c>
      <c r="B843" s="32" t="s">
        <v>53</v>
      </c>
      <c r="C843" s="23" t="s">
        <v>54</v>
      </c>
      <c r="D843" s="23" t="s">
        <v>21</v>
      </c>
      <c r="E843" s="37">
        <v>45397.0</v>
      </c>
      <c r="F843" s="25">
        <v>0.23402777777777778</v>
      </c>
      <c r="G843" s="25">
        <v>0.6895833333333333</v>
      </c>
      <c r="H843" s="27">
        <f t="shared" si="2"/>
        <v>0.4555555556</v>
      </c>
      <c r="I843" s="28">
        <v>6.0</v>
      </c>
      <c r="J843" s="29" t="s">
        <v>55</v>
      </c>
      <c r="K843" s="30" t="s">
        <v>23</v>
      </c>
      <c r="L843" s="31" t="str">
        <f>IFERROR(__xludf.DUMMYFUNCTION("IF(OR(E843="""",K843=""""),"""",IFERROR(IF(K843="""","""",query('tbl user'!$A$2:$D10975,""SELECT A WHERE D = '""&amp;K843&amp;""'"")),""USER TIDAK DIKETAHUI""))"),"#REF!")</f>
        <v>#REF!</v>
      </c>
    </row>
    <row r="844">
      <c r="A844" s="21">
        <f t="shared" si="1"/>
        <v>0</v>
      </c>
      <c r="B844" s="32" t="s">
        <v>337</v>
      </c>
      <c r="C844" s="23" t="s">
        <v>338</v>
      </c>
      <c r="D844" s="23" t="s">
        <v>21</v>
      </c>
      <c r="E844" s="37">
        <v>45397.0</v>
      </c>
      <c r="F844" s="25">
        <v>0.2361111111111111</v>
      </c>
      <c r="G844" s="25">
        <v>0.6881944444444444</v>
      </c>
      <c r="H844" s="27">
        <f t="shared" si="2"/>
        <v>0.4520833333</v>
      </c>
      <c r="I844" s="28">
        <v>6.0</v>
      </c>
      <c r="J844" s="29" t="s">
        <v>55</v>
      </c>
      <c r="K844" s="30" t="s">
        <v>23</v>
      </c>
      <c r="L844" s="31" t="str">
        <f>IFERROR(__xludf.DUMMYFUNCTION("IF(OR(E844="""",K844=""""),"""",IFERROR(IF(K844="""","""",query('tbl user'!$A$2:$D10975,""SELECT A WHERE D = '""&amp;K844&amp;""'"")),""USER TIDAK DIKETAHUI""))"),"#REF!")</f>
        <v>#REF!</v>
      </c>
    </row>
    <row r="845">
      <c r="A845" s="21">
        <f t="shared" si="1"/>
        <v>0</v>
      </c>
      <c r="B845" s="32" t="s">
        <v>139</v>
      </c>
      <c r="C845" s="23" t="s">
        <v>323</v>
      </c>
      <c r="D845" s="23" t="s">
        <v>21</v>
      </c>
      <c r="E845" s="37">
        <v>45397.0</v>
      </c>
      <c r="F845" s="25">
        <v>0.29791666666666666</v>
      </c>
      <c r="G845" s="25">
        <v>0.7604166666666666</v>
      </c>
      <c r="H845" s="27">
        <f t="shared" si="2"/>
        <v>0.4625</v>
      </c>
      <c r="I845" s="28">
        <v>6.0</v>
      </c>
      <c r="J845" s="29" t="s">
        <v>55</v>
      </c>
      <c r="K845" s="30" t="s">
        <v>23</v>
      </c>
      <c r="L845" s="31" t="str">
        <f>IFERROR(__xludf.DUMMYFUNCTION("IF(OR(E845="""",K845=""""),"""",IFERROR(IF(K845="""","""",query('tbl user'!$A$2:$D10975,""SELECT A WHERE D = '""&amp;K845&amp;""'"")),""USER TIDAK DIKETAHUI""))"),"#REF!")</f>
        <v>#REF!</v>
      </c>
    </row>
    <row r="846">
      <c r="A846" s="21" t="str">
        <f t="shared" si="1"/>
        <v/>
      </c>
      <c r="B846" s="35"/>
      <c r="C846" s="23" t="s">
        <v>128</v>
      </c>
      <c r="D846" s="23" t="s">
        <v>32</v>
      </c>
      <c r="E846" s="37">
        <v>45397.0</v>
      </c>
      <c r="F846" s="25">
        <v>0.4076388888888889</v>
      </c>
      <c r="G846" s="25">
        <v>0.4305555555555556</v>
      </c>
      <c r="H846" s="27">
        <f t="shared" si="2"/>
        <v>0.02291666667</v>
      </c>
      <c r="I846" s="28">
        <v>0.0</v>
      </c>
      <c r="J846" s="29" t="s">
        <v>580</v>
      </c>
      <c r="K846" s="30" t="s">
        <v>23</v>
      </c>
      <c r="L846" s="31" t="str">
        <f>IFERROR(__xludf.DUMMYFUNCTION("IF(OR(E846="""",K846=""""),"""",IFERROR(IF(K846="""","""",query('tbl user'!$A$2:$D10975,""SELECT A WHERE D = '""&amp;K846&amp;""'"")),""USER TIDAK DIKETAHUI""))"),"#REF!")</f>
        <v>#REF!</v>
      </c>
    </row>
    <row r="847">
      <c r="A847" s="21">
        <f t="shared" si="1"/>
        <v>0</v>
      </c>
      <c r="B847" s="32" t="s">
        <v>75</v>
      </c>
      <c r="C847" s="23" t="s">
        <v>76</v>
      </c>
      <c r="D847" s="23" t="s">
        <v>32</v>
      </c>
      <c r="E847" s="37">
        <v>45397.0</v>
      </c>
      <c r="F847" s="25">
        <v>0.3194444444444444</v>
      </c>
      <c r="G847" s="25">
        <v>0.5694444444444444</v>
      </c>
      <c r="H847" s="27">
        <f t="shared" si="2"/>
        <v>0.25</v>
      </c>
      <c r="I847" s="28">
        <v>2.0</v>
      </c>
      <c r="J847" s="29" t="s">
        <v>581</v>
      </c>
      <c r="K847" s="30" t="s">
        <v>23</v>
      </c>
      <c r="L847" s="31" t="str">
        <f>IFERROR(__xludf.DUMMYFUNCTION("IF(OR(E847="""",K847=""""),"""",IFERROR(IF(K847="""","""",query('tbl user'!$A$2:$D10975,""SELECT A WHERE D = '""&amp;K847&amp;""'"")),""USER TIDAK DIKETAHUI""))"),"#REF!")</f>
        <v>#REF!</v>
      </c>
    </row>
    <row r="848">
      <c r="A848" s="21">
        <f t="shared" si="1"/>
        <v>0</v>
      </c>
      <c r="B848" s="32" t="s">
        <v>40</v>
      </c>
      <c r="C848" s="23" t="s">
        <v>41</v>
      </c>
      <c r="D848" s="23" t="s">
        <v>32</v>
      </c>
      <c r="E848" s="37">
        <v>45397.0</v>
      </c>
      <c r="F848" s="25">
        <v>0.29305555555555557</v>
      </c>
      <c r="G848" s="25">
        <v>0.5506944444444445</v>
      </c>
      <c r="H848" s="27">
        <f t="shared" si="2"/>
        <v>0.2576388889</v>
      </c>
      <c r="I848" s="28">
        <v>3.0</v>
      </c>
      <c r="J848" s="29" t="s">
        <v>582</v>
      </c>
      <c r="K848" s="30" t="s">
        <v>23</v>
      </c>
      <c r="L848" s="31" t="str">
        <f>IFERROR(__xludf.DUMMYFUNCTION("IF(OR(E848="""",K848=""""),"""",IFERROR(IF(K848="""","""",query('tbl user'!$A$2:$D10975,""SELECT A WHERE D = '""&amp;K848&amp;""'"")),""USER TIDAK DIKETAHUI""))"),"#REF!")</f>
        <v>#REF!</v>
      </c>
    </row>
    <row r="849">
      <c r="A849" s="21">
        <f t="shared" si="1"/>
        <v>0</v>
      </c>
      <c r="B849" s="32" t="s">
        <v>146</v>
      </c>
      <c r="C849" s="23" t="s">
        <v>147</v>
      </c>
      <c r="D849" s="23" t="s">
        <v>32</v>
      </c>
      <c r="E849" s="37">
        <v>45397.0</v>
      </c>
      <c r="F849" s="25">
        <v>0.2777777777777778</v>
      </c>
      <c r="G849" s="25">
        <v>0.6458333333333334</v>
      </c>
      <c r="H849" s="27">
        <f t="shared" si="2"/>
        <v>0.3680555556</v>
      </c>
      <c r="I849" s="28">
        <v>3.0</v>
      </c>
      <c r="J849" s="29" t="s">
        <v>583</v>
      </c>
      <c r="K849" s="30" t="s">
        <v>23</v>
      </c>
      <c r="L849" s="31" t="str">
        <f>IFERROR(__xludf.DUMMYFUNCTION("IF(OR(E849="""",K849=""""),"""",IFERROR(IF(K849="""","""",query('tbl user'!$A$2:$D10975,""SELECT A WHERE D = '""&amp;K849&amp;""'"")),""USER TIDAK DIKETAHUI""))"),"#REF!")</f>
        <v>#REF!</v>
      </c>
    </row>
    <row r="850">
      <c r="A850" s="21">
        <f t="shared" si="1"/>
        <v>0</v>
      </c>
      <c r="B850" s="32" t="s">
        <v>412</v>
      </c>
      <c r="C850" s="23" t="s">
        <v>413</v>
      </c>
      <c r="D850" s="23" t="s">
        <v>32</v>
      </c>
      <c r="E850" s="37">
        <v>45397.0</v>
      </c>
      <c r="F850" s="25">
        <v>0.28958333333333336</v>
      </c>
      <c r="G850" s="25">
        <v>0.7270833333333333</v>
      </c>
      <c r="H850" s="27">
        <f t="shared" si="2"/>
        <v>0.4375</v>
      </c>
      <c r="I850" s="28">
        <v>4.0</v>
      </c>
      <c r="J850" s="29" t="s">
        <v>55</v>
      </c>
      <c r="K850" s="30" t="s">
        <v>23</v>
      </c>
      <c r="L850" s="31" t="str">
        <f>IFERROR(__xludf.DUMMYFUNCTION("IF(OR(E850="""",K850=""""),"""",IFERROR(IF(K850="""","""",query('tbl user'!$A$2:$D10975,""SELECT A WHERE D = '""&amp;K850&amp;""'"")),""USER TIDAK DIKETAHUI""))"),"#REF!")</f>
        <v>#REF!</v>
      </c>
    </row>
    <row r="851">
      <c r="A851" s="21">
        <f t="shared" si="1"/>
        <v>0</v>
      </c>
      <c r="B851" s="32" t="s">
        <v>263</v>
      </c>
      <c r="C851" s="23" t="s">
        <v>264</v>
      </c>
      <c r="D851" s="23" t="s">
        <v>32</v>
      </c>
      <c r="E851" s="37">
        <v>45397.0</v>
      </c>
      <c r="F851" s="25">
        <v>0.2548611111111111</v>
      </c>
      <c r="G851" s="25">
        <v>0.6416666666666667</v>
      </c>
      <c r="H851" s="27">
        <f t="shared" si="2"/>
        <v>0.3868055556</v>
      </c>
      <c r="I851" s="28">
        <v>4.0</v>
      </c>
      <c r="J851" s="29" t="s">
        <v>55</v>
      </c>
      <c r="K851" s="30" t="s">
        <v>23</v>
      </c>
      <c r="L851" s="31" t="str">
        <f>IFERROR(__xludf.DUMMYFUNCTION("IF(OR(E851="""",K851=""""),"""",IFERROR(IF(K851="""","""",query('tbl user'!$A$2:$D10975,""SELECT A WHERE D = '""&amp;K851&amp;""'"")),""USER TIDAK DIKETAHUI""))"),"#REF!")</f>
        <v>#REF!</v>
      </c>
    </row>
    <row r="852">
      <c r="A852" s="21">
        <f t="shared" si="1"/>
        <v>0</v>
      </c>
      <c r="B852" s="32" t="s">
        <v>277</v>
      </c>
      <c r="C852" s="23" t="s">
        <v>278</v>
      </c>
      <c r="D852" s="23" t="s">
        <v>32</v>
      </c>
      <c r="E852" s="37">
        <v>45397.0</v>
      </c>
      <c r="F852" s="25">
        <v>0.27569444444444446</v>
      </c>
      <c r="G852" s="25">
        <v>0.6854166666666667</v>
      </c>
      <c r="H852" s="27">
        <f t="shared" si="2"/>
        <v>0.4097222222</v>
      </c>
      <c r="I852" s="28">
        <v>4.0</v>
      </c>
      <c r="J852" s="29" t="s">
        <v>55</v>
      </c>
      <c r="K852" s="30" t="s">
        <v>23</v>
      </c>
      <c r="L852" s="31" t="str">
        <f>IFERROR(__xludf.DUMMYFUNCTION("IF(OR(E852="""",K852=""""),"""",IFERROR(IF(K852="""","""",query('tbl user'!$A$2:$D10975,""SELECT A WHERE D = '""&amp;K852&amp;""'"")),""USER TIDAK DIKETAHUI""))"),"#REF!")</f>
        <v>#REF!</v>
      </c>
    </row>
    <row r="853">
      <c r="A853" s="21">
        <f t="shared" si="1"/>
        <v>0</v>
      </c>
      <c r="B853" s="32" t="s">
        <v>312</v>
      </c>
      <c r="C853" s="23" t="s">
        <v>313</v>
      </c>
      <c r="D853" s="23" t="s">
        <v>32</v>
      </c>
      <c r="E853" s="37">
        <v>45397.0</v>
      </c>
      <c r="F853" s="25">
        <v>0.2152777777777778</v>
      </c>
      <c r="G853" s="33">
        <v>0.6506944444444445</v>
      </c>
      <c r="H853" s="27">
        <f t="shared" si="2"/>
        <v>0.4354166667</v>
      </c>
      <c r="I853" s="28">
        <v>4.0</v>
      </c>
      <c r="J853" s="29" t="s">
        <v>55</v>
      </c>
      <c r="K853" s="30" t="s">
        <v>23</v>
      </c>
      <c r="L853" s="31" t="str">
        <f>IFERROR(__xludf.DUMMYFUNCTION("IF(OR(E853="""",K853=""""),"""",IFERROR(IF(K853="""","""",query('tbl user'!$A$2:$D10975,""SELECT A WHERE D = '""&amp;K853&amp;""'"")),""USER TIDAK DIKETAHUI""))"),"#REF!")</f>
        <v>#REF!</v>
      </c>
    </row>
    <row r="854">
      <c r="A854" s="21">
        <f t="shared" si="1"/>
        <v>0</v>
      </c>
      <c r="B854" s="32" t="s">
        <v>144</v>
      </c>
      <c r="C854" s="23" t="s">
        <v>145</v>
      </c>
      <c r="D854" s="23" t="s">
        <v>32</v>
      </c>
      <c r="E854" s="37">
        <v>45397.0</v>
      </c>
      <c r="F854" s="25">
        <v>0.28125</v>
      </c>
      <c r="G854" s="25">
        <v>0.7215277777777778</v>
      </c>
      <c r="H854" s="27">
        <f t="shared" si="2"/>
        <v>0.4402777778</v>
      </c>
      <c r="I854" s="28">
        <v>4.0</v>
      </c>
      <c r="J854" s="29" t="s">
        <v>55</v>
      </c>
      <c r="K854" s="30" t="s">
        <v>23</v>
      </c>
      <c r="L854" s="31" t="str">
        <f>IFERROR(__xludf.DUMMYFUNCTION("IF(OR(E854="""",K854=""""),"""",IFERROR(IF(K854="""","""",query('tbl user'!$A$2:$D10975,""SELECT A WHERE D = '""&amp;K854&amp;""'"")),""USER TIDAK DIKETAHUI""))"),"#REF!")</f>
        <v>#REF!</v>
      </c>
    </row>
    <row r="855">
      <c r="A855" s="21">
        <f t="shared" si="1"/>
        <v>0</v>
      </c>
      <c r="B855" s="32" t="s">
        <v>151</v>
      </c>
      <c r="C855" s="23" t="s">
        <v>152</v>
      </c>
      <c r="D855" s="23" t="s">
        <v>32</v>
      </c>
      <c r="E855" s="37">
        <v>45397.0</v>
      </c>
      <c r="F855" s="25">
        <v>0.2569444444444444</v>
      </c>
      <c r="G855" s="25">
        <v>0.6465277777777778</v>
      </c>
      <c r="H855" s="27">
        <f t="shared" si="2"/>
        <v>0.3895833333</v>
      </c>
      <c r="I855" s="28">
        <v>4.0</v>
      </c>
      <c r="J855" s="29" t="s">
        <v>55</v>
      </c>
      <c r="K855" s="30" t="s">
        <v>23</v>
      </c>
      <c r="L855" s="31" t="str">
        <f>IFERROR(__xludf.DUMMYFUNCTION("IF(OR(E855="""",K855=""""),"""",IFERROR(IF(K855="""","""",query('tbl user'!$A$2:$D10975,""SELECT A WHERE D = '""&amp;K855&amp;""'"")),""USER TIDAK DIKETAHUI""))"),"#REF!")</f>
        <v>#REF!</v>
      </c>
    </row>
    <row r="856">
      <c r="A856" s="21">
        <f t="shared" si="1"/>
        <v>0</v>
      </c>
      <c r="B856" s="32" t="s">
        <v>56</v>
      </c>
      <c r="C856" s="23" t="s">
        <v>57</v>
      </c>
      <c r="D856" s="23" t="s">
        <v>58</v>
      </c>
      <c r="E856" s="37">
        <v>45398.0</v>
      </c>
      <c r="F856" s="25">
        <v>0.2965277777777778</v>
      </c>
      <c r="G856" s="25">
        <v>0.4722222222222222</v>
      </c>
      <c r="H856" s="27">
        <f t="shared" si="2"/>
        <v>0.1756944444</v>
      </c>
      <c r="I856" s="28">
        <v>1.0</v>
      </c>
      <c r="J856" s="29" t="s">
        <v>572</v>
      </c>
      <c r="K856" s="30" t="s">
        <v>23</v>
      </c>
      <c r="L856" s="31" t="str">
        <f>IFERROR(__xludf.DUMMYFUNCTION("IF(OR(E856="""",K856=""""),"""",IFERROR(IF(K856="""","""",query('tbl user'!$A$2:$D10975,""SELECT A WHERE D = '""&amp;K856&amp;""'"")),""USER TIDAK DIKETAHUI""))"),"#REF!")</f>
        <v>#REF!</v>
      </c>
    </row>
    <row r="857">
      <c r="A857" s="21">
        <f t="shared" si="1"/>
        <v>0</v>
      </c>
      <c r="B857" s="32" t="s">
        <v>297</v>
      </c>
      <c r="C857" s="23" t="s">
        <v>348</v>
      </c>
      <c r="D857" s="23" t="s">
        <v>58</v>
      </c>
      <c r="E857" s="37">
        <v>45398.0</v>
      </c>
      <c r="F857" s="25">
        <v>0.30625</v>
      </c>
      <c r="G857" s="25">
        <v>0.5583333333333333</v>
      </c>
      <c r="H857" s="27">
        <f t="shared" si="2"/>
        <v>0.2520833333</v>
      </c>
      <c r="I857" s="28">
        <v>2.0</v>
      </c>
      <c r="J857" s="29" t="s">
        <v>584</v>
      </c>
      <c r="K857" s="30" t="s">
        <v>23</v>
      </c>
      <c r="L857" s="31" t="str">
        <f>IFERROR(__xludf.DUMMYFUNCTION("IF(OR(E857="""",K857=""""),"""",IFERROR(IF(K857="""","""",query('tbl user'!$A$2:$D10975,""SELECT A WHERE D = '""&amp;K857&amp;""'"")),""USER TIDAK DIKETAHUI""))"),"#REF!")</f>
        <v>#REF!</v>
      </c>
    </row>
    <row r="858">
      <c r="A858" s="21">
        <f t="shared" si="1"/>
        <v>0</v>
      </c>
      <c r="B858" s="32" t="s">
        <v>267</v>
      </c>
      <c r="C858" s="23" t="s">
        <v>85</v>
      </c>
      <c r="D858" s="23" t="s">
        <v>58</v>
      </c>
      <c r="E858" s="37">
        <v>45398.0</v>
      </c>
      <c r="F858" s="25">
        <v>0.3298611111111111</v>
      </c>
      <c r="G858" s="25">
        <v>0.6013888888888889</v>
      </c>
      <c r="H858" s="27">
        <f t="shared" si="2"/>
        <v>0.2715277778</v>
      </c>
      <c r="I858" s="28">
        <v>2.0</v>
      </c>
      <c r="J858" s="29" t="s">
        <v>585</v>
      </c>
      <c r="K858" s="30" t="s">
        <v>23</v>
      </c>
      <c r="L858" s="31" t="str">
        <f>IFERROR(__xludf.DUMMYFUNCTION("IF(OR(E858="""",K858=""""),"""",IFERROR(IF(K858="""","""",query('tbl user'!$A$2:$D10975,""SELECT A WHERE D = '""&amp;K858&amp;""'"")),""USER TIDAK DIKETAHUI""))"),"#REF!")</f>
        <v>#REF!</v>
      </c>
    </row>
    <row r="859">
      <c r="A859" s="21">
        <f t="shared" si="1"/>
        <v>0</v>
      </c>
      <c r="B859" s="32" t="s">
        <v>284</v>
      </c>
      <c r="C859" s="23" t="s">
        <v>68</v>
      </c>
      <c r="D859" s="23" t="s">
        <v>58</v>
      </c>
      <c r="E859" s="37">
        <v>45398.0</v>
      </c>
      <c r="F859" s="25">
        <v>0.30416666666666664</v>
      </c>
      <c r="G859" s="25">
        <v>0.6534722222222222</v>
      </c>
      <c r="H859" s="27">
        <f t="shared" si="2"/>
        <v>0.3493055556</v>
      </c>
      <c r="I859" s="28">
        <v>3.0</v>
      </c>
      <c r="J859" s="29" t="s">
        <v>586</v>
      </c>
      <c r="K859" s="30" t="s">
        <v>23</v>
      </c>
      <c r="L859" s="31" t="str">
        <f>IFERROR(__xludf.DUMMYFUNCTION("IF(OR(E859="""",K859=""""),"""",IFERROR(IF(K859="""","""",query('tbl user'!$A$2:$D10975,""SELECT A WHERE D = '""&amp;K859&amp;""'"")),""USER TIDAK DIKETAHUI""))"),"#REF!")</f>
        <v>#REF!</v>
      </c>
    </row>
    <row r="860">
      <c r="A860" s="21">
        <f t="shared" si="1"/>
        <v>0</v>
      </c>
      <c r="B860" s="32" t="s">
        <v>127</v>
      </c>
      <c r="C860" s="23" t="s">
        <v>211</v>
      </c>
      <c r="D860" s="23" t="s">
        <v>58</v>
      </c>
      <c r="E860" s="37">
        <v>45398.0</v>
      </c>
      <c r="F860" s="25">
        <v>0.3173611111111111</v>
      </c>
      <c r="G860" s="25">
        <v>0.6958333333333333</v>
      </c>
      <c r="H860" s="27">
        <f t="shared" si="2"/>
        <v>0.3784722222</v>
      </c>
      <c r="I860" s="28">
        <v>3.0</v>
      </c>
      <c r="J860" s="29" t="s">
        <v>352</v>
      </c>
      <c r="K860" s="30" t="s">
        <v>23</v>
      </c>
      <c r="L860" s="31" t="str">
        <f>IFERROR(__xludf.DUMMYFUNCTION("IF(OR(E860="""",K860=""""),"""",IFERROR(IF(K860="""","""",query('tbl user'!$A$2:$D10975,""SELECT A WHERE D = '""&amp;K860&amp;""'"")),""USER TIDAK DIKETAHUI""))"),"#REF!")</f>
        <v>#REF!</v>
      </c>
    </row>
    <row r="861">
      <c r="A861" s="21">
        <f t="shared" si="1"/>
        <v>0</v>
      </c>
      <c r="B861" s="32" t="s">
        <v>214</v>
      </c>
      <c r="C861" s="23" t="s">
        <v>170</v>
      </c>
      <c r="D861" s="23" t="s">
        <v>58</v>
      </c>
      <c r="E861" s="37">
        <v>45398.0</v>
      </c>
      <c r="F861" s="25">
        <v>0.30694444444444446</v>
      </c>
      <c r="G861" s="25">
        <v>0.6430555555555556</v>
      </c>
      <c r="H861" s="27">
        <f t="shared" si="2"/>
        <v>0.3361111111</v>
      </c>
      <c r="I861" s="28">
        <v>3.0</v>
      </c>
      <c r="J861" s="29" t="s">
        <v>352</v>
      </c>
      <c r="K861" s="30" t="s">
        <v>23</v>
      </c>
      <c r="L861" s="31" t="str">
        <f>IFERROR(__xludf.DUMMYFUNCTION("IF(OR(E861="""",K861=""""),"""",IFERROR(IF(K861="""","""",query('tbl user'!$A$2:$D10975,""SELECT A WHERE D = '""&amp;K861&amp;""'"")),""USER TIDAK DIKETAHUI""))"),"#REF!")</f>
        <v>#REF!</v>
      </c>
    </row>
    <row r="862">
      <c r="A862" s="21">
        <f t="shared" si="1"/>
        <v>0</v>
      </c>
      <c r="B862" s="32" t="s">
        <v>216</v>
      </c>
      <c r="C862" s="23" t="s">
        <v>190</v>
      </c>
      <c r="D862" s="23" t="s">
        <v>58</v>
      </c>
      <c r="E862" s="37">
        <v>45398.0</v>
      </c>
      <c r="F862" s="25">
        <v>0.29305555555555557</v>
      </c>
      <c r="G862" s="25">
        <v>0.6541666666666667</v>
      </c>
      <c r="H862" s="27">
        <f t="shared" si="2"/>
        <v>0.3611111111</v>
      </c>
      <c r="I862" s="28">
        <v>3.0</v>
      </c>
      <c r="J862" s="29" t="s">
        <v>352</v>
      </c>
      <c r="K862" s="30" t="s">
        <v>23</v>
      </c>
      <c r="L862" s="31" t="str">
        <f>IFERROR(__xludf.DUMMYFUNCTION("IF(OR(E862="""",K862=""""),"""",IFERROR(IF(K862="""","""",query('tbl user'!$A$2:$D10975,""SELECT A WHERE D = '""&amp;K862&amp;""'"")),""USER TIDAK DIKETAHUI""))"),"#REF!")</f>
        <v>#REF!</v>
      </c>
    </row>
    <row r="863">
      <c r="A863" s="21">
        <f t="shared" si="1"/>
        <v>0</v>
      </c>
      <c r="B863" s="32" t="s">
        <v>104</v>
      </c>
      <c r="C863" s="23" t="s">
        <v>105</v>
      </c>
      <c r="D863" s="23" t="s">
        <v>58</v>
      </c>
      <c r="E863" s="37">
        <v>45398.0</v>
      </c>
      <c r="F863" s="25">
        <v>0.2743055555555556</v>
      </c>
      <c r="G863" s="25">
        <v>0.6868055555555556</v>
      </c>
      <c r="H863" s="27">
        <f t="shared" si="2"/>
        <v>0.4125</v>
      </c>
      <c r="I863" s="28">
        <v>3.0</v>
      </c>
      <c r="J863" s="29" t="s">
        <v>587</v>
      </c>
      <c r="K863" s="30" t="s">
        <v>23</v>
      </c>
      <c r="L863" s="31" t="str">
        <f>IFERROR(__xludf.DUMMYFUNCTION("IF(OR(E863="""",K863=""""),"""",IFERROR(IF(K863="""","""",query('tbl user'!$A$2:$D10975,""SELECT A WHERE D = '""&amp;K863&amp;""'"")),""USER TIDAK DIKETAHUI""))"),"#REF!")</f>
        <v>#REF!</v>
      </c>
    </row>
    <row r="864">
      <c r="A864" s="21">
        <f t="shared" si="1"/>
        <v>0</v>
      </c>
      <c r="B864" s="32" t="s">
        <v>120</v>
      </c>
      <c r="C864" s="23" t="s">
        <v>206</v>
      </c>
      <c r="D864" s="23" t="s">
        <v>58</v>
      </c>
      <c r="E864" s="37">
        <v>45398.0</v>
      </c>
      <c r="F864" s="25">
        <v>0.2638888888888889</v>
      </c>
      <c r="G864" s="25">
        <v>0.7020833333333333</v>
      </c>
      <c r="H864" s="27">
        <f t="shared" si="2"/>
        <v>0.4381944444</v>
      </c>
      <c r="I864" s="28">
        <v>3.0</v>
      </c>
      <c r="J864" s="29" t="s">
        <v>588</v>
      </c>
      <c r="K864" s="30" t="s">
        <v>23</v>
      </c>
      <c r="L864" s="31" t="str">
        <f>IFERROR(__xludf.DUMMYFUNCTION("IF(OR(E864="""",K864=""""),"""",IFERROR(IF(K864="""","""",query('tbl user'!$A$2:$D10975,""SELECT A WHERE D = '""&amp;K864&amp;""'"")),""USER TIDAK DIKETAHUI""))"),"#REF!")</f>
        <v>#REF!</v>
      </c>
    </row>
    <row r="865">
      <c r="A865" s="21">
        <f t="shared" si="1"/>
        <v>0</v>
      </c>
      <c r="B865" s="32" t="s">
        <v>92</v>
      </c>
      <c r="C865" s="23" t="s">
        <v>93</v>
      </c>
      <c r="D865" s="23" t="s">
        <v>58</v>
      </c>
      <c r="E865" s="37">
        <v>45398.0</v>
      </c>
      <c r="F865" s="25">
        <v>0.22013888888888888</v>
      </c>
      <c r="G865" s="25">
        <v>0.6465277777777778</v>
      </c>
      <c r="H865" s="27">
        <f t="shared" si="2"/>
        <v>0.4263888889</v>
      </c>
      <c r="I865" s="28">
        <v>4.0</v>
      </c>
      <c r="J865" s="29" t="s">
        <v>55</v>
      </c>
      <c r="K865" s="30" t="s">
        <v>23</v>
      </c>
      <c r="L865" s="31" t="str">
        <f>IFERROR(__xludf.DUMMYFUNCTION("IF(OR(E865="""",K865=""""),"""",IFERROR(IF(K865="""","""",query('tbl user'!$A$2:$D10975,""SELECT A WHERE D = '""&amp;K865&amp;""'"")),""USER TIDAK DIKETAHUI""))"),"#REF!")</f>
        <v>#REF!</v>
      </c>
    </row>
    <row r="866">
      <c r="A866" s="21">
        <f t="shared" si="1"/>
        <v>0</v>
      </c>
      <c r="B866" s="32" t="s">
        <v>215</v>
      </c>
      <c r="C866" s="23" t="s">
        <v>176</v>
      </c>
      <c r="D866" s="23" t="s">
        <v>58</v>
      </c>
      <c r="E866" s="37">
        <v>45398.0</v>
      </c>
      <c r="F866" s="25">
        <v>0.26666666666666666</v>
      </c>
      <c r="G866" s="25">
        <v>0.6576388888888889</v>
      </c>
      <c r="H866" s="27">
        <f t="shared" si="2"/>
        <v>0.3909722222</v>
      </c>
      <c r="I866" s="28">
        <v>4.0</v>
      </c>
      <c r="J866" s="29" t="s">
        <v>55</v>
      </c>
      <c r="K866" s="30" t="s">
        <v>23</v>
      </c>
      <c r="L866" s="31" t="str">
        <f>IFERROR(__xludf.DUMMYFUNCTION("IF(OR(E866="""",K866=""""),"""",IFERROR(IF(K866="""","""",query('tbl user'!$A$2:$D10975,""SELECT A WHERE D = '""&amp;K866&amp;""'"")),""USER TIDAK DIKETAHUI""))"),"#REF!")</f>
        <v>#REF!</v>
      </c>
    </row>
    <row r="867">
      <c r="A867" s="21">
        <f t="shared" si="1"/>
        <v>0</v>
      </c>
      <c r="B867" s="32" t="s">
        <v>133</v>
      </c>
      <c r="C867" s="23" t="s">
        <v>181</v>
      </c>
      <c r="D867" s="23" t="s">
        <v>58</v>
      </c>
      <c r="E867" s="37">
        <v>45398.0</v>
      </c>
      <c r="F867" s="25">
        <v>0.2361111111111111</v>
      </c>
      <c r="G867" s="25">
        <v>0.6416666666666667</v>
      </c>
      <c r="H867" s="27">
        <f t="shared" si="2"/>
        <v>0.4055555556</v>
      </c>
      <c r="I867" s="28">
        <v>4.0</v>
      </c>
      <c r="J867" s="29" t="s">
        <v>55</v>
      </c>
      <c r="K867" s="30" t="s">
        <v>23</v>
      </c>
      <c r="L867" s="31" t="str">
        <f>IFERROR(__xludf.DUMMYFUNCTION("IF(OR(E867="""",K867=""""),"""",IFERROR(IF(K867="""","""",query('tbl user'!$A$2:$D10975,""SELECT A WHERE D = '""&amp;K867&amp;""'"")),""USER TIDAK DIKETAHUI""))"),"#REF!")</f>
        <v>#REF!</v>
      </c>
    </row>
    <row r="868">
      <c r="A868" s="21">
        <f t="shared" si="1"/>
        <v>0</v>
      </c>
      <c r="B868" s="32" t="s">
        <v>276</v>
      </c>
      <c r="C868" s="23" t="s">
        <v>183</v>
      </c>
      <c r="D868" s="23" t="s">
        <v>58</v>
      </c>
      <c r="E868" s="37">
        <v>45398.0</v>
      </c>
      <c r="F868" s="25">
        <v>0.2763888888888889</v>
      </c>
      <c r="G868" s="25">
        <v>0.6909722222222222</v>
      </c>
      <c r="H868" s="27">
        <f t="shared" si="2"/>
        <v>0.4145833333</v>
      </c>
      <c r="I868" s="28">
        <v>4.0</v>
      </c>
      <c r="J868" s="29" t="s">
        <v>55</v>
      </c>
      <c r="K868" s="30" t="s">
        <v>23</v>
      </c>
      <c r="L868" s="31" t="str">
        <f>IFERROR(__xludf.DUMMYFUNCTION("IF(OR(E868="""",K868=""""),"""",IFERROR(IF(K868="""","""",query('tbl user'!$A$2:$D10975,""SELECT A WHERE D = '""&amp;K868&amp;""'"")),""USER TIDAK DIKETAHUI""))"),"#REF!")</f>
        <v>#REF!</v>
      </c>
    </row>
    <row r="869">
      <c r="A869" s="21">
        <f t="shared" si="1"/>
        <v>0</v>
      </c>
      <c r="B869" s="32" t="s">
        <v>184</v>
      </c>
      <c r="C869" s="23" t="s">
        <v>185</v>
      </c>
      <c r="D869" s="23" t="s">
        <v>58</v>
      </c>
      <c r="E869" s="37">
        <v>45398.0</v>
      </c>
      <c r="F869" s="25">
        <v>0.24583333333333332</v>
      </c>
      <c r="G869" s="25">
        <v>0.6486111111111111</v>
      </c>
      <c r="H869" s="27">
        <f t="shared" si="2"/>
        <v>0.4027777778</v>
      </c>
      <c r="I869" s="28">
        <v>4.0</v>
      </c>
      <c r="J869" s="29" t="s">
        <v>55</v>
      </c>
      <c r="K869" s="30" t="s">
        <v>23</v>
      </c>
      <c r="L869" s="31" t="str">
        <f>IFERROR(__xludf.DUMMYFUNCTION("IF(OR(E869="""",K869=""""),"""",IFERROR(IF(K869="""","""",query('tbl user'!$A$2:$D10975,""SELECT A WHERE D = '""&amp;K869&amp;""'"")),""USER TIDAK DIKETAHUI""))"),"#REF!")</f>
        <v>#REF!</v>
      </c>
    </row>
    <row r="870">
      <c r="A870" s="21">
        <f t="shared" si="1"/>
        <v>0</v>
      </c>
      <c r="B870" s="32" t="s">
        <v>187</v>
      </c>
      <c r="C870" s="23" t="s">
        <v>188</v>
      </c>
      <c r="D870" s="23" t="s">
        <v>58</v>
      </c>
      <c r="E870" s="37">
        <v>45398.0</v>
      </c>
      <c r="F870" s="25">
        <v>0.28958333333333336</v>
      </c>
      <c r="G870" s="25">
        <v>0.70625</v>
      </c>
      <c r="H870" s="27">
        <f t="shared" si="2"/>
        <v>0.4166666667</v>
      </c>
      <c r="I870" s="28">
        <v>4.0</v>
      </c>
      <c r="J870" s="29" t="s">
        <v>55</v>
      </c>
      <c r="K870" s="30" t="s">
        <v>23</v>
      </c>
      <c r="L870" s="31" t="str">
        <f>IFERROR(__xludf.DUMMYFUNCTION("IF(OR(E870="""",K870=""""),"""",IFERROR(IF(K870="""","""",query('tbl user'!$A$2:$D10975,""SELECT A WHERE D = '""&amp;K870&amp;""'"")),""USER TIDAK DIKETAHUI""))"),"#REF!")</f>
        <v>#REF!</v>
      </c>
    </row>
    <row r="871">
      <c r="A871" s="21">
        <f t="shared" si="1"/>
        <v>0</v>
      </c>
      <c r="B871" s="32" t="s">
        <v>191</v>
      </c>
      <c r="C871" s="23" t="s">
        <v>192</v>
      </c>
      <c r="D871" s="23" t="s">
        <v>58</v>
      </c>
      <c r="E871" s="37">
        <v>45398.0</v>
      </c>
      <c r="F871" s="25">
        <v>0.26666666666666666</v>
      </c>
      <c r="G871" s="25">
        <v>0.6541666666666667</v>
      </c>
      <c r="H871" s="27">
        <f t="shared" si="2"/>
        <v>0.3875</v>
      </c>
      <c r="I871" s="28">
        <v>4.0</v>
      </c>
      <c r="J871" s="29" t="s">
        <v>55</v>
      </c>
      <c r="K871" s="30" t="s">
        <v>23</v>
      </c>
      <c r="L871" s="31" t="str">
        <f>IFERROR(__xludf.DUMMYFUNCTION("IF(OR(E871="""",K871=""""),"""",IFERROR(IF(K871="""","""",query('tbl user'!$A$2:$D10975,""SELECT A WHERE D = '""&amp;K871&amp;""'"")),""USER TIDAK DIKETAHUI""))"),"#REF!")</f>
        <v>#REF!</v>
      </c>
    </row>
    <row r="872">
      <c r="A872" s="21">
        <f t="shared" si="1"/>
        <v>0</v>
      </c>
      <c r="B872" s="32" t="s">
        <v>84</v>
      </c>
      <c r="C872" s="23" t="s">
        <v>195</v>
      </c>
      <c r="D872" s="23" t="s">
        <v>58</v>
      </c>
      <c r="E872" s="37">
        <v>45398.0</v>
      </c>
      <c r="F872" s="25">
        <v>0.27708333333333335</v>
      </c>
      <c r="G872" s="25">
        <v>0.70625</v>
      </c>
      <c r="H872" s="27">
        <f t="shared" si="2"/>
        <v>0.4291666667</v>
      </c>
      <c r="I872" s="28">
        <v>4.0</v>
      </c>
      <c r="J872" s="29" t="s">
        <v>55</v>
      </c>
      <c r="K872" s="30" t="s">
        <v>23</v>
      </c>
      <c r="L872" s="31" t="str">
        <f>IFERROR(__xludf.DUMMYFUNCTION("IF(OR(E872="""",K872=""""),"""",IFERROR(IF(K872="""","""",query('tbl user'!$A$2:$D10975,""SELECT A WHERE D = '""&amp;K872&amp;""'"")),""USER TIDAK DIKETAHUI""))"),"#REF!")</f>
        <v>#REF!</v>
      </c>
    </row>
    <row r="873">
      <c r="A873" s="21">
        <f t="shared" si="1"/>
        <v>0</v>
      </c>
      <c r="B873" s="32" t="s">
        <v>197</v>
      </c>
      <c r="C873" s="23" t="s">
        <v>198</v>
      </c>
      <c r="D873" s="23" t="s">
        <v>58</v>
      </c>
      <c r="E873" s="37">
        <v>45398.0</v>
      </c>
      <c r="F873" s="25">
        <v>0.20902777777777778</v>
      </c>
      <c r="G873" s="25">
        <v>0.6604166666666667</v>
      </c>
      <c r="H873" s="27">
        <f t="shared" si="2"/>
        <v>0.4513888889</v>
      </c>
      <c r="I873" s="28">
        <v>4.0</v>
      </c>
      <c r="J873" s="29" t="s">
        <v>55</v>
      </c>
      <c r="K873" s="30" t="s">
        <v>23</v>
      </c>
      <c r="L873" s="31" t="str">
        <f>IFERROR(__xludf.DUMMYFUNCTION("IF(OR(E873="""",K873=""""),"""",IFERROR(IF(K873="""","""",query('tbl user'!$A$2:$D10975,""SELECT A WHERE D = '""&amp;K873&amp;""'"")),""USER TIDAK DIKETAHUI""))"),"#REF!")</f>
        <v>#REF!</v>
      </c>
    </row>
    <row r="874">
      <c r="A874" s="21">
        <f t="shared" si="1"/>
        <v>0</v>
      </c>
      <c r="B874" s="32" t="s">
        <v>95</v>
      </c>
      <c r="C874" s="23" t="s">
        <v>203</v>
      </c>
      <c r="D874" s="23" t="s">
        <v>58</v>
      </c>
      <c r="E874" s="37">
        <v>45398.0</v>
      </c>
      <c r="F874" s="25">
        <v>0.26875</v>
      </c>
      <c r="G874" s="33">
        <v>0.6923611111111111</v>
      </c>
      <c r="H874" s="27">
        <f t="shared" si="2"/>
        <v>0.4236111111</v>
      </c>
      <c r="I874" s="28">
        <v>4.0</v>
      </c>
      <c r="J874" s="29" t="s">
        <v>55</v>
      </c>
      <c r="K874" s="30" t="s">
        <v>23</v>
      </c>
      <c r="L874" s="31" t="str">
        <f>IFERROR(__xludf.DUMMYFUNCTION("IF(OR(E874="""",K874=""""),"""",IFERROR(IF(K874="""","""",query('tbl user'!$A$2:$D10975,""SELECT A WHERE D = '""&amp;K874&amp;""'"")),""USER TIDAK DIKETAHUI""))"),"#REF!")</f>
        <v>#REF!</v>
      </c>
    </row>
    <row r="875">
      <c r="A875" s="21">
        <f t="shared" si="1"/>
        <v>0</v>
      </c>
      <c r="B875" s="32" t="s">
        <v>224</v>
      </c>
      <c r="C875" s="23" t="s">
        <v>208</v>
      </c>
      <c r="D875" s="23" t="s">
        <v>58</v>
      </c>
      <c r="E875" s="37">
        <v>45398.0</v>
      </c>
      <c r="F875" s="25">
        <v>0.2625</v>
      </c>
      <c r="G875" s="25">
        <v>0.6958333333333333</v>
      </c>
      <c r="H875" s="27">
        <f t="shared" si="2"/>
        <v>0.4333333333</v>
      </c>
      <c r="I875" s="28">
        <v>4.0</v>
      </c>
      <c r="J875" s="29" t="s">
        <v>55</v>
      </c>
      <c r="K875" s="30" t="s">
        <v>23</v>
      </c>
      <c r="L875" s="31" t="str">
        <f>IFERROR(__xludf.DUMMYFUNCTION("IF(OR(E875="""",K875=""""),"""",IFERROR(IF(K875="""","""",query('tbl user'!$A$2:$D10975,""SELECT A WHERE D = '""&amp;K875&amp;""'"")),""USER TIDAK DIKETAHUI""))"),"#REF!")</f>
        <v>#REF!</v>
      </c>
    </row>
    <row r="876">
      <c r="A876" s="21" t="str">
        <f t="shared" si="1"/>
        <v/>
      </c>
      <c r="B876" s="35"/>
      <c r="C876" s="23" t="s">
        <v>20</v>
      </c>
      <c r="D876" s="23" t="s">
        <v>21</v>
      </c>
      <c r="E876" s="37">
        <v>45398.0</v>
      </c>
      <c r="F876" s="25">
        <v>0.30625</v>
      </c>
      <c r="G876" s="25">
        <v>0.3861111111111111</v>
      </c>
      <c r="H876" s="27">
        <f t="shared" si="2"/>
        <v>0.07986111111</v>
      </c>
      <c r="I876" s="28">
        <v>0.0</v>
      </c>
      <c r="J876" s="29" t="s">
        <v>589</v>
      </c>
      <c r="K876" s="30" t="s">
        <v>23</v>
      </c>
      <c r="L876" s="31" t="str">
        <f>IFERROR(__xludf.DUMMYFUNCTION("IF(OR(E876="""",K876=""""),"""",IFERROR(IF(K876="""","""",query('tbl user'!$A$2:$D10975,""SELECT A WHERE D = '""&amp;K876&amp;""'"")),""USER TIDAK DIKETAHUI""))"),"#REF!")</f>
        <v>#REF!</v>
      </c>
    </row>
    <row r="877">
      <c r="A877" s="21">
        <f t="shared" si="1"/>
        <v>0</v>
      </c>
      <c r="B877" s="32" t="s">
        <v>24</v>
      </c>
      <c r="C877" s="23" t="s">
        <v>25</v>
      </c>
      <c r="D877" s="23" t="s">
        <v>21</v>
      </c>
      <c r="E877" s="37">
        <v>45398.0</v>
      </c>
      <c r="F877" s="25">
        <v>0.27569444444444446</v>
      </c>
      <c r="G877" s="25">
        <v>0.5638888888888889</v>
      </c>
      <c r="H877" s="27">
        <f t="shared" si="2"/>
        <v>0.2881944444</v>
      </c>
      <c r="I877" s="28">
        <v>1.0</v>
      </c>
      <c r="J877" s="29" t="s">
        <v>590</v>
      </c>
      <c r="K877" s="30" t="s">
        <v>23</v>
      </c>
      <c r="L877" s="31" t="str">
        <f>IFERROR(__xludf.DUMMYFUNCTION("IF(OR(E877="""",K877=""""),"""",IFERROR(IF(K877="""","""",query('tbl user'!$A$2:$D10975,""SELECT A WHERE D = '""&amp;K877&amp;""'"")),""USER TIDAK DIKETAHUI""))"),"#REF!")</f>
        <v>#REF!</v>
      </c>
    </row>
    <row r="878">
      <c r="A878" s="21">
        <f t="shared" si="1"/>
        <v>0</v>
      </c>
      <c r="B878" s="32" t="s">
        <v>303</v>
      </c>
      <c r="C878" s="23" t="s">
        <v>251</v>
      </c>
      <c r="D878" s="23" t="s">
        <v>21</v>
      </c>
      <c r="E878" s="37">
        <v>45398.0</v>
      </c>
      <c r="F878" s="25">
        <v>0.3194444444444444</v>
      </c>
      <c r="G878" s="25">
        <v>0.5673611111111111</v>
      </c>
      <c r="H878" s="27">
        <f t="shared" si="2"/>
        <v>0.2479166667</v>
      </c>
      <c r="I878" s="28">
        <v>1.0</v>
      </c>
      <c r="J878" s="29" t="s">
        <v>591</v>
      </c>
      <c r="K878" s="30" t="s">
        <v>23</v>
      </c>
      <c r="L878" s="31" t="str">
        <f>IFERROR(__xludf.DUMMYFUNCTION("IF(OR(E878="""",K878=""""),"""",IFERROR(IF(K878="""","""",query('tbl user'!$A$2:$D10975,""SELECT A WHERE D = '""&amp;K878&amp;""'"")),""USER TIDAK DIKETAHUI""))"),"#REF!")</f>
        <v>#REF!</v>
      </c>
    </row>
    <row r="879">
      <c r="A879" s="21">
        <f t="shared" si="1"/>
        <v>0</v>
      </c>
      <c r="B879" s="32" t="s">
        <v>43</v>
      </c>
      <c r="C879" s="23" t="s">
        <v>44</v>
      </c>
      <c r="D879" s="23" t="s">
        <v>21</v>
      </c>
      <c r="E879" s="37">
        <v>45398.0</v>
      </c>
      <c r="F879" s="25">
        <v>0.26319444444444445</v>
      </c>
      <c r="G879" s="25">
        <v>0.45416666666666666</v>
      </c>
      <c r="H879" s="27">
        <f t="shared" si="2"/>
        <v>0.1909722222</v>
      </c>
      <c r="I879" s="28">
        <v>1.0</v>
      </c>
      <c r="J879" s="29" t="s">
        <v>592</v>
      </c>
      <c r="K879" s="30" t="s">
        <v>23</v>
      </c>
      <c r="L879" s="31" t="str">
        <f>IFERROR(__xludf.DUMMYFUNCTION("IF(OR(E879="""",K879=""""),"""",IFERROR(IF(K879="""","""",query('tbl user'!$A$2:$D10975,""SELECT A WHERE D = '""&amp;K879&amp;""'"")),""USER TIDAK DIKETAHUI""))"),"#REF!")</f>
        <v>#REF!</v>
      </c>
    </row>
    <row r="880">
      <c r="A880" s="21">
        <f t="shared" si="1"/>
        <v>0</v>
      </c>
      <c r="B880" s="32" t="s">
        <v>593</v>
      </c>
      <c r="C880" s="23" t="s">
        <v>232</v>
      </c>
      <c r="D880" s="23" t="s">
        <v>21</v>
      </c>
      <c r="E880" s="37">
        <v>45398.0</v>
      </c>
      <c r="F880" s="25">
        <v>0.2986111111111111</v>
      </c>
      <c r="G880" s="25">
        <v>0.6416666666666667</v>
      </c>
      <c r="H880" s="27">
        <f t="shared" si="2"/>
        <v>0.3430555556</v>
      </c>
      <c r="I880" s="28">
        <v>1.0</v>
      </c>
      <c r="J880" s="29" t="s">
        <v>594</v>
      </c>
      <c r="K880" s="30" t="s">
        <v>23</v>
      </c>
      <c r="L880" s="31" t="str">
        <f>IFERROR(__xludf.DUMMYFUNCTION("IF(OR(E880="""",K880=""""),"""",IFERROR(IF(K880="""","""",query('tbl user'!$A$2:$D10975,""SELECT A WHERE D = '""&amp;K880&amp;""'"")),""USER TIDAK DIKETAHUI""))"),"#REF!")</f>
        <v>#REF!</v>
      </c>
    </row>
    <row r="881">
      <c r="A881" s="21">
        <f t="shared" si="1"/>
        <v>0</v>
      </c>
      <c r="B881" s="32" t="s">
        <v>258</v>
      </c>
      <c r="C881" s="23" t="s">
        <v>259</v>
      </c>
      <c r="D881" s="23" t="s">
        <v>21</v>
      </c>
      <c r="E881" s="37">
        <v>45398.0</v>
      </c>
      <c r="F881" s="25">
        <v>0.26666666666666666</v>
      </c>
      <c r="G881" s="25">
        <v>0.53125</v>
      </c>
      <c r="H881" s="27">
        <f t="shared" si="2"/>
        <v>0.2645833333</v>
      </c>
      <c r="I881" s="28">
        <v>1.0</v>
      </c>
      <c r="J881" s="29" t="s">
        <v>595</v>
      </c>
      <c r="K881" s="30" t="s">
        <v>23</v>
      </c>
      <c r="L881" s="31" t="str">
        <f>IFERROR(__xludf.DUMMYFUNCTION("IF(OR(E881="""",K881=""""),"""",IFERROR(IF(K881="""","""",query('tbl user'!$A$2:$D10975,""SELECT A WHERE D = '""&amp;K881&amp;""'"")),""USER TIDAK DIKETAHUI""))"),"#REF!")</f>
        <v>#REF!</v>
      </c>
    </row>
    <row r="882">
      <c r="A882" s="21">
        <f t="shared" si="1"/>
        <v>0</v>
      </c>
      <c r="B882" s="32" t="s">
        <v>238</v>
      </c>
      <c r="C882" s="23" t="s">
        <v>239</v>
      </c>
      <c r="D882" s="23" t="s">
        <v>21</v>
      </c>
      <c r="E882" s="37">
        <v>45398.0</v>
      </c>
      <c r="F882" s="25">
        <v>0.23958333333333334</v>
      </c>
      <c r="G882" s="25">
        <v>0.6534722222222222</v>
      </c>
      <c r="H882" s="27">
        <f t="shared" si="2"/>
        <v>0.4138888889</v>
      </c>
      <c r="I882" s="28">
        <v>2.0</v>
      </c>
      <c r="J882" s="29" t="s">
        <v>525</v>
      </c>
      <c r="K882" s="30" t="s">
        <v>23</v>
      </c>
      <c r="L882" s="31" t="str">
        <f>IFERROR(__xludf.DUMMYFUNCTION("IF(OR(E882="""",K882=""""),"""",IFERROR(IF(K882="""","""",query('tbl user'!$A$2:$D10975,""SELECT A WHERE D = '""&amp;K882&amp;""'"")),""USER TIDAK DIKETAHUI""))"),"#REF!")</f>
        <v>#REF!</v>
      </c>
    </row>
    <row r="883">
      <c r="A883" s="21">
        <f t="shared" si="1"/>
        <v>0</v>
      </c>
      <c r="B883" s="32" t="s">
        <v>240</v>
      </c>
      <c r="C883" s="23" t="s">
        <v>241</v>
      </c>
      <c r="D883" s="23" t="s">
        <v>21</v>
      </c>
      <c r="E883" s="37">
        <v>45398.0</v>
      </c>
      <c r="F883" s="25">
        <v>0.21319444444444444</v>
      </c>
      <c r="G883" s="25">
        <v>0.6479166666666667</v>
      </c>
      <c r="H883" s="27">
        <f t="shared" si="2"/>
        <v>0.4347222222</v>
      </c>
      <c r="I883" s="28">
        <v>2.0</v>
      </c>
      <c r="J883" s="29" t="s">
        <v>596</v>
      </c>
      <c r="K883" s="30" t="s">
        <v>23</v>
      </c>
      <c r="L883" s="31" t="str">
        <f>IFERROR(__xludf.DUMMYFUNCTION("IF(OR(E883="""",K883=""""),"""",IFERROR(IF(K883="""","""",query('tbl user'!$A$2:$D10975,""SELECT A WHERE D = '""&amp;K883&amp;""'"")),""USER TIDAK DIKETAHUI""))"),"#REF!")</f>
        <v>#REF!</v>
      </c>
    </row>
    <row r="884">
      <c r="A884" s="21">
        <f t="shared" si="1"/>
        <v>0</v>
      </c>
      <c r="B884" s="32" t="s">
        <v>243</v>
      </c>
      <c r="C884" s="23" t="s">
        <v>244</v>
      </c>
      <c r="D884" s="23" t="s">
        <v>21</v>
      </c>
      <c r="E884" s="37">
        <v>45398.0</v>
      </c>
      <c r="F884" s="25">
        <v>0.26666666666666666</v>
      </c>
      <c r="G884" s="25">
        <v>0.7076388888888889</v>
      </c>
      <c r="H884" s="27">
        <f t="shared" si="2"/>
        <v>0.4409722222</v>
      </c>
      <c r="I884" s="28">
        <v>2.0</v>
      </c>
      <c r="J884" s="29" t="s">
        <v>597</v>
      </c>
      <c r="K884" s="30" t="s">
        <v>23</v>
      </c>
      <c r="L884" s="31" t="str">
        <f>IFERROR(__xludf.DUMMYFUNCTION("IF(OR(E884="""",K884=""""),"""",IFERROR(IF(K884="""","""",query('tbl user'!$A$2:$D10975,""SELECT A WHERE D = '""&amp;K884&amp;""'"")),""USER TIDAK DIKETAHUI""))"),"#REF!")</f>
        <v>#REF!</v>
      </c>
    </row>
    <row r="885">
      <c r="A885" s="21">
        <f t="shared" si="1"/>
        <v>0</v>
      </c>
      <c r="B885" s="32" t="s">
        <v>253</v>
      </c>
      <c r="C885" s="23" t="s">
        <v>102</v>
      </c>
      <c r="D885" s="23" t="s">
        <v>21</v>
      </c>
      <c r="E885" s="37">
        <v>45398.0</v>
      </c>
      <c r="F885" s="25">
        <v>0.26875</v>
      </c>
      <c r="G885" s="25">
        <v>0.7361111111111112</v>
      </c>
      <c r="H885" s="27">
        <f t="shared" si="2"/>
        <v>0.4673611111</v>
      </c>
      <c r="I885" s="28">
        <v>2.0</v>
      </c>
      <c r="J885" s="29" t="s">
        <v>525</v>
      </c>
      <c r="K885" s="30" t="s">
        <v>23</v>
      </c>
      <c r="L885" s="31" t="str">
        <f>IFERROR(__xludf.DUMMYFUNCTION("IF(OR(E885="""",K885=""""),"""",IFERROR(IF(K885="""","""",query('tbl user'!$A$2:$D10975,""SELECT A WHERE D = '""&amp;K885&amp;""'"")),""USER TIDAK DIKETAHUI""))"),"#REF!")</f>
        <v>#REF!</v>
      </c>
    </row>
    <row r="886">
      <c r="A886" s="21">
        <f t="shared" si="1"/>
        <v>0</v>
      </c>
      <c r="B886" s="32" t="s">
        <v>156</v>
      </c>
      <c r="C886" s="23" t="s">
        <v>234</v>
      </c>
      <c r="D886" s="23" t="s">
        <v>21</v>
      </c>
      <c r="E886" s="37">
        <v>45398.0</v>
      </c>
      <c r="F886" s="25">
        <v>0.2777777777777778</v>
      </c>
      <c r="G886" s="25">
        <v>0.6944444444444444</v>
      </c>
      <c r="H886" s="27">
        <f t="shared" si="2"/>
        <v>0.4166666667</v>
      </c>
      <c r="I886" s="28">
        <v>2.0</v>
      </c>
      <c r="J886" s="29" t="s">
        <v>598</v>
      </c>
      <c r="K886" s="30" t="s">
        <v>23</v>
      </c>
      <c r="L886" s="31" t="str">
        <f>IFERROR(__xludf.DUMMYFUNCTION("IF(OR(E886="""",K886=""""),"""",IFERROR(IF(K886="""","""",query('tbl user'!$A$2:$D10975,""SELECT A WHERE D = '""&amp;K886&amp;""'"")),""USER TIDAK DIKETAHUI""))"),"#REF!")</f>
        <v>#REF!</v>
      </c>
    </row>
    <row r="887">
      <c r="A887" s="21">
        <f t="shared" si="1"/>
        <v>0</v>
      </c>
      <c r="B887" s="32" t="s">
        <v>305</v>
      </c>
      <c r="C887" s="23" t="s">
        <v>306</v>
      </c>
      <c r="D887" s="23" t="s">
        <v>21</v>
      </c>
      <c r="E887" s="37">
        <v>45398.0</v>
      </c>
      <c r="F887" s="25">
        <v>0.25277777777777777</v>
      </c>
      <c r="G887" s="25">
        <v>0.6881944444444444</v>
      </c>
      <c r="H887" s="27">
        <f t="shared" si="2"/>
        <v>0.4354166667</v>
      </c>
      <c r="I887" s="28">
        <v>2.0</v>
      </c>
      <c r="J887" s="29" t="s">
        <v>525</v>
      </c>
      <c r="K887" s="30" t="s">
        <v>23</v>
      </c>
      <c r="L887" s="31" t="str">
        <f>IFERROR(__xludf.DUMMYFUNCTION("IF(OR(E887="""",K887=""""),"""",IFERROR(IF(K887="""","""",query('tbl user'!$A$2:$D10975,""SELECT A WHERE D = '""&amp;K887&amp;""'"")),""USER TIDAK DIKETAHUI""))"),"#REF!")</f>
        <v>#REF!</v>
      </c>
    </row>
    <row r="888">
      <c r="A888" s="21">
        <f t="shared" si="1"/>
        <v>0</v>
      </c>
      <c r="B888" s="32" t="s">
        <v>255</v>
      </c>
      <c r="C888" s="23" t="s">
        <v>256</v>
      </c>
      <c r="D888" s="23" t="s">
        <v>21</v>
      </c>
      <c r="E888" s="37">
        <v>45398.0</v>
      </c>
      <c r="F888" s="25">
        <v>0.2111111111111111</v>
      </c>
      <c r="G888" s="25">
        <v>0.71875</v>
      </c>
      <c r="H888" s="27">
        <f t="shared" si="2"/>
        <v>0.5076388889</v>
      </c>
      <c r="I888" s="28">
        <v>3.0</v>
      </c>
      <c r="J888" s="29" t="s">
        <v>55</v>
      </c>
      <c r="K888" s="30" t="s">
        <v>23</v>
      </c>
      <c r="L888" s="31" t="str">
        <f>IFERROR(__xludf.DUMMYFUNCTION("IF(OR(E888="""",K888=""""),"""",IFERROR(IF(K888="""","""",query('tbl user'!$A$2:$D10975,""SELECT A WHERE D = '""&amp;K888&amp;""'"")),""USER TIDAK DIKETAHUI""))"),"#REF!")</f>
        <v>#REF!</v>
      </c>
    </row>
    <row r="889">
      <c r="A889" s="21">
        <f t="shared" si="1"/>
        <v>0</v>
      </c>
      <c r="B889" s="32" t="s">
        <v>61</v>
      </c>
      <c r="C889" s="23" t="s">
        <v>62</v>
      </c>
      <c r="D889" s="23" t="s">
        <v>21</v>
      </c>
      <c r="E889" s="37">
        <v>45398.0</v>
      </c>
      <c r="F889" s="25">
        <v>0.2604166666666667</v>
      </c>
      <c r="G889" s="25">
        <v>0.44930555555555557</v>
      </c>
      <c r="H889" s="27">
        <f t="shared" si="2"/>
        <v>0.1888888889</v>
      </c>
      <c r="I889" s="28">
        <v>1.0</v>
      </c>
      <c r="J889" s="29" t="s">
        <v>599</v>
      </c>
      <c r="K889" s="30" t="s">
        <v>23</v>
      </c>
      <c r="L889" s="31" t="str">
        <f>IFERROR(__xludf.DUMMYFUNCTION("IF(OR(E889="""",K889=""""),"""",IFERROR(IF(K889="""","""",query('tbl user'!$A$2:$D10975,""SELECT A WHERE D = '""&amp;K889&amp;""'"")),""USER TIDAK DIKETAHUI""))"),"#REF!")</f>
        <v>#REF!</v>
      </c>
    </row>
    <row r="890">
      <c r="A890" s="21">
        <f t="shared" si="1"/>
        <v>0</v>
      </c>
      <c r="B890" s="32" t="s">
        <v>101</v>
      </c>
      <c r="C890" s="23" t="s">
        <v>27</v>
      </c>
      <c r="D890" s="23" t="s">
        <v>21</v>
      </c>
      <c r="E890" s="37">
        <v>45398.0</v>
      </c>
      <c r="F890" s="25">
        <v>0.2777777777777778</v>
      </c>
      <c r="G890" s="25">
        <v>0.6145833333333334</v>
      </c>
      <c r="H890" s="27">
        <f t="shared" si="2"/>
        <v>0.3368055556</v>
      </c>
      <c r="I890" s="28">
        <v>2.0</v>
      </c>
      <c r="J890" s="29" t="s">
        <v>600</v>
      </c>
      <c r="K890" s="30" t="s">
        <v>23</v>
      </c>
      <c r="L890" s="31" t="str">
        <f>IFERROR(__xludf.DUMMYFUNCTION("IF(OR(E890="""",K890=""""),"""",IFERROR(IF(K890="""","""",query('tbl user'!$A$2:$D10975,""SELECT A WHERE D = '""&amp;K890&amp;""'"")),""USER TIDAK DIKETAHUI""))"),"#REF!")</f>
        <v>#REF!</v>
      </c>
    </row>
    <row r="891">
      <c r="A891" s="21">
        <f t="shared" si="1"/>
        <v>0</v>
      </c>
      <c r="B891" s="32" t="s">
        <v>153</v>
      </c>
      <c r="C891" s="23" t="s">
        <v>282</v>
      </c>
      <c r="D891" s="23" t="s">
        <v>21</v>
      </c>
      <c r="E891" s="37">
        <v>45398.0</v>
      </c>
      <c r="F891" s="25">
        <v>0.2986111111111111</v>
      </c>
      <c r="G891" s="25">
        <v>0.6923611111111111</v>
      </c>
      <c r="H891" s="27">
        <f t="shared" si="2"/>
        <v>0.39375</v>
      </c>
      <c r="I891" s="28">
        <v>3.0</v>
      </c>
      <c r="J891" s="29" t="s">
        <v>352</v>
      </c>
      <c r="K891" s="30" t="s">
        <v>23</v>
      </c>
      <c r="L891" s="31" t="str">
        <f>IFERROR(__xludf.DUMMYFUNCTION("IF(OR(E891="""",K891=""""),"""",IFERROR(IF(K891="""","""",query('tbl user'!$A$2:$D10975,""SELECT A WHERE D = '""&amp;K891&amp;""'"")),""USER TIDAK DIKETAHUI""))"),"#REF!")</f>
        <v>#REF!</v>
      </c>
    </row>
    <row r="892">
      <c r="A892" s="21">
        <f t="shared" si="1"/>
        <v>0</v>
      </c>
      <c r="B892" s="32" t="s">
        <v>286</v>
      </c>
      <c r="C892" s="23" t="s">
        <v>287</v>
      </c>
      <c r="D892" s="23" t="s">
        <v>21</v>
      </c>
      <c r="E892" s="37">
        <v>45398.0</v>
      </c>
      <c r="F892" s="25">
        <v>0.33402777777777776</v>
      </c>
      <c r="G892" s="25">
        <v>0.7076388888888889</v>
      </c>
      <c r="H892" s="27">
        <f t="shared" si="2"/>
        <v>0.3736111111</v>
      </c>
      <c r="I892" s="28">
        <v>3.0</v>
      </c>
      <c r="J892" s="29" t="s">
        <v>352</v>
      </c>
      <c r="K892" s="30" t="s">
        <v>23</v>
      </c>
      <c r="L892" s="31" t="str">
        <f>IFERROR(__xludf.DUMMYFUNCTION("IF(OR(E892="""",K892=""""),"""",IFERROR(IF(K892="""","""",query('tbl user'!$A$2:$D10975,""SELECT A WHERE D = '""&amp;K892&amp;""'"")),""USER TIDAK DIKETAHUI""))"),"#REF!")</f>
        <v>#REF!</v>
      </c>
    </row>
    <row r="893">
      <c r="A893" s="21">
        <f t="shared" si="1"/>
        <v>0</v>
      </c>
      <c r="B893" s="32" t="s">
        <v>289</v>
      </c>
      <c r="C893" s="23" t="s">
        <v>290</v>
      </c>
      <c r="D893" s="23" t="s">
        <v>21</v>
      </c>
      <c r="E893" s="37">
        <v>45398.0</v>
      </c>
      <c r="F893" s="25">
        <v>0.2875</v>
      </c>
      <c r="G893" s="25">
        <v>0.6868055555555556</v>
      </c>
      <c r="H893" s="27">
        <f t="shared" si="2"/>
        <v>0.3993055556</v>
      </c>
      <c r="I893" s="28">
        <v>3.0</v>
      </c>
      <c r="J893" s="29" t="s">
        <v>352</v>
      </c>
      <c r="K893" s="30" t="s">
        <v>23</v>
      </c>
      <c r="L893" s="31" t="str">
        <f>IFERROR(__xludf.DUMMYFUNCTION("IF(OR(E893="""",K893=""""),"""",IFERROR(IF(K893="""","""",query('tbl user'!$A$2:$D10975,""SELECT A WHERE D = '""&amp;K893&amp;""'"")),""USER TIDAK DIKETAHUI""))"),"#REF!")</f>
        <v>#REF!</v>
      </c>
    </row>
    <row r="894">
      <c r="A894" s="21">
        <f t="shared" si="1"/>
        <v>0</v>
      </c>
      <c r="B894" s="32" t="s">
        <v>64</v>
      </c>
      <c r="C894" s="23" t="s">
        <v>65</v>
      </c>
      <c r="D894" s="23" t="s">
        <v>21</v>
      </c>
      <c r="E894" s="37">
        <v>45398.0</v>
      </c>
      <c r="F894" s="25">
        <v>0.27569444444444446</v>
      </c>
      <c r="G894" s="25">
        <v>0.7319444444444444</v>
      </c>
      <c r="H894" s="27">
        <f t="shared" si="2"/>
        <v>0.45625</v>
      </c>
      <c r="I894" s="28">
        <v>4.0</v>
      </c>
      <c r="J894" s="29" t="s">
        <v>94</v>
      </c>
      <c r="K894" s="30" t="s">
        <v>23</v>
      </c>
      <c r="L894" s="31" t="str">
        <f>IFERROR(__xludf.DUMMYFUNCTION("IF(OR(E894="""",K894=""""),"""",IFERROR(IF(K894="""","""",query('tbl user'!$A$2:$D10975,""SELECT A WHERE D = '""&amp;K894&amp;""'"")),""USER TIDAK DIKETAHUI""))"),"#REF!")</f>
        <v>#REF!</v>
      </c>
    </row>
    <row r="895">
      <c r="A895" s="21">
        <f t="shared" si="1"/>
        <v>0</v>
      </c>
      <c r="B895" s="32" t="s">
        <v>601</v>
      </c>
      <c r="C895" s="23" t="s">
        <v>323</v>
      </c>
      <c r="D895" s="23" t="s">
        <v>21</v>
      </c>
      <c r="E895" s="37">
        <v>45398.0</v>
      </c>
      <c r="F895" s="25">
        <v>0.30069444444444443</v>
      </c>
      <c r="G895" s="25">
        <v>0.40555555555555556</v>
      </c>
      <c r="H895" s="27">
        <f t="shared" si="2"/>
        <v>0.1048611111</v>
      </c>
      <c r="I895" s="28">
        <v>1.0</v>
      </c>
      <c r="J895" s="29" t="s">
        <v>602</v>
      </c>
      <c r="K895" s="30" t="s">
        <v>23</v>
      </c>
      <c r="L895" s="31" t="str">
        <f>IFERROR(__xludf.DUMMYFUNCTION("IF(OR(E895="""",K895=""""),"""",IFERROR(IF(K895="""","""",query('tbl user'!$A$2:$D10975,""SELECT A WHERE D = '""&amp;K895&amp;""'"")),""USER TIDAK DIKETAHUI""))"),"#REF!")</f>
        <v>#REF!</v>
      </c>
    </row>
    <row r="896">
      <c r="A896" s="21">
        <f t="shared" si="1"/>
        <v>0</v>
      </c>
      <c r="B896" s="32" t="s">
        <v>319</v>
      </c>
      <c r="C896" s="23" t="s">
        <v>329</v>
      </c>
      <c r="D896" s="23" t="s">
        <v>21</v>
      </c>
      <c r="E896" s="37">
        <v>45398.0</v>
      </c>
      <c r="F896" s="25">
        <v>0.29444444444444445</v>
      </c>
      <c r="G896" s="25">
        <v>0.6923611111111111</v>
      </c>
      <c r="H896" s="27">
        <f t="shared" si="2"/>
        <v>0.3979166667</v>
      </c>
      <c r="I896" s="28">
        <v>3.0</v>
      </c>
      <c r="J896" s="29" t="s">
        <v>603</v>
      </c>
      <c r="K896" s="30" t="s">
        <v>23</v>
      </c>
      <c r="L896" s="31" t="str">
        <f>IFERROR(__xludf.DUMMYFUNCTION("IF(OR(E896="""",K896=""""),"""",IFERROR(IF(K896="""","""",query('tbl user'!$A$2:$D10975,""SELECT A WHERE D = '""&amp;K896&amp;""'"")),""USER TIDAK DIKETAHUI""))"),"#REF!")</f>
        <v>#REF!</v>
      </c>
    </row>
    <row r="897">
      <c r="A897" s="21">
        <f t="shared" si="1"/>
        <v>0</v>
      </c>
      <c r="B897" s="32" t="s">
        <v>53</v>
      </c>
      <c r="C897" s="23" t="s">
        <v>54</v>
      </c>
      <c r="D897" s="23" t="s">
        <v>21</v>
      </c>
      <c r="E897" s="37">
        <v>45398.0</v>
      </c>
      <c r="F897" s="25">
        <v>0.24513888888888888</v>
      </c>
      <c r="G897" s="25">
        <v>0.5277777777777778</v>
      </c>
      <c r="H897" s="27">
        <f t="shared" si="2"/>
        <v>0.2826388889</v>
      </c>
      <c r="I897" s="28">
        <v>3.0</v>
      </c>
      <c r="J897" s="29" t="s">
        <v>604</v>
      </c>
      <c r="K897" s="30" t="s">
        <v>23</v>
      </c>
      <c r="L897" s="31" t="str">
        <f>IFERROR(__xludf.DUMMYFUNCTION("IF(OR(E897="""",K897=""""),"""",IFERROR(IF(K897="""","""",query('tbl user'!$A$2:$D10975,""SELECT A WHERE D = '""&amp;K897&amp;""'"")),""USER TIDAK DIKETAHUI""))"),"#REF!")</f>
        <v>#REF!</v>
      </c>
    </row>
    <row r="898">
      <c r="A898" s="21">
        <f t="shared" si="1"/>
        <v>0</v>
      </c>
      <c r="B898" s="32" t="s">
        <v>229</v>
      </c>
      <c r="C898" s="23" t="s">
        <v>339</v>
      </c>
      <c r="D898" s="23" t="s">
        <v>21</v>
      </c>
      <c r="E898" s="37">
        <v>45398.0</v>
      </c>
      <c r="F898" s="25">
        <v>0.24583333333333332</v>
      </c>
      <c r="G898" s="25">
        <v>0.6923611111111111</v>
      </c>
      <c r="H898" s="27">
        <f t="shared" si="2"/>
        <v>0.4465277778</v>
      </c>
      <c r="I898" s="28">
        <v>5.0</v>
      </c>
      <c r="J898" s="29" t="s">
        <v>55</v>
      </c>
      <c r="K898" s="30" t="s">
        <v>23</v>
      </c>
      <c r="L898" s="31" t="str">
        <f>IFERROR(__xludf.DUMMYFUNCTION("IF(OR(E898="""",K898=""""),"""",IFERROR(IF(K898="""","""",query('tbl user'!$A$2:$D10975,""SELECT A WHERE D = '""&amp;K898&amp;""'"")),""USER TIDAK DIKETAHUI""))"),"#REF!")</f>
        <v>#REF!</v>
      </c>
    </row>
    <row r="899">
      <c r="A899" s="21">
        <f t="shared" si="1"/>
        <v>0</v>
      </c>
      <c r="B899" s="32" t="s">
        <v>333</v>
      </c>
      <c r="C899" s="23" t="s">
        <v>334</v>
      </c>
      <c r="D899" s="23" t="s">
        <v>21</v>
      </c>
      <c r="E899" s="37">
        <v>45398.0</v>
      </c>
      <c r="F899" s="25">
        <v>0.2833333333333333</v>
      </c>
      <c r="G899" s="25">
        <v>0.7319444444444444</v>
      </c>
      <c r="H899" s="27">
        <f t="shared" si="2"/>
        <v>0.4486111111</v>
      </c>
      <c r="I899" s="28">
        <v>6.0</v>
      </c>
      <c r="J899" s="29" t="s">
        <v>55</v>
      </c>
      <c r="K899" s="30" t="s">
        <v>23</v>
      </c>
      <c r="L899" s="31" t="str">
        <f>IFERROR(__xludf.DUMMYFUNCTION("IF(OR(E899="""",K899=""""),"""",IFERROR(IF(K899="""","""",query('tbl user'!$A$2:$D10975,""SELECT A WHERE D = '""&amp;K899&amp;""'"")),""USER TIDAK DIKETAHUI""))"),"#REF!")</f>
        <v>#REF!</v>
      </c>
    </row>
    <row r="900">
      <c r="A900" s="21">
        <f t="shared" si="1"/>
        <v>0</v>
      </c>
      <c r="B900" s="32" t="s">
        <v>335</v>
      </c>
      <c r="C900" s="23" t="s">
        <v>336</v>
      </c>
      <c r="D900" s="23" t="s">
        <v>21</v>
      </c>
      <c r="E900" s="37">
        <v>45398.0</v>
      </c>
      <c r="F900" s="25">
        <v>0.2965277777777778</v>
      </c>
      <c r="G900" s="25">
        <v>0.7270833333333333</v>
      </c>
      <c r="H900" s="27">
        <f t="shared" si="2"/>
        <v>0.4305555556</v>
      </c>
      <c r="I900" s="28">
        <v>6.0</v>
      </c>
      <c r="J900" s="29" t="s">
        <v>55</v>
      </c>
      <c r="K900" s="30" t="s">
        <v>23</v>
      </c>
      <c r="L900" s="31" t="str">
        <f>IFERROR(__xludf.DUMMYFUNCTION("IF(OR(E900="""",K900=""""),"""",IFERROR(IF(K900="""","""",query('tbl user'!$A$2:$D10975,""SELECT A WHERE D = '""&amp;K900&amp;""'"")),""USER TIDAK DIKETAHUI""))"),"#REF!")</f>
        <v>#REF!</v>
      </c>
    </row>
    <row r="901">
      <c r="A901" s="21">
        <f t="shared" si="1"/>
        <v>0</v>
      </c>
      <c r="B901" s="32" t="s">
        <v>220</v>
      </c>
      <c r="C901" s="23" t="s">
        <v>316</v>
      </c>
      <c r="D901" s="23" t="s">
        <v>21</v>
      </c>
      <c r="E901" s="37">
        <v>45398.0</v>
      </c>
      <c r="F901" s="25">
        <v>0.26180555555555557</v>
      </c>
      <c r="G901" s="25">
        <v>0.7173611111111111</v>
      </c>
      <c r="H901" s="27">
        <f t="shared" si="2"/>
        <v>0.4555555556</v>
      </c>
      <c r="I901" s="28">
        <v>6.0</v>
      </c>
      <c r="J901" s="29" t="s">
        <v>55</v>
      </c>
      <c r="K901" s="30" t="s">
        <v>23</v>
      </c>
      <c r="L901" s="31" t="str">
        <f>IFERROR(__xludf.DUMMYFUNCTION("IF(OR(E901="""",K901=""""),"""",IFERROR(IF(K901="""","""",query('tbl user'!$A$2:$D10975,""SELECT A WHERE D = '""&amp;K901&amp;""'"")),""USER TIDAK DIKETAHUI""))"),"#REF!")</f>
        <v>#REF!</v>
      </c>
    </row>
    <row r="902">
      <c r="A902" s="21">
        <f t="shared" si="1"/>
        <v>0</v>
      </c>
      <c r="B902" s="32" t="s">
        <v>78</v>
      </c>
      <c r="C902" s="23" t="s">
        <v>340</v>
      </c>
      <c r="D902" s="23" t="s">
        <v>21</v>
      </c>
      <c r="E902" s="37">
        <v>45398.0</v>
      </c>
      <c r="F902" s="25">
        <v>0.2743055555555556</v>
      </c>
      <c r="G902" s="25">
        <v>0.7131944444444445</v>
      </c>
      <c r="H902" s="27">
        <f t="shared" si="2"/>
        <v>0.4388888889</v>
      </c>
      <c r="I902" s="28">
        <v>6.0</v>
      </c>
      <c r="J902" s="29" t="s">
        <v>55</v>
      </c>
      <c r="K902" s="30" t="s">
        <v>23</v>
      </c>
      <c r="L902" s="31" t="str">
        <f>IFERROR(__xludf.DUMMYFUNCTION("IF(OR(E902="""",K902=""""),"""",IFERROR(IF(K902="""","""",query('tbl user'!$A$2:$D10975,""SELECT A WHERE D = '""&amp;K902&amp;""'"")),""USER TIDAK DIKETAHUI""))"),"#REF!")</f>
        <v>#REF!</v>
      </c>
    </row>
    <row r="903">
      <c r="A903" s="21">
        <f t="shared" si="1"/>
        <v>0</v>
      </c>
      <c r="B903" s="32" t="s">
        <v>331</v>
      </c>
      <c r="C903" s="23" t="s">
        <v>332</v>
      </c>
      <c r="D903" s="23" t="s">
        <v>21</v>
      </c>
      <c r="E903" s="37">
        <v>45398.0</v>
      </c>
      <c r="F903" s="25">
        <v>0.2152777777777778</v>
      </c>
      <c r="G903" s="33">
        <v>0.7291666666666666</v>
      </c>
      <c r="H903" s="27">
        <f t="shared" si="2"/>
        <v>0.5138888889</v>
      </c>
      <c r="I903" s="28">
        <v>7.0</v>
      </c>
      <c r="J903" s="29" t="s">
        <v>55</v>
      </c>
      <c r="K903" s="30" t="s">
        <v>23</v>
      </c>
      <c r="L903" s="31" t="str">
        <f>IFERROR(__xludf.DUMMYFUNCTION("IF(OR(E903="""",K903=""""),"""",IFERROR(IF(K903="""","""",query('tbl user'!$A$2:$D10975,""SELECT A WHERE D = '""&amp;K903&amp;""'"")),""USER TIDAK DIKETAHUI""))"),"#REF!")</f>
        <v>#REF!</v>
      </c>
    </row>
    <row r="904">
      <c r="A904" s="21">
        <f t="shared" si="1"/>
        <v>0</v>
      </c>
      <c r="B904" s="32" t="s">
        <v>337</v>
      </c>
      <c r="C904" s="23" t="s">
        <v>338</v>
      </c>
      <c r="D904" s="23" t="s">
        <v>21</v>
      </c>
      <c r="E904" s="37">
        <v>45398.0</v>
      </c>
      <c r="F904" s="25">
        <v>0.22083333333333333</v>
      </c>
      <c r="G904" s="25">
        <v>0.7291666666666666</v>
      </c>
      <c r="H904" s="27">
        <f t="shared" si="2"/>
        <v>0.5083333333</v>
      </c>
      <c r="I904" s="28">
        <v>7.0</v>
      </c>
      <c r="J904" s="29" t="s">
        <v>55</v>
      </c>
      <c r="K904" s="30" t="s">
        <v>23</v>
      </c>
      <c r="L904" s="31" t="str">
        <f>IFERROR(__xludf.DUMMYFUNCTION("IF(OR(E904="""",K904=""""),"""",IFERROR(IF(K904="""","""",query('tbl user'!$A$2:$D10975,""SELECT A WHERE D = '""&amp;K904&amp;""'"")),""USER TIDAK DIKETAHUI""))"),"#REF!")</f>
        <v>#REF!</v>
      </c>
    </row>
    <row r="905">
      <c r="A905" s="21" t="str">
        <f t="shared" si="1"/>
        <v/>
      </c>
      <c r="B905" s="35"/>
      <c r="C905" s="23" t="s">
        <v>90</v>
      </c>
      <c r="D905" s="23" t="s">
        <v>32</v>
      </c>
      <c r="E905" s="37">
        <v>45398.0</v>
      </c>
      <c r="F905" s="25">
        <v>0.2923611111111111</v>
      </c>
      <c r="G905" s="25">
        <v>0.32222222222222224</v>
      </c>
      <c r="H905" s="27">
        <f t="shared" si="2"/>
        <v>0.02986111111</v>
      </c>
      <c r="I905" s="28">
        <v>0.0</v>
      </c>
      <c r="J905" s="29" t="s">
        <v>605</v>
      </c>
      <c r="K905" s="30" t="s">
        <v>23</v>
      </c>
      <c r="L905" s="31" t="str">
        <f>IFERROR(__xludf.DUMMYFUNCTION("IF(OR(E905="""",K905=""""),"""",IFERROR(IF(K905="""","""",query('tbl user'!$A$2:$D10975,""SELECT A WHERE D = '""&amp;K905&amp;""'"")),""USER TIDAK DIKETAHUI""))"),"#REF!")</f>
        <v>#REF!</v>
      </c>
    </row>
    <row r="906">
      <c r="A906" s="21">
        <f t="shared" si="1"/>
        <v>0</v>
      </c>
      <c r="B906" s="32" t="s">
        <v>30</v>
      </c>
      <c r="C906" s="23" t="s">
        <v>31</v>
      </c>
      <c r="D906" s="23" t="s">
        <v>32</v>
      </c>
      <c r="E906" s="37">
        <v>45398.0</v>
      </c>
      <c r="F906" s="25">
        <v>0.29444444444444445</v>
      </c>
      <c r="G906" s="25">
        <v>0.7333333333333333</v>
      </c>
      <c r="H906" s="27">
        <f t="shared" si="2"/>
        <v>0.4388888889</v>
      </c>
      <c r="I906" s="28">
        <v>1.0</v>
      </c>
      <c r="J906" s="29" t="s">
        <v>606</v>
      </c>
      <c r="K906" s="30" t="s">
        <v>23</v>
      </c>
      <c r="L906" s="31" t="str">
        <f>IFERROR(__xludf.DUMMYFUNCTION("IF(OR(E906="""",K906=""""),"""",IFERROR(IF(K906="""","""",query('tbl user'!$A$2:$D10975,""SELECT A WHERE D = '""&amp;K906&amp;""'"")),""USER TIDAK DIKETAHUI""))"),"#REF!")</f>
        <v>#REF!</v>
      </c>
    </row>
    <row r="907">
      <c r="A907" s="21">
        <f t="shared" si="1"/>
        <v>0</v>
      </c>
      <c r="B907" s="32" t="s">
        <v>75</v>
      </c>
      <c r="C907" s="23" t="s">
        <v>142</v>
      </c>
      <c r="D907" s="23" t="s">
        <v>32</v>
      </c>
      <c r="E907" s="37">
        <v>45398.0</v>
      </c>
      <c r="F907" s="25">
        <v>0.3125</v>
      </c>
      <c r="G907" s="25">
        <v>0.45625</v>
      </c>
      <c r="H907" s="27">
        <f t="shared" si="2"/>
        <v>0.14375</v>
      </c>
      <c r="I907" s="28">
        <v>1.0</v>
      </c>
      <c r="J907" s="29" t="s">
        <v>607</v>
      </c>
      <c r="K907" s="30" t="s">
        <v>23</v>
      </c>
      <c r="L907" s="31" t="str">
        <f>IFERROR(__xludf.DUMMYFUNCTION("IF(OR(E907="""",K907=""""),"""",IFERROR(IF(K907="""","""",query('tbl user'!$A$2:$D10975,""SELECT A WHERE D = '""&amp;K907&amp;""'"")),""USER TIDAK DIKETAHUI""))"),"#REF!")</f>
        <v>#REF!</v>
      </c>
    </row>
    <row r="908">
      <c r="A908" s="21">
        <f t="shared" si="1"/>
        <v>0</v>
      </c>
      <c r="B908" s="32" t="s">
        <v>312</v>
      </c>
      <c r="C908" s="23" t="s">
        <v>313</v>
      </c>
      <c r="D908" s="23" t="s">
        <v>32</v>
      </c>
      <c r="E908" s="37">
        <v>45398.0</v>
      </c>
      <c r="F908" s="25">
        <v>0.2847222222222222</v>
      </c>
      <c r="G908" s="25">
        <v>0.6131944444444445</v>
      </c>
      <c r="H908" s="27">
        <f t="shared" si="2"/>
        <v>0.3284722222</v>
      </c>
      <c r="I908" s="28">
        <v>2.0</v>
      </c>
      <c r="J908" s="29" t="s">
        <v>608</v>
      </c>
      <c r="K908" s="30" t="s">
        <v>23</v>
      </c>
      <c r="L908" s="31" t="str">
        <f>IFERROR(__xludf.DUMMYFUNCTION("IF(OR(E908="""",K908=""""),"""",IFERROR(IF(K908="""","""",query('tbl user'!$A$2:$D10975,""SELECT A WHERE D = '""&amp;K908&amp;""'"")),""USER TIDAK DIKETAHUI""))"),"#REF!")</f>
        <v>#REF!</v>
      </c>
    </row>
    <row r="909">
      <c r="A909" s="21">
        <f t="shared" si="1"/>
        <v>0</v>
      </c>
      <c r="B909" s="32" t="s">
        <v>144</v>
      </c>
      <c r="C909" s="23" t="s">
        <v>145</v>
      </c>
      <c r="D909" s="23" t="s">
        <v>32</v>
      </c>
      <c r="E909" s="37">
        <v>45398.0</v>
      </c>
      <c r="F909" s="25">
        <v>0.28680555555555554</v>
      </c>
      <c r="G909" s="25">
        <v>0.6548611111111111</v>
      </c>
      <c r="H909" s="27">
        <f t="shared" si="2"/>
        <v>0.3680555556</v>
      </c>
      <c r="I909" s="28">
        <v>2.0</v>
      </c>
      <c r="J909" s="29" t="s">
        <v>609</v>
      </c>
      <c r="K909" s="30" t="s">
        <v>23</v>
      </c>
      <c r="L909" s="31" t="str">
        <f>IFERROR(__xludf.DUMMYFUNCTION("IF(OR(E909="""",K909=""""),"""",IFERROR(IF(K909="""","""",query('tbl user'!$A$2:$D10975,""SELECT A WHERE D = '""&amp;K909&amp;""'"")),""USER TIDAK DIKETAHUI""))"),"#REF!")</f>
        <v>#REF!</v>
      </c>
    </row>
    <row r="910">
      <c r="A910" s="21">
        <f t="shared" si="1"/>
        <v>0</v>
      </c>
      <c r="B910" s="32" t="s">
        <v>118</v>
      </c>
      <c r="C910" s="23" t="s">
        <v>119</v>
      </c>
      <c r="D910" s="23" t="s">
        <v>32</v>
      </c>
      <c r="E910" s="37">
        <v>45398.0</v>
      </c>
      <c r="F910" s="25">
        <v>0.33611111111111114</v>
      </c>
      <c r="G910" s="25">
        <v>0.6597222222222222</v>
      </c>
      <c r="H910" s="27">
        <f t="shared" si="2"/>
        <v>0.3236111111</v>
      </c>
      <c r="I910" s="28">
        <v>4.0</v>
      </c>
      <c r="J910" s="29" t="s">
        <v>610</v>
      </c>
      <c r="K910" s="30" t="s">
        <v>23</v>
      </c>
      <c r="L910" s="31" t="str">
        <f>IFERROR(__xludf.DUMMYFUNCTION("IF(OR(E910="""",K910=""""),"""",IFERROR(IF(K910="""","""",query('tbl user'!$A$2:$D10975,""SELECT A WHERE D = '""&amp;K910&amp;""'"")),""USER TIDAK DIKETAHUI""))"),"#REF!")</f>
        <v>#REF!</v>
      </c>
    </row>
    <row r="911">
      <c r="A911" s="21">
        <f t="shared" si="1"/>
        <v>0</v>
      </c>
      <c r="B911" s="32" t="s">
        <v>72</v>
      </c>
      <c r="C911" s="23" t="s">
        <v>73</v>
      </c>
      <c r="D911" s="23" t="s">
        <v>32</v>
      </c>
      <c r="E911" s="37">
        <v>45398.0</v>
      </c>
      <c r="F911" s="25">
        <v>0.25069444444444444</v>
      </c>
      <c r="G911" s="25">
        <v>0.7208333333333333</v>
      </c>
      <c r="H911" s="27">
        <f t="shared" si="2"/>
        <v>0.4701388889</v>
      </c>
      <c r="I911" s="28">
        <v>4.0</v>
      </c>
      <c r="J911" s="29" t="s">
        <v>55</v>
      </c>
      <c r="K911" s="30" t="s">
        <v>23</v>
      </c>
      <c r="L911" s="31" t="str">
        <f>IFERROR(__xludf.DUMMYFUNCTION("IF(OR(E911="""",K911=""""),"""",IFERROR(IF(K911="""","""",query('tbl user'!$A$2:$D10975,""SELECT A WHERE D = '""&amp;K911&amp;""'"")),""USER TIDAK DIKETAHUI""))"),"#REF!")</f>
        <v>#REF!</v>
      </c>
    </row>
    <row r="912">
      <c r="A912" s="21">
        <f t="shared" si="1"/>
        <v>0</v>
      </c>
      <c r="B912" s="32" t="s">
        <v>135</v>
      </c>
      <c r="C912" s="23" t="s">
        <v>136</v>
      </c>
      <c r="D912" s="23" t="s">
        <v>32</v>
      </c>
      <c r="E912" s="37">
        <v>45398.0</v>
      </c>
      <c r="F912" s="25">
        <v>0.2652777777777778</v>
      </c>
      <c r="G912" s="25">
        <v>0.6979166666666666</v>
      </c>
      <c r="H912" s="27">
        <f t="shared" si="2"/>
        <v>0.4326388889</v>
      </c>
      <c r="I912" s="28">
        <v>4.0</v>
      </c>
      <c r="J912" s="29" t="s">
        <v>55</v>
      </c>
      <c r="K912" s="30" t="s">
        <v>23</v>
      </c>
      <c r="L912" s="31" t="str">
        <f>IFERROR(__xludf.DUMMYFUNCTION("IF(OR(E912="""",K912=""""),"""",IFERROR(IF(K912="""","""",query('tbl user'!$A$2:$D10975,""SELECT A WHERE D = '""&amp;K912&amp;""'"")),""USER TIDAK DIKETAHUI""))"),"#REF!")</f>
        <v>#REF!</v>
      </c>
    </row>
    <row r="913">
      <c r="A913" s="21">
        <f t="shared" si="1"/>
        <v>0</v>
      </c>
      <c r="B913" s="32" t="s">
        <v>137</v>
      </c>
      <c r="C913" s="23" t="s">
        <v>138</v>
      </c>
      <c r="D913" s="23" t="s">
        <v>32</v>
      </c>
      <c r="E913" s="37">
        <v>45398.0</v>
      </c>
      <c r="F913" s="25">
        <v>0.2590277777777778</v>
      </c>
      <c r="G913" s="25">
        <v>0.7013888888888888</v>
      </c>
      <c r="H913" s="27">
        <f t="shared" si="2"/>
        <v>0.4423611111</v>
      </c>
      <c r="I913" s="28">
        <v>4.0</v>
      </c>
      <c r="J913" s="29" t="s">
        <v>55</v>
      </c>
      <c r="K913" s="30" t="s">
        <v>23</v>
      </c>
      <c r="L913" s="31" t="str">
        <f>IFERROR(__xludf.DUMMYFUNCTION("IF(OR(E913="""",K913=""""),"""",IFERROR(IF(K913="""","""",query('tbl user'!$A$2:$D10975,""SELECT A WHERE D = '""&amp;K913&amp;""'"")),""USER TIDAK DIKETAHUI""))"),"#REF!")</f>
        <v>#REF!</v>
      </c>
    </row>
    <row r="914">
      <c r="A914" s="21">
        <f t="shared" si="1"/>
        <v>0</v>
      </c>
      <c r="B914" s="32" t="s">
        <v>277</v>
      </c>
      <c r="C914" s="23" t="s">
        <v>278</v>
      </c>
      <c r="D914" s="23" t="s">
        <v>32</v>
      </c>
      <c r="E914" s="37">
        <v>45398.0</v>
      </c>
      <c r="F914" s="25">
        <v>0.28888888888888886</v>
      </c>
      <c r="G914" s="25">
        <v>0.7090277777777778</v>
      </c>
      <c r="H914" s="27">
        <f t="shared" si="2"/>
        <v>0.4201388889</v>
      </c>
      <c r="I914" s="28">
        <v>4.0</v>
      </c>
      <c r="J914" s="29" t="s">
        <v>55</v>
      </c>
      <c r="K914" s="30" t="s">
        <v>23</v>
      </c>
      <c r="L914" s="31" t="str">
        <f>IFERROR(__xludf.DUMMYFUNCTION("IF(OR(E914="""",K914=""""),"""",IFERROR(IF(K914="""","""",query('tbl user'!$A$2:$D10975,""SELECT A WHERE D = '""&amp;K914&amp;""'"")),""USER TIDAK DIKETAHUI""))"),"#REF!")</f>
        <v>#REF!</v>
      </c>
    </row>
    <row r="915">
      <c r="A915" s="21">
        <f t="shared" si="1"/>
        <v>0</v>
      </c>
      <c r="B915" s="32" t="s">
        <v>346</v>
      </c>
      <c r="C915" s="23" t="s">
        <v>68</v>
      </c>
      <c r="D915" s="23" t="s">
        <v>58</v>
      </c>
      <c r="E915" s="37">
        <v>45399.0</v>
      </c>
      <c r="F915" s="25">
        <v>0.33819444444444446</v>
      </c>
      <c r="G915" s="25">
        <v>0.5979166666666667</v>
      </c>
      <c r="H915" s="27">
        <f t="shared" si="2"/>
        <v>0.2597222222</v>
      </c>
      <c r="I915" s="28">
        <v>2.0</v>
      </c>
      <c r="J915" s="29" t="s">
        <v>611</v>
      </c>
      <c r="K915" s="30" t="s">
        <v>23</v>
      </c>
      <c r="L915" s="31" t="str">
        <f>IFERROR(__xludf.DUMMYFUNCTION("IF(OR(E915="""",K915=""""),"""",IFERROR(IF(K915="""","""",query('tbl user'!$A$2:$D10975,""SELECT A WHERE D = '""&amp;K915&amp;""'"")),""USER TIDAK DIKETAHUI""))"),"#REF!")</f>
        <v>#REF!</v>
      </c>
    </row>
    <row r="916">
      <c r="A916" s="21">
        <f t="shared" si="1"/>
        <v>0</v>
      </c>
      <c r="B916" s="32" t="s">
        <v>293</v>
      </c>
      <c r="C916" s="23" t="s">
        <v>211</v>
      </c>
      <c r="D916" s="23" t="s">
        <v>58</v>
      </c>
      <c r="E916" s="37">
        <v>45399.0</v>
      </c>
      <c r="F916" s="25">
        <v>0.28958333333333336</v>
      </c>
      <c r="G916" s="25">
        <v>0.6458333333333334</v>
      </c>
      <c r="H916" s="27">
        <f t="shared" si="2"/>
        <v>0.35625</v>
      </c>
      <c r="I916" s="28">
        <v>3.0</v>
      </c>
      <c r="J916" s="29" t="s">
        <v>612</v>
      </c>
      <c r="K916" s="30" t="s">
        <v>23</v>
      </c>
      <c r="L916" s="31" t="str">
        <f>IFERROR(__xludf.DUMMYFUNCTION("IF(OR(E916="""",K916=""""),"""",IFERROR(IF(K916="""","""",query('tbl user'!$A$2:$D10975,""SELECT A WHERE D = '""&amp;K916&amp;""'"")),""USER TIDAK DIKETAHUI""))"),"#REF!")</f>
        <v>#REF!</v>
      </c>
    </row>
    <row r="917">
      <c r="A917" s="21">
        <f t="shared" si="1"/>
        <v>0</v>
      </c>
      <c r="B917" s="32" t="s">
        <v>214</v>
      </c>
      <c r="C917" s="23" t="s">
        <v>170</v>
      </c>
      <c r="D917" s="23" t="s">
        <v>58</v>
      </c>
      <c r="E917" s="37">
        <v>45399.0</v>
      </c>
      <c r="F917" s="25">
        <v>0.29305555555555557</v>
      </c>
      <c r="G917" s="25">
        <v>0.6520833333333333</v>
      </c>
      <c r="H917" s="27">
        <f t="shared" si="2"/>
        <v>0.3590277778</v>
      </c>
      <c r="I917" s="28">
        <v>3.0</v>
      </c>
      <c r="J917" s="29" t="s">
        <v>613</v>
      </c>
      <c r="K917" s="30" t="s">
        <v>23</v>
      </c>
      <c r="L917" s="31" t="str">
        <f>IFERROR(__xludf.DUMMYFUNCTION("IF(OR(E917="""",K917=""""),"""",IFERROR(IF(K917="""","""",query('tbl user'!$A$2:$D10975,""SELECT A WHERE D = '""&amp;K917&amp;""'"")),""USER TIDAK DIKETAHUI""))"),"#REF!")</f>
        <v>#REF!</v>
      </c>
    </row>
    <row r="918">
      <c r="A918" s="21">
        <f t="shared" si="1"/>
        <v>0</v>
      </c>
      <c r="B918" s="32" t="s">
        <v>92</v>
      </c>
      <c r="C918" s="23" t="s">
        <v>93</v>
      </c>
      <c r="D918" s="23" t="s">
        <v>58</v>
      </c>
      <c r="E918" s="37">
        <v>45399.0</v>
      </c>
      <c r="F918" s="25">
        <v>0.2625</v>
      </c>
      <c r="G918" s="25">
        <v>0.6854166666666667</v>
      </c>
      <c r="H918" s="27">
        <f t="shared" si="2"/>
        <v>0.4229166667</v>
      </c>
      <c r="I918" s="28">
        <v>4.0</v>
      </c>
      <c r="J918" s="29" t="s">
        <v>55</v>
      </c>
      <c r="K918" s="30" t="s">
        <v>23</v>
      </c>
      <c r="L918" s="31" t="str">
        <f>IFERROR(__xludf.DUMMYFUNCTION("IF(OR(E918="""",K918=""""),"""",IFERROR(IF(K918="""","""",query('tbl user'!$A$2:$D10975,""SELECT A WHERE D = '""&amp;K918&amp;""'"")),""USER TIDAK DIKETAHUI""))"),"#REF!")</f>
        <v>#REF!</v>
      </c>
    </row>
    <row r="919">
      <c r="A919" s="21">
        <f t="shared" si="1"/>
        <v>0</v>
      </c>
      <c r="B919" s="32" t="s">
        <v>333</v>
      </c>
      <c r="C919" s="23" t="s">
        <v>176</v>
      </c>
      <c r="D919" s="23" t="s">
        <v>58</v>
      </c>
      <c r="E919" s="37">
        <v>45399.0</v>
      </c>
      <c r="F919" s="25">
        <v>0.28125</v>
      </c>
      <c r="G919" s="25">
        <v>0.6527777777777778</v>
      </c>
      <c r="H919" s="27">
        <f t="shared" si="2"/>
        <v>0.3715277778</v>
      </c>
      <c r="I919" s="28">
        <v>3.0</v>
      </c>
      <c r="J919" s="29" t="s">
        <v>612</v>
      </c>
      <c r="K919" s="30" t="s">
        <v>23</v>
      </c>
      <c r="L919" s="31" t="str">
        <f>IFERROR(__xludf.DUMMYFUNCTION("IF(OR(E919="""",K919=""""),"""",IFERROR(IF(K919="""","""",query('tbl user'!$A$2:$D10975,""SELECT A WHERE D = '""&amp;K919&amp;""'"")),""USER TIDAK DIKETAHUI""))"),"#REF!")</f>
        <v>#REF!</v>
      </c>
    </row>
    <row r="920">
      <c r="A920" s="21">
        <f t="shared" si="1"/>
        <v>0</v>
      </c>
      <c r="B920" s="32" t="s">
        <v>56</v>
      </c>
      <c r="C920" s="23" t="s">
        <v>57</v>
      </c>
      <c r="D920" s="23" t="s">
        <v>58</v>
      </c>
      <c r="E920" s="37">
        <v>45399.0</v>
      </c>
      <c r="F920" s="25">
        <v>0.2951388888888889</v>
      </c>
      <c r="G920" s="25">
        <v>0.6777777777777778</v>
      </c>
      <c r="H920" s="27">
        <f t="shared" si="2"/>
        <v>0.3826388889</v>
      </c>
      <c r="I920" s="28">
        <v>3.0</v>
      </c>
      <c r="J920" s="29" t="s">
        <v>612</v>
      </c>
      <c r="K920" s="30" t="s">
        <v>23</v>
      </c>
      <c r="L920" s="31" t="str">
        <f>IFERROR(__xludf.DUMMYFUNCTION("IF(OR(E920="""",K920=""""),"""",IFERROR(IF(K920="""","""",query('tbl user'!$A$2:$D10975,""SELECT A WHERE D = '""&amp;K920&amp;""'"")),""USER TIDAK DIKETAHUI""))"),"#REF!")</f>
        <v>#REF!</v>
      </c>
    </row>
    <row r="921">
      <c r="A921" s="21">
        <f t="shared" si="1"/>
        <v>0</v>
      </c>
      <c r="B921" s="32" t="s">
        <v>133</v>
      </c>
      <c r="C921" s="23" t="s">
        <v>181</v>
      </c>
      <c r="D921" s="23" t="s">
        <v>58</v>
      </c>
      <c r="E921" s="37">
        <v>45399.0</v>
      </c>
      <c r="F921" s="25">
        <v>0.26458333333333334</v>
      </c>
      <c r="G921" s="25">
        <v>0.6395833333333333</v>
      </c>
      <c r="H921" s="27">
        <f t="shared" si="2"/>
        <v>0.375</v>
      </c>
      <c r="I921" s="28">
        <v>2.0</v>
      </c>
      <c r="J921" s="29" t="s">
        <v>614</v>
      </c>
      <c r="K921" s="30" t="s">
        <v>23</v>
      </c>
      <c r="L921" s="31" t="str">
        <f>IFERROR(__xludf.DUMMYFUNCTION("IF(OR(E921="""",K921=""""),"""",IFERROR(IF(K921="""","""",query('tbl user'!$A$2:$D10975,""SELECT A WHERE D = '""&amp;K921&amp;""'"")),""USER TIDAK DIKETAHUI""))"),"#REF!")</f>
        <v>#REF!</v>
      </c>
    </row>
    <row r="922">
      <c r="A922" s="21">
        <f t="shared" si="1"/>
        <v>0</v>
      </c>
      <c r="B922" s="32" t="s">
        <v>276</v>
      </c>
      <c r="C922" s="23" t="s">
        <v>183</v>
      </c>
      <c r="D922" s="23" t="s">
        <v>58</v>
      </c>
      <c r="E922" s="37">
        <v>45399.0</v>
      </c>
      <c r="F922" s="25">
        <v>0.2923611111111111</v>
      </c>
      <c r="G922" s="25">
        <v>0.6673611111111111</v>
      </c>
      <c r="H922" s="27">
        <f t="shared" si="2"/>
        <v>0.375</v>
      </c>
      <c r="I922" s="28">
        <v>3.0</v>
      </c>
      <c r="J922" s="29" t="s">
        <v>612</v>
      </c>
      <c r="K922" s="30" t="s">
        <v>23</v>
      </c>
      <c r="L922" s="31" t="str">
        <f>IFERROR(__xludf.DUMMYFUNCTION("IF(OR(E922="""",K922=""""),"""",IFERROR(IF(K922="""","""",query('tbl user'!$A$2:$D10975,""SELECT A WHERE D = '""&amp;K922&amp;""'"")),""USER TIDAK DIKETAHUI""))"),"#REF!")</f>
        <v>#REF!</v>
      </c>
    </row>
    <row r="923">
      <c r="A923" s="21">
        <f t="shared" si="1"/>
        <v>0</v>
      </c>
      <c r="B923" s="32" t="s">
        <v>184</v>
      </c>
      <c r="C923" s="23" t="s">
        <v>185</v>
      </c>
      <c r="D923" s="23" t="s">
        <v>58</v>
      </c>
      <c r="E923" s="37">
        <v>45399.0</v>
      </c>
      <c r="F923" s="25">
        <v>0.2652777777777778</v>
      </c>
      <c r="G923" s="25">
        <v>0.6847222222222222</v>
      </c>
      <c r="H923" s="27">
        <f t="shared" si="2"/>
        <v>0.4194444444</v>
      </c>
      <c r="I923" s="28">
        <v>4.0</v>
      </c>
      <c r="J923" s="29" t="s">
        <v>55</v>
      </c>
      <c r="K923" s="30" t="s">
        <v>23</v>
      </c>
      <c r="L923" s="31" t="str">
        <f>IFERROR(__xludf.DUMMYFUNCTION("IF(OR(E923="""",K923=""""),"""",IFERROR(IF(K923="""","""",query('tbl user'!$A$2:$D10975,""SELECT A WHERE D = '""&amp;K923&amp;""'"")),""USER TIDAK DIKETAHUI""))"),"#REF!")</f>
        <v>#REF!</v>
      </c>
    </row>
    <row r="924">
      <c r="A924" s="21">
        <f t="shared" si="1"/>
        <v>0</v>
      </c>
      <c r="B924" s="32" t="s">
        <v>187</v>
      </c>
      <c r="C924" s="23" t="s">
        <v>188</v>
      </c>
      <c r="D924" s="23" t="s">
        <v>58</v>
      </c>
      <c r="E924" s="37">
        <v>45399.0</v>
      </c>
      <c r="F924" s="25">
        <v>0.2652777777777778</v>
      </c>
      <c r="G924" s="25">
        <v>0.7236111111111111</v>
      </c>
      <c r="H924" s="27">
        <f t="shared" si="2"/>
        <v>0.4583333333</v>
      </c>
      <c r="I924" s="28">
        <v>4.0</v>
      </c>
      <c r="J924" s="29" t="s">
        <v>55</v>
      </c>
      <c r="K924" s="30" t="s">
        <v>23</v>
      </c>
      <c r="L924" s="31" t="str">
        <f>IFERROR(__xludf.DUMMYFUNCTION("IF(OR(E924="""",K924=""""),"""",IFERROR(IF(K924="""","""",query('tbl user'!$A$2:$D10975,""SELECT A WHERE D = '""&amp;K924&amp;""'"")),""USER TIDAK DIKETAHUI""))"),"#REF!")</f>
        <v>#REF!</v>
      </c>
    </row>
    <row r="925">
      <c r="A925" s="21">
        <f t="shared" si="1"/>
        <v>0</v>
      </c>
      <c r="B925" s="32" t="s">
        <v>216</v>
      </c>
      <c r="C925" s="23" t="s">
        <v>190</v>
      </c>
      <c r="D925" s="23" t="s">
        <v>58</v>
      </c>
      <c r="E925" s="37">
        <v>45399.0</v>
      </c>
      <c r="F925" s="25">
        <v>0.28402777777777777</v>
      </c>
      <c r="G925" s="25">
        <v>0.6416666666666667</v>
      </c>
      <c r="H925" s="27">
        <f t="shared" si="2"/>
        <v>0.3576388889</v>
      </c>
      <c r="I925" s="28">
        <v>2.0</v>
      </c>
      <c r="J925" s="29" t="s">
        <v>612</v>
      </c>
      <c r="K925" s="30" t="s">
        <v>23</v>
      </c>
      <c r="L925" s="31" t="str">
        <f>IFERROR(__xludf.DUMMYFUNCTION("IF(OR(E925="""",K925=""""),"""",IFERROR(IF(K925="""","""",query('tbl user'!$A$2:$D10975,""SELECT A WHERE D = '""&amp;K925&amp;""'"")),""USER TIDAK DIKETAHUI""))"),"#REF!")</f>
        <v>#REF!</v>
      </c>
    </row>
    <row r="926">
      <c r="A926" s="21">
        <f t="shared" si="1"/>
        <v>0</v>
      </c>
      <c r="B926" s="32" t="s">
        <v>191</v>
      </c>
      <c r="C926" s="23" t="s">
        <v>192</v>
      </c>
      <c r="D926" s="23" t="s">
        <v>58</v>
      </c>
      <c r="E926" s="37">
        <v>45399.0</v>
      </c>
      <c r="F926" s="25">
        <v>0.2798611111111111</v>
      </c>
      <c r="G926" s="25">
        <v>0.6916666666666667</v>
      </c>
      <c r="H926" s="27">
        <f t="shared" si="2"/>
        <v>0.4118055556</v>
      </c>
      <c r="I926" s="28">
        <v>3.0</v>
      </c>
      <c r="J926" s="29" t="s">
        <v>615</v>
      </c>
      <c r="K926" s="30" t="s">
        <v>23</v>
      </c>
      <c r="L926" s="31" t="str">
        <f>IFERROR(__xludf.DUMMYFUNCTION("IF(OR(E926="""",K926=""""),"""",IFERROR(IF(K926="""","""",query('tbl user'!$A$2:$D10975,""SELECT A WHERE D = '""&amp;K926&amp;""'"")),""USER TIDAK DIKETAHUI""))"),"#REF!")</f>
        <v>#REF!</v>
      </c>
    </row>
    <row r="927">
      <c r="A927" s="21">
        <f t="shared" si="1"/>
        <v>0</v>
      </c>
      <c r="B927" s="32" t="s">
        <v>84</v>
      </c>
      <c r="C927" s="23" t="s">
        <v>195</v>
      </c>
      <c r="D927" s="23" t="s">
        <v>58</v>
      </c>
      <c r="E927" s="37">
        <v>45399.0</v>
      </c>
      <c r="F927" s="25">
        <v>0.28194444444444444</v>
      </c>
      <c r="G927" s="25">
        <v>0.6534722222222222</v>
      </c>
      <c r="H927" s="27">
        <f t="shared" si="2"/>
        <v>0.3715277778</v>
      </c>
      <c r="I927" s="28">
        <v>3.0</v>
      </c>
      <c r="J927" s="29" t="s">
        <v>612</v>
      </c>
      <c r="K927" s="30" t="s">
        <v>23</v>
      </c>
      <c r="L927" s="31" t="str">
        <f>IFERROR(__xludf.DUMMYFUNCTION("IF(OR(E927="""",K927=""""),"""",IFERROR(IF(K927="""","""",query('tbl user'!$A$2:$D10975,""SELECT A WHERE D = '""&amp;K927&amp;""'"")),""USER TIDAK DIKETAHUI""))"),"#REF!")</f>
        <v>#REF!</v>
      </c>
    </row>
    <row r="928">
      <c r="A928" s="21">
        <f t="shared" si="1"/>
        <v>0</v>
      </c>
      <c r="B928" s="32" t="s">
        <v>197</v>
      </c>
      <c r="C928" s="23" t="s">
        <v>198</v>
      </c>
      <c r="D928" s="23" t="s">
        <v>58</v>
      </c>
      <c r="E928" s="37">
        <v>45399.0</v>
      </c>
      <c r="F928" s="25">
        <v>0.2625</v>
      </c>
      <c r="G928" s="25">
        <v>0.6784722222222223</v>
      </c>
      <c r="H928" s="27">
        <f t="shared" si="2"/>
        <v>0.4159722222</v>
      </c>
      <c r="I928" s="28">
        <v>4.0</v>
      </c>
      <c r="J928" s="29" t="s">
        <v>55</v>
      </c>
      <c r="K928" s="30" t="s">
        <v>23</v>
      </c>
      <c r="L928" s="31" t="str">
        <f>IFERROR(__xludf.DUMMYFUNCTION("IF(OR(E928="""",K928=""""),"""",IFERROR(IF(K928="""","""",query('tbl user'!$A$2:$D10975,""SELECT A WHERE D = '""&amp;K928&amp;""'"")),""USER TIDAK DIKETAHUI""))"),"#REF!")</f>
        <v>#REF!</v>
      </c>
    </row>
    <row r="929">
      <c r="A929" s="21">
        <f t="shared" si="1"/>
        <v>0</v>
      </c>
      <c r="B929" s="32" t="s">
        <v>178</v>
      </c>
      <c r="C929" s="23" t="s">
        <v>201</v>
      </c>
      <c r="D929" s="23" t="s">
        <v>58</v>
      </c>
      <c r="E929" s="37">
        <v>45399.0</v>
      </c>
      <c r="F929" s="25">
        <v>0.31180555555555556</v>
      </c>
      <c r="G929" s="25">
        <v>0.6694444444444444</v>
      </c>
      <c r="H929" s="27">
        <f t="shared" si="2"/>
        <v>0.3576388889</v>
      </c>
      <c r="I929" s="28">
        <v>3.0</v>
      </c>
      <c r="J929" s="29" t="s">
        <v>612</v>
      </c>
      <c r="K929" s="30" t="s">
        <v>23</v>
      </c>
      <c r="L929" s="31" t="str">
        <f>IFERROR(__xludf.DUMMYFUNCTION("IF(OR(E929="""",K929=""""),"""",IFERROR(IF(K929="""","""",query('tbl user'!$A$2:$D10975,""SELECT A WHERE D = '""&amp;K929&amp;""'"")),""USER TIDAK DIKETAHUI""))"),"#REF!")</f>
        <v>#REF!</v>
      </c>
    </row>
    <row r="930">
      <c r="A930" s="21">
        <f t="shared" si="1"/>
        <v>0</v>
      </c>
      <c r="B930" s="32" t="s">
        <v>104</v>
      </c>
      <c r="C930" s="23" t="s">
        <v>105</v>
      </c>
      <c r="D930" s="23" t="s">
        <v>58</v>
      </c>
      <c r="E930" s="37">
        <v>45399.0</v>
      </c>
      <c r="F930" s="25">
        <v>0.2673611111111111</v>
      </c>
      <c r="G930" s="25">
        <v>0.6895833333333333</v>
      </c>
      <c r="H930" s="27">
        <f t="shared" si="2"/>
        <v>0.4222222222</v>
      </c>
      <c r="I930" s="28">
        <v>3.0</v>
      </c>
      <c r="J930" s="29" t="s">
        <v>612</v>
      </c>
      <c r="K930" s="30" t="s">
        <v>23</v>
      </c>
      <c r="L930" s="31" t="str">
        <f>IFERROR(__xludf.DUMMYFUNCTION("IF(OR(E930="""",K930=""""),"""",IFERROR(IF(K930="""","""",query('tbl user'!$A$2:$D10975,""SELECT A WHERE D = '""&amp;K930&amp;""'"")),""USER TIDAK DIKETAHUI""))"),"#REF!")</f>
        <v>#REF!</v>
      </c>
    </row>
    <row r="931">
      <c r="A931" s="21">
        <f t="shared" si="1"/>
        <v>0</v>
      </c>
      <c r="B931" s="32" t="s">
        <v>95</v>
      </c>
      <c r="C931" s="23" t="s">
        <v>203</v>
      </c>
      <c r="D931" s="23" t="s">
        <v>58</v>
      </c>
      <c r="E931" s="37">
        <v>45399.0</v>
      </c>
      <c r="F931" s="25">
        <v>0.28402777777777777</v>
      </c>
      <c r="G931" s="25">
        <v>0.6854166666666667</v>
      </c>
      <c r="H931" s="27">
        <f t="shared" si="2"/>
        <v>0.4013888889</v>
      </c>
      <c r="I931" s="28">
        <v>3.0</v>
      </c>
      <c r="J931" s="29" t="s">
        <v>612</v>
      </c>
      <c r="K931" s="30" t="s">
        <v>23</v>
      </c>
      <c r="L931" s="31" t="str">
        <f>IFERROR(__xludf.DUMMYFUNCTION("IF(OR(E931="""",K931=""""),"""",IFERROR(IF(K931="""","""",query('tbl user'!$A$2:$D10975,""SELECT A WHERE D = '""&amp;K931&amp;""'"")),""USER TIDAK DIKETAHUI""))"),"#REF!")</f>
        <v>#REF!</v>
      </c>
    </row>
    <row r="932">
      <c r="A932" s="21">
        <f t="shared" si="1"/>
        <v>0</v>
      </c>
      <c r="B932" s="32" t="s">
        <v>297</v>
      </c>
      <c r="C932" s="23" t="s">
        <v>348</v>
      </c>
      <c r="D932" s="23" t="s">
        <v>58</v>
      </c>
      <c r="E932" s="37">
        <v>45399.0</v>
      </c>
      <c r="F932" s="25">
        <v>0.29444444444444445</v>
      </c>
      <c r="G932" s="33">
        <v>0.6659722222222222</v>
      </c>
      <c r="H932" s="27">
        <f t="shared" si="2"/>
        <v>0.3715277778</v>
      </c>
      <c r="I932" s="28">
        <v>3.0</v>
      </c>
      <c r="J932" s="29" t="s">
        <v>612</v>
      </c>
      <c r="K932" s="30" t="s">
        <v>23</v>
      </c>
      <c r="L932" s="31" t="str">
        <f>IFERROR(__xludf.DUMMYFUNCTION("IF(OR(E932="""",K932=""""),"""",IFERROR(IF(K932="""","""",query('tbl user'!$A$2:$D10975,""SELECT A WHERE D = '""&amp;K932&amp;""'"")),""USER TIDAK DIKETAHUI""))"),"#REF!")</f>
        <v>#REF!</v>
      </c>
    </row>
    <row r="933">
      <c r="A933" s="21">
        <f t="shared" si="1"/>
        <v>0</v>
      </c>
      <c r="B933" s="32" t="s">
        <v>120</v>
      </c>
      <c r="C933" s="23" t="s">
        <v>206</v>
      </c>
      <c r="D933" s="23" t="s">
        <v>58</v>
      </c>
      <c r="E933" s="37">
        <v>45399.0</v>
      </c>
      <c r="F933" s="25">
        <v>0.26666666666666666</v>
      </c>
      <c r="G933" s="25">
        <v>0.6354166666666666</v>
      </c>
      <c r="H933" s="27">
        <f t="shared" si="2"/>
        <v>0.36875</v>
      </c>
      <c r="I933" s="28">
        <v>3.0</v>
      </c>
      <c r="J933" s="29" t="s">
        <v>612</v>
      </c>
      <c r="K933" s="30" t="s">
        <v>23</v>
      </c>
      <c r="L933" s="31" t="str">
        <f>IFERROR(__xludf.DUMMYFUNCTION("IF(OR(E933="""",K933=""""),"""",IFERROR(IF(K933="""","""",query('tbl user'!$A$2:$D10975,""SELECT A WHERE D = '""&amp;K933&amp;""'"")),""USER TIDAK DIKETAHUI""))"),"#REF!")</f>
        <v>#REF!</v>
      </c>
    </row>
    <row r="934">
      <c r="A934" s="21">
        <f t="shared" si="1"/>
        <v>0</v>
      </c>
      <c r="B934" s="32" t="s">
        <v>224</v>
      </c>
      <c r="C934" s="23" t="s">
        <v>208</v>
      </c>
      <c r="D934" s="23" t="s">
        <v>58</v>
      </c>
      <c r="E934" s="37">
        <v>45399.0</v>
      </c>
      <c r="F934" s="25">
        <v>0.27361111111111114</v>
      </c>
      <c r="G934" s="25">
        <v>0.6708333333333333</v>
      </c>
      <c r="H934" s="27">
        <f t="shared" si="2"/>
        <v>0.3972222222</v>
      </c>
      <c r="I934" s="28">
        <v>3.0</v>
      </c>
      <c r="J934" s="29" t="s">
        <v>612</v>
      </c>
      <c r="K934" s="30" t="s">
        <v>23</v>
      </c>
      <c r="L934" s="31" t="str">
        <f>IFERROR(__xludf.DUMMYFUNCTION("IF(OR(E934="""",K934=""""),"""",IFERROR(IF(K934="""","""",query('tbl user'!$A$2:$D10975,""SELECT A WHERE D = '""&amp;K934&amp;""'"")),""USER TIDAK DIKETAHUI""))"),"#REF!")</f>
        <v>#REF!</v>
      </c>
    </row>
    <row r="935">
      <c r="A935" s="21" t="str">
        <f t="shared" si="1"/>
        <v/>
      </c>
      <c r="B935" s="35"/>
      <c r="C935" s="23" t="s">
        <v>85</v>
      </c>
      <c r="D935" s="23" t="s">
        <v>58</v>
      </c>
      <c r="E935" s="37">
        <v>45399.0</v>
      </c>
      <c r="F935" s="25">
        <v>0.3548611111111111</v>
      </c>
      <c r="G935" s="25">
        <v>0.5979166666666667</v>
      </c>
      <c r="H935" s="27">
        <f t="shared" si="2"/>
        <v>0.2430555556</v>
      </c>
      <c r="I935" s="28">
        <v>0.0</v>
      </c>
      <c r="J935" s="29" t="s">
        <v>616</v>
      </c>
      <c r="K935" s="30" t="s">
        <v>23</v>
      </c>
      <c r="L935" s="31" t="str">
        <f>IFERROR(__xludf.DUMMYFUNCTION("IF(OR(E935="""",K935=""""),"""",IFERROR(IF(K935="""","""",query('tbl user'!$A$2:$D10975,""SELECT A WHERE D = '""&amp;K935&amp;""'"")),""USER TIDAK DIKETAHUI""))"),"#REF!")</f>
        <v>#REF!</v>
      </c>
    </row>
    <row r="936">
      <c r="A936" s="21">
        <f t="shared" si="1"/>
        <v>0</v>
      </c>
      <c r="B936" s="32" t="s">
        <v>34</v>
      </c>
      <c r="C936" s="23" t="s">
        <v>35</v>
      </c>
      <c r="D936" s="23" t="s">
        <v>21</v>
      </c>
      <c r="E936" s="37">
        <v>45399.0</v>
      </c>
      <c r="F936" s="25">
        <v>0.2708333333333333</v>
      </c>
      <c r="G936" s="25">
        <v>0.55625</v>
      </c>
      <c r="H936" s="27">
        <f t="shared" si="2"/>
        <v>0.2854166667</v>
      </c>
      <c r="I936" s="28">
        <v>1.0</v>
      </c>
      <c r="J936" s="29" t="s">
        <v>617</v>
      </c>
      <c r="K936" s="30" t="s">
        <v>23</v>
      </c>
      <c r="L936" s="31" t="str">
        <f>IFERROR(__xludf.DUMMYFUNCTION("IF(OR(E936="""",K936=""""),"""",IFERROR(IF(K936="""","""",query('tbl user'!$A$2:$D10975,""SELECT A WHERE D = '""&amp;K936&amp;""'"")),""USER TIDAK DIKETAHUI""))"),"#REF!")</f>
        <v>#REF!</v>
      </c>
    </row>
    <row r="937">
      <c r="A937" s="21">
        <f t="shared" si="1"/>
        <v>0</v>
      </c>
      <c r="B937" s="32" t="s">
        <v>24</v>
      </c>
      <c r="C937" s="23" t="s">
        <v>25</v>
      </c>
      <c r="D937" s="23" t="s">
        <v>21</v>
      </c>
      <c r="E937" s="37">
        <v>45399.0</v>
      </c>
      <c r="F937" s="25">
        <v>0.4215277777777778</v>
      </c>
      <c r="G937" s="25">
        <v>0.6180555555555556</v>
      </c>
      <c r="H937" s="27">
        <f t="shared" si="2"/>
        <v>0.1965277778</v>
      </c>
      <c r="I937" s="28">
        <v>1.0</v>
      </c>
      <c r="J937" s="29" t="s">
        <v>618</v>
      </c>
      <c r="K937" s="30" t="s">
        <v>23</v>
      </c>
      <c r="L937" s="31" t="str">
        <f>IFERROR(__xludf.DUMMYFUNCTION("IF(OR(E937="""",K937=""""),"""",IFERROR(IF(K937="""","""",query('tbl user'!$A$2:$D10975,""SELECT A WHERE D = '""&amp;K937&amp;""'"")),""USER TIDAK DIKETAHUI""))"),"#REF!")</f>
        <v>#REF!</v>
      </c>
    </row>
    <row r="938">
      <c r="A938" s="21">
        <f t="shared" si="1"/>
        <v>0</v>
      </c>
      <c r="B938" s="32" t="s">
        <v>225</v>
      </c>
      <c r="C938" s="23" t="s">
        <v>232</v>
      </c>
      <c r="D938" s="23" t="s">
        <v>21</v>
      </c>
      <c r="E938" s="37">
        <v>45399.0</v>
      </c>
      <c r="F938" s="25">
        <v>0.2875</v>
      </c>
      <c r="G938" s="25">
        <v>0.5520833333333334</v>
      </c>
      <c r="H938" s="27">
        <f t="shared" si="2"/>
        <v>0.2645833333</v>
      </c>
      <c r="I938" s="28">
        <v>1.0</v>
      </c>
      <c r="J938" s="29" t="s">
        <v>619</v>
      </c>
      <c r="K938" s="30" t="s">
        <v>23</v>
      </c>
      <c r="L938" s="31" t="str">
        <f>IFERROR(__xludf.DUMMYFUNCTION("IF(OR(E938="""",K938=""""),"""",IFERROR(IF(K938="""","""",query('tbl user'!$A$2:$D10975,""SELECT A WHERE D = '""&amp;K938&amp;""'"")),""USER TIDAK DIKETAHUI""))"),"#REF!")</f>
        <v>#REF!</v>
      </c>
    </row>
    <row r="939">
      <c r="A939" s="21">
        <f t="shared" si="1"/>
        <v>0</v>
      </c>
      <c r="B939" s="32" t="s">
        <v>253</v>
      </c>
      <c r="C939" s="23" t="s">
        <v>102</v>
      </c>
      <c r="D939" s="23" t="s">
        <v>21</v>
      </c>
      <c r="E939" s="37">
        <v>45399.0</v>
      </c>
      <c r="F939" s="25">
        <v>0.27361111111111114</v>
      </c>
      <c r="G939" s="25">
        <v>0.5625</v>
      </c>
      <c r="H939" s="27">
        <f t="shared" si="2"/>
        <v>0.2888888889</v>
      </c>
      <c r="I939" s="28">
        <v>1.0</v>
      </c>
      <c r="J939" s="29" t="s">
        <v>620</v>
      </c>
      <c r="K939" s="30" t="s">
        <v>23</v>
      </c>
      <c r="L939" s="31" t="str">
        <f>IFERROR(__xludf.DUMMYFUNCTION("IF(OR(E939="""",K939=""""),"""",IFERROR(IF(K939="""","""",query('tbl user'!$A$2:$D10975,""SELECT A WHERE D = '""&amp;K939&amp;""'"")),""USER TIDAK DIKETAHUI""))"),"#REF!")</f>
        <v>#REF!</v>
      </c>
    </row>
    <row r="940">
      <c r="A940" s="21">
        <f t="shared" si="1"/>
        <v>0</v>
      </c>
      <c r="B940" s="32" t="s">
        <v>238</v>
      </c>
      <c r="C940" s="23" t="s">
        <v>239</v>
      </c>
      <c r="D940" s="23" t="s">
        <v>21</v>
      </c>
      <c r="E940" s="37">
        <v>45399.0</v>
      </c>
      <c r="F940" s="25">
        <v>0.2881944444444444</v>
      </c>
      <c r="G940" s="25">
        <v>0.7791666666666667</v>
      </c>
      <c r="H940" s="27">
        <f t="shared" si="2"/>
        <v>0.4909722222</v>
      </c>
      <c r="I940" s="28">
        <v>2.0</v>
      </c>
      <c r="J940" s="29" t="s">
        <v>585</v>
      </c>
      <c r="K940" s="30" t="s">
        <v>23</v>
      </c>
      <c r="L940" s="31" t="str">
        <f>IFERROR(__xludf.DUMMYFUNCTION("IF(OR(E940="""",K940=""""),"""",IFERROR(IF(K940="""","""",query('tbl user'!$A$2:$D10975,""SELECT A WHERE D = '""&amp;K940&amp;""'"")),""USER TIDAK DIKETAHUI""))"),"#REF!")</f>
        <v>#REF!</v>
      </c>
    </row>
    <row r="941">
      <c r="A941" s="21">
        <f t="shared" si="1"/>
        <v>0</v>
      </c>
      <c r="B941" s="32" t="s">
        <v>240</v>
      </c>
      <c r="C941" s="23" t="s">
        <v>241</v>
      </c>
      <c r="D941" s="23" t="s">
        <v>21</v>
      </c>
      <c r="E941" s="37">
        <v>45399.0</v>
      </c>
      <c r="F941" s="25">
        <v>0.26319444444444445</v>
      </c>
      <c r="G941" s="25">
        <v>0.7423611111111111</v>
      </c>
      <c r="H941" s="27">
        <f t="shared" si="2"/>
        <v>0.4791666667</v>
      </c>
      <c r="I941" s="28">
        <v>2.0</v>
      </c>
      <c r="J941" s="29" t="s">
        <v>612</v>
      </c>
      <c r="K941" s="30" t="s">
        <v>23</v>
      </c>
      <c r="L941" s="31" t="str">
        <f>IFERROR(__xludf.DUMMYFUNCTION("IF(OR(E941="""",K941=""""),"""",IFERROR(IF(K941="""","""",query('tbl user'!$A$2:$D10975,""SELECT A WHERE D = '""&amp;K941&amp;""'"")),""USER TIDAK DIKETAHUI""))"),"#REF!")</f>
        <v>#REF!</v>
      </c>
    </row>
    <row r="942">
      <c r="A942" s="21">
        <f t="shared" si="1"/>
        <v>0</v>
      </c>
      <c r="B942" s="32" t="s">
        <v>243</v>
      </c>
      <c r="C942" s="23" t="s">
        <v>244</v>
      </c>
      <c r="D942" s="23" t="s">
        <v>21</v>
      </c>
      <c r="E942" s="37">
        <v>45399.0</v>
      </c>
      <c r="F942" s="25">
        <v>0.29375</v>
      </c>
      <c r="G942" s="25">
        <v>0.7652777777777777</v>
      </c>
      <c r="H942" s="27">
        <f t="shared" si="2"/>
        <v>0.4715277778</v>
      </c>
      <c r="I942" s="28">
        <v>2.0</v>
      </c>
      <c r="J942" s="29" t="s">
        <v>612</v>
      </c>
      <c r="K942" s="30" t="s">
        <v>23</v>
      </c>
      <c r="L942" s="31" t="str">
        <f>IFERROR(__xludf.DUMMYFUNCTION("IF(OR(E942="""",K942=""""),"""",IFERROR(IF(K942="""","""",query('tbl user'!$A$2:$D10975,""SELECT A WHERE D = '""&amp;K942&amp;""'"")),""USER TIDAK DIKETAHUI""))"),"#REF!")</f>
        <v>#REF!</v>
      </c>
    </row>
    <row r="943">
      <c r="A943" s="21">
        <f t="shared" si="1"/>
        <v>0</v>
      </c>
      <c r="B943" s="32" t="s">
        <v>159</v>
      </c>
      <c r="C943" s="23" t="s">
        <v>251</v>
      </c>
      <c r="D943" s="23" t="s">
        <v>21</v>
      </c>
      <c r="E943" s="37">
        <v>45399.0</v>
      </c>
      <c r="F943" s="25">
        <v>0.30625</v>
      </c>
      <c r="G943" s="25">
        <v>0.7756944444444445</v>
      </c>
      <c r="H943" s="27">
        <f t="shared" si="2"/>
        <v>0.4694444444</v>
      </c>
      <c r="I943" s="28">
        <v>2.0</v>
      </c>
      <c r="J943" s="29" t="s">
        <v>621</v>
      </c>
      <c r="K943" s="30" t="s">
        <v>23</v>
      </c>
      <c r="L943" s="31" t="str">
        <f>IFERROR(__xludf.DUMMYFUNCTION("IF(OR(E943="""",K943=""""),"""",IFERROR(IF(K943="""","""",query('tbl user'!$A$2:$D10975,""SELECT A WHERE D = '""&amp;K943&amp;""'"")),""USER TIDAK DIKETAHUI""))"),"#REF!")</f>
        <v>#REF!</v>
      </c>
    </row>
    <row r="944">
      <c r="A944" s="21">
        <f t="shared" si="1"/>
        <v>0</v>
      </c>
      <c r="B944" s="32" t="s">
        <v>156</v>
      </c>
      <c r="C944" s="23" t="s">
        <v>234</v>
      </c>
      <c r="D944" s="23" t="s">
        <v>21</v>
      </c>
      <c r="E944" s="37">
        <v>45399.0</v>
      </c>
      <c r="F944" s="25">
        <v>0.28125</v>
      </c>
      <c r="G944" s="25">
        <v>0.7013888888888888</v>
      </c>
      <c r="H944" s="27">
        <f t="shared" si="2"/>
        <v>0.4201388889</v>
      </c>
      <c r="I944" s="28">
        <v>2.0</v>
      </c>
      <c r="J944" s="29" t="s">
        <v>622</v>
      </c>
      <c r="K944" s="30" t="s">
        <v>23</v>
      </c>
      <c r="L944" s="31" t="str">
        <f>IFERROR(__xludf.DUMMYFUNCTION("IF(OR(E944="""",K944=""""),"""",IFERROR(IF(K944="""","""",query('tbl user'!$A$2:$D10975,""SELECT A WHERE D = '""&amp;K944&amp;""'"")),""USER TIDAK DIKETAHUI""))"),"#REF!")</f>
        <v>#REF!</v>
      </c>
    </row>
    <row r="945">
      <c r="A945" s="21">
        <f t="shared" si="1"/>
        <v>0</v>
      </c>
      <c r="B945" s="32" t="s">
        <v>305</v>
      </c>
      <c r="C945" s="23" t="s">
        <v>306</v>
      </c>
      <c r="D945" s="23" t="s">
        <v>21</v>
      </c>
      <c r="E945" s="37">
        <v>45399.0</v>
      </c>
      <c r="F945" s="25">
        <v>0.26666666666666666</v>
      </c>
      <c r="G945" s="25">
        <v>0.7715277777777778</v>
      </c>
      <c r="H945" s="27">
        <f t="shared" si="2"/>
        <v>0.5048611111</v>
      </c>
      <c r="I945" s="28">
        <v>2.0</v>
      </c>
      <c r="J945" s="29" t="s">
        <v>612</v>
      </c>
      <c r="K945" s="30" t="s">
        <v>23</v>
      </c>
      <c r="L945" s="31" t="str">
        <f>IFERROR(__xludf.DUMMYFUNCTION("IF(OR(E945="""",K945=""""),"""",IFERROR(IF(K945="""","""",query('tbl user'!$A$2:$D10975,""SELECT A WHERE D = '""&amp;K945&amp;""'"")),""USER TIDAK DIKETAHUI""))"),"#REF!")</f>
        <v>#REF!</v>
      </c>
    </row>
    <row r="946">
      <c r="A946" s="21">
        <f t="shared" si="1"/>
        <v>0</v>
      </c>
      <c r="B946" s="32" t="s">
        <v>593</v>
      </c>
      <c r="C946" s="23" t="s">
        <v>236</v>
      </c>
      <c r="D946" s="23" t="s">
        <v>21</v>
      </c>
      <c r="E946" s="37">
        <v>45399.0</v>
      </c>
      <c r="F946" s="25">
        <v>0.29375</v>
      </c>
      <c r="G946" s="25">
        <v>0.7868055555555555</v>
      </c>
      <c r="H946" s="27">
        <f t="shared" si="2"/>
        <v>0.4930555556</v>
      </c>
      <c r="I946" s="28">
        <v>2.0</v>
      </c>
      <c r="J946" s="29" t="s">
        <v>623</v>
      </c>
      <c r="K946" s="30" t="s">
        <v>23</v>
      </c>
      <c r="L946" s="31" t="str">
        <f>IFERROR(__xludf.DUMMYFUNCTION("IF(OR(E946="""",K946=""""),"""",IFERROR(IF(K946="""","""",query('tbl user'!$A$2:$D10975,""SELECT A WHERE D = '""&amp;K946&amp;""'"")),""USER TIDAK DIKETAHUI""))"),"#REF!")</f>
        <v>#REF!</v>
      </c>
    </row>
    <row r="947">
      <c r="A947" s="21">
        <f t="shared" si="1"/>
        <v>0</v>
      </c>
      <c r="B947" s="32" t="s">
        <v>258</v>
      </c>
      <c r="C947" s="23" t="s">
        <v>259</v>
      </c>
      <c r="D947" s="23" t="s">
        <v>21</v>
      </c>
      <c r="E947" s="37">
        <v>45399.0</v>
      </c>
      <c r="F947" s="25">
        <v>0.2673611111111111</v>
      </c>
      <c r="G947" s="25">
        <v>0.6944444444444444</v>
      </c>
      <c r="H947" s="27">
        <f t="shared" si="2"/>
        <v>0.4270833333</v>
      </c>
      <c r="I947" s="28">
        <v>2.0</v>
      </c>
      <c r="J947" s="29" t="s">
        <v>612</v>
      </c>
      <c r="K947" s="30" t="s">
        <v>23</v>
      </c>
      <c r="L947" s="31" t="str">
        <f>IFERROR(__xludf.DUMMYFUNCTION("IF(OR(E947="""",K947=""""),"""",IFERROR(IF(K947="""","""",query('tbl user'!$A$2:$D10975,""SELECT A WHERE D = '""&amp;K947&amp;""'"")),""USER TIDAK DIKETAHUI""))"),"#REF!")</f>
        <v>#REF!</v>
      </c>
    </row>
    <row r="948">
      <c r="A948" s="21">
        <f t="shared" si="1"/>
        <v>0</v>
      </c>
      <c r="B948" s="32" t="s">
        <v>260</v>
      </c>
      <c r="C948" s="23" t="s">
        <v>261</v>
      </c>
      <c r="D948" s="23" t="s">
        <v>21</v>
      </c>
      <c r="E948" s="37">
        <v>45399.0</v>
      </c>
      <c r="F948" s="25">
        <v>0.2965277777777778</v>
      </c>
      <c r="G948" s="25">
        <v>0.7527777777777778</v>
      </c>
      <c r="H948" s="27">
        <f t="shared" si="2"/>
        <v>0.45625</v>
      </c>
      <c r="I948" s="28">
        <v>2.0</v>
      </c>
      <c r="J948" s="29" t="s">
        <v>612</v>
      </c>
      <c r="K948" s="30" t="s">
        <v>23</v>
      </c>
      <c r="L948" s="31" t="str">
        <f>IFERROR(__xludf.DUMMYFUNCTION("IF(OR(E948="""",K948=""""),"""",IFERROR(IF(K948="""","""",query('tbl user'!$A$2:$D10975,""SELECT A WHERE D = '""&amp;K948&amp;""'"")),""USER TIDAK DIKETAHUI""))"),"#REF!")</f>
        <v>#REF!</v>
      </c>
    </row>
    <row r="949">
      <c r="A949" s="21">
        <f t="shared" si="1"/>
        <v>0</v>
      </c>
      <c r="B949" s="32" t="s">
        <v>281</v>
      </c>
      <c r="C949" s="23" t="s">
        <v>282</v>
      </c>
      <c r="D949" s="23" t="s">
        <v>21</v>
      </c>
      <c r="E949" s="37">
        <v>45399.0</v>
      </c>
      <c r="F949" s="25">
        <v>0.27569444444444446</v>
      </c>
      <c r="G949" s="25">
        <v>0.6881944444444444</v>
      </c>
      <c r="H949" s="27">
        <f t="shared" si="2"/>
        <v>0.4125</v>
      </c>
      <c r="I949" s="28">
        <v>2.0</v>
      </c>
      <c r="J949" s="29" t="s">
        <v>624</v>
      </c>
      <c r="K949" s="30" t="s">
        <v>23</v>
      </c>
      <c r="L949" s="31" t="str">
        <f>IFERROR(__xludf.DUMMYFUNCTION("IF(OR(E949="""",K949=""""),"""",IFERROR(IF(K949="""","""",query('tbl user'!$A$2:$D10975,""SELECT A WHERE D = '""&amp;K949&amp;""'"")),""USER TIDAK DIKETAHUI""))"),"#REF!")</f>
        <v>#REF!</v>
      </c>
    </row>
    <row r="950">
      <c r="A950" s="21">
        <f t="shared" si="1"/>
        <v>0</v>
      </c>
      <c r="B950" s="32" t="s">
        <v>175</v>
      </c>
      <c r="C950" s="23" t="s">
        <v>27</v>
      </c>
      <c r="D950" s="23" t="s">
        <v>21</v>
      </c>
      <c r="E950" s="37">
        <v>45399.0</v>
      </c>
      <c r="F950" s="25">
        <v>0.29444444444444445</v>
      </c>
      <c r="G950" s="25">
        <v>0.5513888888888889</v>
      </c>
      <c r="H950" s="27">
        <f t="shared" si="2"/>
        <v>0.2569444444</v>
      </c>
      <c r="I950" s="28">
        <v>2.0</v>
      </c>
      <c r="J950" s="29" t="s">
        <v>625</v>
      </c>
      <c r="K950" s="30" t="s">
        <v>23</v>
      </c>
      <c r="L950" s="31" t="str">
        <f>IFERROR(__xludf.DUMMYFUNCTION("IF(OR(E950="""",K950=""""),"""",IFERROR(IF(K950="""","""",query('tbl user'!$A$2:$D10975,""SELECT A WHERE D = '""&amp;K950&amp;""'"")),""USER TIDAK DIKETAHUI""))"),"#REF!")</f>
        <v>#REF!</v>
      </c>
    </row>
    <row r="951">
      <c r="A951" s="21">
        <f t="shared" si="1"/>
        <v>0</v>
      </c>
      <c r="B951" s="32" t="s">
        <v>61</v>
      </c>
      <c r="C951" s="23" t="s">
        <v>62</v>
      </c>
      <c r="D951" s="23" t="s">
        <v>21</v>
      </c>
      <c r="E951" s="37">
        <v>45399.0</v>
      </c>
      <c r="F951" s="25">
        <v>0.26875</v>
      </c>
      <c r="G951" s="25">
        <v>0.6854166666666667</v>
      </c>
      <c r="H951" s="27">
        <f t="shared" si="2"/>
        <v>0.4166666667</v>
      </c>
      <c r="I951" s="28">
        <v>3.0</v>
      </c>
      <c r="J951" s="29" t="s">
        <v>349</v>
      </c>
      <c r="K951" s="30" t="s">
        <v>23</v>
      </c>
      <c r="L951" s="31" t="str">
        <f>IFERROR(__xludf.DUMMYFUNCTION("IF(OR(E951="""",K951=""""),"""",IFERROR(IF(K951="""","""",query('tbl user'!$A$2:$D10975,""SELECT A WHERE D = '""&amp;K951&amp;""'"")),""USER TIDAK DIKETAHUI""))"),"#REF!")</f>
        <v>#REF!</v>
      </c>
    </row>
    <row r="952">
      <c r="A952" s="21">
        <f t="shared" si="1"/>
        <v>0</v>
      </c>
      <c r="B952" s="32" t="s">
        <v>289</v>
      </c>
      <c r="C952" s="23" t="s">
        <v>290</v>
      </c>
      <c r="D952" s="23" t="s">
        <v>21</v>
      </c>
      <c r="E952" s="37">
        <v>45399.0</v>
      </c>
      <c r="F952" s="25">
        <v>0.2798611111111111</v>
      </c>
      <c r="G952" s="25">
        <v>0.6715277777777777</v>
      </c>
      <c r="H952" s="27">
        <f t="shared" si="2"/>
        <v>0.3916666667</v>
      </c>
      <c r="I952" s="28">
        <v>3.0</v>
      </c>
      <c r="J952" s="29" t="s">
        <v>612</v>
      </c>
      <c r="K952" s="30" t="s">
        <v>23</v>
      </c>
      <c r="L952" s="31" t="str">
        <f>IFERROR(__xludf.DUMMYFUNCTION("IF(OR(E952="""",K952=""""),"""",IFERROR(IF(K952="""","""",query('tbl user'!$A$2:$D10975,""SELECT A WHERE D = '""&amp;K952&amp;""'"")),""USER TIDAK DIKETAHUI""))"),"#REF!")</f>
        <v>#REF!</v>
      </c>
    </row>
    <row r="953">
      <c r="A953" s="21">
        <f t="shared" si="1"/>
        <v>0</v>
      </c>
      <c r="B953" s="32" t="s">
        <v>286</v>
      </c>
      <c r="C953" s="23" t="s">
        <v>287</v>
      </c>
      <c r="D953" s="23" t="s">
        <v>21</v>
      </c>
      <c r="E953" s="37">
        <v>45399.0</v>
      </c>
      <c r="F953" s="25">
        <v>0.26180555555555557</v>
      </c>
      <c r="G953" s="25">
        <v>0.6180555555555556</v>
      </c>
      <c r="H953" s="27">
        <f t="shared" si="2"/>
        <v>0.35625</v>
      </c>
      <c r="I953" s="28">
        <v>3.0</v>
      </c>
      <c r="J953" s="29" t="s">
        <v>612</v>
      </c>
      <c r="K953" s="30" t="s">
        <v>23</v>
      </c>
      <c r="L953" s="31" t="str">
        <f>IFERROR(__xludf.DUMMYFUNCTION("IF(OR(E953="""",K953=""""),"""",IFERROR(IF(K953="""","""",query('tbl user'!$A$2:$D10975,""SELECT A WHERE D = '""&amp;K953&amp;""'"")),""USER TIDAK DIKETAHUI""))"),"#REF!")</f>
        <v>#REF!</v>
      </c>
    </row>
    <row r="954">
      <c r="A954" s="21">
        <f t="shared" si="1"/>
        <v>0</v>
      </c>
      <c r="B954" s="32" t="s">
        <v>37</v>
      </c>
      <c r="C954" s="23" t="s">
        <v>38</v>
      </c>
      <c r="D954" s="23" t="s">
        <v>21</v>
      </c>
      <c r="E954" s="37">
        <v>45399.0</v>
      </c>
      <c r="F954" s="25">
        <v>0.27361111111111114</v>
      </c>
      <c r="G954" s="25">
        <v>0.6861111111111111</v>
      </c>
      <c r="H954" s="27">
        <f t="shared" si="2"/>
        <v>0.4125</v>
      </c>
      <c r="I954" s="28">
        <v>4.0</v>
      </c>
      <c r="J954" s="29" t="s">
        <v>55</v>
      </c>
      <c r="K954" s="30" t="s">
        <v>23</v>
      </c>
      <c r="L954" s="31" t="str">
        <f>IFERROR(__xludf.DUMMYFUNCTION("IF(OR(E954="""",K954=""""),"""",IFERROR(IF(K954="""","""",query('tbl user'!$A$2:$D10975,""SELECT A WHERE D = '""&amp;K954&amp;""'"")),""USER TIDAK DIKETAHUI""))"),"#REF!")</f>
        <v>#REF!</v>
      </c>
    </row>
    <row r="955">
      <c r="A955" s="21">
        <f t="shared" si="1"/>
        <v>0</v>
      </c>
      <c r="B955" s="32" t="s">
        <v>64</v>
      </c>
      <c r="C955" s="23" t="s">
        <v>65</v>
      </c>
      <c r="D955" s="23" t="s">
        <v>21</v>
      </c>
      <c r="E955" s="37">
        <v>45399.0</v>
      </c>
      <c r="F955" s="25">
        <v>0.2777777777777778</v>
      </c>
      <c r="G955" s="25">
        <v>0.7340277777777777</v>
      </c>
      <c r="H955" s="27">
        <f t="shared" si="2"/>
        <v>0.45625</v>
      </c>
      <c r="I955" s="28">
        <v>4.0</v>
      </c>
      <c r="J955" s="29" t="s">
        <v>55</v>
      </c>
      <c r="K955" s="30" t="s">
        <v>23</v>
      </c>
      <c r="L955" s="31" t="str">
        <f>IFERROR(__xludf.DUMMYFUNCTION("IF(OR(E955="""",K955=""""),"""",IFERROR(IF(K955="""","""",query('tbl user'!$A$2:$D10975,""SELECT A WHERE D = '""&amp;K955&amp;""'"")),""USER TIDAK DIKETAHUI""))"),"#REF!")</f>
        <v>#REF!</v>
      </c>
    </row>
    <row r="956">
      <c r="A956" s="21">
        <f t="shared" si="1"/>
        <v>0</v>
      </c>
      <c r="B956" s="32" t="s">
        <v>229</v>
      </c>
      <c r="C956" s="23" t="s">
        <v>339</v>
      </c>
      <c r="D956" s="23" t="s">
        <v>21</v>
      </c>
      <c r="E956" s="37">
        <v>45399.0</v>
      </c>
      <c r="F956" s="25">
        <v>0.27361111111111114</v>
      </c>
      <c r="G956" s="25">
        <v>0.4083333333333333</v>
      </c>
      <c r="H956" s="27">
        <f t="shared" si="2"/>
        <v>0.1347222222</v>
      </c>
      <c r="I956" s="28">
        <v>1.0</v>
      </c>
      <c r="J956" s="29" t="s">
        <v>626</v>
      </c>
      <c r="K956" s="30" t="s">
        <v>23</v>
      </c>
      <c r="L956" s="31" t="str">
        <f>IFERROR(__xludf.DUMMYFUNCTION("IF(OR(E956="""",K956=""""),"""",IFERROR(IF(K956="""","""",query('tbl user'!$A$2:$D10975,""SELECT A WHERE D = '""&amp;K956&amp;""'"")),""USER TIDAK DIKETAHUI""))"),"#REF!")</f>
        <v>#REF!</v>
      </c>
    </row>
    <row r="957">
      <c r="A957" s="21">
        <f t="shared" si="1"/>
        <v>0</v>
      </c>
      <c r="B957" s="32" t="s">
        <v>331</v>
      </c>
      <c r="C957" s="23" t="s">
        <v>332</v>
      </c>
      <c r="D957" s="23" t="s">
        <v>21</v>
      </c>
      <c r="E957" s="37">
        <v>45399.0</v>
      </c>
      <c r="F957" s="25">
        <v>0.26180555555555557</v>
      </c>
      <c r="G957" s="25">
        <v>0.5979166666666667</v>
      </c>
      <c r="H957" s="27">
        <f t="shared" si="2"/>
        <v>0.3361111111</v>
      </c>
      <c r="I957" s="28">
        <v>3.0</v>
      </c>
      <c r="J957" s="29" t="s">
        <v>627</v>
      </c>
      <c r="K957" s="30" t="s">
        <v>23</v>
      </c>
      <c r="L957" s="31" t="str">
        <f>IFERROR(__xludf.DUMMYFUNCTION("IF(OR(E957="""",K957=""""),"""",IFERROR(IF(K957="""","""",query('tbl user'!$A$2:$D10975,""SELECT A WHERE D = '""&amp;K957&amp;""'"")),""USER TIDAK DIKETAHUI""))"),"#REF!")</f>
        <v>#REF!</v>
      </c>
    </row>
    <row r="958">
      <c r="A958" s="21">
        <f t="shared" si="1"/>
        <v>0</v>
      </c>
      <c r="B958" s="32" t="s">
        <v>78</v>
      </c>
      <c r="C958" s="23" t="s">
        <v>340</v>
      </c>
      <c r="D958" s="23" t="s">
        <v>21</v>
      </c>
      <c r="E958" s="37">
        <v>45399.0</v>
      </c>
      <c r="F958" s="25">
        <v>0.26666666666666666</v>
      </c>
      <c r="G958" s="25">
        <v>0.6770833333333334</v>
      </c>
      <c r="H958" s="27">
        <f t="shared" si="2"/>
        <v>0.4104166667</v>
      </c>
      <c r="I958" s="28">
        <v>3.0</v>
      </c>
      <c r="J958" s="29" t="s">
        <v>628</v>
      </c>
      <c r="K958" s="30" t="s">
        <v>23</v>
      </c>
      <c r="L958" s="31" t="str">
        <f>IFERROR(__xludf.DUMMYFUNCTION("IF(OR(E958="""",K958=""""),"""",IFERROR(IF(K958="""","""",query('tbl user'!$A$2:$D10975,""SELECT A WHERE D = '""&amp;K958&amp;""'"")),""USER TIDAK DIKETAHUI""))"),"#REF!")</f>
        <v>#REF!</v>
      </c>
    </row>
    <row r="959">
      <c r="A959" s="21">
        <f t="shared" si="1"/>
        <v>0</v>
      </c>
      <c r="B959" s="32" t="s">
        <v>335</v>
      </c>
      <c r="C959" s="23" t="s">
        <v>336</v>
      </c>
      <c r="D959" s="23" t="s">
        <v>21</v>
      </c>
      <c r="E959" s="37">
        <v>45399.0</v>
      </c>
      <c r="F959" s="25">
        <v>0.26875</v>
      </c>
      <c r="G959" s="25">
        <v>0.6395833333333333</v>
      </c>
      <c r="H959" s="27">
        <f t="shared" si="2"/>
        <v>0.3708333333</v>
      </c>
      <c r="I959" s="28">
        <v>4.0</v>
      </c>
      <c r="J959" s="29" t="s">
        <v>55</v>
      </c>
      <c r="K959" s="30" t="s">
        <v>23</v>
      </c>
      <c r="L959" s="31" t="str">
        <f>IFERROR(__xludf.DUMMYFUNCTION("IF(OR(E959="""",K959=""""),"""",IFERROR(IF(K959="""","""",query('tbl user'!$A$2:$D10975,""SELECT A WHERE D = '""&amp;K959&amp;""'"")),""USER TIDAK DIKETAHUI""))"),"#REF!")</f>
        <v>#REF!</v>
      </c>
    </row>
    <row r="960">
      <c r="A960" s="21">
        <f t="shared" si="1"/>
        <v>0</v>
      </c>
      <c r="B960" s="32" t="s">
        <v>220</v>
      </c>
      <c r="C960" s="23" t="s">
        <v>316</v>
      </c>
      <c r="D960" s="23" t="s">
        <v>21</v>
      </c>
      <c r="E960" s="37">
        <v>45399.0</v>
      </c>
      <c r="F960" s="25">
        <v>0.26666666666666666</v>
      </c>
      <c r="G960" s="25">
        <v>0.6416666666666667</v>
      </c>
      <c r="H960" s="27">
        <f t="shared" si="2"/>
        <v>0.375</v>
      </c>
      <c r="I960" s="28">
        <v>4.0</v>
      </c>
      <c r="J960" s="29" t="s">
        <v>55</v>
      </c>
      <c r="K960" s="30" t="s">
        <v>23</v>
      </c>
      <c r="L960" s="31" t="str">
        <f>IFERROR(__xludf.DUMMYFUNCTION("IF(OR(E960="""",K960=""""),"""",IFERROR(IF(K960="""","""",query('tbl user'!$A$2:$D10975,""SELECT A WHERE D = '""&amp;K960&amp;""'"")),""USER TIDAK DIKETAHUI""))"),"#REF!")</f>
        <v>#REF!</v>
      </c>
    </row>
    <row r="961">
      <c r="A961" s="21">
        <f t="shared" si="1"/>
        <v>0</v>
      </c>
      <c r="B961" s="32" t="s">
        <v>53</v>
      </c>
      <c r="C961" s="23" t="s">
        <v>54</v>
      </c>
      <c r="D961" s="23" t="s">
        <v>21</v>
      </c>
      <c r="E961" s="37">
        <v>45399.0</v>
      </c>
      <c r="F961" s="25">
        <v>0.2652777777777778</v>
      </c>
      <c r="G961" s="25">
        <v>0.6875</v>
      </c>
      <c r="H961" s="27">
        <f t="shared" si="2"/>
        <v>0.4222222222</v>
      </c>
      <c r="I961" s="28">
        <v>4.0</v>
      </c>
      <c r="J961" s="29" t="s">
        <v>55</v>
      </c>
      <c r="K961" s="30" t="s">
        <v>23</v>
      </c>
      <c r="L961" s="31" t="str">
        <f>IFERROR(__xludf.DUMMYFUNCTION("IF(OR(E961="""",K961=""""),"""",IFERROR(IF(K961="""","""",query('tbl user'!$A$2:$D10975,""SELECT A WHERE D = '""&amp;K961&amp;""'"")),""USER TIDAK DIKETAHUI""))"),"#REF!")</f>
        <v>#REF!</v>
      </c>
    </row>
    <row r="962">
      <c r="A962" s="21">
        <f t="shared" si="1"/>
        <v>0</v>
      </c>
      <c r="B962" s="32" t="s">
        <v>577</v>
      </c>
      <c r="C962" s="23" t="s">
        <v>330</v>
      </c>
      <c r="D962" s="23" t="s">
        <v>21</v>
      </c>
      <c r="E962" s="37">
        <v>45399.0</v>
      </c>
      <c r="F962" s="25">
        <v>0.2722222222222222</v>
      </c>
      <c r="G962" s="25">
        <v>0.6965277777777777</v>
      </c>
      <c r="H962" s="27">
        <f t="shared" si="2"/>
        <v>0.4243055556</v>
      </c>
      <c r="I962" s="28">
        <v>4.0</v>
      </c>
      <c r="J962" s="29" t="s">
        <v>55</v>
      </c>
      <c r="K962" s="30" t="s">
        <v>23</v>
      </c>
      <c r="L962" s="31" t="str">
        <f>IFERROR(__xludf.DUMMYFUNCTION("IF(OR(E962="""",K962=""""),"""",IFERROR(IF(K962="""","""",query('tbl user'!$A$2:$D10975,""SELECT A WHERE D = '""&amp;K962&amp;""'"")),""USER TIDAK DIKETAHUI""))"),"#REF!")</f>
        <v>#REF!</v>
      </c>
    </row>
    <row r="963">
      <c r="A963" s="21">
        <f t="shared" si="1"/>
        <v>0</v>
      </c>
      <c r="B963" s="32" t="s">
        <v>601</v>
      </c>
      <c r="C963" s="23" t="s">
        <v>323</v>
      </c>
      <c r="D963" s="23" t="s">
        <v>21</v>
      </c>
      <c r="E963" s="37">
        <v>45399.0</v>
      </c>
      <c r="F963" s="25">
        <v>0.2951388888888889</v>
      </c>
      <c r="G963" s="25">
        <v>0.76875</v>
      </c>
      <c r="H963" s="27">
        <f t="shared" si="2"/>
        <v>0.4736111111</v>
      </c>
      <c r="I963" s="28">
        <v>4.0</v>
      </c>
      <c r="J963" s="29" t="s">
        <v>55</v>
      </c>
      <c r="K963" s="30" t="s">
        <v>23</v>
      </c>
      <c r="L963" s="31" t="str">
        <f>IFERROR(__xludf.DUMMYFUNCTION("IF(OR(E963="""",K963=""""),"""",IFERROR(IF(K963="""","""",query('tbl user'!$A$2:$D10975,""SELECT A WHERE D = '""&amp;K963&amp;""'"")),""USER TIDAK DIKETAHUI""))"),"#REF!")</f>
        <v>#REF!</v>
      </c>
    </row>
    <row r="964">
      <c r="A964" s="21">
        <f t="shared" si="1"/>
        <v>0</v>
      </c>
      <c r="B964" s="32" t="s">
        <v>337</v>
      </c>
      <c r="C964" s="23" t="s">
        <v>338</v>
      </c>
      <c r="D964" s="23" t="s">
        <v>21</v>
      </c>
      <c r="E964" s="37">
        <v>45399.0</v>
      </c>
      <c r="F964" s="25">
        <v>0.26180555555555557</v>
      </c>
      <c r="G964" s="25">
        <v>0.7590277777777777</v>
      </c>
      <c r="H964" s="27">
        <f t="shared" si="2"/>
        <v>0.4972222222</v>
      </c>
      <c r="I964" s="28">
        <v>5.0</v>
      </c>
      <c r="J964" s="29" t="s">
        <v>55</v>
      </c>
      <c r="K964" s="30" t="s">
        <v>23</v>
      </c>
      <c r="L964" s="31" t="str">
        <f>IFERROR(__xludf.DUMMYFUNCTION("IF(OR(E964="""",K964=""""),"""",IFERROR(IF(K964="""","""",query('tbl user'!$A$2:$D10975,""SELECT A WHERE D = '""&amp;K964&amp;""'"")),""USER TIDAK DIKETAHUI""))"),"#REF!")</f>
        <v>#REF!</v>
      </c>
    </row>
    <row r="965">
      <c r="A965" s="21" t="str">
        <f t="shared" si="1"/>
        <v/>
      </c>
      <c r="B965" s="35"/>
      <c r="C965" s="23" t="s">
        <v>111</v>
      </c>
      <c r="D965" s="23" t="s">
        <v>32</v>
      </c>
      <c r="E965" s="37">
        <v>45399.0</v>
      </c>
      <c r="F965" s="25">
        <v>0.2743055555555556</v>
      </c>
      <c r="G965" s="33">
        <v>0.32708333333333334</v>
      </c>
      <c r="H965" s="27">
        <f t="shared" si="2"/>
        <v>0.05277777778</v>
      </c>
      <c r="I965" s="28">
        <v>0.0</v>
      </c>
      <c r="J965" s="29" t="s">
        <v>618</v>
      </c>
      <c r="K965" s="30" t="s">
        <v>23</v>
      </c>
      <c r="L965" s="31" t="str">
        <f>IFERROR(__xludf.DUMMYFUNCTION("IF(OR(E965="""",K965=""""),"""",IFERROR(IF(K965="""","""",query('tbl user'!$A$2:$D10975,""SELECT A WHERE D = '""&amp;K965&amp;""'"")),""USER TIDAK DIKETAHUI""))"),"#REF!")</f>
        <v>#REF!</v>
      </c>
    </row>
    <row r="966">
      <c r="A966" s="21">
        <f t="shared" si="1"/>
        <v>0</v>
      </c>
      <c r="B966" s="32" t="s">
        <v>30</v>
      </c>
      <c r="C966" s="23" t="s">
        <v>31</v>
      </c>
      <c r="D966" s="23" t="s">
        <v>32</v>
      </c>
      <c r="E966" s="37">
        <v>45399.0</v>
      </c>
      <c r="F966" s="25">
        <v>0.3263888888888889</v>
      </c>
      <c r="G966" s="25">
        <v>0.5979166666666667</v>
      </c>
      <c r="H966" s="27">
        <f t="shared" si="2"/>
        <v>0.2715277778</v>
      </c>
      <c r="I966" s="28">
        <v>2.0</v>
      </c>
      <c r="J966" s="29" t="s">
        <v>629</v>
      </c>
      <c r="K966" s="30" t="s">
        <v>23</v>
      </c>
      <c r="L966" s="31" t="str">
        <f>IFERROR(__xludf.DUMMYFUNCTION("IF(OR(E966="""",K966=""""),"""",IFERROR(IF(K966="""","""",query('tbl user'!$A$2:$D10975,""SELECT A WHERE D = '""&amp;K966&amp;""'"")),""USER TIDAK DIKETAHUI""))"),"#REF!")</f>
        <v>#REF!</v>
      </c>
    </row>
    <row r="967">
      <c r="A967" s="21">
        <f t="shared" si="1"/>
        <v>0</v>
      </c>
      <c r="B967" s="32" t="s">
        <v>412</v>
      </c>
      <c r="C967" s="23" t="s">
        <v>413</v>
      </c>
      <c r="D967" s="23" t="s">
        <v>32</v>
      </c>
      <c r="E967" s="37">
        <v>45399.0</v>
      </c>
      <c r="F967" s="25">
        <v>0.26875</v>
      </c>
      <c r="G967" s="25">
        <v>0.7743055555555556</v>
      </c>
      <c r="H967" s="27">
        <f t="shared" si="2"/>
        <v>0.5055555556</v>
      </c>
      <c r="I967" s="28">
        <v>3.0</v>
      </c>
      <c r="J967" s="29" t="s">
        <v>630</v>
      </c>
      <c r="K967" s="30" t="s">
        <v>23</v>
      </c>
      <c r="L967" s="31" t="str">
        <f>IFERROR(__xludf.DUMMYFUNCTION("IF(OR(E967="""",K967=""""),"""",IFERROR(IF(K967="""","""",query('tbl user'!$A$2:$D10975,""SELECT A WHERE D = '""&amp;K967&amp;""'"")),""USER TIDAK DIKETAHUI""))"),"#REF!")</f>
        <v>#REF!</v>
      </c>
    </row>
    <row r="968">
      <c r="A968" s="21">
        <f t="shared" si="1"/>
        <v>0</v>
      </c>
      <c r="B968" s="32" t="s">
        <v>146</v>
      </c>
      <c r="C968" s="23" t="s">
        <v>147</v>
      </c>
      <c r="D968" s="23" t="s">
        <v>32</v>
      </c>
      <c r="E968" s="37">
        <v>45399.0</v>
      </c>
      <c r="F968" s="25">
        <v>0.27361111111111114</v>
      </c>
      <c r="G968" s="25">
        <v>0.6458333333333334</v>
      </c>
      <c r="H968" s="27">
        <f t="shared" si="2"/>
        <v>0.3722222222</v>
      </c>
      <c r="I968" s="28">
        <v>3.0</v>
      </c>
      <c r="J968" s="29" t="s">
        <v>612</v>
      </c>
      <c r="K968" s="30" t="s">
        <v>23</v>
      </c>
      <c r="L968" s="31" t="str">
        <f>IFERROR(__xludf.DUMMYFUNCTION("IF(OR(E968="""",K968=""""),"""",IFERROR(IF(K968="""","""",query('tbl user'!$A$2:$D10975,""SELECT A WHERE D = '""&amp;K968&amp;""'"")),""USER TIDAK DIKETAHUI""))"),"#REF!")</f>
        <v>#REF!</v>
      </c>
    </row>
    <row r="969">
      <c r="A969" s="21">
        <f t="shared" si="1"/>
        <v>0</v>
      </c>
      <c r="B969" s="32" t="s">
        <v>113</v>
      </c>
      <c r="C969" s="23" t="s">
        <v>114</v>
      </c>
      <c r="D969" s="23" t="s">
        <v>32</v>
      </c>
      <c r="E969" s="37">
        <v>45399.0</v>
      </c>
      <c r="F969" s="25">
        <v>0.2625</v>
      </c>
      <c r="G969" s="25">
        <v>0.7520833333333333</v>
      </c>
      <c r="H969" s="27">
        <f t="shared" si="2"/>
        <v>0.4895833333</v>
      </c>
      <c r="I969" s="28">
        <v>4.0</v>
      </c>
      <c r="J969" s="29" t="s">
        <v>55</v>
      </c>
      <c r="K969" s="30" t="s">
        <v>23</v>
      </c>
      <c r="L969" s="31" t="str">
        <f>IFERROR(__xludf.DUMMYFUNCTION("IF(OR(E969="""",K969=""""),"""",IFERROR(IF(K969="""","""",query('tbl user'!$A$2:$D10975,""SELECT A WHERE D = '""&amp;K969&amp;""'"")),""USER TIDAK DIKETAHUI""))"),"#REF!")</f>
        <v>#REF!</v>
      </c>
    </row>
    <row r="970">
      <c r="A970" s="21">
        <f t="shared" si="1"/>
        <v>0</v>
      </c>
      <c r="B970" s="32" t="s">
        <v>115</v>
      </c>
      <c r="C970" s="23" t="s">
        <v>116</v>
      </c>
      <c r="D970" s="23" t="s">
        <v>32</v>
      </c>
      <c r="E970" s="37">
        <v>45399.0</v>
      </c>
      <c r="F970" s="25">
        <v>0.26666666666666666</v>
      </c>
      <c r="G970" s="25">
        <v>0.7638888888888888</v>
      </c>
      <c r="H970" s="27">
        <f t="shared" si="2"/>
        <v>0.4972222222</v>
      </c>
      <c r="I970" s="28">
        <v>4.0</v>
      </c>
      <c r="J970" s="29" t="s">
        <v>55</v>
      </c>
      <c r="K970" s="30" t="s">
        <v>23</v>
      </c>
      <c r="L970" s="31" t="str">
        <f>IFERROR(__xludf.DUMMYFUNCTION("IF(OR(E970="""",K970=""""),"""",IFERROR(IF(K970="""","""",query('tbl user'!$A$2:$D10975,""SELECT A WHERE D = '""&amp;K970&amp;""'"")),""USER TIDAK DIKETAHUI""))"),"#REF!")</f>
        <v>#REF!</v>
      </c>
    </row>
    <row r="971">
      <c r="A971" s="21">
        <f t="shared" si="1"/>
        <v>0</v>
      </c>
      <c r="B971" s="32" t="s">
        <v>118</v>
      </c>
      <c r="C971" s="23" t="s">
        <v>119</v>
      </c>
      <c r="D971" s="23" t="s">
        <v>32</v>
      </c>
      <c r="E971" s="37">
        <v>45399.0</v>
      </c>
      <c r="F971" s="25">
        <v>0.2638888888888889</v>
      </c>
      <c r="G971" s="25">
        <v>0.6944444444444444</v>
      </c>
      <c r="H971" s="27">
        <f t="shared" si="2"/>
        <v>0.4305555556</v>
      </c>
      <c r="I971" s="28">
        <v>4.0</v>
      </c>
      <c r="J971" s="29" t="s">
        <v>55</v>
      </c>
      <c r="K971" s="30" t="s">
        <v>23</v>
      </c>
      <c r="L971" s="31" t="str">
        <f>IFERROR(__xludf.DUMMYFUNCTION("IF(OR(E971="""",K971=""""),"""",IFERROR(IF(K971="""","""",query('tbl user'!$A$2:$D10975,""SELECT A WHERE D = '""&amp;K971&amp;""'"")),""USER TIDAK DIKETAHUI""))"),"#REF!")</f>
        <v>#REF!</v>
      </c>
    </row>
    <row r="972">
      <c r="A972" s="21">
        <f t="shared" si="1"/>
        <v>0</v>
      </c>
      <c r="B972" s="32" t="s">
        <v>263</v>
      </c>
      <c r="C972" s="23" t="s">
        <v>264</v>
      </c>
      <c r="D972" s="23" t="s">
        <v>32</v>
      </c>
      <c r="E972" s="37">
        <v>45399.0</v>
      </c>
      <c r="F972" s="25">
        <v>0.2659722222222222</v>
      </c>
      <c r="G972" s="25">
        <v>0.7583333333333333</v>
      </c>
      <c r="H972" s="27">
        <f t="shared" si="2"/>
        <v>0.4923611111</v>
      </c>
      <c r="I972" s="28">
        <v>4.0</v>
      </c>
      <c r="J972" s="29" t="s">
        <v>55</v>
      </c>
      <c r="K972" s="30" t="s">
        <v>23</v>
      </c>
      <c r="L972" s="31" t="str">
        <f>IFERROR(__xludf.DUMMYFUNCTION("IF(OR(E972="""",K972=""""),"""",IFERROR(IF(K972="""","""",query('tbl user'!$A$2:$D10975,""SELECT A WHERE D = '""&amp;K972&amp;""'"")),""USER TIDAK DIKETAHUI""))"),"#REF!")</f>
        <v>#REF!</v>
      </c>
    </row>
    <row r="973">
      <c r="A973" s="21">
        <f t="shared" si="1"/>
        <v>0</v>
      </c>
      <c r="B973" s="32" t="s">
        <v>149</v>
      </c>
      <c r="C973" s="23" t="s">
        <v>150</v>
      </c>
      <c r="D973" s="23" t="s">
        <v>32</v>
      </c>
      <c r="E973" s="37">
        <v>45399.0</v>
      </c>
      <c r="F973" s="25">
        <v>0.2673611111111111</v>
      </c>
      <c r="G973" s="25">
        <v>0.7854166666666667</v>
      </c>
      <c r="H973" s="27">
        <f t="shared" si="2"/>
        <v>0.5180555556</v>
      </c>
      <c r="I973" s="28">
        <v>4.0</v>
      </c>
      <c r="J973" s="29" t="s">
        <v>55</v>
      </c>
      <c r="K973" s="30" t="s">
        <v>23</v>
      </c>
      <c r="L973" s="31" t="str">
        <f>IFERROR(__xludf.DUMMYFUNCTION("IF(OR(E973="""",K973=""""),"""",IFERROR(IF(K973="""","""",query('tbl user'!$A$2:$D10975,""SELECT A WHERE D = '""&amp;K973&amp;""'"")),""USER TIDAK DIKETAHUI""))"),"#REF!")</f>
        <v>#REF!</v>
      </c>
    </row>
    <row r="974">
      <c r="A974" s="21">
        <f t="shared" si="1"/>
        <v>0</v>
      </c>
      <c r="B974" s="32" t="s">
        <v>151</v>
      </c>
      <c r="C974" s="23" t="s">
        <v>152</v>
      </c>
      <c r="D974" s="23" t="s">
        <v>32</v>
      </c>
      <c r="E974" s="37">
        <v>45399.0</v>
      </c>
      <c r="F974" s="25">
        <v>0.26805555555555555</v>
      </c>
      <c r="G974" s="25">
        <v>0.775</v>
      </c>
      <c r="H974" s="27">
        <f t="shared" si="2"/>
        <v>0.5069444444</v>
      </c>
      <c r="I974" s="28">
        <v>4.0</v>
      </c>
      <c r="J974" s="29" t="s">
        <v>55</v>
      </c>
      <c r="K974" s="30" t="s">
        <v>23</v>
      </c>
      <c r="L974" s="31" t="str">
        <f>IFERROR(__xludf.DUMMYFUNCTION("IF(OR(E974="""",K974=""""),"""",IFERROR(IF(K974="""","""",query('tbl user'!$A$2:$D10975,""SELECT A WHERE D = '""&amp;K974&amp;""'"")),""USER TIDAK DIKETAHUI""))"),"#REF!")</f>
        <v>#REF!</v>
      </c>
    </row>
    <row r="975">
      <c r="A975" s="21">
        <f t="shared" si="1"/>
        <v>0</v>
      </c>
      <c r="B975" s="32" t="s">
        <v>293</v>
      </c>
      <c r="C975" s="23" t="s">
        <v>211</v>
      </c>
      <c r="D975" s="23" t="s">
        <v>58</v>
      </c>
      <c r="E975" s="37">
        <v>45400.0</v>
      </c>
      <c r="F975" s="25">
        <v>0.27361111111111114</v>
      </c>
      <c r="G975" s="25">
        <v>0.42569444444444443</v>
      </c>
      <c r="H975" s="27">
        <f t="shared" si="2"/>
        <v>0.1520833333</v>
      </c>
      <c r="I975" s="28">
        <v>1.0</v>
      </c>
      <c r="J975" s="29" t="s">
        <v>631</v>
      </c>
      <c r="K975" s="30" t="s">
        <v>23</v>
      </c>
      <c r="L975" s="31" t="str">
        <f>IFERROR(__xludf.DUMMYFUNCTION("IF(OR(E975="""",K975=""""),"""",IFERROR(IF(K975="""","""",query('tbl user'!$A$2:$D10975,""SELECT A WHERE D = '""&amp;K975&amp;""'"")),""USER TIDAK DIKETAHUI""))"),"#REF!")</f>
        <v>#REF!</v>
      </c>
    </row>
    <row r="976">
      <c r="A976" s="21">
        <f t="shared" si="1"/>
        <v>0</v>
      </c>
      <c r="B976" s="32" t="s">
        <v>167</v>
      </c>
      <c r="C976" s="23" t="s">
        <v>168</v>
      </c>
      <c r="D976" s="23" t="s">
        <v>58</v>
      </c>
      <c r="E976" s="37">
        <v>45400.0</v>
      </c>
      <c r="F976" s="25">
        <v>0.3715277777777778</v>
      </c>
      <c r="G976" s="25">
        <v>0.6479166666666667</v>
      </c>
      <c r="H976" s="27">
        <f t="shared" si="2"/>
        <v>0.2763888889</v>
      </c>
      <c r="I976" s="28">
        <v>2.0</v>
      </c>
      <c r="J976" s="29" t="s">
        <v>523</v>
      </c>
      <c r="K976" s="30" t="s">
        <v>23</v>
      </c>
      <c r="L976" s="31" t="str">
        <f>IFERROR(__xludf.DUMMYFUNCTION("IF(OR(E976="""",K976=""""),"""",IFERROR(IF(K976="""","""",query('tbl user'!$A$2:$D10975,""SELECT A WHERE D = '""&amp;K976&amp;""'"")),""USER TIDAK DIKETAHUI""))"),"#REF!")</f>
        <v>#REF!</v>
      </c>
    </row>
    <row r="977">
      <c r="A977" s="21">
        <f t="shared" si="1"/>
        <v>0</v>
      </c>
      <c r="B977" s="32" t="s">
        <v>214</v>
      </c>
      <c r="C977" s="23" t="s">
        <v>170</v>
      </c>
      <c r="D977" s="23" t="s">
        <v>58</v>
      </c>
      <c r="E977" s="37">
        <v>45400.0</v>
      </c>
      <c r="F977" s="25">
        <v>0.33402777777777776</v>
      </c>
      <c r="G977" s="25">
        <v>0.5875</v>
      </c>
      <c r="H977" s="27">
        <f t="shared" si="2"/>
        <v>0.2534722222</v>
      </c>
      <c r="I977" s="28">
        <v>2.0</v>
      </c>
      <c r="J977" s="29" t="s">
        <v>632</v>
      </c>
      <c r="K977" s="30" t="s">
        <v>23</v>
      </c>
      <c r="L977" s="31" t="str">
        <f>IFERROR(__xludf.DUMMYFUNCTION("IF(OR(E977="""",K977=""""),"""",IFERROR(IF(K977="""","""",query('tbl user'!$A$2:$D10975,""SELECT A WHERE D = '""&amp;K977&amp;""'"")),""USER TIDAK DIKETAHUI""))"),"#REF!")</f>
        <v>#REF!</v>
      </c>
    </row>
    <row r="978">
      <c r="A978" s="21">
        <f t="shared" si="1"/>
        <v>0</v>
      </c>
      <c r="B978" s="32" t="s">
        <v>178</v>
      </c>
      <c r="C978" s="23" t="s">
        <v>82</v>
      </c>
      <c r="D978" s="23" t="s">
        <v>58</v>
      </c>
      <c r="E978" s="37">
        <v>45400.0</v>
      </c>
      <c r="F978" s="25">
        <v>0.2916666666666667</v>
      </c>
      <c r="G978" s="25">
        <v>0.65</v>
      </c>
      <c r="H978" s="27">
        <f t="shared" si="2"/>
        <v>0.3583333333</v>
      </c>
      <c r="I978" s="28">
        <v>2.0</v>
      </c>
      <c r="J978" s="29" t="s">
        <v>633</v>
      </c>
      <c r="K978" s="30" t="s">
        <v>23</v>
      </c>
      <c r="L978" s="31" t="str">
        <f>IFERROR(__xludf.DUMMYFUNCTION("IF(OR(E978="""",K978=""""),"""",IFERROR(IF(K978="""","""",query('tbl user'!$A$2:$D10975,""SELECT A WHERE D = '""&amp;K978&amp;""'"")),""USER TIDAK DIKETAHUI""))"),"#REF!")</f>
        <v>#REF!</v>
      </c>
    </row>
    <row r="979">
      <c r="A979" s="21">
        <f t="shared" si="1"/>
        <v>0</v>
      </c>
      <c r="B979" s="32" t="s">
        <v>267</v>
      </c>
      <c r="C979" s="23" t="s">
        <v>85</v>
      </c>
      <c r="D979" s="23" t="s">
        <v>58</v>
      </c>
      <c r="E979" s="37">
        <v>45400.0</v>
      </c>
      <c r="F979" s="25">
        <v>0.2652777777777778</v>
      </c>
      <c r="G979" s="25">
        <v>0.5423611111111111</v>
      </c>
      <c r="H979" s="27">
        <f t="shared" si="2"/>
        <v>0.2770833333</v>
      </c>
      <c r="I979" s="28">
        <v>2.0</v>
      </c>
      <c r="J979" s="29" t="s">
        <v>585</v>
      </c>
      <c r="K979" s="30" t="s">
        <v>23</v>
      </c>
      <c r="L979" s="31" t="str">
        <f>IFERROR(__xludf.DUMMYFUNCTION("IF(OR(E979="""",K979=""""),"""",IFERROR(IF(K979="""","""",query('tbl user'!$A$2:$D10975,""SELECT A WHERE D = '""&amp;K979&amp;""'"")),""USER TIDAK DIKETAHUI""))"),"#REF!")</f>
        <v>#REF!</v>
      </c>
    </row>
    <row r="980">
      <c r="A980" s="21">
        <f t="shared" si="1"/>
        <v>0</v>
      </c>
      <c r="B980" s="32" t="s">
        <v>67</v>
      </c>
      <c r="C980" s="23" t="s">
        <v>68</v>
      </c>
      <c r="D980" s="23" t="s">
        <v>58</v>
      </c>
      <c r="E980" s="37">
        <v>45400.0</v>
      </c>
      <c r="F980" s="25">
        <v>0.3159722222222222</v>
      </c>
      <c r="G980" s="25">
        <v>0.7048611111111112</v>
      </c>
      <c r="H980" s="27">
        <f t="shared" si="2"/>
        <v>0.3888888889</v>
      </c>
      <c r="I980" s="28">
        <v>3.0</v>
      </c>
      <c r="J980" s="29" t="s">
        <v>352</v>
      </c>
      <c r="K980" s="30" t="s">
        <v>23</v>
      </c>
      <c r="L980" s="31" t="str">
        <f>IFERROR(__xludf.DUMMYFUNCTION("IF(OR(E980="""",K980=""""),"""",IFERROR(IF(K980="""","""",query('tbl user'!$A$2:$D10975,""SELECT A WHERE D = '""&amp;K980&amp;""'"")),""USER TIDAK DIKETAHUI""))"),"#REF!")</f>
        <v>#REF!</v>
      </c>
    </row>
    <row r="981">
      <c r="A981" s="21">
        <f t="shared" si="1"/>
        <v>0</v>
      </c>
      <c r="B981" s="32" t="s">
        <v>92</v>
      </c>
      <c r="C981" s="23" t="s">
        <v>93</v>
      </c>
      <c r="D981" s="23" t="s">
        <v>58</v>
      </c>
      <c r="E981" s="37">
        <v>45400.0</v>
      </c>
      <c r="F981" s="25">
        <v>0.22291666666666668</v>
      </c>
      <c r="G981" s="25">
        <v>0.6145833333333334</v>
      </c>
      <c r="H981" s="27">
        <f t="shared" si="2"/>
        <v>0.3916666667</v>
      </c>
      <c r="I981" s="28">
        <v>3.0</v>
      </c>
      <c r="J981" s="29" t="s">
        <v>634</v>
      </c>
      <c r="K981" s="30" t="s">
        <v>23</v>
      </c>
      <c r="L981" s="31" t="str">
        <f>IFERROR(__xludf.DUMMYFUNCTION("IF(OR(E981="""",K981=""""),"""",IFERROR(IF(K981="""","""",query('tbl user'!$A$2:$D10975,""SELECT A WHERE D = '""&amp;K981&amp;""'"")),""USER TIDAK DIKETAHUI""))"),"#REF!")</f>
        <v>#REF!</v>
      </c>
    </row>
    <row r="982">
      <c r="A982" s="21">
        <f t="shared" si="1"/>
        <v>0</v>
      </c>
      <c r="B982" s="32" t="s">
        <v>333</v>
      </c>
      <c r="C982" s="23" t="s">
        <v>176</v>
      </c>
      <c r="D982" s="23" t="s">
        <v>58</v>
      </c>
      <c r="E982" s="37">
        <v>45400.0</v>
      </c>
      <c r="F982" s="25">
        <v>0.2701388888888889</v>
      </c>
      <c r="G982" s="25">
        <v>0.6902777777777778</v>
      </c>
      <c r="H982" s="27">
        <f t="shared" si="2"/>
        <v>0.4201388889</v>
      </c>
      <c r="I982" s="28">
        <v>3.0</v>
      </c>
      <c r="J982" s="29" t="s">
        <v>352</v>
      </c>
      <c r="K982" s="30" t="s">
        <v>23</v>
      </c>
      <c r="L982" s="31" t="str">
        <f>IFERROR(__xludf.DUMMYFUNCTION("IF(OR(E982="""",K982=""""),"""",IFERROR(IF(K982="""","""",query('tbl user'!$A$2:$D10975,""SELECT A WHERE D = '""&amp;K982&amp;""'"")),""USER TIDAK DIKETAHUI""))"),"#REF!")</f>
        <v>#REF!</v>
      </c>
    </row>
    <row r="983">
      <c r="A983" s="21">
        <f t="shared" si="1"/>
        <v>0</v>
      </c>
      <c r="B983" s="32" t="s">
        <v>56</v>
      </c>
      <c r="C983" s="23" t="s">
        <v>57</v>
      </c>
      <c r="D983" s="23" t="s">
        <v>58</v>
      </c>
      <c r="E983" s="37">
        <v>45400.0</v>
      </c>
      <c r="F983" s="25">
        <v>0.29791666666666666</v>
      </c>
      <c r="G983" s="25">
        <v>0.68125</v>
      </c>
      <c r="H983" s="27">
        <f t="shared" si="2"/>
        <v>0.3833333333</v>
      </c>
      <c r="I983" s="28">
        <v>3.0</v>
      </c>
      <c r="J983" s="29" t="s">
        <v>352</v>
      </c>
      <c r="K983" s="30" t="s">
        <v>23</v>
      </c>
      <c r="L983" s="31" t="str">
        <f>IFERROR(__xludf.DUMMYFUNCTION("IF(OR(E983="""",K983=""""),"""",IFERROR(IF(K983="""","""",query('tbl user'!$A$2:$D10975,""SELECT A WHERE D = '""&amp;K983&amp;""'"")),""USER TIDAK DIKETAHUI""))"),"#REF!")</f>
        <v>#REF!</v>
      </c>
    </row>
    <row r="984">
      <c r="A984" s="21">
        <f t="shared" si="1"/>
        <v>0</v>
      </c>
      <c r="B984" s="32" t="s">
        <v>133</v>
      </c>
      <c r="C984" s="23" t="s">
        <v>181</v>
      </c>
      <c r="D984" s="23" t="s">
        <v>58</v>
      </c>
      <c r="E984" s="37">
        <v>45400.0</v>
      </c>
      <c r="F984" s="25">
        <v>0.22083333333333333</v>
      </c>
      <c r="G984" s="25">
        <v>0.6354166666666666</v>
      </c>
      <c r="H984" s="27">
        <f t="shared" si="2"/>
        <v>0.4145833333</v>
      </c>
      <c r="I984" s="28">
        <v>3.0</v>
      </c>
      <c r="J984" s="29" t="s">
        <v>352</v>
      </c>
      <c r="K984" s="30" t="s">
        <v>23</v>
      </c>
      <c r="L984" s="31" t="str">
        <f>IFERROR(__xludf.DUMMYFUNCTION("IF(OR(E984="""",K984=""""),"""",IFERROR(IF(K984="""","""",query('tbl user'!$A$2:$D10975,""SELECT A WHERE D = '""&amp;K984&amp;""'"")),""USER TIDAK DIKETAHUI""))"),"#REF!")</f>
        <v>#REF!</v>
      </c>
    </row>
    <row r="985">
      <c r="A985" s="21">
        <f t="shared" si="1"/>
        <v>0</v>
      </c>
      <c r="B985" s="32" t="s">
        <v>276</v>
      </c>
      <c r="C985" s="23" t="s">
        <v>183</v>
      </c>
      <c r="D985" s="23" t="s">
        <v>58</v>
      </c>
      <c r="E985" s="37">
        <v>45400.0</v>
      </c>
      <c r="F985" s="25">
        <v>0.2923611111111111</v>
      </c>
      <c r="G985" s="25">
        <v>0.6673611111111111</v>
      </c>
      <c r="H985" s="27">
        <f t="shared" si="2"/>
        <v>0.375</v>
      </c>
      <c r="I985" s="28">
        <v>3.0</v>
      </c>
      <c r="J985" s="29" t="s">
        <v>635</v>
      </c>
      <c r="K985" s="30" t="s">
        <v>23</v>
      </c>
      <c r="L985" s="31" t="str">
        <f>IFERROR(__xludf.DUMMYFUNCTION("IF(OR(E985="""",K985=""""),"""",IFERROR(IF(K985="""","""",query('tbl user'!$A$2:$D10975,""SELECT A WHERE D = '""&amp;K985&amp;""'"")),""USER TIDAK DIKETAHUI""))"),"#REF!")</f>
        <v>#REF!</v>
      </c>
    </row>
    <row r="986">
      <c r="A986" s="21">
        <f t="shared" si="1"/>
        <v>0</v>
      </c>
      <c r="B986" s="32" t="s">
        <v>184</v>
      </c>
      <c r="C986" s="23" t="s">
        <v>185</v>
      </c>
      <c r="D986" s="23" t="s">
        <v>58</v>
      </c>
      <c r="E986" s="37">
        <v>45400.0</v>
      </c>
      <c r="F986" s="25">
        <v>0.2534722222222222</v>
      </c>
      <c r="G986" s="25">
        <v>0.6277777777777778</v>
      </c>
      <c r="H986" s="27">
        <f t="shared" si="2"/>
        <v>0.3743055556</v>
      </c>
      <c r="I986" s="28">
        <v>3.0</v>
      </c>
      <c r="J986" s="29" t="s">
        <v>636</v>
      </c>
      <c r="K986" s="30" t="s">
        <v>23</v>
      </c>
      <c r="L986" s="31" t="str">
        <f>IFERROR(__xludf.DUMMYFUNCTION("IF(OR(E986="""",K986=""""),"""",IFERROR(IF(K986="""","""",query('tbl user'!$A$2:$D10975,""SELECT A WHERE D = '""&amp;K986&amp;""'"")),""USER TIDAK DIKETAHUI""))"),"#REF!")</f>
        <v>#REF!</v>
      </c>
    </row>
    <row r="987">
      <c r="A987" s="21">
        <f t="shared" si="1"/>
        <v>0</v>
      </c>
      <c r="B987" s="32" t="s">
        <v>187</v>
      </c>
      <c r="C987" s="23" t="s">
        <v>188</v>
      </c>
      <c r="D987" s="23" t="s">
        <v>58</v>
      </c>
      <c r="E987" s="37">
        <v>45400.0</v>
      </c>
      <c r="F987" s="25">
        <v>0.23194444444444445</v>
      </c>
      <c r="G987" s="25">
        <v>0.6298611111111111</v>
      </c>
      <c r="H987" s="27">
        <f t="shared" si="2"/>
        <v>0.3979166667</v>
      </c>
      <c r="I987" s="28">
        <v>3.0</v>
      </c>
      <c r="J987" s="29" t="s">
        <v>637</v>
      </c>
      <c r="K987" s="30" t="s">
        <v>23</v>
      </c>
      <c r="L987" s="31" t="str">
        <f>IFERROR(__xludf.DUMMYFUNCTION("IF(OR(E987="""",K987=""""),"""",IFERROR(IF(K987="""","""",query('tbl user'!$A$2:$D10975,""SELECT A WHERE D = '""&amp;K987&amp;""'"")),""USER TIDAK DIKETAHUI""))"),"#REF!")</f>
        <v>#REF!</v>
      </c>
    </row>
    <row r="988">
      <c r="A988" s="21">
        <f t="shared" si="1"/>
        <v>0</v>
      </c>
      <c r="B988" s="32" t="s">
        <v>216</v>
      </c>
      <c r="C988" s="23" t="s">
        <v>190</v>
      </c>
      <c r="D988" s="23" t="s">
        <v>58</v>
      </c>
      <c r="E988" s="37">
        <v>45400.0</v>
      </c>
      <c r="F988" s="25">
        <v>0.24027777777777778</v>
      </c>
      <c r="G988" s="25">
        <v>0.6381944444444444</v>
      </c>
      <c r="H988" s="27">
        <f t="shared" si="2"/>
        <v>0.3979166667</v>
      </c>
      <c r="I988" s="28">
        <v>3.0</v>
      </c>
      <c r="J988" s="29" t="s">
        <v>352</v>
      </c>
      <c r="K988" s="30" t="s">
        <v>23</v>
      </c>
      <c r="L988" s="31" t="str">
        <f>IFERROR(__xludf.DUMMYFUNCTION("IF(OR(E988="""",K988=""""),"""",IFERROR(IF(K988="""","""",query('tbl user'!$A$2:$D10975,""SELECT A WHERE D = '""&amp;K988&amp;""'"")),""USER TIDAK DIKETAHUI""))"),"#REF!")</f>
        <v>#REF!</v>
      </c>
    </row>
    <row r="989">
      <c r="A989" s="21">
        <f t="shared" si="1"/>
        <v>0</v>
      </c>
      <c r="B989" s="32" t="s">
        <v>84</v>
      </c>
      <c r="C989" s="23" t="s">
        <v>195</v>
      </c>
      <c r="D989" s="23" t="s">
        <v>58</v>
      </c>
      <c r="E989" s="37">
        <v>45400.0</v>
      </c>
      <c r="F989" s="25">
        <v>0.25833333333333336</v>
      </c>
      <c r="G989" s="25">
        <v>0.6645833333333333</v>
      </c>
      <c r="H989" s="27">
        <f t="shared" si="2"/>
        <v>0.40625</v>
      </c>
      <c r="I989" s="28">
        <v>3.0</v>
      </c>
      <c r="J989" s="29" t="s">
        <v>352</v>
      </c>
      <c r="K989" s="30" t="s">
        <v>23</v>
      </c>
      <c r="L989" s="31" t="str">
        <f>IFERROR(__xludf.DUMMYFUNCTION("IF(OR(E989="""",K989=""""),"""",IFERROR(IF(K989="""","""",query('tbl user'!$A$2:$D10975,""SELECT A WHERE D = '""&amp;K989&amp;""'"")),""USER TIDAK DIKETAHUI""))"),"#REF!")</f>
        <v>#REF!</v>
      </c>
    </row>
    <row r="990">
      <c r="A990" s="21">
        <f t="shared" si="1"/>
        <v>0</v>
      </c>
      <c r="B990" s="32" t="s">
        <v>284</v>
      </c>
      <c r="C990" s="23" t="s">
        <v>201</v>
      </c>
      <c r="D990" s="23" t="s">
        <v>58</v>
      </c>
      <c r="E990" s="37">
        <v>45400.0</v>
      </c>
      <c r="F990" s="25">
        <v>0.3159722222222222</v>
      </c>
      <c r="G990" s="25">
        <v>0.6902777777777778</v>
      </c>
      <c r="H990" s="27">
        <f t="shared" si="2"/>
        <v>0.3743055556</v>
      </c>
      <c r="I990" s="28">
        <v>3.0</v>
      </c>
      <c r="J990" s="29" t="s">
        <v>352</v>
      </c>
      <c r="K990" s="30" t="s">
        <v>23</v>
      </c>
      <c r="L990" s="31" t="str">
        <f>IFERROR(__xludf.DUMMYFUNCTION("IF(OR(E990="""",K990=""""),"""",IFERROR(IF(K990="""","""",query('tbl user'!$A$2:$D10975,""SELECT A WHERE D = '""&amp;K990&amp;""'"")),""USER TIDAK DIKETAHUI""))"),"#REF!")</f>
        <v>#REF!</v>
      </c>
    </row>
    <row r="991">
      <c r="A991" s="21">
        <f t="shared" si="1"/>
        <v>0</v>
      </c>
      <c r="B991" s="32" t="s">
        <v>104</v>
      </c>
      <c r="C991" s="23" t="s">
        <v>105</v>
      </c>
      <c r="D991" s="23" t="s">
        <v>58</v>
      </c>
      <c r="E991" s="37">
        <v>45400.0</v>
      </c>
      <c r="F991" s="25">
        <v>0.25069444444444444</v>
      </c>
      <c r="G991" s="25">
        <v>0.7034722222222223</v>
      </c>
      <c r="H991" s="27">
        <f t="shared" si="2"/>
        <v>0.4527777778</v>
      </c>
      <c r="I991" s="28">
        <v>3.0</v>
      </c>
      <c r="J991" s="29" t="s">
        <v>218</v>
      </c>
      <c r="K991" s="30" t="s">
        <v>23</v>
      </c>
      <c r="L991" s="31" t="str">
        <f>IFERROR(__xludf.DUMMYFUNCTION("IF(OR(E991="""",K991=""""),"""",IFERROR(IF(K991="""","""",query('tbl user'!$A$2:$D10975,""SELECT A WHERE D = '""&amp;K991&amp;""'"")),""USER TIDAK DIKETAHUI""))"),"#REF!")</f>
        <v>#REF!</v>
      </c>
    </row>
    <row r="992">
      <c r="A992" s="21">
        <f t="shared" si="1"/>
        <v>0</v>
      </c>
      <c r="B992" s="32" t="s">
        <v>95</v>
      </c>
      <c r="C992" s="23" t="s">
        <v>203</v>
      </c>
      <c r="D992" s="23" t="s">
        <v>58</v>
      </c>
      <c r="E992" s="37">
        <v>45400.0</v>
      </c>
      <c r="F992" s="25">
        <v>0.3145833333333333</v>
      </c>
      <c r="G992" s="25">
        <v>0.6993055555555555</v>
      </c>
      <c r="H992" s="27">
        <f t="shared" si="2"/>
        <v>0.3847222222</v>
      </c>
      <c r="I992" s="28">
        <v>3.0</v>
      </c>
      <c r="J992" s="29" t="s">
        <v>352</v>
      </c>
      <c r="K992" s="30" t="s">
        <v>23</v>
      </c>
      <c r="L992" s="31" t="str">
        <f>IFERROR(__xludf.DUMMYFUNCTION("IF(OR(E992="""",K992=""""),"""",IFERROR(IF(K992="""","""",query('tbl user'!$A$2:$D10975,""SELECT A WHERE D = '""&amp;K992&amp;""'"")),""USER TIDAK DIKETAHUI""))"),"#REF!")</f>
        <v>#REF!</v>
      </c>
    </row>
    <row r="993">
      <c r="A993" s="21">
        <f t="shared" si="1"/>
        <v>0</v>
      </c>
      <c r="B993" s="32" t="s">
        <v>127</v>
      </c>
      <c r="C993" s="23" t="s">
        <v>348</v>
      </c>
      <c r="D993" s="23" t="s">
        <v>58</v>
      </c>
      <c r="E993" s="37">
        <v>45400.0</v>
      </c>
      <c r="F993" s="25">
        <v>0.3055555555555556</v>
      </c>
      <c r="G993" s="25">
        <v>0.7090277777777778</v>
      </c>
      <c r="H993" s="27">
        <f t="shared" si="2"/>
        <v>0.4034722222</v>
      </c>
      <c r="I993" s="28">
        <v>3.0</v>
      </c>
      <c r="J993" s="29" t="s">
        <v>352</v>
      </c>
      <c r="K993" s="30" t="s">
        <v>23</v>
      </c>
      <c r="L993" s="31" t="str">
        <f>IFERROR(__xludf.DUMMYFUNCTION("IF(OR(E993="""",K993=""""),"""",IFERROR(IF(K993="""","""",query('tbl user'!$A$2:$D10975,""SELECT A WHERE D = '""&amp;K993&amp;""'"")),""USER TIDAK DIKETAHUI""))"),"#REF!")</f>
        <v>#REF!</v>
      </c>
    </row>
    <row r="994">
      <c r="A994" s="21">
        <f t="shared" si="1"/>
        <v>0</v>
      </c>
      <c r="B994" s="32" t="s">
        <v>120</v>
      </c>
      <c r="C994" s="23" t="s">
        <v>206</v>
      </c>
      <c r="D994" s="23" t="s">
        <v>58</v>
      </c>
      <c r="E994" s="37">
        <v>45400.0</v>
      </c>
      <c r="F994" s="25">
        <v>0.26875</v>
      </c>
      <c r="G994" s="25">
        <v>0.6611111111111111</v>
      </c>
      <c r="H994" s="27">
        <f t="shared" si="2"/>
        <v>0.3923611111</v>
      </c>
      <c r="I994" s="28">
        <v>3.0</v>
      </c>
      <c r="J994" s="29" t="s">
        <v>638</v>
      </c>
      <c r="K994" s="30" t="s">
        <v>23</v>
      </c>
      <c r="L994" s="31" t="str">
        <f>IFERROR(__xludf.DUMMYFUNCTION("IF(OR(E994="""",K994=""""),"""",IFERROR(IF(K994="""","""",query('tbl user'!$A$2:$D10975,""SELECT A WHERE D = '""&amp;K994&amp;""'"")),""USER TIDAK DIKETAHUI""))"),"#REF!")</f>
        <v>#REF!</v>
      </c>
    </row>
    <row r="995">
      <c r="A995" s="21">
        <f t="shared" si="1"/>
        <v>0</v>
      </c>
      <c r="B995" s="32" t="s">
        <v>224</v>
      </c>
      <c r="C995" s="23" t="s">
        <v>208</v>
      </c>
      <c r="D995" s="23" t="s">
        <v>58</v>
      </c>
      <c r="E995" s="37">
        <v>45400.0</v>
      </c>
      <c r="F995" s="25">
        <v>0.2548611111111111</v>
      </c>
      <c r="G995" s="25">
        <v>0.6722222222222223</v>
      </c>
      <c r="H995" s="27">
        <f t="shared" si="2"/>
        <v>0.4173611111</v>
      </c>
      <c r="I995" s="28">
        <v>3.0</v>
      </c>
      <c r="J995" s="29" t="s">
        <v>639</v>
      </c>
      <c r="K995" s="30" t="s">
        <v>23</v>
      </c>
      <c r="L995" s="31" t="str">
        <f>IFERROR(__xludf.DUMMYFUNCTION("IF(OR(E995="""",K995=""""),"""",IFERROR(IF(K995="""","""",query('tbl user'!$A$2:$D10975,""SELECT A WHERE D = '""&amp;K995&amp;""'"")),""USER TIDAK DIKETAHUI""))"),"#REF!")</f>
        <v>#REF!</v>
      </c>
    </row>
    <row r="996">
      <c r="A996" s="21">
        <f t="shared" si="1"/>
        <v>0</v>
      </c>
      <c r="B996" s="32" t="s">
        <v>191</v>
      </c>
      <c r="C996" s="23" t="s">
        <v>192</v>
      </c>
      <c r="D996" s="23" t="s">
        <v>58</v>
      </c>
      <c r="E996" s="37">
        <v>45400.0</v>
      </c>
      <c r="F996" s="25">
        <v>0.25763888888888886</v>
      </c>
      <c r="G996" s="25">
        <v>0.7034722222222223</v>
      </c>
      <c r="H996" s="27">
        <f t="shared" si="2"/>
        <v>0.4458333333</v>
      </c>
      <c r="I996" s="28">
        <v>4.0</v>
      </c>
      <c r="J996" s="29" t="s">
        <v>55</v>
      </c>
      <c r="K996" s="30" t="s">
        <v>23</v>
      </c>
      <c r="L996" s="31" t="str">
        <f>IFERROR(__xludf.DUMMYFUNCTION("IF(OR(E996="""",K996=""""),"""",IFERROR(IF(K996="""","""",query('tbl user'!$A$2:$D10975,""SELECT A WHERE D = '""&amp;K996&amp;""'"")),""USER TIDAK DIKETAHUI""))"),"#REF!")</f>
        <v>#REF!</v>
      </c>
    </row>
    <row r="997">
      <c r="A997" s="21">
        <f t="shared" si="1"/>
        <v>0</v>
      </c>
      <c r="B997" s="32" t="s">
        <v>197</v>
      </c>
      <c r="C997" s="23" t="s">
        <v>198</v>
      </c>
      <c r="D997" s="23" t="s">
        <v>58</v>
      </c>
      <c r="E997" s="37">
        <v>45400.0</v>
      </c>
      <c r="F997" s="25">
        <v>0.2111111111111111</v>
      </c>
      <c r="G997" s="25">
        <v>0.66875</v>
      </c>
      <c r="H997" s="27">
        <f t="shared" si="2"/>
        <v>0.4576388889</v>
      </c>
      <c r="I997" s="28">
        <v>4.0</v>
      </c>
      <c r="J997" s="29" t="s">
        <v>55</v>
      </c>
      <c r="K997" s="30" t="s">
        <v>23</v>
      </c>
      <c r="L997" s="31" t="str">
        <f>IFERROR(__xludf.DUMMYFUNCTION("IF(OR(E997="""",K997=""""),"""",IFERROR(IF(K997="""","""",query('tbl user'!$A$2:$D10975,""SELECT A WHERE D = '""&amp;K997&amp;""'"")),""USER TIDAK DIKETAHUI""))"),"#REF!")</f>
        <v>#REF!</v>
      </c>
    </row>
    <row r="998">
      <c r="A998" s="21">
        <f t="shared" si="1"/>
        <v>0</v>
      </c>
      <c r="B998" s="32" t="s">
        <v>225</v>
      </c>
      <c r="C998" s="23" t="s">
        <v>20</v>
      </c>
      <c r="D998" s="23" t="s">
        <v>21</v>
      </c>
      <c r="E998" s="37">
        <v>45400.0</v>
      </c>
      <c r="F998" s="25">
        <v>0.2923611111111111</v>
      </c>
      <c r="G998" s="25">
        <v>0.5208333333333334</v>
      </c>
      <c r="H998" s="27">
        <f t="shared" si="2"/>
        <v>0.2284722222</v>
      </c>
      <c r="I998" s="28">
        <v>1.0</v>
      </c>
      <c r="J998" s="29" t="s">
        <v>640</v>
      </c>
      <c r="K998" s="30" t="s">
        <v>23</v>
      </c>
      <c r="L998" s="31" t="str">
        <f>IFERROR(__xludf.DUMMYFUNCTION("IF(OR(E998="""",K998=""""),"""",IFERROR(IF(K998="""","""",query('tbl user'!$A$2:$D10975,""SELECT A WHERE D = '""&amp;K998&amp;""'"")),""USER TIDAK DIKETAHUI""))"),"#REF!")</f>
        <v>#REF!</v>
      </c>
    </row>
    <row r="999">
      <c r="A999" s="21">
        <f t="shared" si="1"/>
        <v>0</v>
      </c>
      <c r="B999" s="32" t="s">
        <v>231</v>
      </c>
      <c r="C999" s="23" t="s">
        <v>232</v>
      </c>
      <c r="D999" s="23" t="s">
        <v>21</v>
      </c>
      <c r="E999" s="37">
        <v>45400.0</v>
      </c>
      <c r="F999" s="25">
        <v>0.2861111111111111</v>
      </c>
      <c r="G999" s="25">
        <v>0.5875</v>
      </c>
      <c r="H999" s="27">
        <f t="shared" si="2"/>
        <v>0.3013888889</v>
      </c>
      <c r="I999" s="28">
        <v>1.0</v>
      </c>
      <c r="J999" s="29" t="s">
        <v>641</v>
      </c>
      <c r="K999" s="30" t="s">
        <v>23</v>
      </c>
      <c r="L999" s="31" t="str">
        <f>IFERROR(__xludf.DUMMYFUNCTION("IF(OR(E999="""",K999=""""),"""",IFERROR(IF(K999="""","""",query('tbl user'!$A$2:$D10975,""SELECT A WHERE D = '""&amp;K999&amp;""'"")),""USER TIDAK DIKETAHUI""))"),"#REF!")</f>
        <v>#REF!</v>
      </c>
    </row>
    <row r="1000">
      <c r="A1000" s="21">
        <f t="shared" si="1"/>
        <v>0</v>
      </c>
      <c r="B1000" s="32" t="s">
        <v>34</v>
      </c>
      <c r="C1000" s="23" t="s">
        <v>35</v>
      </c>
      <c r="D1000" s="23" t="s">
        <v>21</v>
      </c>
      <c r="E1000" s="37">
        <v>45400.0</v>
      </c>
      <c r="F1000" s="25">
        <v>0.28888888888888886</v>
      </c>
      <c r="G1000" s="25">
        <v>0.7152777777777778</v>
      </c>
      <c r="H1000" s="27">
        <f t="shared" si="2"/>
        <v>0.4263888889</v>
      </c>
      <c r="I1000" s="28">
        <v>2.0</v>
      </c>
      <c r="J1000" s="29" t="s">
        <v>585</v>
      </c>
      <c r="K1000" s="30" t="s">
        <v>23</v>
      </c>
      <c r="L1000" s="31" t="str">
        <f>IFERROR(__xludf.DUMMYFUNCTION("IF(OR(E1000="""",K1000=""""),"""",IFERROR(IF(K1000="""","""",query('tbl user'!$A$2:$D10975,""SELECT A WHERE D = '""&amp;K1000&amp;""'"")),""USER TIDAK DIKETAHUI""))"),"#REF!")</f>
        <v>#REF!</v>
      </c>
    </row>
    <row r="1001">
      <c r="A1001" s="21">
        <f t="shared" si="1"/>
        <v>0</v>
      </c>
      <c r="B1001" s="32" t="s">
        <v>238</v>
      </c>
      <c r="C1001" s="23" t="s">
        <v>239</v>
      </c>
      <c r="D1001" s="23" t="s">
        <v>21</v>
      </c>
      <c r="E1001" s="37">
        <v>45400.0</v>
      </c>
      <c r="F1001" s="25">
        <v>0.26319444444444445</v>
      </c>
      <c r="G1001" s="25">
        <v>0.6951388888888889</v>
      </c>
      <c r="H1001" s="27">
        <f t="shared" si="2"/>
        <v>0.4319444444</v>
      </c>
      <c r="I1001" s="28">
        <v>2.0</v>
      </c>
      <c r="J1001" s="29" t="s">
        <v>642</v>
      </c>
      <c r="K1001" s="30" t="s">
        <v>23</v>
      </c>
      <c r="L1001" s="31" t="str">
        <f>IFERROR(__xludf.DUMMYFUNCTION("IF(OR(E1001="""",K1001=""""),"""",IFERROR(IF(K1001="""","""",query('tbl user'!$A$2:$D10975,""SELECT A WHERE D = '""&amp;K1001&amp;""'"")),""USER TIDAK DIKETAHUI""))"),"#REF!")</f>
        <v>#REF!</v>
      </c>
    </row>
    <row r="1002">
      <c r="A1002" s="21">
        <f t="shared" si="1"/>
        <v>0</v>
      </c>
      <c r="B1002" s="32" t="s">
        <v>240</v>
      </c>
      <c r="C1002" s="23" t="s">
        <v>241</v>
      </c>
      <c r="D1002" s="23" t="s">
        <v>21</v>
      </c>
      <c r="E1002" s="37">
        <v>45400.0</v>
      </c>
      <c r="F1002" s="25">
        <v>0.24305555555555555</v>
      </c>
      <c r="G1002" s="25">
        <v>0.6361111111111111</v>
      </c>
      <c r="H1002" s="27">
        <f t="shared" si="2"/>
        <v>0.3930555556</v>
      </c>
      <c r="I1002" s="28">
        <v>2.0</v>
      </c>
      <c r="J1002" s="29" t="s">
        <v>643</v>
      </c>
      <c r="K1002" s="30" t="s">
        <v>23</v>
      </c>
      <c r="L1002" s="31" t="str">
        <f>IFERROR(__xludf.DUMMYFUNCTION("IF(OR(E1002="""",K1002=""""),"""",IFERROR(IF(K1002="""","""",query('tbl user'!$A$2:$D10975,""SELECT A WHERE D = '""&amp;K1002&amp;""'"")),""USER TIDAK DIKETAHUI""))"),"#REF!")</f>
        <v>#REF!</v>
      </c>
    </row>
    <row r="1003">
      <c r="A1003" s="21">
        <f t="shared" si="1"/>
        <v>0</v>
      </c>
      <c r="B1003" s="32" t="s">
        <v>243</v>
      </c>
      <c r="C1003" s="23" t="s">
        <v>244</v>
      </c>
      <c r="D1003" s="23" t="s">
        <v>21</v>
      </c>
      <c r="E1003" s="37">
        <v>45400.0</v>
      </c>
      <c r="F1003" s="25">
        <v>0.3145833333333333</v>
      </c>
      <c r="G1003" s="25">
        <v>0.7222222222222222</v>
      </c>
      <c r="H1003" s="27">
        <f t="shared" si="2"/>
        <v>0.4076388889</v>
      </c>
      <c r="I1003" s="28">
        <v>2.0</v>
      </c>
      <c r="J1003" s="29" t="s">
        <v>642</v>
      </c>
      <c r="K1003" s="30" t="s">
        <v>23</v>
      </c>
      <c r="L1003" s="31" t="str">
        <f>IFERROR(__xludf.DUMMYFUNCTION("IF(OR(E1003="""",K1003=""""),"""",IFERROR(IF(K1003="""","""",query('tbl user'!$A$2:$D10975,""SELECT A WHERE D = '""&amp;K1003&amp;""'"")),""USER TIDAK DIKETAHUI""))"),"#REF!")</f>
        <v>#REF!</v>
      </c>
    </row>
    <row r="1004">
      <c r="A1004" s="21">
        <f t="shared" si="1"/>
        <v>0</v>
      </c>
      <c r="B1004" s="32" t="s">
        <v>303</v>
      </c>
      <c r="C1004" s="23" t="s">
        <v>251</v>
      </c>
      <c r="D1004" s="23" t="s">
        <v>21</v>
      </c>
      <c r="E1004" s="37">
        <v>45400.0</v>
      </c>
      <c r="F1004" s="25">
        <v>0.2923611111111111</v>
      </c>
      <c r="G1004" s="25">
        <v>0.7048611111111112</v>
      </c>
      <c r="H1004" s="27">
        <f t="shared" si="2"/>
        <v>0.4125</v>
      </c>
      <c r="I1004" s="28">
        <v>2.0</v>
      </c>
      <c r="J1004" s="29" t="s">
        <v>642</v>
      </c>
      <c r="K1004" s="30" t="s">
        <v>23</v>
      </c>
      <c r="L1004" s="31" t="str">
        <f>IFERROR(__xludf.DUMMYFUNCTION("IF(OR(E1004="""",K1004=""""),"""",IFERROR(IF(K1004="""","""",query('tbl user'!$A$2:$D10975,""SELECT A WHERE D = '""&amp;K1004&amp;""'"")),""USER TIDAK DIKETAHUI""))"),"#REF!")</f>
        <v>#REF!</v>
      </c>
    </row>
    <row r="1005">
      <c r="A1005" s="21">
        <f t="shared" si="1"/>
        <v>0</v>
      </c>
      <c r="B1005" s="32" t="s">
        <v>253</v>
      </c>
      <c r="C1005" s="23" t="s">
        <v>102</v>
      </c>
      <c r="D1005" s="23" t="s">
        <v>21</v>
      </c>
      <c r="E1005" s="37">
        <v>45400.0</v>
      </c>
      <c r="F1005" s="25">
        <v>0.2611111111111111</v>
      </c>
      <c r="G1005" s="25">
        <v>0.5965277777777778</v>
      </c>
      <c r="H1005" s="27">
        <f t="shared" si="2"/>
        <v>0.3354166667</v>
      </c>
      <c r="I1005" s="28">
        <v>2.0</v>
      </c>
      <c r="J1005" s="29" t="s">
        <v>449</v>
      </c>
      <c r="K1005" s="30" t="s">
        <v>23</v>
      </c>
      <c r="L1005" s="31" t="str">
        <f>IFERROR(__xludf.DUMMYFUNCTION("IF(OR(E1005="""",K1005=""""),"""",IFERROR(IF(K1005="""","""",query('tbl user'!$A$2:$D10975,""SELECT A WHERE D = '""&amp;K1005&amp;""'"")),""USER TIDAK DIKETAHUI""))"),"#REF!")</f>
        <v>#REF!</v>
      </c>
    </row>
    <row r="1006">
      <c r="A1006" s="21">
        <f t="shared" si="1"/>
        <v>0</v>
      </c>
      <c r="B1006" s="32" t="s">
        <v>156</v>
      </c>
      <c r="C1006" s="23" t="s">
        <v>234</v>
      </c>
      <c r="D1006" s="23" t="s">
        <v>21</v>
      </c>
      <c r="E1006" s="37">
        <v>45400.0</v>
      </c>
      <c r="F1006" s="25">
        <v>0.26180555555555557</v>
      </c>
      <c r="G1006" s="25">
        <v>0.6736111111111112</v>
      </c>
      <c r="H1006" s="27">
        <f t="shared" si="2"/>
        <v>0.4118055556</v>
      </c>
      <c r="I1006" s="28">
        <v>2.0</v>
      </c>
      <c r="J1006" s="29" t="s">
        <v>300</v>
      </c>
      <c r="K1006" s="30" t="s">
        <v>23</v>
      </c>
      <c r="L1006" s="31" t="str">
        <f>IFERROR(__xludf.DUMMYFUNCTION("IF(OR(E1006="""",K1006=""""),"""",IFERROR(IF(K1006="""","""",query('tbl user'!$A$2:$D10975,""SELECT A WHERE D = '""&amp;K1006&amp;""'"")),""USER TIDAK DIKETAHUI""))"),"#REF!")</f>
        <v>#REF!</v>
      </c>
    </row>
    <row r="1007">
      <c r="A1007" s="21">
        <f t="shared" si="1"/>
        <v>0</v>
      </c>
      <c r="B1007" s="32" t="s">
        <v>305</v>
      </c>
      <c r="C1007" s="23" t="s">
        <v>306</v>
      </c>
      <c r="D1007" s="23" t="s">
        <v>21</v>
      </c>
      <c r="E1007" s="37">
        <v>45400.0</v>
      </c>
      <c r="F1007" s="25">
        <v>0.26180555555555557</v>
      </c>
      <c r="G1007" s="25">
        <v>0.6673611111111111</v>
      </c>
      <c r="H1007" s="27">
        <f t="shared" si="2"/>
        <v>0.4055555556</v>
      </c>
      <c r="I1007" s="28">
        <v>2.0</v>
      </c>
      <c r="J1007" s="29" t="s">
        <v>642</v>
      </c>
      <c r="K1007" s="30" t="s">
        <v>23</v>
      </c>
      <c r="L1007" s="31" t="str">
        <f>IFERROR(__xludf.DUMMYFUNCTION("IF(OR(E1007="""",K1007=""""),"""",IFERROR(IF(K1007="""","""",query('tbl user'!$A$2:$D10975,""SELECT A WHERE D = '""&amp;K1007&amp;""'"")),""USER TIDAK DIKETAHUI""))"),"#REF!")</f>
        <v>#REF!</v>
      </c>
    </row>
    <row r="1008">
      <c r="A1008" s="21">
        <f t="shared" si="1"/>
        <v>0</v>
      </c>
      <c r="B1008" s="32" t="s">
        <v>258</v>
      </c>
      <c r="C1008" s="23" t="s">
        <v>259</v>
      </c>
      <c r="D1008" s="23" t="s">
        <v>21</v>
      </c>
      <c r="E1008" s="37">
        <v>45400.0</v>
      </c>
      <c r="F1008" s="25">
        <v>0.25972222222222224</v>
      </c>
      <c r="G1008" s="25">
        <v>0.6506944444444445</v>
      </c>
      <c r="H1008" s="27">
        <f t="shared" si="2"/>
        <v>0.3909722222</v>
      </c>
      <c r="I1008" s="28">
        <v>2.0</v>
      </c>
      <c r="J1008" s="29" t="s">
        <v>642</v>
      </c>
      <c r="K1008" s="30" t="s">
        <v>23</v>
      </c>
      <c r="L1008" s="31" t="str">
        <f>IFERROR(__xludf.DUMMYFUNCTION("IF(OR(E1008="""",K1008=""""),"""",IFERROR(IF(K1008="""","""",query('tbl user'!$A$2:$D10975,""SELECT A WHERE D = '""&amp;K1008&amp;""'"")),""USER TIDAK DIKETAHUI""))"),"#REF!")</f>
        <v>#REF!</v>
      </c>
    </row>
    <row r="1009">
      <c r="A1009" s="21">
        <f t="shared" si="1"/>
        <v>0</v>
      </c>
      <c r="B1009" s="32" t="s">
        <v>255</v>
      </c>
      <c r="C1009" s="23" t="s">
        <v>256</v>
      </c>
      <c r="D1009" s="23" t="s">
        <v>21</v>
      </c>
      <c r="E1009" s="37">
        <v>45400.0</v>
      </c>
      <c r="F1009" s="25">
        <v>0.2222222222222222</v>
      </c>
      <c r="G1009" s="25">
        <v>0.7201388888888889</v>
      </c>
      <c r="H1009" s="27">
        <f t="shared" si="2"/>
        <v>0.4979166667</v>
      </c>
      <c r="I1009" s="28">
        <v>3.0</v>
      </c>
      <c r="J1009" s="29" t="s">
        <v>55</v>
      </c>
      <c r="K1009" s="30" t="s">
        <v>23</v>
      </c>
      <c r="L1009" s="31" t="str">
        <f>IFERROR(__xludf.DUMMYFUNCTION("IF(OR(E1009="""",K1009=""""),"""",IFERROR(IF(K1009="""","""",query('tbl user'!$A$2:$D10975,""SELECT A WHERE D = '""&amp;K1009&amp;""'"")),""USER TIDAK DIKETAHUI""))"),"#REF!")</f>
        <v>#REF!</v>
      </c>
    </row>
    <row r="1010">
      <c r="A1010" s="21">
        <f t="shared" si="1"/>
        <v>0</v>
      </c>
      <c r="B1010" s="32" t="s">
        <v>260</v>
      </c>
      <c r="C1010" s="23" t="s">
        <v>261</v>
      </c>
      <c r="D1010" s="23" t="s">
        <v>21</v>
      </c>
      <c r="E1010" s="37">
        <v>45400.0</v>
      </c>
      <c r="F1010" s="25">
        <v>0.24166666666666667</v>
      </c>
      <c r="G1010" s="25">
        <v>0.7229166666666667</v>
      </c>
      <c r="H1010" s="27">
        <f t="shared" si="2"/>
        <v>0.48125</v>
      </c>
      <c r="I1010" s="28">
        <v>3.0</v>
      </c>
      <c r="J1010" s="29" t="s">
        <v>55</v>
      </c>
      <c r="K1010" s="30" t="s">
        <v>23</v>
      </c>
      <c r="L1010" s="31" t="str">
        <f>IFERROR(__xludf.DUMMYFUNCTION("IF(OR(E1010="""",K1010=""""),"""",IFERROR(IF(K1010="""","""",query('tbl user'!$A$2:$D10975,""SELECT A WHERE D = '""&amp;K1010&amp;""'"")),""USER TIDAK DIKETAHUI""))"),"#REF!")</f>
        <v>#REF!</v>
      </c>
    </row>
    <row r="1011">
      <c r="A1011" s="21">
        <f t="shared" si="1"/>
        <v>0</v>
      </c>
      <c r="B1011" s="32" t="s">
        <v>159</v>
      </c>
      <c r="C1011" s="23" t="s">
        <v>38</v>
      </c>
      <c r="D1011" s="23" t="s">
        <v>21</v>
      </c>
      <c r="E1011" s="37">
        <v>45400.0</v>
      </c>
      <c r="F1011" s="25">
        <v>0.30277777777777776</v>
      </c>
      <c r="G1011" s="25">
        <v>0.5444444444444444</v>
      </c>
      <c r="H1011" s="27">
        <f t="shared" si="2"/>
        <v>0.2416666667</v>
      </c>
      <c r="I1011" s="28">
        <v>1.0</v>
      </c>
      <c r="J1011" s="29" t="s">
        <v>644</v>
      </c>
      <c r="K1011" s="30" t="s">
        <v>23</v>
      </c>
      <c r="L1011" s="31" t="str">
        <f>IFERROR(__xludf.DUMMYFUNCTION("IF(OR(E1011="""",K1011=""""),"""",IFERROR(IF(K1011="""","""",query('tbl user'!$A$2:$D10975,""SELECT A WHERE D = '""&amp;K1011&amp;""'"")),""USER TIDAK DIKETAHUI""))"),"#REF!")</f>
        <v>#REF!</v>
      </c>
    </row>
    <row r="1012">
      <c r="A1012" s="21">
        <f t="shared" si="1"/>
        <v>0</v>
      </c>
      <c r="B1012" s="32" t="s">
        <v>281</v>
      </c>
      <c r="C1012" s="23" t="s">
        <v>282</v>
      </c>
      <c r="D1012" s="23" t="s">
        <v>21</v>
      </c>
      <c r="E1012" s="37">
        <v>45400.0</v>
      </c>
      <c r="F1012" s="25">
        <v>0.2777777777777778</v>
      </c>
      <c r="G1012" s="25">
        <v>0.65</v>
      </c>
      <c r="H1012" s="27">
        <f t="shared" si="2"/>
        <v>0.3722222222</v>
      </c>
      <c r="I1012" s="28">
        <v>2.0</v>
      </c>
      <c r="J1012" s="29" t="s">
        <v>352</v>
      </c>
      <c r="K1012" s="30" t="s">
        <v>23</v>
      </c>
      <c r="L1012" s="31" t="str">
        <f>IFERROR(__xludf.DUMMYFUNCTION("IF(OR(E1012="""",K1012=""""),"""",IFERROR(IF(K1012="""","""",query('tbl user'!$A$2:$D10975,""SELECT A WHERE D = '""&amp;K1012&amp;""'"")),""USER TIDAK DIKETAHUI""))"),"#REF!")</f>
        <v>#REF!</v>
      </c>
    </row>
    <row r="1013">
      <c r="A1013" s="21">
        <f t="shared" si="1"/>
        <v>0</v>
      </c>
      <c r="B1013" s="32" t="s">
        <v>289</v>
      </c>
      <c r="C1013" s="23" t="s">
        <v>290</v>
      </c>
      <c r="D1013" s="23" t="s">
        <v>21</v>
      </c>
      <c r="E1013" s="37">
        <v>45400.0</v>
      </c>
      <c r="F1013" s="25">
        <v>0.3548611111111111</v>
      </c>
      <c r="G1013" s="25">
        <v>0.6993055555555555</v>
      </c>
      <c r="H1013" s="27">
        <f t="shared" si="2"/>
        <v>0.3444444444</v>
      </c>
      <c r="I1013" s="28">
        <v>2.0</v>
      </c>
      <c r="J1013" s="29" t="s">
        <v>645</v>
      </c>
      <c r="K1013" s="30" t="s">
        <v>23</v>
      </c>
      <c r="L1013" s="31" t="str">
        <f>IFERROR(__xludf.DUMMYFUNCTION("IF(OR(E1013="""",K1013=""""),"""",IFERROR(IF(K1013="""","""",query('tbl user'!$A$2:$D10975,""SELECT A WHERE D = '""&amp;K1013&amp;""'"")),""USER TIDAK DIKETAHUI""))"),"#REF!")</f>
        <v>#REF!</v>
      </c>
    </row>
    <row r="1014">
      <c r="A1014" s="21">
        <f t="shared" si="1"/>
        <v>0</v>
      </c>
      <c r="B1014" s="32" t="s">
        <v>175</v>
      </c>
      <c r="C1014" s="23" t="s">
        <v>27</v>
      </c>
      <c r="D1014" s="23" t="s">
        <v>21</v>
      </c>
      <c r="E1014" s="37">
        <v>45400.0</v>
      </c>
      <c r="F1014" s="25">
        <v>0.2951388888888889</v>
      </c>
      <c r="G1014" s="25">
        <v>0.6805555555555556</v>
      </c>
      <c r="H1014" s="27">
        <f t="shared" si="2"/>
        <v>0.3854166667</v>
      </c>
      <c r="I1014" s="28">
        <v>2.0</v>
      </c>
      <c r="J1014" s="29" t="s">
        <v>352</v>
      </c>
      <c r="K1014" s="30" t="s">
        <v>23</v>
      </c>
      <c r="L1014" s="31" t="str">
        <f>IFERROR(__xludf.DUMMYFUNCTION("IF(OR(E1014="""",K1014=""""),"""",IFERROR(IF(K1014="""","""",query('tbl user'!$A$2:$D10975,""SELECT A WHERE D = '""&amp;K1014&amp;""'"")),""USER TIDAK DIKETAHUI""))"),"#REF!")</f>
        <v>#REF!</v>
      </c>
    </row>
    <row r="1015">
      <c r="A1015" s="21">
        <f t="shared" si="1"/>
        <v>0</v>
      </c>
      <c r="B1015" s="32" t="s">
        <v>61</v>
      </c>
      <c r="C1015" s="23" t="s">
        <v>62</v>
      </c>
      <c r="D1015" s="23" t="s">
        <v>21</v>
      </c>
      <c r="E1015" s="37">
        <v>45400.0</v>
      </c>
      <c r="F1015" s="25">
        <v>0.26805555555555555</v>
      </c>
      <c r="G1015" s="25">
        <v>0.7298611111111111</v>
      </c>
      <c r="H1015" s="27">
        <f t="shared" si="2"/>
        <v>0.4618055556</v>
      </c>
      <c r="I1015" s="28">
        <v>3.0</v>
      </c>
      <c r="J1015" s="29" t="s">
        <v>352</v>
      </c>
      <c r="K1015" s="30" t="s">
        <v>23</v>
      </c>
      <c r="L1015" s="31" t="str">
        <f>IFERROR(__xludf.DUMMYFUNCTION("IF(OR(E1015="""",K1015=""""),"""",IFERROR(IF(K1015="""","""",query('tbl user'!$A$2:$D10975,""SELECT A WHERE D = '""&amp;K1015&amp;""'"")),""USER TIDAK DIKETAHUI""))"),"#REF!")</f>
        <v>#REF!</v>
      </c>
    </row>
    <row r="1016">
      <c r="A1016" s="21">
        <f t="shared" si="1"/>
        <v>0</v>
      </c>
      <c r="B1016" s="32" t="s">
        <v>64</v>
      </c>
      <c r="C1016" s="23" t="s">
        <v>65</v>
      </c>
      <c r="D1016" s="23" t="s">
        <v>21</v>
      </c>
      <c r="E1016" s="37">
        <v>45400.0</v>
      </c>
      <c r="F1016" s="25">
        <v>0.2534722222222222</v>
      </c>
      <c r="G1016" s="25">
        <v>0.7027777777777777</v>
      </c>
      <c r="H1016" s="27">
        <f t="shared" si="2"/>
        <v>0.4493055556</v>
      </c>
      <c r="I1016" s="28">
        <v>3.0</v>
      </c>
      <c r="J1016" s="29" t="s">
        <v>352</v>
      </c>
      <c r="K1016" s="30" t="s">
        <v>23</v>
      </c>
      <c r="L1016" s="31" t="str">
        <f>IFERROR(__xludf.DUMMYFUNCTION("IF(OR(E1016="""",K1016=""""),"""",IFERROR(IF(K1016="""","""",query('tbl user'!$A$2:$D10975,""SELECT A WHERE D = '""&amp;K1016&amp;""'"")),""USER TIDAK DIKETAHUI""))"),"#REF!")</f>
        <v>#REF!</v>
      </c>
    </row>
    <row r="1017">
      <c r="A1017" s="21">
        <f t="shared" si="1"/>
        <v>0</v>
      </c>
      <c r="B1017" s="32" t="s">
        <v>286</v>
      </c>
      <c r="C1017" s="23" t="s">
        <v>287</v>
      </c>
      <c r="D1017" s="23" t="s">
        <v>21</v>
      </c>
      <c r="E1017" s="37">
        <v>45400.0</v>
      </c>
      <c r="F1017" s="25">
        <v>0.26875</v>
      </c>
      <c r="G1017" s="25">
        <v>0.7118055555555556</v>
      </c>
      <c r="H1017" s="27">
        <f t="shared" si="2"/>
        <v>0.4430555556</v>
      </c>
      <c r="I1017" s="28">
        <v>3.0</v>
      </c>
      <c r="J1017" s="29" t="s">
        <v>352</v>
      </c>
      <c r="K1017" s="30" t="s">
        <v>23</v>
      </c>
      <c r="L1017" s="31" t="str">
        <f>IFERROR(__xludf.DUMMYFUNCTION("IF(OR(E1017="""",K1017=""""),"""",IFERROR(IF(K1017="""","""",query('tbl user'!$A$2:$D10975,""SELECT A WHERE D = '""&amp;K1017&amp;""'"")),""USER TIDAK DIKETAHUI""))"),"#REF!")</f>
        <v>#REF!</v>
      </c>
    </row>
    <row r="1018">
      <c r="A1018" s="21">
        <f t="shared" si="1"/>
        <v>0</v>
      </c>
      <c r="B1018" s="32" t="s">
        <v>335</v>
      </c>
      <c r="C1018" s="23" t="s">
        <v>336</v>
      </c>
      <c r="D1018" s="23" t="s">
        <v>21</v>
      </c>
      <c r="E1018" s="37">
        <v>45400.0</v>
      </c>
      <c r="F1018" s="25">
        <v>0.2861111111111111</v>
      </c>
      <c r="G1018" s="25">
        <v>0.7034722222222223</v>
      </c>
      <c r="H1018" s="27">
        <f t="shared" si="2"/>
        <v>0.4173611111</v>
      </c>
      <c r="I1018" s="28">
        <v>4.0</v>
      </c>
      <c r="J1018" s="29" t="s">
        <v>646</v>
      </c>
      <c r="K1018" s="30" t="s">
        <v>23</v>
      </c>
      <c r="L1018" s="31" t="str">
        <f>IFERROR(__xludf.DUMMYFUNCTION("IF(OR(E1018="""",K1018=""""),"""",IFERROR(IF(K1018="""","""",query('tbl user'!$A$2:$D10975,""SELECT A WHERE D = '""&amp;K1018&amp;""'"")),""USER TIDAK DIKETAHUI""))"),"#REF!")</f>
        <v>#REF!</v>
      </c>
    </row>
    <row r="1019">
      <c r="A1019" s="21">
        <f t="shared" si="1"/>
        <v>0</v>
      </c>
      <c r="B1019" s="32" t="s">
        <v>53</v>
      </c>
      <c r="C1019" s="23" t="s">
        <v>54</v>
      </c>
      <c r="D1019" s="23" t="s">
        <v>21</v>
      </c>
      <c r="E1019" s="37">
        <v>45400.0</v>
      </c>
      <c r="F1019" s="25">
        <v>0.23402777777777778</v>
      </c>
      <c r="G1019" s="25">
        <v>0.7194444444444444</v>
      </c>
      <c r="H1019" s="27">
        <f t="shared" si="2"/>
        <v>0.4854166667</v>
      </c>
      <c r="I1019" s="28">
        <v>4.0</v>
      </c>
      <c r="J1019" s="29" t="s">
        <v>647</v>
      </c>
      <c r="K1019" s="30" t="s">
        <v>23</v>
      </c>
      <c r="L1019" s="31" t="str">
        <f>IFERROR(__xludf.DUMMYFUNCTION("IF(OR(E1019="""",K1019=""""),"""",IFERROR(IF(K1019="""","""",query('tbl user'!$A$2:$D10975,""SELECT A WHERE D = '""&amp;K1019&amp;""'"")),""USER TIDAK DIKETAHUI""))"),"#REF!")</f>
        <v>#REF!</v>
      </c>
    </row>
    <row r="1020">
      <c r="A1020" s="21">
        <f t="shared" si="1"/>
        <v>0</v>
      </c>
      <c r="B1020" s="32" t="s">
        <v>328</v>
      </c>
      <c r="C1020" s="23" t="s">
        <v>329</v>
      </c>
      <c r="D1020" s="23" t="s">
        <v>21</v>
      </c>
      <c r="E1020" s="37">
        <v>45400.0</v>
      </c>
      <c r="F1020" s="25">
        <v>0.2916666666666667</v>
      </c>
      <c r="G1020" s="25">
        <v>0.6506944444444445</v>
      </c>
      <c r="H1020" s="27">
        <f t="shared" si="2"/>
        <v>0.3590277778</v>
      </c>
      <c r="I1020" s="28">
        <v>5.0</v>
      </c>
      <c r="J1020" s="29" t="s">
        <v>55</v>
      </c>
      <c r="K1020" s="30" t="s">
        <v>23</v>
      </c>
      <c r="L1020" s="31" t="str">
        <f>IFERROR(__xludf.DUMMYFUNCTION("IF(OR(E1020="""",K1020=""""),"""",IFERROR(IF(K1020="""","""",query('tbl user'!$A$2:$D10975,""SELECT A WHERE D = '""&amp;K1020&amp;""'"")),""USER TIDAK DIKETAHUI""))"),"#REF!")</f>
        <v>#REF!</v>
      </c>
    </row>
    <row r="1021">
      <c r="A1021" s="21">
        <f t="shared" si="1"/>
        <v>0</v>
      </c>
      <c r="B1021" s="32" t="s">
        <v>577</v>
      </c>
      <c r="C1021" s="23" t="s">
        <v>330</v>
      </c>
      <c r="D1021" s="23" t="s">
        <v>21</v>
      </c>
      <c r="E1021" s="37">
        <v>45400.0</v>
      </c>
      <c r="F1021" s="25">
        <v>0.2604166666666667</v>
      </c>
      <c r="G1021" s="25">
        <v>0.6777777777777778</v>
      </c>
      <c r="H1021" s="27">
        <f t="shared" si="2"/>
        <v>0.4173611111</v>
      </c>
      <c r="I1021" s="28">
        <v>5.0</v>
      </c>
      <c r="J1021" s="29" t="s">
        <v>55</v>
      </c>
      <c r="K1021" s="30" t="s">
        <v>23</v>
      </c>
      <c r="L1021" s="31" t="str">
        <f>IFERROR(__xludf.DUMMYFUNCTION("IF(OR(E1021="""",K1021=""""),"""",IFERROR(IF(K1021="""","""",query('tbl user'!$A$2:$D10975,""SELECT A WHERE D = '""&amp;K1021&amp;""'"")),""USER TIDAK DIKETAHUI""))"),"#REF!")</f>
        <v>#REF!</v>
      </c>
    </row>
    <row r="1022">
      <c r="A1022" s="21">
        <f t="shared" si="1"/>
        <v>0</v>
      </c>
      <c r="B1022" s="32" t="s">
        <v>601</v>
      </c>
      <c r="C1022" s="23" t="s">
        <v>323</v>
      </c>
      <c r="D1022" s="23" t="s">
        <v>21</v>
      </c>
      <c r="E1022" s="37">
        <v>45400.0</v>
      </c>
      <c r="F1022" s="25">
        <v>0.2569444444444444</v>
      </c>
      <c r="G1022" s="25">
        <v>0.6777777777777778</v>
      </c>
      <c r="H1022" s="27">
        <f t="shared" si="2"/>
        <v>0.4208333333</v>
      </c>
      <c r="I1022" s="28">
        <v>5.0</v>
      </c>
      <c r="J1022" s="29" t="s">
        <v>55</v>
      </c>
      <c r="K1022" s="30" t="s">
        <v>23</v>
      </c>
      <c r="L1022" s="31" t="str">
        <f>IFERROR(__xludf.DUMMYFUNCTION("IF(OR(E1022="""",K1022=""""),"""",IFERROR(IF(K1022="""","""",query('tbl user'!$A$2:$D10975,""SELECT A WHERE D = '""&amp;K1022&amp;""'"")),""USER TIDAK DIKETAHUI""))"),"#REF!")</f>
        <v>#REF!</v>
      </c>
    </row>
    <row r="1023">
      <c r="A1023" s="21">
        <f t="shared" si="1"/>
        <v>0</v>
      </c>
      <c r="B1023" s="32" t="s">
        <v>229</v>
      </c>
      <c r="C1023" s="23" t="s">
        <v>339</v>
      </c>
      <c r="D1023" s="23" t="s">
        <v>21</v>
      </c>
      <c r="E1023" s="37">
        <v>45400.0</v>
      </c>
      <c r="F1023" s="25">
        <v>0.2652777777777778</v>
      </c>
      <c r="G1023" s="25">
        <v>0.73125</v>
      </c>
      <c r="H1023" s="27">
        <f t="shared" si="2"/>
        <v>0.4659722222</v>
      </c>
      <c r="I1023" s="28">
        <v>6.0</v>
      </c>
      <c r="J1023" s="29" t="s">
        <v>55</v>
      </c>
      <c r="K1023" s="30" t="s">
        <v>23</v>
      </c>
      <c r="L1023" s="31" t="str">
        <f>IFERROR(__xludf.DUMMYFUNCTION("IF(OR(E1023="""",K1023=""""),"""",IFERROR(IF(K1023="""","""",query('tbl user'!$A$2:$D10975,""SELECT A WHERE D = '""&amp;K1023&amp;""'"")),""USER TIDAK DIKETAHUI""))"),"#REF!")</f>
        <v>#REF!</v>
      </c>
    </row>
    <row r="1024">
      <c r="A1024" s="21">
        <f t="shared" si="1"/>
        <v>0</v>
      </c>
      <c r="B1024" s="32" t="s">
        <v>220</v>
      </c>
      <c r="C1024" s="23" t="s">
        <v>316</v>
      </c>
      <c r="D1024" s="23" t="s">
        <v>21</v>
      </c>
      <c r="E1024" s="37">
        <v>45400.0</v>
      </c>
      <c r="F1024" s="25">
        <v>0.25069444444444444</v>
      </c>
      <c r="G1024" s="25">
        <v>0.7243055555555555</v>
      </c>
      <c r="H1024" s="27">
        <f t="shared" si="2"/>
        <v>0.4736111111</v>
      </c>
      <c r="I1024" s="28">
        <v>6.0</v>
      </c>
      <c r="J1024" s="29" t="s">
        <v>55</v>
      </c>
      <c r="K1024" s="30" t="s">
        <v>23</v>
      </c>
      <c r="L1024" s="31" t="str">
        <f>IFERROR(__xludf.DUMMYFUNCTION("IF(OR(E1024="""",K1024=""""),"""",IFERROR(IF(K1024="""","""",query('tbl user'!$A$2:$D10975,""SELECT A WHERE D = '""&amp;K1024&amp;""'"")),""USER TIDAK DIKETAHUI""))"),"#REF!")</f>
        <v>#REF!</v>
      </c>
    </row>
    <row r="1025">
      <c r="A1025" s="21">
        <f t="shared" si="1"/>
        <v>0</v>
      </c>
      <c r="B1025" s="32" t="s">
        <v>78</v>
      </c>
      <c r="C1025" s="23" t="s">
        <v>340</v>
      </c>
      <c r="D1025" s="23" t="s">
        <v>21</v>
      </c>
      <c r="E1025" s="37">
        <v>45400.0</v>
      </c>
      <c r="F1025" s="25">
        <v>0.2534722222222222</v>
      </c>
      <c r="G1025" s="25">
        <v>0.7305555555555555</v>
      </c>
      <c r="H1025" s="27">
        <f t="shared" si="2"/>
        <v>0.4770833333</v>
      </c>
      <c r="I1025" s="28">
        <v>6.0</v>
      </c>
      <c r="J1025" s="29" t="s">
        <v>55</v>
      </c>
      <c r="K1025" s="30" t="s">
        <v>23</v>
      </c>
      <c r="L1025" s="31" t="str">
        <f>IFERROR(__xludf.DUMMYFUNCTION("IF(OR(E1025="""",K1025=""""),"""",IFERROR(IF(K1025="""","""",query('tbl user'!$A$2:$D10975,""SELECT A WHERE D = '""&amp;K1025&amp;""'"")),""USER TIDAK DIKETAHUI""))"),"#REF!")</f>
        <v>#REF!</v>
      </c>
    </row>
    <row r="1026">
      <c r="A1026" s="21">
        <f t="shared" si="1"/>
        <v>0</v>
      </c>
      <c r="B1026" s="32" t="s">
        <v>331</v>
      </c>
      <c r="C1026" s="23" t="s">
        <v>332</v>
      </c>
      <c r="D1026" s="23" t="s">
        <v>21</v>
      </c>
      <c r="E1026" s="37">
        <v>45400.0</v>
      </c>
      <c r="F1026" s="25">
        <v>0.2298611111111111</v>
      </c>
      <c r="G1026" s="25">
        <v>0.7305555555555555</v>
      </c>
      <c r="H1026" s="27">
        <f t="shared" si="2"/>
        <v>0.5006944444</v>
      </c>
      <c r="I1026" s="28">
        <v>7.0</v>
      </c>
      <c r="J1026" s="29" t="s">
        <v>55</v>
      </c>
      <c r="K1026" s="30" t="s">
        <v>23</v>
      </c>
      <c r="L1026" s="31" t="str">
        <f>IFERROR(__xludf.DUMMYFUNCTION("IF(OR(E1026="""",K1026=""""),"""",IFERROR(IF(K1026="""","""",query('tbl user'!$A$2:$D10975,""SELECT A WHERE D = '""&amp;K1026&amp;""'"")),""USER TIDAK DIKETAHUI""))"),"#REF!")</f>
        <v>#REF!</v>
      </c>
    </row>
    <row r="1027">
      <c r="A1027" s="21">
        <f t="shared" si="1"/>
        <v>0</v>
      </c>
      <c r="B1027" s="32" t="s">
        <v>337</v>
      </c>
      <c r="C1027" s="23" t="s">
        <v>338</v>
      </c>
      <c r="D1027" s="23" t="s">
        <v>21</v>
      </c>
      <c r="E1027" s="37">
        <v>45400.0</v>
      </c>
      <c r="F1027" s="25">
        <v>0.2548611111111111</v>
      </c>
      <c r="G1027" s="25">
        <v>0.74375</v>
      </c>
      <c r="H1027" s="27">
        <f t="shared" si="2"/>
        <v>0.4888888889</v>
      </c>
      <c r="I1027" s="28">
        <v>7.0</v>
      </c>
      <c r="J1027" s="29" t="s">
        <v>55</v>
      </c>
      <c r="K1027" s="30" t="s">
        <v>23</v>
      </c>
      <c r="L1027" s="31" t="str">
        <f>IFERROR(__xludf.DUMMYFUNCTION("IF(OR(E1027="""",K1027=""""),"""",IFERROR(IF(K1027="""","""",query('tbl user'!$A$2:$D10975,""SELECT A WHERE D = '""&amp;K1027&amp;""'"")),""USER TIDAK DIKETAHUI""))"),"#REF!")</f>
        <v>#REF!</v>
      </c>
    </row>
    <row r="1028">
      <c r="A1028" s="21">
        <f t="shared" si="1"/>
        <v>0</v>
      </c>
      <c r="B1028" s="32" t="s">
        <v>56</v>
      </c>
      <c r="C1028" s="23" t="s">
        <v>57</v>
      </c>
      <c r="D1028" s="23" t="s">
        <v>58</v>
      </c>
      <c r="E1028" s="37">
        <v>45401.0</v>
      </c>
      <c r="F1028" s="25">
        <v>0.29305555555555557</v>
      </c>
      <c r="G1028" s="25">
        <v>0.5840277777777778</v>
      </c>
      <c r="H1028" s="27">
        <f t="shared" si="2"/>
        <v>0.2909722222</v>
      </c>
      <c r="I1028" s="28">
        <v>1.0</v>
      </c>
      <c r="J1028" s="29" t="s">
        <v>648</v>
      </c>
      <c r="K1028" s="30" t="s">
        <v>23</v>
      </c>
      <c r="L1028" s="31" t="str">
        <f>IFERROR(__xludf.DUMMYFUNCTION("IF(OR(E1028="""",K1028=""""),"""",IFERROR(IF(K1028="""","""",query('tbl user'!$A$2:$D10975,""SELECT A WHERE D = '""&amp;K1028&amp;""'"")),""USER TIDAK DIKETAHUI""))"),"#REF!")</f>
        <v>#REF!</v>
      </c>
    </row>
    <row r="1029">
      <c r="A1029" s="21">
        <f t="shared" si="1"/>
        <v>0</v>
      </c>
      <c r="B1029" s="32" t="s">
        <v>276</v>
      </c>
      <c r="C1029" s="23" t="s">
        <v>183</v>
      </c>
      <c r="D1029" s="23" t="s">
        <v>58</v>
      </c>
      <c r="E1029" s="37">
        <v>45401.0</v>
      </c>
      <c r="F1029" s="25">
        <v>0.28194444444444444</v>
      </c>
      <c r="G1029" s="25">
        <v>0.4395833333333333</v>
      </c>
      <c r="H1029" s="27">
        <f t="shared" si="2"/>
        <v>0.1576388889</v>
      </c>
      <c r="I1029" s="28">
        <v>1.0</v>
      </c>
      <c r="J1029" s="29" t="s">
        <v>649</v>
      </c>
      <c r="K1029" s="30" t="s">
        <v>23</v>
      </c>
      <c r="L1029" s="31" t="str">
        <f>IFERROR(__xludf.DUMMYFUNCTION("IF(OR(E1029="""",K1029=""""),"""",IFERROR(IF(K1029="""","""",query('tbl user'!$A$2:$D10975,""SELECT A WHERE D = '""&amp;K1029&amp;""'"")),""USER TIDAK DIKETAHUI""))"),"#REF!")</f>
        <v>#REF!</v>
      </c>
    </row>
    <row r="1030">
      <c r="A1030" s="21">
        <f t="shared" si="1"/>
        <v>0</v>
      </c>
      <c r="B1030" s="32" t="s">
        <v>202</v>
      </c>
      <c r="C1030" s="23" t="s">
        <v>203</v>
      </c>
      <c r="D1030" s="23" t="s">
        <v>58</v>
      </c>
      <c r="E1030" s="37">
        <v>45401.0</v>
      </c>
      <c r="F1030" s="25">
        <v>0.2777777777777778</v>
      </c>
      <c r="G1030" s="25">
        <v>0.41944444444444445</v>
      </c>
      <c r="H1030" s="27">
        <f t="shared" si="2"/>
        <v>0.1416666667</v>
      </c>
      <c r="I1030" s="28">
        <v>1.0</v>
      </c>
      <c r="J1030" s="29" t="s">
        <v>555</v>
      </c>
      <c r="K1030" s="30" t="s">
        <v>23</v>
      </c>
      <c r="L1030" s="31" t="str">
        <f>IFERROR(__xludf.DUMMYFUNCTION("IF(OR(E1030="""",K1030=""""),"""",IFERROR(IF(K1030="""","""",query('tbl user'!$A$2:$D10975,""SELECT A WHERE D = '""&amp;K1030&amp;""'"")),""USER TIDAK DIKETAHUI""))"),"#REF!")</f>
        <v>#REF!</v>
      </c>
    </row>
    <row r="1031">
      <c r="A1031" s="21">
        <f t="shared" si="1"/>
        <v>0</v>
      </c>
      <c r="B1031" s="32" t="s">
        <v>293</v>
      </c>
      <c r="C1031" s="23" t="s">
        <v>211</v>
      </c>
      <c r="D1031" s="23" t="s">
        <v>58</v>
      </c>
      <c r="E1031" s="37">
        <v>45401.0</v>
      </c>
      <c r="F1031" s="25">
        <v>0.26944444444444443</v>
      </c>
      <c r="G1031" s="25">
        <v>0.5763888888888888</v>
      </c>
      <c r="H1031" s="27">
        <f t="shared" si="2"/>
        <v>0.3069444444</v>
      </c>
      <c r="I1031" s="28">
        <v>2.0</v>
      </c>
      <c r="J1031" s="29" t="s">
        <v>650</v>
      </c>
      <c r="K1031" s="30" t="s">
        <v>23</v>
      </c>
      <c r="L1031" s="31" t="str">
        <f>IFERROR(__xludf.DUMMYFUNCTION("IF(OR(E1031="""",K1031=""""),"""",IFERROR(IF(K1031="""","""",query('tbl user'!$A$2:$D10975,""SELECT A WHERE D = '""&amp;K1031&amp;""'"")),""USER TIDAK DIKETAHUI""))"),"#REF!")</f>
        <v>#REF!</v>
      </c>
    </row>
    <row r="1032">
      <c r="A1032" s="21">
        <f t="shared" si="1"/>
        <v>0</v>
      </c>
      <c r="B1032" s="32" t="s">
        <v>214</v>
      </c>
      <c r="C1032" s="23" t="s">
        <v>170</v>
      </c>
      <c r="D1032" s="23" t="s">
        <v>58</v>
      </c>
      <c r="E1032" s="37">
        <v>45401.0</v>
      </c>
      <c r="F1032" s="25">
        <v>0.30069444444444443</v>
      </c>
      <c r="G1032" s="25">
        <v>0.6409722222222223</v>
      </c>
      <c r="H1032" s="27">
        <f t="shared" si="2"/>
        <v>0.3402777778</v>
      </c>
      <c r="I1032" s="28">
        <v>2.0</v>
      </c>
      <c r="J1032" s="29" t="s">
        <v>651</v>
      </c>
      <c r="K1032" s="30" t="s">
        <v>23</v>
      </c>
      <c r="L1032" s="31" t="str">
        <f>IFERROR(__xludf.DUMMYFUNCTION("IF(OR(E1032="""",K1032=""""),"""",IFERROR(IF(K1032="""","""",query('tbl user'!$A$2:$D10975,""SELECT A WHERE D = '""&amp;K1032&amp;""'"")),""USER TIDAK DIKETAHUI""))"),"#REF!")</f>
        <v>#REF!</v>
      </c>
    </row>
    <row r="1033">
      <c r="A1033" s="21">
        <f t="shared" si="1"/>
        <v>0</v>
      </c>
      <c r="B1033" s="32" t="s">
        <v>92</v>
      </c>
      <c r="C1033" s="23" t="s">
        <v>93</v>
      </c>
      <c r="D1033" s="23" t="s">
        <v>58</v>
      </c>
      <c r="E1033" s="37">
        <v>45401.0</v>
      </c>
      <c r="F1033" s="25">
        <v>0.2111111111111111</v>
      </c>
      <c r="G1033" s="25">
        <v>0.5694444444444444</v>
      </c>
      <c r="H1033" s="27">
        <f t="shared" si="2"/>
        <v>0.3583333333</v>
      </c>
      <c r="I1033" s="28">
        <v>2.0</v>
      </c>
      <c r="J1033" s="29" t="s">
        <v>652</v>
      </c>
      <c r="K1033" s="30" t="s">
        <v>23</v>
      </c>
      <c r="L1033" s="31" t="str">
        <f>IFERROR(__xludf.DUMMYFUNCTION("IF(OR(E1033="""",K1033=""""),"""",IFERROR(IF(K1033="""","""",query('tbl user'!$A$2:$D10975,""SELECT A WHERE D = '""&amp;K1033&amp;""'"")),""USER TIDAK DIKETAHUI""))"),"#REF!")</f>
        <v>#REF!</v>
      </c>
    </row>
    <row r="1034">
      <c r="A1034" s="21">
        <f t="shared" si="1"/>
        <v>0</v>
      </c>
      <c r="B1034" s="32" t="s">
        <v>178</v>
      </c>
      <c r="C1034" s="23" t="s">
        <v>82</v>
      </c>
      <c r="D1034" s="23" t="s">
        <v>58</v>
      </c>
      <c r="E1034" s="37">
        <v>45401.0</v>
      </c>
      <c r="F1034" s="25">
        <v>0.28194444444444444</v>
      </c>
      <c r="G1034" s="25">
        <v>0.6416666666666667</v>
      </c>
      <c r="H1034" s="27">
        <f t="shared" si="2"/>
        <v>0.3597222222</v>
      </c>
      <c r="I1034" s="28">
        <v>2.0</v>
      </c>
      <c r="J1034" s="29" t="s">
        <v>653</v>
      </c>
      <c r="K1034" s="30" t="s">
        <v>23</v>
      </c>
      <c r="L1034" s="31" t="str">
        <f>IFERROR(__xludf.DUMMYFUNCTION("IF(OR(E1034="""",K1034=""""),"""",IFERROR(IF(K1034="""","""",query('tbl user'!$A$2:$D10975,""SELECT A WHERE D = '""&amp;K1034&amp;""'"")),""USER TIDAK DIKETAHUI""))"),"#REF!")</f>
        <v>#REF!</v>
      </c>
    </row>
    <row r="1035">
      <c r="A1035" s="21">
        <f t="shared" si="1"/>
        <v>0</v>
      </c>
      <c r="B1035" s="32" t="s">
        <v>197</v>
      </c>
      <c r="C1035" s="23" t="s">
        <v>198</v>
      </c>
      <c r="D1035" s="23" t="s">
        <v>58</v>
      </c>
      <c r="E1035" s="37">
        <v>45401.0</v>
      </c>
      <c r="F1035" s="25">
        <v>0.20902777777777778</v>
      </c>
      <c r="G1035" s="25">
        <v>0.5694444444444444</v>
      </c>
      <c r="H1035" s="27">
        <f t="shared" si="2"/>
        <v>0.3604166667</v>
      </c>
      <c r="I1035" s="28">
        <v>2.0</v>
      </c>
      <c r="J1035" s="29" t="s">
        <v>654</v>
      </c>
      <c r="K1035" s="30" t="s">
        <v>23</v>
      </c>
      <c r="L1035" s="31" t="str">
        <f>IFERROR(__xludf.DUMMYFUNCTION("IF(OR(E1035="""",K1035=""""),"""",IFERROR(IF(K1035="""","""",query('tbl user'!$A$2:$D10975,""SELECT A WHERE D = '""&amp;K1035&amp;""'"")),""USER TIDAK DIKETAHUI""))"),"#REF!")</f>
        <v>#REF!</v>
      </c>
    </row>
    <row r="1036">
      <c r="A1036" s="21">
        <f t="shared" si="1"/>
        <v>0</v>
      </c>
      <c r="B1036" s="32" t="s">
        <v>333</v>
      </c>
      <c r="C1036" s="23" t="s">
        <v>201</v>
      </c>
      <c r="D1036" s="23" t="s">
        <v>58</v>
      </c>
      <c r="E1036" s="37">
        <v>45401.0</v>
      </c>
      <c r="F1036" s="25">
        <v>0.3055555555555556</v>
      </c>
      <c r="G1036" s="25">
        <v>0.6430555555555556</v>
      </c>
      <c r="H1036" s="27">
        <f t="shared" si="2"/>
        <v>0.3375</v>
      </c>
      <c r="I1036" s="28">
        <v>2.0</v>
      </c>
      <c r="J1036" s="29" t="s">
        <v>653</v>
      </c>
      <c r="K1036" s="30" t="s">
        <v>23</v>
      </c>
      <c r="L1036" s="31" t="str">
        <f>IFERROR(__xludf.DUMMYFUNCTION("IF(OR(E1036="""",K1036=""""),"""",IFERROR(IF(K1036="""","""",query('tbl user'!$A$2:$D10975,""SELECT A WHERE D = '""&amp;K1036&amp;""'"")),""USER TIDAK DIKETAHUI""))"),"#REF!")</f>
        <v>#REF!</v>
      </c>
    </row>
    <row r="1037">
      <c r="A1037" s="21">
        <f t="shared" si="1"/>
        <v>0</v>
      </c>
      <c r="B1037" s="32" t="s">
        <v>95</v>
      </c>
      <c r="C1037" s="23" t="s">
        <v>85</v>
      </c>
      <c r="D1037" s="23" t="s">
        <v>58</v>
      </c>
      <c r="E1037" s="37">
        <v>45401.0</v>
      </c>
      <c r="F1037" s="25">
        <v>0.3013888888888889</v>
      </c>
      <c r="G1037" s="25">
        <v>0.64375</v>
      </c>
      <c r="H1037" s="27">
        <f t="shared" si="2"/>
        <v>0.3423611111</v>
      </c>
      <c r="I1037" s="28">
        <v>2.0</v>
      </c>
      <c r="J1037" s="29" t="s">
        <v>653</v>
      </c>
      <c r="K1037" s="30" t="s">
        <v>23</v>
      </c>
      <c r="L1037" s="31" t="str">
        <f>IFERROR(__xludf.DUMMYFUNCTION("IF(OR(E1037="""",K1037=""""),"""",IFERROR(IF(K1037="""","""",query('tbl user'!$A$2:$D10975,""SELECT A WHERE D = '""&amp;K1037&amp;""'"")),""USER TIDAK DIKETAHUI""))"),"#REF!")</f>
        <v>#REF!</v>
      </c>
    </row>
    <row r="1038">
      <c r="A1038" s="21">
        <f t="shared" si="1"/>
        <v>0</v>
      </c>
      <c r="B1038" s="32" t="s">
        <v>67</v>
      </c>
      <c r="C1038" s="23" t="s">
        <v>68</v>
      </c>
      <c r="D1038" s="23" t="s">
        <v>58</v>
      </c>
      <c r="E1038" s="37">
        <v>45401.0</v>
      </c>
      <c r="F1038" s="25">
        <v>0.2777777777777778</v>
      </c>
      <c r="G1038" s="25">
        <v>0.6770833333333334</v>
      </c>
      <c r="H1038" s="27">
        <f t="shared" si="2"/>
        <v>0.3993055556</v>
      </c>
      <c r="I1038" s="28">
        <v>3.0</v>
      </c>
      <c r="J1038" s="29" t="s">
        <v>653</v>
      </c>
      <c r="K1038" s="30" t="s">
        <v>23</v>
      </c>
      <c r="L1038" s="31" t="str">
        <f>IFERROR(__xludf.DUMMYFUNCTION("IF(OR(E1038="""",K1038=""""),"""",IFERROR(IF(K1038="""","""",query('tbl user'!$A$2:$D10975,""SELECT A WHERE D = '""&amp;K1038&amp;""'"")),""USER TIDAK DIKETAHUI""))"),"#REF!")</f>
        <v>#REF!</v>
      </c>
    </row>
    <row r="1039">
      <c r="A1039" s="21">
        <f t="shared" si="1"/>
        <v>0</v>
      </c>
      <c r="B1039" s="32" t="s">
        <v>167</v>
      </c>
      <c r="C1039" s="23" t="s">
        <v>168</v>
      </c>
      <c r="D1039" s="23" t="s">
        <v>58</v>
      </c>
      <c r="E1039" s="37">
        <v>45401.0</v>
      </c>
      <c r="F1039" s="25">
        <v>0.2902777777777778</v>
      </c>
      <c r="G1039" s="25">
        <v>0.6847222222222222</v>
      </c>
      <c r="H1039" s="27">
        <f t="shared" si="2"/>
        <v>0.3944444444</v>
      </c>
      <c r="I1039" s="28">
        <v>3.0</v>
      </c>
      <c r="J1039" s="29" t="s">
        <v>653</v>
      </c>
      <c r="K1039" s="30" t="s">
        <v>23</v>
      </c>
      <c r="L1039" s="31" t="str">
        <f>IFERROR(__xludf.DUMMYFUNCTION("IF(OR(E1039="""",K1039=""""),"""",IFERROR(IF(K1039="""","""",query('tbl user'!$A$2:$D10975,""SELECT A WHERE D = '""&amp;K1039&amp;""'"")),""USER TIDAK DIKETAHUI""))"),"#REF!")</f>
        <v>#REF!</v>
      </c>
    </row>
    <row r="1040">
      <c r="A1040" s="21">
        <f t="shared" si="1"/>
        <v>0</v>
      </c>
      <c r="B1040" s="32" t="s">
        <v>215</v>
      </c>
      <c r="C1040" s="23" t="s">
        <v>176</v>
      </c>
      <c r="D1040" s="23" t="s">
        <v>58</v>
      </c>
      <c r="E1040" s="37">
        <v>45401.0</v>
      </c>
      <c r="F1040" s="25">
        <v>0.26875</v>
      </c>
      <c r="G1040" s="25">
        <v>0.6694444444444444</v>
      </c>
      <c r="H1040" s="27">
        <f t="shared" si="2"/>
        <v>0.4006944444</v>
      </c>
      <c r="I1040" s="28">
        <v>3.0</v>
      </c>
      <c r="J1040" s="29" t="s">
        <v>653</v>
      </c>
      <c r="K1040" s="30" t="s">
        <v>23</v>
      </c>
      <c r="L1040" s="31" t="str">
        <f>IFERROR(__xludf.DUMMYFUNCTION("IF(OR(E1040="""",K1040=""""),"""",IFERROR(IF(K1040="""","""",query('tbl user'!$A$2:$D10975,""SELECT A WHERE D = '""&amp;K1040&amp;""'"")),""USER TIDAK DIKETAHUI""))"),"#REF!")</f>
        <v>#REF!</v>
      </c>
    </row>
    <row r="1041">
      <c r="A1041" s="21">
        <f t="shared" si="1"/>
        <v>0</v>
      </c>
      <c r="B1041" s="32" t="s">
        <v>180</v>
      </c>
      <c r="C1041" s="23" t="s">
        <v>181</v>
      </c>
      <c r="D1041" s="23" t="s">
        <v>58</v>
      </c>
      <c r="E1041" s="37">
        <v>45401.0</v>
      </c>
      <c r="F1041" s="25">
        <v>0.22916666666666666</v>
      </c>
      <c r="G1041" s="25">
        <v>0.6854166666666667</v>
      </c>
      <c r="H1041" s="27">
        <f t="shared" si="2"/>
        <v>0.45625</v>
      </c>
      <c r="I1041" s="28">
        <v>3.0</v>
      </c>
      <c r="J1041" s="29" t="s">
        <v>653</v>
      </c>
      <c r="K1041" s="30" t="s">
        <v>23</v>
      </c>
      <c r="L1041" s="31" t="str">
        <f>IFERROR(__xludf.DUMMYFUNCTION("IF(OR(E1041="""",K1041=""""),"""",IFERROR(IF(K1041="""","""",query('tbl user'!$A$2:$D10975,""SELECT A WHERE D = '""&amp;K1041&amp;""'"")),""USER TIDAK DIKETAHUI""))"),"#REF!")</f>
        <v>#REF!</v>
      </c>
    </row>
    <row r="1042">
      <c r="A1042" s="21">
        <f t="shared" si="1"/>
        <v>0</v>
      </c>
      <c r="B1042" s="32" t="s">
        <v>184</v>
      </c>
      <c r="C1042" s="23" t="s">
        <v>185</v>
      </c>
      <c r="D1042" s="23" t="s">
        <v>58</v>
      </c>
      <c r="E1042" s="37">
        <v>45401.0</v>
      </c>
      <c r="F1042" s="25">
        <v>0.28055555555555556</v>
      </c>
      <c r="G1042" s="25">
        <v>0.6826388888888889</v>
      </c>
      <c r="H1042" s="27">
        <f t="shared" si="2"/>
        <v>0.4020833333</v>
      </c>
      <c r="I1042" s="28">
        <v>3.0</v>
      </c>
      <c r="J1042" s="29" t="s">
        <v>653</v>
      </c>
      <c r="K1042" s="30" t="s">
        <v>23</v>
      </c>
      <c r="L1042" s="31" t="str">
        <f>IFERROR(__xludf.DUMMYFUNCTION("IF(OR(E1042="""",K1042=""""),"""",IFERROR(IF(K1042="""","""",query('tbl user'!$A$2:$D10975,""SELECT A WHERE D = '""&amp;K1042&amp;""'"")),""USER TIDAK DIKETAHUI""))"),"#REF!")</f>
        <v>#REF!</v>
      </c>
    </row>
    <row r="1043">
      <c r="A1043" s="21">
        <f t="shared" si="1"/>
        <v>0</v>
      </c>
      <c r="B1043" s="32" t="s">
        <v>187</v>
      </c>
      <c r="C1043" s="23" t="s">
        <v>188</v>
      </c>
      <c r="D1043" s="23" t="s">
        <v>58</v>
      </c>
      <c r="E1043" s="37">
        <v>45401.0</v>
      </c>
      <c r="F1043" s="25">
        <v>0.22291666666666668</v>
      </c>
      <c r="G1043" s="25">
        <v>0.6527777777777778</v>
      </c>
      <c r="H1043" s="27">
        <f t="shared" si="2"/>
        <v>0.4298611111</v>
      </c>
      <c r="I1043" s="28">
        <v>3.0</v>
      </c>
      <c r="J1043" s="29" t="s">
        <v>653</v>
      </c>
      <c r="K1043" s="30" t="s">
        <v>23</v>
      </c>
      <c r="L1043" s="31" t="str">
        <f>IFERROR(__xludf.DUMMYFUNCTION("IF(OR(E1043="""",K1043=""""),"""",IFERROR(IF(K1043="""","""",query('tbl user'!$A$2:$D10975,""SELECT A WHERE D = '""&amp;K1043&amp;""'"")),""USER TIDAK DIKETAHUI""))"),"#REF!")</f>
        <v>#REF!</v>
      </c>
    </row>
    <row r="1044">
      <c r="A1044" s="21">
        <f t="shared" si="1"/>
        <v>0</v>
      </c>
      <c r="B1044" s="32" t="s">
        <v>216</v>
      </c>
      <c r="C1044" s="23" t="s">
        <v>190</v>
      </c>
      <c r="D1044" s="23" t="s">
        <v>58</v>
      </c>
      <c r="E1044" s="37">
        <v>45401.0</v>
      </c>
      <c r="F1044" s="25">
        <v>0.23402777777777778</v>
      </c>
      <c r="G1044" s="25">
        <v>0.6527777777777778</v>
      </c>
      <c r="H1044" s="27">
        <f t="shared" si="2"/>
        <v>0.41875</v>
      </c>
      <c r="I1044" s="28">
        <v>3.0</v>
      </c>
      <c r="J1044" s="29" t="s">
        <v>653</v>
      </c>
      <c r="K1044" s="30" t="s">
        <v>23</v>
      </c>
      <c r="L1044" s="31" t="str">
        <f>IFERROR(__xludf.DUMMYFUNCTION("IF(OR(E1044="""",K1044=""""),"""",IFERROR(IF(K1044="""","""",query('tbl user'!$A$2:$D10975,""SELECT A WHERE D = '""&amp;K1044&amp;""'"")),""USER TIDAK DIKETAHUI""))"),"#REF!")</f>
        <v>#REF!</v>
      </c>
    </row>
    <row r="1045">
      <c r="A1045" s="21">
        <f t="shared" si="1"/>
        <v>0</v>
      </c>
      <c r="B1045" s="32" t="s">
        <v>191</v>
      </c>
      <c r="C1045" s="23" t="s">
        <v>192</v>
      </c>
      <c r="D1045" s="23" t="s">
        <v>58</v>
      </c>
      <c r="E1045" s="37">
        <v>45401.0</v>
      </c>
      <c r="F1045" s="25">
        <v>0.2798611111111111</v>
      </c>
      <c r="G1045" s="25">
        <v>0.6854166666666667</v>
      </c>
      <c r="H1045" s="27">
        <f t="shared" si="2"/>
        <v>0.4055555556</v>
      </c>
      <c r="I1045" s="28">
        <v>3.0</v>
      </c>
      <c r="J1045" s="29" t="s">
        <v>653</v>
      </c>
      <c r="K1045" s="30" t="s">
        <v>23</v>
      </c>
      <c r="L1045" s="31" t="str">
        <f>IFERROR(__xludf.DUMMYFUNCTION("IF(OR(E1045="""",K1045=""""),"""",IFERROR(IF(K1045="""","""",query('tbl user'!$A$2:$D10975,""SELECT A WHERE D = '""&amp;K1045&amp;""'"")),""USER TIDAK DIKETAHUI""))"),"#REF!")</f>
        <v>#REF!</v>
      </c>
    </row>
    <row r="1046">
      <c r="A1046" s="21">
        <f t="shared" si="1"/>
        <v>0</v>
      </c>
      <c r="B1046" s="32" t="s">
        <v>30</v>
      </c>
      <c r="C1046" s="23" t="s">
        <v>105</v>
      </c>
      <c r="D1046" s="23" t="s">
        <v>58</v>
      </c>
      <c r="E1046" s="37">
        <v>45401.0</v>
      </c>
      <c r="F1046" s="25">
        <v>0.22083333333333333</v>
      </c>
      <c r="G1046" s="25">
        <v>0.6798611111111111</v>
      </c>
      <c r="H1046" s="27">
        <f t="shared" si="2"/>
        <v>0.4590277778</v>
      </c>
      <c r="I1046" s="28">
        <v>3.0</v>
      </c>
      <c r="J1046" s="29" t="s">
        <v>653</v>
      </c>
      <c r="K1046" s="30" t="s">
        <v>23</v>
      </c>
      <c r="L1046" s="31" t="str">
        <f>IFERROR(__xludf.DUMMYFUNCTION("IF(OR(E1046="""",K1046=""""),"""",IFERROR(IF(K1046="""","""",query('tbl user'!$A$2:$D10975,""SELECT A WHERE D = '""&amp;K1046&amp;""'"")),""USER TIDAK DIKETAHUI""))"),"#REF!")</f>
        <v>#REF!</v>
      </c>
    </row>
    <row r="1047">
      <c r="A1047" s="21">
        <f t="shared" si="1"/>
        <v>0</v>
      </c>
      <c r="B1047" s="32" t="s">
        <v>297</v>
      </c>
      <c r="C1047" s="23" t="s">
        <v>348</v>
      </c>
      <c r="D1047" s="23" t="s">
        <v>58</v>
      </c>
      <c r="E1047" s="37">
        <v>45401.0</v>
      </c>
      <c r="F1047" s="25">
        <v>0.225</v>
      </c>
      <c r="G1047" s="25">
        <v>0.6347222222222222</v>
      </c>
      <c r="H1047" s="27">
        <f t="shared" si="2"/>
        <v>0.4097222222</v>
      </c>
      <c r="I1047" s="28">
        <v>3.0</v>
      </c>
      <c r="J1047" s="29" t="s">
        <v>653</v>
      </c>
      <c r="K1047" s="30" t="s">
        <v>23</v>
      </c>
      <c r="L1047" s="31" t="str">
        <f>IFERROR(__xludf.DUMMYFUNCTION("IF(OR(E1047="""",K1047=""""),"""",IFERROR(IF(K1047="""","""",query('tbl user'!$A$2:$D10975,""SELECT A WHERE D = '""&amp;K1047&amp;""'"")),""USER TIDAK DIKETAHUI""))"),"#REF!")</f>
        <v>#REF!</v>
      </c>
    </row>
    <row r="1048">
      <c r="A1048" s="21">
        <f t="shared" si="1"/>
        <v>0</v>
      </c>
      <c r="B1048" s="32" t="s">
        <v>120</v>
      </c>
      <c r="C1048" s="23" t="s">
        <v>206</v>
      </c>
      <c r="D1048" s="23" t="s">
        <v>58</v>
      </c>
      <c r="E1048" s="37">
        <v>45401.0</v>
      </c>
      <c r="F1048" s="25">
        <v>0.23402777777777778</v>
      </c>
      <c r="G1048" s="25">
        <v>0.6416666666666667</v>
      </c>
      <c r="H1048" s="27">
        <f t="shared" si="2"/>
        <v>0.4076388889</v>
      </c>
      <c r="I1048" s="28">
        <v>3.0</v>
      </c>
      <c r="J1048" s="29" t="s">
        <v>653</v>
      </c>
      <c r="K1048" s="30" t="s">
        <v>23</v>
      </c>
      <c r="L1048" s="31" t="str">
        <f>IFERROR(__xludf.DUMMYFUNCTION("IF(OR(E1048="""",K1048=""""),"""",IFERROR(IF(K1048="""","""",query('tbl user'!$A$2:$D10975,""SELECT A WHERE D = '""&amp;K1048&amp;""'"")),""USER TIDAK DIKETAHUI""))"),"#REF!")</f>
        <v>#REF!</v>
      </c>
    </row>
    <row r="1049">
      <c r="A1049" s="21">
        <f t="shared" si="1"/>
        <v>0</v>
      </c>
      <c r="B1049" s="32" t="s">
        <v>224</v>
      </c>
      <c r="C1049" s="23" t="s">
        <v>208</v>
      </c>
      <c r="D1049" s="23" t="s">
        <v>58</v>
      </c>
      <c r="E1049" s="37">
        <v>45401.0</v>
      </c>
      <c r="F1049" s="25">
        <v>0.2361111111111111</v>
      </c>
      <c r="G1049" s="25">
        <v>0.70625</v>
      </c>
      <c r="H1049" s="27">
        <f t="shared" si="2"/>
        <v>0.4701388889</v>
      </c>
      <c r="I1049" s="28">
        <v>3.0</v>
      </c>
      <c r="J1049" s="29" t="s">
        <v>653</v>
      </c>
      <c r="K1049" s="30" t="s">
        <v>23</v>
      </c>
      <c r="L1049" s="31" t="str">
        <f>IFERROR(__xludf.DUMMYFUNCTION("IF(OR(E1049="""",K1049=""""),"""",IFERROR(IF(K1049="""","""",query('tbl user'!$A$2:$D10975,""SELECT A WHERE D = '""&amp;K1049&amp;""'"")),""USER TIDAK DIKETAHUI""))"),"#REF!")</f>
        <v>#REF!</v>
      </c>
    </row>
    <row r="1050">
      <c r="A1050" s="21">
        <f t="shared" si="1"/>
        <v>0</v>
      </c>
      <c r="B1050" s="32" t="s">
        <v>159</v>
      </c>
      <c r="C1050" s="23" t="s">
        <v>20</v>
      </c>
      <c r="D1050" s="23" t="s">
        <v>21</v>
      </c>
      <c r="E1050" s="37">
        <v>45401.0</v>
      </c>
      <c r="F1050" s="25">
        <v>0.30833333333333335</v>
      </c>
      <c r="G1050" s="25">
        <v>0.4979166666666667</v>
      </c>
      <c r="H1050" s="27">
        <f t="shared" si="2"/>
        <v>0.1895833333</v>
      </c>
      <c r="I1050" s="28">
        <v>1.0</v>
      </c>
      <c r="J1050" s="29" t="s">
        <v>640</v>
      </c>
      <c r="K1050" s="30" t="s">
        <v>23</v>
      </c>
      <c r="L1050" s="31" t="str">
        <f>IFERROR(__xludf.DUMMYFUNCTION("IF(OR(E1050="""",K1050=""""),"""",IFERROR(IF(K1050="""","""",query('tbl user'!$A$2:$D10975,""SELECT A WHERE D = '""&amp;K1050&amp;""'"")),""USER TIDAK DIKETAHUI""))"),"#REF!")</f>
        <v>#REF!</v>
      </c>
    </row>
    <row r="1051">
      <c r="A1051" s="21">
        <f t="shared" si="1"/>
        <v>0</v>
      </c>
      <c r="B1051" s="32" t="s">
        <v>24</v>
      </c>
      <c r="C1051" s="23" t="s">
        <v>25</v>
      </c>
      <c r="D1051" s="23" t="s">
        <v>21</v>
      </c>
      <c r="E1051" s="37">
        <v>45401.0</v>
      </c>
      <c r="F1051" s="25">
        <v>0.3104166666666667</v>
      </c>
      <c r="G1051" s="25">
        <v>0.5791666666666667</v>
      </c>
      <c r="H1051" s="27">
        <f t="shared" si="2"/>
        <v>0.26875</v>
      </c>
      <c r="I1051" s="28">
        <v>1.0</v>
      </c>
      <c r="J1051" s="29" t="s">
        <v>655</v>
      </c>
      <c r="K1051" s="30" t="s">
        <v>23</v>
      </c>
      <c r="L1051" s="31" t="str">
        <f>IFERROR(__xludf.DUMMYFUNCTION("IF(OR(E1051="""",K1051=""""),"""",IFERROR(IF(K1051="""","""",query('tbl user'!$A$2:$D10975,""SELECT A WHERE D = '""&amp;K1051&amp;""'"")),""USER TIDAK DIKETAHUI""))"),"#REF!")</f>
        <v>#REF!</v>
      </c>
    </row>
    <row r="1052">
      <c r="A1052" s="21">
        <f t="shared" si="1"/>
        <v>0</v>
      </c>
      <c r="B1052" s="32" t="s">
        <v>303</v>
      </c>
      <c r="C1052" s="23" t="s">
        <v>251</v>
      </c>
      <c r="D1052" s="23" t="s">
        <v>21</v>
      </c>
      <c r="E1052" s="37">
        <v>45401.0</v>
      </c>
      <c r="F1052" s="25">
        <v>0.30833333333333335</v>
      </c>
      <c r="G1052" s="25">
        <v>0.5972222222222222</v>
      </c>
      <c r="H1052" s="27">
        <f t="shared" si="2"/>
        <v>0.2888888889</v>
      </c>
      <c r="I1052" s="28">
        <v>1.0</v>
      </c>
      <c r="J1052" s="29" t="s">
        <v>656</v>
      </c>
      <c r="K1052" s="30" t="s">
        <v>23</v>
      </c>
      <c r="L1052" s="31" t="str">
        <f>IFERROR(__xludf.DUMMYFUNCTION("IF(OR(E1052="""",K1052=""""),"""",IFERROR(IF(K1052="""","""",query('tbl user'!$A$2:$D10975,""SELECT A WHERE D = '""&amp;K1052&amp;""'"")),""USER TIDAK DIKETAHUI""))"),"#REF!")</f>
        <v>#REF!</v>
      </c>
    </row>
    <row r="1053">
      <c r="A1053" s="21">
        <f t="shared" si="1"/>
        <v>0</v>
      </c>
      <c r="B1053" s="32" t="s">
        <v>43</v>
      </c>
      <c r="C1053" s="23" t="s">
        <v>44</v>
      </c>
      <c r="D1053" s="23" t="s">
        <v>21</v>
      </c>
      <c r="E1053" s="37">
        <v>45401.0</v>
      </c>
      <c r="F1053" s="25">
        <v>0.44375</v>
      </c>
      <c r="G1053" s="25">
        <v>0.7083333333333334</v>
      </c>
      <c r="H1053" s="27">
        <f t="shared" si="2"/>
        <v>0.2645833333</v>
      </c>
      <c r="I1053" s="28">
        <v>1.0</v>
      </c>
      <c r="J1053" s="29" t="s">
        <v>45</v>
      </c>
      <c r="K1053" s="30" t="s">
        <v>23</v>
      </c>
      <c r="L1053" s="31" t="str">
        <f>IFERROR(__xludf.DUMMYFUNCTION("IF(OR(E1053="""",K1053=""""),"""",IFERROR(IF(K1053="""","""",query('tbl user'!$A$2:$D10975,""SELECT A WHERE D = '""&amp;K1053&amp;""'"")),""USER TIDAK DIKETAHUI""))"),"#REF!")</f>
        <v>#REF!</v>
      </c>
    </row>
    <row r="1054">
      <c r="A1054" s="21">
        <f t="shared" si="1"/>
        <v>0</v>
      </c>
      <c r="B1054" s="32" t="s">
        <v>305</v>
      </c>
      <c r="C1054" s="23" t="s">
        <v>306</v>
      </c>
      <c r="D1054" s="23" t="s">
        <v>21</v>
      </c>
      <c r="E1054" s="37">
        <v>45401.0</v>
      </c>
      <c r="F1054" s="25">
        <v>0.2534722222222222</v>
      </c>
      <c r="G1054" s="25">
        <v>0.5090277777777777</v>
      </c>
      <c r="H1054" s="27">
        <f t="shared" si="2"/>
        <v>0.2555555556</v>
      </c>
      <c r="I1054" s="28">
        <v>1.0</v>
      </c>
      <c r="J1054" s="29" t="s">
        <v>657</v>
      </c>
      <c r="K1054" s="30" t="s">
        <v>23</v>
      </c>
      <c r="L1054" s="31" t="str">
        <f>IFERROR(__xludf.DUMMYFUNCTION("IF(OR(E1054="""",K1054=""""),"""",IFERROR(IF(K1054="""","""",query('tbl user'!$A$2:$D10975,""SELECT A WHERE D = '""&amp;K1054&amp;""'"")),""USER TIDAK DIKETAHUI""))"),"#REF!")</f>
        <v>#REF!</v>
      </c>
    </row>
    <row r="1055">
      <c r="A1055" s="21">
        <f t="shared" si="1"/>
        <v>0</v>
      </c>
      <c r="B1055" s="32" t="s">
        <v>34</v>
      </c>
      <c r="C1055" s="23" t="s">
        <v>35</v>
      </c>
      <c r="D1055" s="23" t="s">
        <v>21</v>
      </c>
      <c r="E1055" s="37">
        <v>45401.0</v>
      </c>
      <c r="F1055" s="25">
        <v>0.2875</v>
      </c>
      <c r="G1055" s="25">
        <v>0.7340277777777777</v>
      </c>
      <c r="H1055" s="27">
        <f t="shared" si="2"/>
        <v>0.4465277778</v>
      </c>
      <c r="I1055" s="28">
        <v>2.0</v>
      </c>
      <c r="J1055" s="29" t="s">
        <v>658</v>
      </c>
      <c r="K1055" s="30" t="s">
        <v>23</v>
      </c>
      <c r="L1055" s="31" t="str">
        <f>IFERROR(__xludf.DUMMYFUNCTION("IF(OR(E1055="""",K1055=""""),"""",IFERROR(IF(K1055="""","""",query('tbl user'!$A$2:$D10975,""SELECT A WHERE D = '""&amp;K1055&amp;""'"")),""USER TIDAK DIKETAHUI""))"),"#REF!")</f>
        <v>#REF!</v>
      </c>
    </row>
    <row r="1056">
      <c r="A1056" s="21">
        <f t="shared" si="1"/>
        <v>0</v>
      </c>
      <c r="B1056" s="32" t="s">
        <v>238</v>
      </c>
      <c r="C1056" s="23" t="s">
        <v>239</v>
      </c>
      <c r="D1056" s="23" t="s">
        <v>21</v>
      </c>
      <c r="E1056" s="37">
        <v>45401.0</v>
      </c>
      <c r="F1056" s="25">
        <v>0.28194444444444444</v>
      </c>
      <c r="G1056" s="25">
        <v>0.7416666666666667</v>
      </c>
      <c r="H1056" s="27">
        <f t="shared" si="2"/>
        <v>0.4597222222</v>
      </c>
      <c r="I1056" s="28">
        <v>2.0</v>
      </c>
      <c r="J1056" s="29" t="s">
        <v>659</v>
      </c>
      <c r="K1056" s="30" t="s">
        <v>23</v>
      </c>
      <c r="L1056" s="31" t="str">
        <f>IFERROR(__xludf.DUMMYFUNCTION("IF(OR(E1056="""",K1056=""""),"""",IFERROR(IF(K1056="""","""",query('tbl user'!$A$2:$D10975,""SELECT A WHERE D = '""&amp;K1056&amp;""'"")),""USER TIDAK DIKETAHUI""))"),"#REF!")</f>
        <v>#REF!</v>
      </c>
    </row>
    <row r="1057">
      <c r="A1057" s="21">
        <f t="shared" si="1"/>
        <v>0</v>
      </c>
      <c r="B1057" s="32" t="s">
        <v>240</v>
      </c>
      <c r="C1057" s="23" t="s">
        <v>241</v>
      </c>
      <c r="D1057" s="23" t="s">
        <v>21</v>
      </c>
      <c r="E1057" s="37">
        <v>45401.0</v>
      </c>
      <c r="F1057" s="25">
        <v>0.20902777777777778</v>
      </c>
      <c r="G1057" s="25">
        <v>0.7493055555555556</v>
      </c>
      <c r="H1057" s="27">
        <f t="shared" si="2"/>
        <v>0.5402777778</v>
      </c>
      <c r="I1057" s="28">
        <v>2.0</v>
      </c>
      <c r="J1057" s="29" t="s">
        <v>660</v>
      </c>
      <c r="K1057" s="30" t="s">
        <v>23</v>
      </c>
      <c r="L1057" s="31" t="str">
        <f>IFERROR(__xludf.DUMMYFUNCTION("IF(OR(E1057="""",K1057=""""),"""",IFERROR(IF(K1057="""","""",query('tbl user'!$A$2:$D10975,""SELECT A WHERE D = '""&amp;K1057&amp;""'"")),""USER TIDAK DIKETAHUI""))"),"#REF!")</f>
        <v>#REF!</v>
      </c>
    </row>
    <row r="1058">
      <c r="A1058" s="21">
        <f t="shared" si="1"/>
        <v>0</v>
      </c>
      <c r="B1058" s="32" t="s">
        <v>246</v>
      </c>
      <c r="C1058" s="23" t="s">
        <v>99</v>
      </c>
      <c r="D1058" s="23" t="s">
        <v>21</v>
      </c>
      <c r="E1058" s="37">
        <v>45401.0</v>
      </c>
      <c r="F1058" s="25">
        <v>0.30486111111111114</v>
      </c>
      <c r="G1058" s="25">
        <v>0.7444444444444445</v>
      </c>
      <c r="H1058" s="27">
        <f t="shared" si="2"/>
        <v>0.4395833333</v>
      </c>
      <c r="I1058" s="28">
        <v>2.0</v>
      </c>
      <c r="J1058" s="29" t="s">
        <v>653</v>
      </c>
      <c r="K1058" s="30" t="s">
        <v>23</v>
      </c>
      <c r="L1058" s="31" t="str">
        <f>IFERROR(__xludf.DUMMYFUNCTION("IF(OR(E1058="""",K1058=""""),"""",IFERROR(IF(K1058="""","""",query('tbl user'!$A$2:$D10975,""SELECT A WHERE D = '""&amp;K1058&amp;""'"")),""USER TIDAK DIKETAHUI""))"),"#REF!")</f>
        <v>#REF!</v>
      </c>
    </row>
    <row r="1059">
      <c r="A1059" s="21">
        <f t="shared" si="1"/>
        <v>0</v>
      </c>
      <c r="B1059" s="32" t="s">
        <v>243</v>
      </c>
      <c r="C1059" s="23" t="s">
        <v>244</v>
      </c>
      <c r="D1059" s="23" t="s">
        <v>21</v>
      </c>
      <c r="E1059" s="37">
        <v>45401.0</v>
      </c>
      <c r="F1059" s="25">
        <v>0.29444444444444445</v>
      </c>
      <c r="G1059" s="25">
        <v>0.7270833333333333</v>
      </c>
      <c r="H1059" s="27">
        <f t="shared" si="2"/>
        <v>0.4326388889</v>
      </c>
      <c r="I1059" s="28">
        <v>2.0</v>
      </c>
      <c r="J1059" s="29" t="s">
        <v>661</v>
      </c>
      <c r="K1059" s="30" t="s">
        <v>23</v>
      </c>
      <c r="L1059" s="31" t="str">
        <f>IFERROR(__xludf.DUMMYFUNCTION("IF(OR(E1059="""",K1059=""""),"""",IFERROR(IF(K1059="""","""",query('tbl user'!$A$2:$D10975,""SELECT A WHERE D = '""&amp;K1059&amp;""'"")),""USER TIDAK DIKETAHUI""))"),"#REF!")</f>
        <v>#REF!</v>
      </c>
    </row>
    <row r="1060">
      <c r="A1060" s="21">
        <f t="shared" si="1"/>
        <v>0</v>
      </c>
      <c r="B1060" s="32" t="s">
        <v>662</v>
      </c>
      <c r="C1060" s="23" t="s">
        <v>234</v>
      </c>
      <c r="D1060" s="23" t="s">
        <v>21</v>
      </c>
      <c r="E1060" s="37">
        <v>45401.0</v>
      </c>
      <c r="F1060" s="25">
        <v>0.24375</v>
      </c>
      <c r="G1060" s="25">
        <v>0.6951388888888889</v>
      </c>
      <c r="H1060" s="27">
        <f t="shared" si="2"/>
        <v>0.4513888889</v>
      </c>
      <c r="I1060" s="28">
        <v>2.0</v>
      </c>
      <c r="J1060" s="29" t="s">
        <v>663</v>
      </c>
      <c r="K1060" s="30" t="s">
        <v>23</v>
      </c>
      <c r="L1060" s="31" t="str">
        <f>IFERROR(__xludf.DUMMYFUNCTION("IF(OR(E1060="""",K1060=""""),"""",IFERROR(IF(K1060="""","""",query('tbl user'!$A$2:$D10975,""SELECT A WHERE D = '""&amp;K1060&amp;""'"")),""USER TIDAK DIKETAHUI""))"),"#REF!")</f>
        <v>#REF!</v>
      </c>
    </row>
    <row r="1061">
      <c r="A1061" s="21">
        <f t="shared" si="1"/>
        <v>0</v>
      </c>
      <c r="B1061" s="32" t="s">
        <v>255</v>
      </c>
      <c r="C1061" s="23" t="s">
        <v>256</v>
      </c>
      <c r="D1061" s="23" t="s">
        <v>21</v>
      </c>
      <c r="E1061" s="37">
        <v>45401.0</v>
      </c>
      <c r="F1061" s="25">
        <v>0.21041666666666667</v>
      </c>
      <c r="G1061" s="25">
        <v>0.6652777777777777</v>
      </c>
      <c r="H1061" s="27">
        <f t="shared" si="2"/>
        <v>0.4548611111</v>
      </c>
      <c r="I1061" s="28">
        <v>2.0</v>
      </c>
      <c r="J1061" s="29" t="s">
        <v>653</v>
      </c>
      <c r="K1061" s="30" t="s">
        <v>23</v>
      </c>
      <c r="L1061" s="31" t="str">
        <f>IFERROR(__xludf.DUMMYFUNCTION("IF(OR(E1061="""",K1061=""""),"""",IFERROR(IF(K1061="""","""",query('tbl user'!$A$2:$D10975,""SELECT A WHERE D = '""&amp;K1061&amp;""'"")),""USER TIDAK DIKETAHUI""))"),"#REF!")</f>
        <v>#REF!</v>
      </c>
    </row>
    <row r="1062">
      <c r="A1062" s="21">
        <f t="shared" si="1"/>
        <v>0</v>
      </c>
      <c r="B1062" s="32" t="s">
        <v>593</v>
      </c>
      <c r="C1062" s="23" t="s">
        <v>236</v>
      </c>
      <c r="D1062" s="23" t="s">
        <v>21</v>
      </c>
      <c r="E1062" s="37">
        <v>45401.0</v>
      </c>
      <c r="F1062" s="25">
        <v>0.21805555555555556</v>
      </c>
      <c r="G1062" s="25">
        <v>0.7131944444444445</v>
      </c>
      <c r="H1062" s="27">
        <f t="shared" si="2"/>
        <v>0.4951388889</v>
      </c>
      <c r="I1062" s="28">
        <v>2.0</v>
      </c>
      <c r="J1062" s="29" t="s">
        <v>664</v>
      </c>
      <c r="K1062" s="30" t="s">
        <v>23</v>
      </c>
      <c r="L1062" s="31" t="str">
        <f>IFERROR(__xludf.DUMMYFUNCTION("IF(OR(E1062="""",K1062=""""),"""",IFERROR(IF(K1062="""","""",query('tbl user'!$A$2:$D10975,""SELECT A WHERE D = '""&amp;K1062&amp;""'"")),""USER TIDAK DIKETAHUI""))"),"#REF!")</f>
        <v>#REF!</v>
      </c>
    </row>
    <row r="1063">
      <c r="A1063" s="21">
        <f t="shared" si="1"/>
        <v>0</v>
      </c>
      <c r="B1063" s="32" t="s">
        <v>258</v>
      </c>
      <c r="C1063" s="23" t="s">
        <v>259</v>
      </c>
      <c r="D1063" s="23" t="s">
        <v>21</v>
      </c>
      <c r="E1063" s="37">
        <v>45401.0</v>
      </c>
      <c r="F1063" s="25">
        <v>0.24583333333333332</v>
      </c>
      <c r="G1063" s="25">
        <v>0.675</v>
      </c>
      <c r="H1063" s="27">
        <f t="shared" si="2"/>
        <v>0.4291666667</v>
      </c>
      <c r="I1063" s="28">
        <v>2.0</v>
      </c>
      <c r="J1063" s="29" t="s">
        <v>653</v>
      </c>
      <c r="K1063" s="30" t="s">
        <v>23</v>
      </c>
      <c r="L1063" s="31" t="str">
        <f>IFERROR(__xludf.DUMMYFUNCTION("IF(OR(E1063="""",K1063=""""),"""",IFERROR(IF(K1063="""","""",query('tbl user'!$A$2:$D10975,""SELECT A WHERE D = '""&amp;K1063&amp;""'"")),""USER TIDAK DIKETAHUI""))"),"#REF!")</f>
        <v>#REF!</v>
      </c>
    </row>
    <row r="1064">
      <c r="A1064" s="21">
        <f t="shared" si="1"/>
        <v>0</v>
      </c>
      <c r="B1064" s="32" t="s">
        <v>260</v>
      </c>
      <c r="C1064" s="23" t="s">
        <v>261</v>
      </c>
      <c r="D1064" s="23" t="s">
        <v>21</v>
      </c>
      <c r="E1064" s="37">
        <v>45401.0</v>
      </c>
      <c r="F1064" s="25">
        <v>0.24513888888888888</v>
      </c>
      <c r="G1064" s="25">
        <v>0.7416666666666667</v>
      </c>
      <c r="H1064" s="27">
        <f t="shared" si="2"/>
        <v>0.4965277778</v>
      </c>
      <c r="I1064" s="28">
        <v>2.0</v>
      </c>
      <c r="J1064" s="29" t="s">
        <v>665</v>
      </c>
      <c r="K1064" s="30" t="s">
        <v>23</v>
      </c>
      <c r="L1064" s="31" t="str">
        <f>IFERROR(__xludf.DUMMYFUNCTION("IF(OR(E1064="""",K1064=""""),"""",IFERROR(IF(K1064="""","""",query('tbl user'!$A$2:$D10975,""SELECT A WHERE D = '""&amp;K1064&amp;""'"")),""USER TIDAK DIKETAHUI""))"),"#REF!")</f>
        <v>#REF!</v>
      </c>
    </row>
    <row r="1065">
      <c r="A1065" s="21">
        <f t="shared" si="1"/>
        <v>0</v>
      </c>
      <c r="B1065" s="32" t="s">
        <v>61</v>
      </c>
      <c r="C1065" s="23" t="s">
        <v>62</v>
      </c>
      <c r="D1065" s="23" t="s">
        <v>21</v>
      </c>
      <c r="E1065" s="37">
        <v>45401.0</v>
      </c>
      <c r="F1065" s="25">
        <v>0.2361111111111111</v>
      </c>
      <c r="G1065" s="25">
        <v>0.4125</v>
      </c>
      <c r="H1065" s="27">
        <f t="shared" si="2"/>
        <v>0.1763888889</v>
      </c>
      <c r="I1065" s="28">
        <v>1.0</v>
      </c>
      <c r="J1065" s="29" t="s">
        <v>666</v>
      </c>
      <c r="K1065" s="30" t="s">
        <v>23</v>
      </c>
      <c r="L1065" s="31" t="str">
        <f>IFERROR(__xludf.DUMMYFUNCTION("IF(OR(E1065="""",K1065=""""),"""",IFERROR(IF(K1065="""","""",query('tbl user'!$A$2:$D10975,""SELECT A WHERE D = '""&amp;K1065&amp;""'"")),""USER TIDAK DIKETAHUI""))"),"#REF!")</f>
        <v>#REF!</v>
      </c>
    </row>
    <row r="1066">
      <c r="A1066" s="21">
        <f t="shared" si="1"/>
        <v>0</v>
      </c>
      <c r="B1066" s="32" t="s">
        <v>281</v>
      </c>
      <c r="C1066" s="23" t="s">
        <v>282</v>
      </c>
      <c r="D1066" s="23" t="s">
        <v>21</v>
      </c>
      <c r="E1066" s="37">
        <v>45401.0</v>
      </c>
      <c r="F1066" s="25">
        <v>0.30625</v>
      </c>
      <c r="G1066" s="25">
        <v>0.4465277777777778</v>
      </c>
      <c r="H1066" s="27">
        <f t="shared" si="2"/>
        <v>0.1402777778</v>
      </c>
      <c r="I1066" s="28">
        <v>1.0</v>
      </c>
      <c r="J1066" s="29" t="s">
        <v>667</v>
      </c>
      <c r="K1066" s="30" t="s">
        <v>23</v>
      </c>
      <c r="L1066" s="31" t="str">
        <f>IFERROR(__xludf.DUMMYFUNCTION("IF(OR(E1066="""",K1066=""""),"""",IFERROR(IF(K1066="""","""",query('tbl user'!$A$2:$D10975,""SELECT A WHERE D = '""&amp;K1066&amp;""'"")),""USER TIDAK DIKETAHUI""))"),"#REF!")</f>
        <v>#REF!</v>
      </c>
    </row>
    <row r="1067">
      <c r="A1067" s="21">
        <f t="shared" si="1"/>
        <v>0</v>
      </c>
      <c r="B1067" s="32" t="s">
        <v>153</v>
      </c>
      <c r="C1067" s="23" t="s">
        <v>27</v>
      </c>
      <c r="D1067" s="23" t="s">
        <v>21</v>
      </c>
      <c r="E1067" s="37">
        <v>45401.0</v>
      </c>
      <c r="F1067" s="25">
        <v>0.2847222222222222</v>
      </c>
      <c r="G1067" s="25">
        <v>0.6673611111111111</v>
      </c>
      <c r="H1067" s="27">
        <f t="shared" si="2"/>
        <v>0.3826388889</v>
      </c>
      <c r="I1067" s="28">
        <v>2.0</v>
      </c>
      <c r="J1067" s="29" t="s">
        <v>668</v>
      </c>
      <c r="K1067" s="30" t="s">
        <v>23</v>
      </c>
      <c r="L1067" s="31" t="str">
        <f>IFERROR(__xludf.DUMMYFUNCTION("IF(OR(E1067="""",K1067=""""),"""",IFERROR(IF(K1067="""","""",query('tbl user'!$A$2:$D10975,""SELECT A WHERE D = '""&amp;K1067&amp;""'"")),""USER TIDAK DIKETAHUI""))"),"#REF!")</f>
        <v>#REF!</v>
      </c>
    </row>
    <row r="1068">
      <c r="A1068" s="21">
        <f t="shared" si="1"/>
        <v>0</v>
      </c>
      <c r="B1068" s="32" t="s">
        <v>286</v>
      </c>
      <c r="C1068" s="23" t="s">
        <v>287</v>
      </c>
      <c r="D1068" s="23" t="s">
        <v>21</v>
      </c>
      <c r="E1068" s="37">
        <v>45401.0</v>
      </c>
      <c r="F1068" s="25">
        <v>0.225</v>
      </c>
      <c r="G1068" s="25">
        <v>0.6715277777777777</v>
      </c>
      <c r="H1068" s="27">
        <f t="shared" si="2"/>
        <v>0.4465277778</v>
      </c>
      <c r="I1068" s="28">
        <v>2.0</v>
      </c>
      <c r="J1068" s="29" t="s">
        <v>653</v>
      </c>
      <c r="K1068" s="30" t="s">
        <v>23</v>
      </c>
      <c r="L1068" s="31" t="str">
        <f>IFERROR(__xludf.DUMMYFUNCTION("IF(OR(E1068="""",K1068=""""),"""",IFERROR(IF(K1068="""","""",query('tbl user'!$A$2:$D10975,""SELECT A WHERE D = '""&amp;K1068&amp;""'"")),""USER TIDAK DIKETAHUI""))"),"#REF!")</f>
        <v>#REF!</v>
      </c>
    </row>
    <row r="1069">
      <c r="A1069" s="21">
        <f t="shared" si="1"/>
        <v>0</v>
      </c>
      <c r="B1069" s="32" t="s">
        <v>37</v>
      </c>
      <c r="C1069" s="23" t="s">
        <v>38</v>
      </c>
      <c r="D1069" s="23" t="s">
        <v>21</v>
      </c>
      <c r="E1069" s="37">
        <v>45401.0</v>
      </c>
      <c r="F1069" s="25">
        <v>0.22916666666666666</v>
      </c>
      <c r="G1069" s="25">
        <v>0.6631944444444444</v>
      </c>
      <c r="H1069" s="27">
        <f t="shared" si="2"/>
        <v>0.4340277778</v>
      </c>
      <c r="I1069" s="28">
        <v>3.0</v>
      </c>
      <c r="J1069" s="29" t="s">
        <v>399</v>
      </c>
      <c r="K1069" s="30" t="s">
        <v>23</v>
      </c>
      <c r="L1069" s="31" t="str">
        <f>IFERROR(__xludf.DUMMYFUNCTION("IF(OR(E1069="""",K1069=""""),"""",IFERROR(IF(K1069="""","""",query('tbl user'!$A$2:$D10975,""SELECT A WHERE D = '""&amp;K1069&amp;""'"")),""USER TIDAK DIKETAHUI""))"),"#REF!")</f>
        <v>#REF!</v>
      </c>
    </row>
    <row r="1070">
      <c r="A1070" s="21">
        <f t="shared" si="1"/>
        <v>0</v>
      </c>
      <c r="B1070" s="32" t="s">
        <v>289</v>
      </c>
      <c r="C1070" s="23" t="s">
        <v>290</v>
      </c>
      <c r="D1070" s="23" t="s">
        <v>21</v>
      </c>
      <c r="E1070" s="37">
        <v>45401.0</v>
      </c>
      <c r="F1070" s="25">
        <v>0.2847222222222222</v>
      </c>
      <c r="G1070" s="25">
        <v>0.7034722222222223</v>
      </c>
      <c r="H1070" s="27">
        <f t="shared" si="2"/>
        <v>0.41875</v>
      </c>
      <c r="I1070" s="28">
        <v>3.0</v>
      </c>
      <c r="J1070" s="29" t="s">
        <v>669</v>
      </c>
      <c r="K1070" s="30" t="s">
        <v>23</v>
      </c>
      <c r="L1070" s="31" t="str">
        <f>IFERROR(__xludf.DUMMYFUNCTION("IF(OR(E1070="""",K1070=""""),"""",IFERROR(IF(K1070="""","""",query('tbl user'!$A$2:$D10975,""SELECT A WHERE D = '""&amp;K1070&amp;""'"")),""USER TIDAK DIKETAHUI""))"),"#REF!")</f>
        <v>#REF!</v>
      </c>
    </row>
    <row r="1071">
      <c r="A1071" s="21">
        <f t="shared" si="1"/>
        <v>0</v>
      </c>
      <c r="B1071" s="32" t="s">
        <v>64</v>
      </c>
      <c r="C1071" s="23" t="s">
        <v>65</v>
      </c>
      <c r="D1071" s="23" t="s">
        <v>21</v>
      </c>
      <c r="E1071" s="37">
        <v>45401.0</v>
      </c>
      <c r="F1071" s="25">
        <v>0.2826388888888889</v>
      </c>
      <c r="G1071" s="25">
        <v>0.675</v>
      </c>
      <c r="H1071" s="27">
        <f t="shared" si="2"/>
        <v>0.3923611111</v>
      </c>
      <c r="I1071" s="28">
        <v>3.0</v>
      </c>
      <c r="J1071" s="29" t="s">
        <v>399</v>
      </c>
      <c r="K1071" s="30" t="s">
        <v>23</v>
      </c>
      <c r="L1071" s="31" t="str">
        <f>IFERROR(__xludf.DUMMYFUNCTION("IF(OR(E1071="""",K1071=""""),"""",IFERROR(IF(K1071="""","""",query('tbl user'!$A$2:$D10975,""SELECT A WHERE D = '""&amp;K1071&amp;""'"")),""USER TIDAK DIKETAHUI""))"),"#REF!")</f>
        <v>#REF!</v>
      </c>
    </row>
    <row r="1072">
      <c r="A1072" s="21">
        <f t="shared" si="1"/>
        <v>0</v>
      </c>
      <c r="B1072" s="32" t="s">
        <v>335</v>
      </c>
      <c r="C1072" s="23" t="s">
        <v>336</v>
      </c>
      <c r="D1072" s="23" t="s">
        <v>21</v>
      </c>
      <c r="E1072" s="37">
        <v>45401.0</v>
      </c>
      <c r="F1072" s="25">
        <v>0.24930555555555556</v>
      </c>
      <c r="G1072" s="25">
        <v>0.48125</v>
      </c>
      <c r="H1072" s="27">
        <f t="shared" si="2"/>
        <v>0.2319444444</v>
      </c>
      <c r="I1072" s="28">
        <v>2.0</v>
      </c>
      <c r="J1072" s="29" t="s">
        <v>385</v>
      </c>
      <c r="K1072" s="30" t="s">
        <v>23</v>
      </c>
      <c r="L1072" s="31" t="str">
        <f>IFERROR(__xludf.DUMMYFUNCTION("IF(OR(E1072="""",K1072=""""),"""",IFERROR(IF(K1072="""","""",query('tbl user'!$A$2:$D10975,""SELECT A WHERE D = '""&amp;K1072&amp;""'"")),""USER TIDAK DIKETAHUI""))"),"#REF!")</f>
        <v>#REF!</v>
      </c>
    </row>
    <row r="1073">
      <c r="A1073" s="21">
        <f t="shared" si="1"/>
        <v>0</v>
      </c>
      <c r="B1073" s="32" t="s">
        <v>229</v>
      </c>
      <c r="C1073" s="23" t="s">
        <v>339</v>
      </c>
      <c r="D1073" s="23" t="s">
        <v>21</v>
      </c>
      <c r="E1073" s="37">
        <v>45401.0</v>
      </c>
      <c r="F1073" s="25">
        <v>0.2708333333333333</v>
      </c>
      <c r="G1073" s="25">
        <v>0.68125</v>
      </c>
      <c r="H1073" s="27">
        <f t="shared" si="2"/>
        <v>0.4104166667</v>
      </c>
      <c r="I1073" s="28">
        <v>3.0</v>
      </c>
      <c r="J1073" s="29" t="s">
        <v>653</v>
      </c>
      <c r="K1073" s="30" t="s">
        <v>23</v>
      </c>
      <c r="L1073" s="31" t="str">
        <f>IFERROR(__xludf.DUMMYFUNCTION("IF(OR(E1073="""",K1073=""""),"""",IFERROR(IF(K1073="""","""",query('tbl user'!$A$2:$D10975,""SELECT A WHERE D = '""&amp;K1073&amp;""'"")),""USER TIDAK DIKETAHUI""))"),"#REF!")</f>
        <v>#REF!</v>
      </c>
    </row>
    <row r="1074">
      <c r="A1074" s="21">
        <f t="shared" si="1"/>
        <v>0</v>
      </c>
      <c r="B1074" s="32" t="s">
        <v>220</v>
      </c>
      <c r="C1074" s="23" t="s">
        <v>316</v>
      </c>
      <c r="D1074" s="23" t="s">
        <v>21</v>
      </c>
      <c r="E1074" s="37">
        <v>45401.0</v>
      </c>
      <c r="F1074" s="25">
        <v>0.2513888888888889</v>
      </c>
      <c r="G1074" s="25">
        <v>0.7527777777777778</v>
      </c>
      <c r="H1074" s="27">
        <f t="shared" si="2"/>
        <v>0.5013888889</v>
      </c>
      <c r="I1074" s="28">
        <v>3.0</v>
      </c>
      <c r="J1074" s="29" t="s">
        <v>670</v>
      </c>
      <c r="K1074" s="30" t="s">
        <v>23</v>
      </c>
      <c r="L1074" s="31" t="str">
        <f>IFERROR(__xludf.DUMMYFUNCTION("IF(OR(E1074="""",K1074=""""),"""",IFERROR(IF(K1074="""","""",query('tbl user'!$A$2:$D10975,""SELECT A WHERE D = '""&amp;K1074&amp;""'"")),""USER TIDAK DIKETAHUI""))"),"#REF!")</f>
        <v>#REF!</v>
      </c>
    </row>
    <row r="1075">
      <c r="A1075" s="21">
        <f t="shared" si="1"/>
        <v>0</v>
      </c>
      <c r="B1075" s="32" t="s">
        <v>328</v>
      </c>
      <c r="C1075" s="23" t="s">
        <v>329</v>
      </c>
      <c r="D1075" s="23" t="s">
        <v>21</v>
      </c>
      <c r="E1075" s="37">
        <v>45401.0</v>
      </c>
      <c r="F1075" s="25">
        <v>0.225</v>
      </c>
      <c r="G1075" s="25">
        <v>0.6680555555555555</v>
      </c>
      <c r="H1075" s="27">
        <f t="shared" si="2"/>
        <v>0.4430555556</v>
      </c>
      <c r="I1075" s="28">
        <v>3.0</v>
      </c>
      <c r="J1075" s="29" t="s">
        <v>653</v>
      </c>
      <c r="K1075" s="30" t="s">
        <v>23</v>
      </c>
      <c r="L1075" s="31" t="str">
        <f>IFERROR(__xludf.DUMMYFUNCTION("IF(OR(E1075="""",K1075=""""),"""",IFERROR(IF(K1075="""","""",query('tbl user'!$A$2:$D10975,""SELECT A WHERE D = '""&amp;K1075&amp;""'"")),""USER TIDAK DIKETAHUI""))"),"#REF!")</f>
        <v>#REF!</v>
      </c>
    </row>
    <row r="1076">
      <c r="A1076" s="21">
        <f t="shared" si="1"/>
        <v>0</v>
      </c>
      <c r="B1076" s="32" t="s">
        <v>337</v>
      </c>
      <c r="C1076" s="23" t="s">
        <v>338</v>
      </c>
      <c r="D1076" s="23" t="s">
        <v>21</v>
      </c>
      <c r="E1076" s="37">
        <v>45401.0</v>
      </c>
      <c r="F1076" s="25">
        <v>0.23958333333333334</v>
      </c>
      <c r="G1076" s="25">
        <v>0.49375</v>
      </c>
      <c r="H1076" s="27">
        <f t="shared" si="2"/>
        <v>0.2541666667</v>
      </c>
      <c r="I1076" s="28">
        <v>3.0</v>
      </c>
      <c r="J1076" s="29" t="s">
        <v>671</v>
      </c>
      <c r="K1076" s="30" t="s">
        <v>23</v>
      </c>
      <c r="L1076" s="31" t="str">
        <f>IFERROR(__xludf.DUMMYFUNCTION("IF(OR(E1076="""",K1076=""""),"""",IFERROR(IF(K1076="""","""",query('tbl user'!$A$2:$D10975,""SELECT A WHERE D = '""&amp;K1076&amp;""'"")),""USER TIDAK DIKETAHUI""))"),"#REF!")</f>
        <v>#REF!</v>
      </c>
    </row>
    <row r="1077">
      <c r="A1077" s="21">
        <f t="shared" si="1"/>
        <v>0</v>
      </c>
      <c r="B1077" s="32" t="s">
        <v>331</v>
      </c>
      <c r="C1077" s="23" t="s">
        <v>332</v>
      </c>
      <c r="D1077" s="23" t="s">
        <v>21</v>
      </c>
      <c r="E1077" s="37">
        <v>45401.0</v>
      </c>
      <c r="F1077" s="25">
        <v>0.2222222222222222</v>
      </c>
      <c r="G1077" s="25">
        <v>0.66875</v>
      </c>
      <c r="H1077" s="27">
        <f t="shared" si="2"/>
        <v>0.4465277778</v>
      </c>
      <c r="I1077" s="28">
        <v>4.0</v>
      </c>
      <c r="J1077" s="29" t="s">
        <v>653</v>
      </c>
      <c r="K1077" s="30" t="s">
        <v>23</v>
      </c>
      <c r="L1077" s="31" t="str">
        <f>IFERROR(__xludf.DUMMYFUNCTION("IF(OR(E1077="""",K1077=""""),"""",IFERROR(IF(K1077="""","""",query('tbl user'!$A$2:$D10975,""SELECT A WHERE D = '""&amp;K1077&amp;""'"")),""USER TIDAK DIKETAHUI""))"),"#REF!")</f>
        <v>#REF!</v>
      </c>
    </row>
    <row r="1078">
      <c r="A1078" s="21">
        <f t="shared" si="1"/>
        <v>0</v>
      </c>
      <c r="B1078" s="32" t="s">
        <v>577</v>
      </c>
      <c r="C1078" s="23" t="s">
        <v>330</v>
      </c>
      <c r="D1078" s="23" t="s">
        <v>21</v>
      </c>
      <c r="E1078" s="37">
        <v>45401.0</v>
      </c>
      <c r="F1078" s="25">
        <v>0.27361111111111114</v>
      </c>
      <c r="G1078" s="25">
        <v>0.7097222222222223</v>
      </c>
      <c r="H1078" s="27">
        <f t="shared" si="2"/>
        <v>0.4361111111</v>
      </c>
      <c r="I1078" s="28">
        <v>4.0</v>
      </c>
      <c r="J1078" s="29" t="s">
        <v>653</v>
      </c>
      <c r="K1078" s="30" t="s">
        <v>23</v>
      </c>
      <c r="L1078" s="31" t="str">
        <f>IFERROR(__xludf.DUMMYFUNCTION("IF(OR(E1078="""",K1078=""""),"""",IFERROR(IF(K1078="""","""",query('tbl user'!$A$2:$D10975,""SELECT A WHERE D = '""&amp;K1078&amp;""'"")),""USER TIDAK DIKETAHUI""))"),"#REF!")</f>
        <v>#REF!</v>
      </c>
    </row>
    <row r="1079">
      <c r="A1079" s="21">
        <f t="shared" si="1"/>
        <v>0</v>
      </c>
      <c r="B1079" s="32" t="s">
        <v>53</v>
      </c>
      <c r="C1079" s="23" t="s">
        <v>54</v>
      </c>
      <c r="D1079" s="23" t="s">
        <v>21</v>
      </c>
      <c r="E1079" s="37">
        <v>45401.0</v>
      </c>
      <c r="F1079" s="25">
        <v>0.22083333333333333</v>
      </c>
      <c r="G1079" s="25">
        <v>0.76875</v>
      </c>
      <c r="H1079" s="27">
        <f t="shared" si="2"/>
        <v>0.5479166667</v>
      </c>
      <c r="I1079" s="28">
        <v>6.0</v>
      </c>
      <c r="J1079" s="29" t="s">
        <v>55</v>
      </c>
      <c r="K1079" s="30" t="s">
        <v>23</v>
      </c>
      <c r="L1079" s="31" t="str">
        <f>IFERROR(__xludf.DUMMYFUNCTION("IF(OR(E1079="""",K1079=""""),"""",IFERROR(IF(K1079="""","""",query('tbl user'!$A$2:$D10975,""SELECT A WHERE D = '""&amp;K1079&amp;""'"")),""USER TIDAK DIKETAHUI""))"),"#REF!")</f>
        <v>#REF!</v>
      </c>
    </row>
    <row r="1080">
      <c r="A1080" s="21">
        <f t="shared" si="1"/>
        <v>0</v>
      </c>
      <c r="B1080" s="32" t="s">
        <v>167</v>
      </c>
      <c r="C1080" s="23" t="s">
        <v>168</v>
      </c>
      <c r="D1080" s="23" t="s">
        <v>58</v>
      </c>
      <c r="E1080" s="37">
        <v>45402.0</v>
      </c>
      <c r="F1080" s="25">
        <v>0.2965277777777778</v>
      </c>
      <c r="G1080" s="25">
        <v>0.6166666666666667</v>
      </c>
      <c r="H1080" s="27">
        <f t="shared" si="2"/>
        <v>0.3201388889</v>
      </c>
      <c r="I1080" s="28">
        <v>2.0</v>
      </c>
      <c r="J1080" s="29" t="s">
        <v>385</v>
      </c>
      <c r="K1080" s="30" t="s">
        <v>23</v>
      </c>
      <c r="L1080" s="31" t="str">
        <f>IFERROR(__xludf.DUMMYFUNCTION("IF(OR(E1080="""",K1080=""""),"""",IFERROR(IF(K1080="""","""",query('tbl user'!$A$2:$D10975,""SELECT A WHERE D = '""&amp;K1080&amp;""'"")),""USER TIDAK DIKETAHUI""))"),"#REF!")</f>
        <v>#REF!</v>
      </c>
    </row>
    <row r="1081">
      <c r="A1081" s="21">
        <f t="shared" si="1"/>
        <v>0</v>
      </c>
      <c r="B1081" s="32" t="s">
        <v>30</v>
      </c>
      <c r="C1081" s="23" t="s">
        <v>105</v>
      </c>
      <c r="D1081" s="23" t="s">
        <v>58</v>
      </c>
      <c r="E1081" s="37">
        <v>45402.0</v>
      </c>
      <c r="F1081" s="25">
        <v>0.21319444444444444</v>
      </c>
      <c r="G1081" s="25">
        <v>0.5694444444444444</v>
      </c>
      <c r="H1081" s="27">
        <f t="shared" si="2"/>
        <v>0.35625</v>
      </c>
      <c r="I1081" s="28">
        <v>2.0</v>
      </c>
      <c r="J1081" s="29" t="s">
        <v>672</v>
      </c>
      <c r="K1081" s="30" t="s">
        <v>23</v>
      </c>
      <c r="L1081" s="31" t="str">
        <f>IFERROR(__xludf.DUMMYFUNCTION("IF(OR(E1081="""",K1081=""""),"""",IFERROR(IF(K1081="""","""",query('tbl user'!$A$2:$D10975,""SELECT A WHERE D = '""&amp;K1081&amp;""'"")),""USER TIDAK DIKETAHUI""))"),"#REF!")</f>
        <v>#REF!</v>
      </c>
    </row>
    <row r="1082">
      <c r="A1082" s="21">
        <f t="shared" si="1"/>
        <v>0</v>
      </c>
      <c r="B1082" s="32" t="s">
        <v>202</v>
      </c>
      <c r="C1082" s="23" t="s">
        <v>203</v>
      </c>
      <c r="D1082" s="23" t="s">
        <v>58</v>
      </c>
      <c r="E1082" s="37">
        <v>45402.0</v>
      </c>
      <c r="F1082" s="25">
        <v>0.3590277777777778</v>
      </c>
      <c r="G1082" s="25">
        <v>0.6576388888888889</v>
      </c>
      <c r="H1082" s="27">
        <f t="shared" si="2"/>
        <v>0.2986111111</v>
      </c>
      <c r="I1082" s="28">
        <v>2.0</v>
      </c>
      <c r="J1082" s="29" t="s">
        <v>673</v>
      </c>
      <c r="K1082" s="30" t="s">
        <v>23</v>
      </c>
      <c r="L1082" s="31" t="str">
        <f>IFERROR(__xludf.DUMMYFUNCTION("IF(OR(E1082="""",K1082=""""),"""",IFERROR(IF(K1082="""","""",query('tbl user'!$A$2:$D10975,""SELECT A WHERE D = '""&amp;K1082&amp;""'"")),""USER TIDAK DIKETAHUI""))"),"#REF!")</f>
        <v>#REF!</v>
      </c>
    </row>
    <row r="1083">
      <c r="A1083" s="21">
        <f t="shared" si="1"/>
        <v>0</v>
      </c>
      <c r="B1083" s="32" t="s">
        <v>297</v>
      </c>
      <c r="C1083" s="23" t="s">
        <v>348</v>
      </c>
      <c r="D1083" s="23" t="s">
        <v>58</v>
      </c>
      <c r="E1083" s="37">
        <v>45402.0</v>
      </c>
      <c r="F1083" s="25">
        <v>0.2361111111111111</v>
      </c>
      <c r="G1083" s="25">
        <v>0.7513888888888889</v>
      </c>
      <c r="H1083" s="27">
        <f t="shared" si="2"/>
        <v>0.5152777778</v>
      </c>
      <c r="I1083" s="28">
        <v>2.0</v>
      </c>
      <c r="J1083" s="29" t="s">
        <v>673</v>
      </c>
      <c r="K1083" s="30" t="s">
        <v>23</v>
      </c>
      <c r="L1083" s="31" t="str">
        <f>IFERROR(__xludf.DUMMYFUNCTION("IF(OR(E1083="""",K1083=""""),"""",IFERROR(IF(K1083="""","""",query('tbl user'!$A$2:$D10975,""SELECT A WHERE D = '""&amp;K1083&amp;""'"")),""USER TIDAK DIKETAHUI""))"),"#REF!")</f>
        <v>#REF!</v>
      </c>
    </row>
    <row r="1084">
      <c r="A1084" s="21">
        <f t="shared" si="1"/>
        <v>0</v>
      </c>
      <c r="B1084" s="32" t="s">
        <v>67</v>
      </c>
      <c r="C1084" s="23" t="s">
        <v>68</v>
      </c>
      <c r="D1084" s="23" t="s">
        <v>58</v>
      </c>
      <c r="E1084" s="37">
        <v>45402.0</v>
      </c>
      <c r="F1084" s="25">
        <v>0.2708333333333333</v>
      </c>
      <c r="G1084" s="25">
        <v>0.6576388888888889</v>
      </c>
      <c r="H1084" s="27">
        <f t="shared" si="2"/>
        <v>0.3868055556</v>
      </c>
      <c r="I1084" s="28">
        <v>3.0</v>
      </c>
      <c r="J1084" s="29" t="s">
        <v>674</v>
      </c>
      <c r="K1084" s="30" t="s">
        <v>23</v>
      </c>
      <c r="L1084" s="31" t="str">
        <f>IFERROR(__xludf.DUMMYFUNCTION("IF(OR(E1084="""",K1084=""""),"""",IFERROR(IF(K1084="""","""",query('tbl user'!$A$2:$D10975,""SELECT A WHERE D = '""&amp;K1084&amp;""'"")),""USER TIDAK DIKETAHUI""))"),"#REF!")</f>
        <v>#REF!</v>
      </c>
    </row>
    <row r="1085">
      <c r="A1085" s="21">
        <f t="shared" si="1"/>
        <v>0</v>
      </c>
      <c r="B1085" s="32" t="s">
        <v>293</v>
      </c>
      <c r="C1085" s="23" t="s">
        <v>211</v>
      </c>
      <c r="D1085" s="23" t="s">
        <v>58</v>
      </c>
      <c r="E1085" s="37">
        <v>45402.0</v>
      </c>
      <c r="F1085" s="25">
        <v>0.22916666666666666</v>
      </c>
      <c r="G1085" s="25">
        <v>0.5958333333333333</v>
      </c>
      <c r="H1085" s="27">
        <f t="shared" si="2"/>
        <v>0.3666666667</v>
      </c>
      <c r="I1085" s="28">
        <v>3.0</v>
      </c>
      <c r="J1085" s="29" t="s">
        <v>675</v>
      </c>
      <c r="K1085" s="30" t="s">
        <v>23</v>
      </c>
      <c r="L1085" s="31" t="str">
        <f>IFERROR(__xludf.DUMMYFUNCTION("IF(OR(E1085="""",K1085=""""),"""",IFERROR(IF(K1085="""","""",query('tbl user'!$A$2:$D10975,""SELECT A WHERE D = '""&amp;K1085&amp;""'"")),""USER TIDAK DIKETAHUI""))"),"#REF!")</f>
        <v>#REF!</v>
      </c>
    </row>
    <row r="1086">
      <c r="A1086" s="21">
        <f t="shared" si="1"/>
        <v>0</v>
      </c>
      <c r="B1086" s="32" t="s">
        <v>214</v>
      </c>
      <c r="C1086" s="23" t="s">
        <v>170</v>
      </c>
      <c r="D1086" s="23" t="s">
        <v>58</v>
      </c>
      <c r="E1086" s="37">
        <v>45402.0</v>
      </c>
      <c r="F1086" s="25">
        <v>0.3125</v>
      </c>
      <c r="G1086" s="25">
        <v>0.6930555555555555</v>
      </c>
      <c r="H1086" s="27">
        <f t="shared" si="2"/>
        <v>0.3805555556</v>
      </c>
      <c r="I1086" s="28">
        <v>3.0</v>
      </c>
      <c r="J1086" s="29" t="s">
        <v>675</v>
      </c>
      <c r="K1086" s="30" t="s">
        <v>23</v>
      </c>
      <c r="L1086" s="31" t="str">
        <f>IFERROR(__xludf.DUMMYFUNCTION("IF(OR(E1086="""",K1086=""""),"""",IFERROR(IF(K1086="""","""",query('tbl user'!$A$2:$D10975,""SELECT A WHERE D = '""&amp;K1086&amp;""'"")),""USER TIDAK DIKETAHUI""))"),"#REF!")</f>
        <v>#REF!</v>
      </c>
    </row>
    <row r="1087">
      <c r="A1087" s="21">
        <f t="shared" si="1"/>
        <v>0</v>
      </c>
      <c r="B1087" s="32" t="s">
        <v>215</v>
      </c>
      <c r="C1087" s="23" t="s">
        <v>176</v>
      </c>
      <c r="D1087" s="23" t="s">
        <v>58</v>
      </c>
      <c r="E1087" s="37">
        <v>45402.0</v>
      </c>
      <c r="F1087" s="25">
        <v>0.28055555555555556</v>
      </c>
      <c r="G1087" s="25">
        <v>0.6638888888888889</v>
      </c>
      <c r="H1087" s="27">
        <f t="shared" si="2"/>
        <v>0.3833333333</v>
      </c>
      <c r="I1087" s="28">
        <v>3.0</v>
      </c>
      <c r="J1087" s="29" t="s">
        <v>675</v>
      </c>
      <c r="K1087" s="30" t="s">
        <v>23</v>
      </c>
      <c r="L1087" s="31" t="str">
        <f>IFERROR(__xludf.DUMMYFUNCTION("IF(OR(E1087="""",K1087=""""),"""",IFERROR(IF(K1087="""","""",query('tbl user'!$A$2:$D10975,""SELECT A WHERE D = '""&amp;K1087&amp;""'"")),""USER TIDAK DIKETAHUI""))"),"#REF!")</f>
        <v>#REF!</v>
      </c>
    </row>
    <row r="1088">
      <c r="A1088" s="21">
        <f t="shared" si="1"/>
        <v>0</v>
      </c>
      <c r="B1088" s="32" t="s">
        <v>56</v>
      </c>
      <c r="C1088" s="23" t="s">
        <v>57</v>
      </c>
      <c r="D1088" s="23" t="s">
        <v>58</v>
      </c>
      <c r="E1088" s="37">
        <v>45402.0</v>
      </c>
      <c r="F1088" s="25">
        <v>0.2986111111111111</v>
      </c>
      <c r="G1088" s="25">
        <v>0.6826388888888889</v>
      </c>
      <c r="H1088" s="27">
        <f t="shared" si="2"/>
        <v>0.3840277778</v>
      </c>
      <c r="I1088" s="28">
        <v>3.0</v>
      </c>
      <c r="J1088" s="29" t="s">
        <v>675</v>
      </c>
      <c r="K1088" s="30" t="s">
        <v>23</v>
      </c>
      <c r="L1088" s="31" t="str">
        <f>IFERROR(__xludf.DUMMYFUNCTION("IF(OR(E1088="""",K1088=""""),"""",IFERROR(IF(K1088="""","""",query('tbl user'!$A$2:$D10975,""SELECT A WHERE D = '""&amp;K1088&amp;""'"")),""USER TIDAK DIKETAHUI""))"),"#REF!")</f>
        <v>#REF!</v>
      </c>
    </row>
    <row r="1089">
      <c r="A1089" s="21">
        <f t="shared" si="1"/>
        <v>0</v>
      </c>
      <c r="B1089" s="32" t="s">
        <v>178</v>
      </c>
      <c r="C1089" s="23" t="s">
        <v>82</v>
      </c>
      <c r="D1089" s="23" t="s">
        <v>58</v>
      </c>
      <c r="E1089" s="37">
        <v>45402.0</v>
      </c>
      <c r="F1089" s="25">
        <v>0.25277777777777777</v>
      </c>
      <c r="G1089" s="25">
        <v>0.6631944444444444</v>
      </c>
      <c r="H1089" s="27">
        <f t="shared" si="2"/>
        <v>0.4104166667</v>
      </c>
      <c r="I1089" s="28">
        <v>3.0</v>
      </c>
      <c r="J1089" s="29" t="s">
        <v>675</v>
      </c>
      <c r="K1089" s="30" t="s">
        <v>23</v>
      </c>
      <c r="L1089" s="31" t="str">
        <f>IFERROR(__xludf.DUMMYFUNCTION("IF(OR(E1089="""",K1089=""""),"""",IFERROR(IF(K1089="""","""",query('tbl user'!$A$2:$D10975,""SELECT A WHERE D = '""&amp;K1089&amp;""'"")),""USER TIDAK DIKETAHUI""))"),"#REF!")</f>
        <v>#REF!</v>
      </c>
    </row>
    <row r="1090">
      <c r="A1090" s="21">
        <f t="shared" si="1"/>
        <v>0</v>
      </c>
      <c r="B1090" s="32" t="s">
        <v>127</v>
      </c>
      <c r="C1090" s="23" t="s">
        <v>183</v>
      </c>
      <c r="D1090" s="23" t="s">
        <v>58</v>
      </c>
      <c r="E1090" s="37">
        <v>45402.0</v>
      </c>
      <c r="F1090" s="25">
        <v>0.275</v>
      </c>
      <c r="G1090" s="25">
        <v>0.7222222222222222</v>
      </c>
      <c r="H1090" s="27">
        <f t="shared" si="2"/>
        <v>0.4472222222</v>
      </c>
      <c r="I1090" s="28">
        <v>3.0</v>
      </c>
      <c r="J1090" s="29" t="s">
        <v>245</v>
      </c>
      <c r="K1090" s="30" t="s">
        <v>23</v>
      </c>
      <c r="L1090" s="31" t="str">
        <f>IFERROR(__xludf.DUMMYFUNCTION("IF(OR(E1090="""",K1090=""""),"""",IFERROR(IF(K1090="""","""",query('tbl user'!$A$2:$D10975,""SELECT A WHERE D = '""&amp;K1090&amp;""'"")),""USER TIDAK DIKETAHUI""))"),"#REF!")</f>
        <v>#REF!</v>
      </c>
    </row>
    <row r="1091">
      <c r="A1091" s="21">
        <f t="shared" si="1"/>
        <v>0</v>
      </c>
      <c r="B1091" s="32" t="s">
        <v>184</v>
      </c>
      <c r="C1091" s="23" t="s">
        <v>185</v>
      </c>
      <c r="D1091" s="23" t="s">
        <v>58</v>
      </c>
      <c r="E1091" s="37">
        <v>45402.0</v>
      </c>
      <c r="F1091" s="25">
        <v>0.26180555555555557</v>
      </c>
      <c r="G1091" s="25">
        <v>0.6583333333333333</v>
      </c>
      <c r="H1091" s="27">
        <f t="shared" si="2"/>
        <v>0.3965277778</v>
      </c>
      <c r="I1091" s="28">
        <v>3.0</v>
      </c>
      <c r="J1091" s="29" t="s">
        <v>675</v>
      </c>
      <c r="K1091" s="30" t="s">
        <v>23</v>
      </c>
      <c r="L1091" s="31" t="str">
        <f>IFERROR(__xludf.DUMMYFUNCTION("IF(OR(E1091="""",K1091=""""),"""",IFERROR(IF(K1091="""","""",query('tbl user'!$A$2:$D10975,""SELECT A WHERE D = '""&amp;K1091&amp;""'"")),""USER TIDAK DIKETAHUI""))"),"#REF!")</f>
        <v>#REF!</v>
      </c>
    </row>
    <row r="1092">
      <c r="A1092" s="21">
        <f t="shared" si="1"/>
        <v>0</v>
      </c>
      <c r="B1092" s="32" t="s">
        <v>333</v>
      </c>
      <c r="C1092" s="23" t="s">
        <v>201</v>
      </c>
      <c r="D1092" s="23" t="s">
        <v>58</v>
      </c>
      <c r="E1092" s="37">
        <v>45402.0</v>
      </c>
      <c r="F1092" s="25">
        <v>0.2777777777777778</v>
      </c>
      <c r="G1092" s="25">
        <v>0.6784722222222223</v>
      </c>
      <c r="H1092" s="27">
        <f t="shared" si="2"/>
        <v>0.4006944444</v>
      </c>
      <c r="I1092" s="28">
        <v>3.0</v>
      </c>
      <c r="J1092" s="29" t="s">
        <v>675</v>
      </c>
      <c r="K1092" s="30" t="s">
        <v>23</v>
      </c>
      <c r="L1092" s="31" t="str">
        <f>IFERROR(__xludf.DUMMYFUNCTION("IF(OR(E1092="""",K1092=""""),"""",IFERROR(IF(K1092="""","""",query('tbl user'!$A$2:$D10975,""SELECT A WHERE D = '""&amp;K1092&amp;""'"")),""USER TIDAK DIKETAHUI""))"),"#REF!")</f>
        <v>#REF!</v>
      </c>
    </row>
    <row r="1093">
      <c r="A1093" s="21">
        <f t="shared" si="1"/>
        <v>0</v>
      </c>
      <c r="B1093" s="32" t="s">
        <v>205</v>
      </c>
      <c r="C1093" s="23" t="s">
        <v>206</v>
      </c>
      <c r="D1093" s="23" t="s">
        <v>58</v>
      </c>
      <c r="E1093" s="37">
        <v>45402.0</v>
      </c>
      <c r="F1093" s="25">
        <v>0.23819444444444443</v>
      </c>
      <c r="G1093" s="25">
        <v>0.6625</v>
      </c>
      <c r="H1093" s="27">
        <f t="shared" si="2"/>
        <v>0.4243055556</v>
      </c>
      <c r="I1093" s="28">
        <v>3.0</v>
      </c>
      <c r="J1093" s="29" t="s">
        <v>676</v>
      </c>
      <c r="K1093" s="30" t="s">
        <v>23</v>
      </c>
      <c r="L1093" s="31" t="str">
        <f>IFERROR(__xludf.DUMMYFUNCTION("IF(OR(E1093="""",K1093=""""),"""",IFERROR(IF(K1093="""","""",query('tbl user'!$A$2:$D10975,""SELECT A WHERE D = '""&amp;K1093&amp;""'"")),""USER TIDAK DIKETAHUI""))"),"#REF!")</f>
        <v>#REF!</v>
      </c>
    </row>
    <row r="1094">
      <c r="A1094" s="21">
        <f t="shared" si="1"/>
        <v>0</v>
      </c>
      <c r="B1094" s="32" t="s">
        <v>224</v>
      </c>
      <c r="C1094" s="23" t="s">
        <v>208</v>
      </c>
      <c r="D1094" s="23" t="s">
        <v>58</v>
      </c>
      <c r="E1094" s="37">
        <v>45402.0</v>
      </c>
      <c r="F1094" s="25">
        <v>0.24166666666666667</v>
      </c>
      <c r="G1094" s="25">
        <v>0.6548611111111111</v>
      </c>
      <c r="H1094" s="27">
        <f t="shared" si="2"/>
        <v>0.4131944444</v>
      </c>
      <c r="I1094" s="28">
        <v>3.0</v>
      </c>
      <c r="J1094" s="29" t="s">
        <v>677</v>
      </c>
      <c r="K1094" s="30" t="s">
        <v>23</v>
      </c>
      <c r="L1094" s="31" t="str">
        <f>IFERROR(__xludf.DUMMYFUNCTION("IF(OR(E1094="""",K1094=""""),"""",IFERROR(IF(K1094="""","""",query('tbl user'!$A$2:$D10975,""SELECT A WHERE D = '""&amp;K1094&amp;""'"")),""USER TIDAK DIKETAHUI""))"),"#REF!")</f>
        <v>#REF!</v>
      </c>
    </row>
    <row r="1095">
      <c r="A1095" s="21">
        <f t="shared" si="1"/>
        <v>0</v>
      </c>
      <c r="B1095" s="32" t="s">
        <v>95</v>
      </c>
      <c r="C1095" s="23" t="s">
        <v>85</v>
      </c>
      <c r="D1095" s="23" t="s">
        <v>58</v>
      </c>
      <c r="E1095" s="37">
        <v>45402.0</v>
      </c>
      <c r="F1095" s="25">
        <v>0.2965277777777778</v>
      </c>
      <c r="G1095" s="25">
        <v>0.6819444444444445</v>
      </c>
      <c r="H1095" s="27">
        <f t="shared" si="2"/>
        <v>0.3854166667</v>
      </c>
      <c r="I1095" s="28">
        <v>3.0</v>
      </c>
      <c r="J1095" s="29" t="s">
        <v>397</v>
      </c>
      <c r="K1095" s="30" t="s">
        <v>23</v>
      </c>
      <c r="L1095" s="31" t="str">
        <f>IFERROR(__xludf.DUMMYFUNCTION("IF(OR(E1095="""",K1095=""""),"""",IFERROR(IF(K1095="""","""",query('tbl user'!$A$2:$D10975,""SELECT A WHERE D = '""&amp;K1095&amp;""'"")),""USER TIDAK DIKETAHUI""))"),"#REF!")</f>
        <v>#REF!</v>
      </c>
    </row>
    <row r="1096">
      <c r="A1096" s="21">
        <f t="shared" si="1"/>
        <v>0</v>
      </c>
      <c r="B1096" s="32" t="s">
        <v>180</v>
      </c>
      <c r="C1096" s="23" t="s">
        <v>181</v>
      </c>
      <c r="D1096" s="23" t="s">
        <v>58</v>
      </c>
      <c r="E1096" s="37">
        <v>45402.0</v>
      </c>
      <c r="F1096" s="25">
        <v>0.25069444444444444</v>
      </c>
      <c r="G1096" s="25">
        <v>0.7180555555555556</v>
      </c>
      <c r="H1096" s="27">
        <f t="shared" si="2"/>
        <v>0.4673611111</v>
      </c>
      <c r="I1096" s="28">
        <v>4.0</v>
      </c>
      <c r="J1096" s="29" t="s">
        <v>55</v>
      </c>
      <c r="K1096" s="30" t="s">
        <v>23</v>
      </c>
      <c r="L1096" s="31" t="str">
        <f>IFERROR(__xludf.DUMMYFUNCTION("IF(OR(E1096="""",K1096=""""),"""",IFERROR(IF(K1096="""","""",query('tbl user'!$A$2:$D10975,""SELECT A WHERE D = '""&amp;K1096&amp;""'"")),""USER TIDAK DIKETAHUI""))"),"#REF!")</f>
        <v>#REF!</v>
      </c>
    </row>
    <row r="1097">
      <c r="A1097" s="21">
        <f t="shared" si="1"/>
        <v>0</v>
      </c>
      <c r="B1097" s="32" t="s">
        <v>187</v>
      </c>
      <c r="C1097" s="23" t="s">
        <v>188</v>
      </c>
      <c r="D1097" s="23" t="s">
        <v>58</v>
      </c>
      <c r="E1097" s="37">
        <v>45402.0</v>
      </c>
      <c r="F1097" s="25">
        <v>0.22708333333333333</v>
      </c>
      <c r="G1097" s="25">
        <v>0.7055555555555556</v>
      </c>
      <c r="H1097" s="27">
        <f t="shared" si="2"/>
        <v>0.4784722222</v>
      </c>
      <c r="I1097" s="28">
        <v>4.0</v>
      </c>
      <c r="J1097" s="29" t="s">
        <v>55</v>
      </c>
      <c r="K1097" s="30" t="s">
        <v>23</v>
      </c>
      <c r="L1097" s="31" t="str">
        <f>IFERROR(__xludf.DUMMYFUNCTION("IF(OR(E1097="""",K1097=""""),"""",IFERROR(IF(K1097="""","""",query('tbl user'!$A$2:$D10975,""SELECT A WHERE D = '""&amp;K1097&amp;""'"")),""USER TIDAK DIKETAHUI""))"),"#REF!")</f>
        <v>#REF!</v>
      </c>
    </row>
    <row r="1098">
      <c r="A1098" s="21">
        <f t="shared" si="1"/>
        <v>0</v>
      </c>
      <c r="B1098" s="32" t="s">
        <v>216</v>
      </c>
      <c r="C1098" s="23" t="s">
        <v>190</v>
      </c>
      <c r="D1098" s="23" t="s">
        <v>58</v>
      </c>
      <c r="E1098" s="37">
        <v>45402.0</v>
      </c>
      <c r="F1098" s="25">
        <v>0.23055555555555557</v>
      </c>
      <c r="G1098" s="25">
        <v>0.6916666666666667</v>
      </c>
      <c r="H1098" s="27">
        <f t="shared" si="2"/>
        <v>0.4611111111</v>
      </c>
      <c r="I1098" s="28">
        <v>4.0</v>
      </c>
      <c r="J1098" s="29" t="s">
        <v>55</v>
      </c>
      <c r="K1098" s="30" t="s">
        <v>23</v>
      </c>
      <c r="L1098" s="31" t="str">
        <f>IFERROR(__xludf.DUMMYFUNCTION("IF(OR(E1098="""",K1098=""""),"""",IFERROR(IF(K1098="""","""",query('tbl user'!$A$2:$D10975,""SELECT A WHERE D = '""&amp;K1098&amp;""'"")),""USER TIDAK DIKETAHUI""))"),"#REF!")</f>
        <v>#REF!</v>
      </c>
    </row>
    <row r="1099">
      <c r="A1099" s="21">
        <f t="shared" si="1"/>
        <v>0</v>
      </c>
      <c r="B1099" s="32" t="s">
        <v>191</v>
      </c>
      <c r="C1099" s="23" t="s">
        <v>192</v>
      </c>
      <c r="D1099" s="23" t="s">
        <v>58</v>
      </c>
      <c r="E1099" s="37">
        <v>45402.0</v>
      </c>
      <c r="F1099" s="25">
        <v>0.24305555555555555</v>
      </c>
      <c r="G1099" s="25">
        <v>0.6715277777777777</v>
      </c>
      <c r="H1099" s="27">
        <f t="shared" si="2"/>
        <v>0.4284722222</v>
      </c>
      <c r="I1099" s="28">
        <v>4.0</v>
      </c>
      <c r="J1099" s="29" t="s">
        <v>55</v>
      </c>
      <c r="K1099" s="30" t="s">
        <v>23</v>
      </c>
      <c r="L1099" s="31" t="str">
        <f>IFERROR(__xludf.DUMMYFUNCTION("IF(OR(E1099="""",K1099=""""),"""",IFERROR(IF(K1099="""","""",query('tbl user'!$A$2:$D10975,""SELECT A WHERE D = '""&amp;K1099&amp;""'"")),""USER TIDAK DIKETAHUI""))"),"#REF!")</f>
        <v>#REF!</v>
      </c>
    </row>
    <row r="1100">
      <c r="A1100" s="21">
        <f t="shared" si="1"/>
        <v>0</v>
      </c>
      <c r="B1100" s="32" t="s">
        <v>92</v>
      </c>
      <c r="C1100" s="23" t="s">
        <v>195</v>
      </c>
      <c r="D1100" s="23" t="s">
        <v>58</v>
      </c>
      <c r="E1100" s="37">
        <v>45402.0</v>
      </c>
      <c r="F1100" s="25">
        <v>0.25972222222222224</v>
      </c>
      <c r="G1100" s="25">
        <v>0.7131944444444445</v>
      </c>
      <c r="H1100" s="27">
        <f t="shared" si="2"/>
        <v>0.4534722222</v>
      </c>
      <c r="I1100" s="28">
        <v>4.0</v>
      </c>
      <c r="J1100" s="29" t="s">
        <v>55</v>
      </c>
      <c r="K1100" s="30" t="s">
        <v>23</v>
      </c>
      <c r="L1100" s="31" t="str">
        <f>IFERROR(__xludf.DUMMYFUNCTION("IF(OR(E1100="""",K1100=""""),"""",IFERROR(IF(K1100="""","""",query('tbl user'!$A$2:$D10975,""SELECT A WHERE D = '""&amp;K1100&amp;""'"")),""USER TIDAK DIKETAHUI""))"),"#REF!")</f>
        <v>#REF!</v>
      </c>
    </row>
    <row r="1101">
      <c r="A1101" s="21">
        <f t="shared" si="1"/>
        <v>0</v>
      </c>
      <c r="B1101" s="32" t="s">
        <v>197</v>
      </c>
      <c r="C1101" s="23" t="s">
        <v>198</v>
      </c>
      <c r="D1101" s="23" t="s">
        <v>58</v>
      </c>
      <c r="E1101" s="37">
        <v>45402.0</v>
      </c>
      <c r="F1101" s="25">
        <v>0.20902777777777778</v>
      </c>
      <c r="G1101" s="25">
        <v>0.70625</v>
      </c>
      <c r="H1101" s="27">
        <f t="shared" si="2"/>
        <v>0.4972222222</v>
      </c>
      <c r="I1101" s="28">
        <v>4.0</v>
      </c>
      <c r="J1101" s="29" t="s">
        <v>55</v>
      </c>
      <c r="K1101" s="30" t="s">
        <v>23</v>
      </c>
      <c r="L1101" s="31" t="str">
        <f>IFERROR(__xludf.DUMMYFUNCTION("IF(OR(E1101="""",K1101=""""),"""",IFERROR(IF(K1101="""","""",query('tbl user'!$A$2:$D10975,""SELECT A WHERE D = '""&amp;K1101&amp;""'"")),""USER TIDAK DIKETAHUI""))"),"#REF!")</f>
        <v>#REF!</v>
      </c>
    </row>
    <row r="1102">
      <c r="A1102" s="21">
        <f t="shared" si="1"/>
        <v>0</v>
      </c>
      <c r="B1102" s="32" t="s">
        <v>34</v>
      </c>
      <c r="C1102" s="23" t="s">
        <v>35</v>
      </c>
      <c r="D1102" s="23" t="s">
        <v>21</v>
      </c>
      <c r="E1102" s="37">
        <v>45402.0</v>
      </c>
      <c r="F1102" s="25">
        <v>0.29097222222222224</v>
      </c>
      <c r="G1102" s="25">
        <v>0.4895833333333333</v>
      </c>
      <c r="H1102" s="27">
        <f t="shared" si="2"/>
        <v>0.1986111111</v>
      </c>
      <c r="I1102" s="28">
        <v>1.0</v>
      </c>
      <c r="J1102" s="29" t="s">
        <v>678</v>
      </c>
      <c r="K1102" s="30" t="s">
        <v>23</v>
      </c>
      <c r="L1102" s="31" t="str">
        <f>IFERROR(__xludf.DUMMYFUNCTION("IF(OR(E1102="""",K1102=""""),"""",IFERROR(IF(K1102="""","""",query('tbl user'!$A$2:$D10975,""SELECT A WHERE D = '""&amp;K1102&amp;""'"")),""USER TIDAK DIKETAHUI""))"),"#REF!")</f>
        <v>#REF!</v>
      </c>
    </row>
    <row r="1103">
      <c r="A1103" s="21">
        <f t="shared" si="1"/>
        <v>0</v>
      </c>
      <c r="B1103" s="32" t="s">
        <v>225</v>
      </c>
      <c r="C1103" s="23" t="s">
        <v>20</v>
      </c>
      <c r="D1103" s="23" t="s">
        <v>21</v>
      </c>
      <c r="E1103" s="37">
        <v>45402.0</v>
      </c>
      <c r="F1103" s="25">
        <v>0.2965277777777778</v>
      </c>
      <c r="G1103" s="25">
        <v>0.5319444444444444</v>
      </c>
      <c r="H1103" s="27">
        <f t="shared" si="2"/>
        <v>0.2354166667</v>
      </c>
      <c r="I1103" s="28">
        <v>1.0</v>
      </c>
      <c r="J1103" s="29" t="s">
        <v>679</v>
      </c>
      <c r="K1103" s="30" t="s">
        <v>23</v>
      </c>
      <c r="L1103" s="31" t="str">
        <f>IFERROR(__xludf.DUMMYFUNCTION("IF(OR(E1103="""",K1103=""""),"""",IFERROR(IF(K1103="""","""",query('tbl user'!$A$2:$D10975,""SELECT A WHERE D = '""&amp;K1103&amp;""'"")),""USER TIDAK DIKETAHUI""))"),"#REF!")</f>
        <v>#REF!</v>
      </c>
    </row>
    <row r="1104">
      <c r="A1104" s="21">
        <f t="shared" si="1"/>
        <v>0</v>
      </c>
      <c r="B1104" s="32" t="s">
        <v>231</v>
      </c>
      <c r="C1104" s="23" t="s">
        <v>232</v>
      </c>
      <c r="D1104" s="23" t="s">
        <v>21</v>
      </c>
      <c r="E1104" s="37">
        <v>45402.0</v>
      </c>
      <c r="F1104" s="25">
        <v>0.2965277777777778</v>
      </c>
      <c r="G1104" s="25">
        <v>0.5555555555555556</v>
      </c>
      <c r="H1104" s="27">
        <f t="shared" si="2"/>
        <v>0.2590277778</v>
      </c>
      <c r="I1104" s="28">
        <v>1.0</v>
      </c>
      <c r="J1104" s="29" t="s">
        <v>237</v>
      </c>
      <c r="K1104" s="30" t="s">
        <v>23</v>
      </c>
      <c r="L1104" s="31" t="str">
        <f>IFERROR(__xludf.DUMMYFUNCTION("IF(OR(E1104="""",K1104=""""),"""",IFERROR(IF(K1104="""","""",query('tbl user'!$A$2:$D10975,""SELECT A WHERE D = '""&amp;K1104&amp;""'"")),""USER TIDAK DIKETAHUI""))"),"#REF!")</f>
        <v>#REF!</v>
      </c>
    </row>
    <row r="1105">
      <c r="A1105" s="21">
        <f t="shared" si="1"/>
        <v>0</v>
      </c>
      <c r="B1105" s="32" t="s">
        <v>260</v>
      </c>
      <c r="C1105" s="23" t="s">
        <v>261</v>
      </c>
      <c r="D1105" s="23" t="s">
        <v>21</v>
      </c>
      <c r="E1105" s="37">
        <v>45402.0</v>
      </c>
      <c r="F1105" s="25">
        <v>0.2777777777777778</v>
      </c>
      <c r="G1105" s="25">
        <v>0.5993055555555555</v>
      </c>
      <c r="H1105" s="27">
        <f t="shared" si="2"/>
        <v>0.3215277778</v>
      </c>
      <c r="I1105" s="28">
        <v>1.0</v>
      </c>
      <c r="J1105" s="29" t="s">
        <v>680</v>
      </c>
      <c r="K1105" s="30" t="s">
        <v>23</v>
      </c>
      <c r="L1105" s="31" t="str">
        <f>IFERROR(__xludf.DUMMYFUNCTION("IF(OR(E1105="""",K1105=""""),"""",IFERROR(IF(K1105="""","""",query('tbl user'!$A$2:$D10975,""SELECT A WHERE D = '""&amp;K1105&amp;""'"")),""USER TIDAK DIKETAHUI""))"),"#REF!")</f>
        <v>#REF!</v>
      </c>
    </row>
    <row r="1106">
      <c r="A1106" s="21">
        <f t="shared" si="1"/>
        <v>0</v>
      </c>
      <c r="B1106" s="32" t="s">
        <v>238</v>
      </c>
      <c r="C1106" s="23" t="s">
        <v>239</v>
      </c>
      <c r="D1106" s="23" t="s">
        <v>21</v>
      </c>
      <c r="E1106" s="37">
        <v>45402.0</v>
      </c>
      <c r="F1106" s="25">
        <v>0.29305555555555557</v>
      </c>
      <c r="G1106" s="25">
        <v>0.7291666666666666</v>
      </c>
      <c r="H1106" s="27">
        <f t="shared" si="2"/>
        <v>0.4361111111</v>
      </c>
      <c r="I1106" s="28">
        <v>2.0</v>
      </c>
      <c r="J1106" s="29" t="s">
        <v>681</v>
      </c>
      <c r="K1106" s="30" t="s">
        <v>23</v>
      </c>
      <c r="L1106" s="31" t="str">
        <f>IFERROR(__xludf.DUMMYFUNCTION("IF(OR(E1106="""",K1106=""""),"""",IFERROR(IF(K1106="""","""",query('tbl user'!$A$2:$D10975,""SELECT A WHERE D = '""&amp;K1106&amp;""'"")),""USER TIDAK DIKETAHUI""))"),"#REF!")</f>
        <v>#REF!</v>
      </c>
    </row>
    <row r="1107">
      <c r="A1107" s="21">
        <f t="shared" si="1"/>
        <v>0</v>
      </c>
      <c r="B1107" s="32" t="s">
        <v>240</v>
      </c>
      <c r="C1107" s="23" t="s">
        <v>241</v>
      </c>
      <c r="D1107" s="23" t="s">
        <v>21</v>
      </c>
      <c r="E1107" s="37">
        <v>45402.0</v>
      </c>
      <c r="F1107" s="25">
        <v>0.21319444444444444</v>
      </c>
      <c r="G1107" s="25">
        <v>0.7826388888888889</v>
      </c>
      <c r="H1107" s="27">
        <f t="shared" si="2"/>
        <v>0.5694444444</v>
      </c>
      <c r="I1107" s="28">
        <v>2.0</v>
      </c>
      <c r="J1107" s="29" t="s">
        <v>682</v>
      </c>
      <c r="K1107" s="30" t="s">
        <v>23</v>
      </c>
      <c r="L1107" s="31" t="str">
        <f>IFERROR(__xludf.DUMMYFUNCTION("IF(OR(E1107="""",K1107=""""),"""",IFERROR(IF(K1107="""","""",query('tbl user'!$A$2:$D10975,""SELECT A WHERE D = '""&amp;K1107&amp;""'"")),""USER TIDAK DIKETAHUI""))"),"#REF!")</f>
        <v>#REF!</v>
      </c>
    </row>
    <row r="1108">
      <c r="A1108" s="21">
        <f t="shared" si="1"/>
        <v>0</v>
      </c>
      <c r="B1108" s="32" t="s">
        <v>246</v>
      </c>
      <c r="C1108" s="23" t="s">
        <v>99</v>
      </c>
      <c r="D1108" s="23" t="s">
        <v>21</v>
      </c>
      <c r="E1108" s="37">
        <v>45402.0</v>
      </c>
      <c r="F1108" s="25">
        <v>0.27152777777777776</v>
      </c>
      <c r="G1108" s="25">
        <v>0.6111111111111112</v>
      </c>
      <c r="H1108" s="27">
        <f t="shared" si="2"/>
        <v>0.3395833333</v>
      </c>
      <c r="I1108" s="28">
        <v>2.0</v>
      </c>
      <c r="J1108" s="29" t="s">
        <v>683</v>
      </c>
      <c r="K1108" s="30" t="s">
        <v>23</v>
      </c>
      <c r="L1108" s="31" t="str">
        <f>IFERROR(__xludf.DUMMYFUNCTION("IF(OR(E1108="""",K1108=""""),"""",IFERROR(IF(K1108="""","""",query('tbl user'!$A$2:$D10975,""SELECT A WHERE D = '""&amp;K1108&amp;""'"")),""USER TIDAK DIKETAHUI""))"),"#REF!")</f>
        <v>#REF!</v>
      </c>
    </row>
    <row r="1109">
      <c r="A1109" s="21">
        <f t="shared" si="1"/>
        <v>0</v>
      </c>
      <c r="B1109" s="32" t="s">
        <v>43</v>
      </c>
      <c r="C1109" s="23" t="s">
        <v>44</v>
      </c>
      <c r="D1109" s="23" t="s">
        <v>21</v>
      </c>
      <c r="E1109" s="37">
        <v>45402.0</v>
      </c>
      <c r="F1109" s="25">
        <v>0.3034722222222222</v>
      </c>
      <c r="G1109" s="25">
        <v>0.7020833333333333</v>
      </c>
      <c r="H1109" s="27">
        <f t="shared" si="2"/>
        <v>0.3986111111</v>
      </c>
      <c r="I1109" s="28">
        <v>2.0</v>
      </c>
      <c r="J1109" s="29" t="s">
        <v>681</v>
      </c>
      <c r="K1109" s="30" t="s">
        <v>23</v>
      </c>
      <c r="L1109" s="31" t="str">
        <f>IFERROR(__xludf.DUMMYFUNCTION("IF(OR(E1109="""",K1109=""""),"""",IFERROR(IF(K1109="""","""",query('tbl user'!$A$2:$D10975,""SELECT A WHERE D = '""&amp;K1109&amp;""'"")),""USER TIDAK DIKETAHUI""))"),"#REF!")</f>
        <v>#REF!</v>
      </c>
    </row>
    <row r="1110">
      <c r="A1110" s="21">
        <f t="shared" si="1"/>
        <v>0</v>
      </c>
      <c r="B1110" s="32" t="s">
        <v>253</v>
      </c>
      <c r="C1110" s="23" t="s">
        <v>102</v>
      </c>
      <c r="D1110" s="23" t="s">
        <v>21</v>
      </c>
      <c r="E1110" s="37">
        <v>45402.0</v>
      </c>
      <c r="F1110" s="25">
        <v>0.28541666666666665</v>
      </c>
      <c r="G1110" s="25">
        <v>0.7194444444444444</v>
      </c>
      <c r="H1110" s="27">
        <f t="shared" si="2"/>
        <v>0.4340277778</v>
      </c>
      <c r="I1110" s="28">
        <v>2.0</v>
      </c>
      <c r="J1110" s="29" t="s">
        <v>681</v>
      </c>
      <c r="K1110" s="30" t="s">
        <v>23</v>
      </c>
      <c r="L1110" s="31" t="str">
        <f>IFERROR(__xludf.DUMMYFUNCTION("IF(OR(E1110="""",K1110=""""),"""",IFERROR(IF(K1110="""","""",query('tbl user'!$A$2:$D10975,""SELECT A WHERE D = '""&amp;K1110&amp;""'"")),""USER TIDAK DIKETAHUI""))"),"#REF!")</f>
        <v>#REF!</v>
      </c>
    </row>
    <row r="1111">
      <c r="A1111" s="21">
        <f t="shared" si="1"/>
        <v>0</v>
      </c>
      <c r="B1111" s="32" t="s">
        <v>662</v>
      </c>
      <c r="C1111" s="23" t="s">
        <v>234</v>
      </c>
      <c r="D1111" s="23" t="s">
        <v>21</v>
      </c>
      <c r="E1111" s="37">
        <v>45402.0</v>
      </c>
      <c r="F1111" s="25">
        <v>0.25833333333333336</v>
      </c>
      <c r="G1111" s="25">
        <v>0.75</v>
      </c>
      <c r="H1111" s="27">
        <f t="shared" si="2"/>
        <v>0.4916666667</v>
      </c>
      <c r="I1111" s="28">
        <v>2.0</v>
      </c>
      <c r="J1111" s="29" t="s">
        <v>684</v>
      </c>
      <c r="K1111" s="30" t="s">
        <v>23</v>
      </c>
      <c r="L1111" s="31" t="str">
        <f>IFERROR(__xludf.DUMMYFUNCTION("IF(OR(E1111="""",K1111=""""),"""",IFERROR(IF(K1111="""","""",query('tbl user'!$A$2:$D10975,""SELECT A WHERE D = '""&amp;K1111&amp;""'"")),""USER TIDAK DIKETAHUI""))"),"#REF!")</f>
        <v>#REF!</v>
      </c>
    </row>
    <row r="1112">
      <c r="A1112" s="21">
        <f t="shared" si="1"/>
        <v>0</v>
      </c>
      <c r="B1112" s="32" t="s">
        <v>255</v>
      </c>
      <c r="C1112" s="23" t="s">
        <v>256</v>
      </c>
      <c r="D1112" s="23" t="s">
        <v>21</v>
      </c>
      <c r="E1112" s="37">
        <v>45402.0</v>
      </c>
      <c r="F1112" s="25">
        <v>0.20902777777777778</v>
      </c>
      <c r="G1112" s="25">
        <v>0.7131944444444445</v>
      </c>
      <c r="H1112" s="27">
        <f t="shared" si="2"/>
        <v>0.5041666667</v>
      </c>
      <c r="I1112" s="28">
        <v>2.0</v>
      </c>
      <c r="J1112" s="29" t="s">
        <v>685</v>
      </c>
      <c r="K1112" s="30" t="s">
        <v>23</v>
      </c>
      <c r="L1112" s="31" t="str">
        <f>IFERROR(__xludf.DUMMYFUNCTION("IF(OR(E1112="""",K1112=""""),"""",IFERROR(IF(K1112="""","""",query('tbl user'!$A$2:$D10975,""SELECT A WHERE D = '""&amp;K1112&amp;""'"")),""USER TIDAK DIKETAHUI""))"),"#REF!")</f>
        <v>#REF!</v>
      </c>
    </row>
    <row r="1113">
      <c r="A1113" s="21">
        <f t="shared" si="1"/>
        <v>0</v>
      </c>
      <c r="B1113" s="32" t="s">
        <v>593</v>
      </c>
      <c r="C1113" s="23" t="s">
        <v>236</v>
      </c>
      <c r="D1113" s="23" t="s">
        <v>21</v>
      </c>
      <c r="E1113" s="37">
        <v>45402.0</v>
      </c>
      <c r="F1113" s="25">
        <v>0.35833333333333334</v>
      </c>
      <c r="G1113" s="25">
        <v>0.7284722222222222</v>
      </c>
      <c r="H1113" s="27">
        <f t="shared" si="2"/>
        <v>0.3701388889</v>
      </c>
      <c r="I1113" s="28">
        <v>2.0</v>
      </c>
      <c r="J1113" s="29" t="s">
        <v>685</v>
      </c>
      <c r="K1113" s="30" t="s">
        <v>23</v>
      </c>
      <c r="L1113" s="31" t="str">
        <f>IFERROR(__xludf.DUMMYFUNCTION("IF(OR(E1113="""",K1113=""""),"""",IFERROR(IF(K1113="""","""",query('tbl user'!$A$2:$D10975,""SELECT A WHERE D = '""&amp;K1113&amp;""'"")),""USER TIDAK DIKETAHUI""))"),"#REF!")</f>
        <v>#REF!</v>
      </c>
    </row>
    <row r="1114">
      <c r="A1114" s="21">
        <f t="shared" si="1"/>
        <v>0</v>
      </c>
      <c r="B1114" s="32" t="s">
        <v>258</v>
      </c>
      <c r="C1114" s="23" t="s">
        <v>259</v>
      </c>
      <c r="D1114" s="23" t="s">
        <v>21</v>
      </c>
      <c r="E1114" s="37">
        <v>45402.0</v>
      </c>
      <c r="F1114" s="25">
        <v>0.26180555555555557</v>
      </c>
      <c r="G1114" s="25">
        <v>0.6458333333333334</v>
      </c>
      <c r="H1114" s="27">
        <f t="shared" si="2"/>
        <v>0.3840277778</v>
      </c>
      <c r="I1114" s="28">
        <v>2.0</v>
      </c>
      <c r="J1114" s="29" t="s">
        <v>686</v>
      </c>
      <c r="K1114" s="30" t="s">
        <v>23</v>
      </c>
      <c r="L1114" s="31" t="str">
        <f>IFERROR(__xludf.DUMMYFUNCTION("IF(OR(E1114="""",K1114=""""),"""",IFERROR(IF(K1114="""","""",query('tbl user'!$A$2:$D10975,""SELECT A WHERE D = '""&amp;K1114&amp;""'"")),""USER TIDAK DIKETAHUI""))"),"#REF!")</f>
        <v>#REF!</v>
      </c>
    </row>
    <row r="1115">
      <c r="A1115" s="21">
        <f t="shared" si="1"/>
        <v>0</v>
      </c>
      <c r="B1115" s="32" t="s">
        <v>243</v>
      </c>
      <c r="C1115" s="23" t="s">
        <v>244</v>
      </c>
      <c r="D1115" s="23" t="s">
        <v>21</v>
      </c>
      <c r="E1115" s="37">
        <v>45402.0</v>
      </c>
      <c r="F1115" s="25">
        <v>0.24305555555555555</v>
      </c>
      <c r="G1115" s="25">
        <v>0.7486111111111111</v>
      </c>
      <c r="H1115" s="27">
        <f t="shared" si="2"/>
        <v>0.5055555556</v>
      </c>
      <c r="I1115" s="28">
        <v>3.0</v>
      </c>
      <c r="J1115" s="29" t="s">
        <v>55</v>
      </c>
      <c r="K1115" s="30" t="s">
        <v>23</v>
      </c>
      <c r="L1115" s="31" t="str">
        <f>IFERROR(__xludf.DUMMYFUNCTION("IF(OR(E1115="""",K1115=""""),"""",IFERROR(IF(K1115="""","""",query('tbl user'!$A$2:$D10975,""SELECT A WHERE D = '""&amp;K1115&amp;""'"")),""USER TIDAK DIKETAHUI""))"),"#REF!")</f>
        <v>#REF!</v>
      </c>
    </row>
    <row r="1116">
      <c r="A1116" s="21">
        <f t="shared" si="1"/>
        <v>0</v>
      </c>
      <c r="B1116" s="32" t="s">
        <v>286</v>
      </c>
      <c r="C1116" s="23" t="s">
        <v>287</v>
      </c>
      <c r="D1116" s="23" t="s">
        <v>21</v>
      </c>
      <c r="E1116" s="37">
        <v>45402.0</v>
      </c>
      <c r="F1116" s="25">
        <v>0.25277777777777777</v>
      </c>
      <c r="G1116" s="25">
        <v>0.37569444444444444</v>
      </c>
      <c r="H1116" s="27">
        <f t="shared" si="2"/>
        <v>0.1229166667</v>
      </c>
      <c r="I1116" s="28">
        <v>1.0</v>
      </c>
      <c r="J1116" s="29" t="s">
        <v>687</v>
      </c>
      <c r="K1116" s="30" t="s">
        <v>23</v>
      </c>
      <c r="L1116" s="31" t="str">
        <f>IFERROR(__xludf.DUMMYFUNCTION("IF(OR(E1116="""",K1116=""""),"""",IFERROR(IF(K1116="""","""",query('tbl user'!$A$2:$D10975,""SELECT A WHERE D = '""&amp;K1116&amp;""'"")),""USER TIDAK DIKETAHUI""))"),"#REF!")</f>
        <v>#REF!</v>
      </c>
    </row>
    <row r="1117">
      <c r="A1117" s="21">
        <f t="shared" si="1"/>
        <v>0</v>
      </c>
      <c r="B1117" s="32" t="s">
        <v>61</v>
      </c>
      <c r="C1117" s="23" t="s">
        <v>62</v>
      </c>
      <c r="D1117" s="23" t="s">
        <v>21</v>
      </c>
      <c r="E1117" s="37">
        <v>45402.0</v>
      </c>
      <c r="F1117" s="25">
        <v>0.29097222222222224</v>
      </c>
      <c r="G1117" s="25">
        <v>0.6506944444444445</v>
      </c>
      <c r="H1117" s="27">
        <f t="shared" si="2"/>
        <v>0.3597222222</v>
      </c>
      <c r="I1117" s="28">
        <v>2.0</v>
      </c>
      <c r="J1117" s="29" t="s">
        <v>675</v>
      </c>
      <c r="K1117" s="30" t="s">
        <v>23</v>
      </c>
      <c r="L1117" s="31" t="str">
        <f>IFERROR(__xludf.DUMMYFUNCTION("IF(OR(E1117="""",K1117=""""),"""",IFERROR(IF(K1117="""","""",query('tbl user'!$A$2:$D10975,""SELECT A WHERE D = '""&amp;K1117&amp;""'"")),""USER TIDAK DIKETAHUI""))"),"#REF!")</f>
        <v>#REF!</v>
      </c>
    </row>
    <row r="1118">
      <c r="A1118" s="21">
        <f t="shared" si="1"/>
        <v>0</v>
      </c>
      <c r="B1118" s="32" t="s">
        <v>289</v>
      </c>
      <c r="C1118" s="23" t="s">
        <v>290</v>
      </c>
      <c r="D1118" s="23" t="s">
        <v>21</v>
      </c>
      <c r="E1118" s="37">
        <v>45402.0</v>
      </c>
      <c r="F1118" s="25">
        <v>0.26875</v>
      </c>
      <c r="G1118" s="25">
        <v>0.61875</v>
      </c>
      <c r="H1118" s="27">
        <f t="shared" si="2"/>
        <v>0.35</v>
      </c>
      <c r="I1118" s="28">
        <v>2.0</v>
      </c>
      <c r="J1118" s="29" t="s">
        <v>688</v>
      </c>
      <c r="K1118" s="30" t="s">
        <v>23</v>
      </c>
      <c r="L1118" s="31" t="str">
        <f>IFERROR(__xludf.DUMMYFUNCTION("IF(OR(E1118="""",K1118=""""),"""",IFERROR(IF(K1118="""","""",query('tbl user'!$A$2:$D10975,""SELECT A WHERE D = '""&amp;K1118&amp;""'"")),""USER TIDAK DIKETAHUI""))"),"#REF!")</f>
        <v>#REF!</v>
      </c>
    </row>
    <row r="1119">
      <c r="A1119" s="21">
        <f t="shared" si="1"/>
        <v>0</v>
      </c>
      <c r="B1119" s="32" t="s">
        <v>64</v>
      </c>
      <c r="C1119" s="23" t="s">
        <v>65</v>
      </c>
      <c r="D1119" s="23" t="s">
        <v>21</v>
      </c>
      <c r="E1119" s="37">
        <v>45402.0</v>
      </c>
      <c r="F1119" s="25">
        <v>0.2520833333333333</v>
      </c>
      <c r="G1119" s="25">
        <v>0.5729166666666666</v>
      </c>
      <c r="H1119" s="27">
        <f t="shared" si="2"/>
        <v>0.3208333333</v>
      </c>
      <c r="I1119" s="28">
        <v>2.0</v>
      </c>
      <c r="J1119" s="29" t="s">
        <v>689</v>
      </c>
      <c r="K1119" s="30" t="s">
        <v>23</v>
      </c>
      <c r="L1119" s="31" t="str">
        <f>IFERROR(__xludf.DUMMYFUNCTION("IF(OR(E1119="""",K1119=""""),"""",IFERROR(IF(K1119="""","""",query('tbl user'!$A$2:$D10975,""SELECT A WHERE D = '""&amp;K1119&amp;""'"")),""USER TIDAK DIKETAHUI""))"),"#REF!")</f>
        <v>#REF!</v>
      </c>
    </row>
    <row r="1120">
      <c r="A1120" s="21">
        <f t="shared" si="1"/>
        <v>0</v>
      </c>
      <c r="B1120" s="32" t="s">
        <v>37</v>
      </c>
      <c r="C1120" s="23" t="s">
        <v>38</v>
      </c>
      <c r="D1120" s="23" t="s">
        <v>21</v>
      </c>
      <c r="E1120" s="37">
        <v>45402.0</v>
      </c>
      <c r="F1120" s="25">
        <v>0.2548611111111111</v>
      </c>
      <c r="G1120" s="25">
        <v>0.6888888888888889</v>
      </c>
      <c r="H1120" s="27">
        <f t="shared" si="2"/>
        <v>0.4340277778</v>
      </c>
      <c r="I1120" s="28">
        <v>3.0</v>
      </c>
      <c r="J1120" s="29" t="s">
        <v>675</v>
      </c>
      <c r="K1120" s="30" t="s">
        <v>23</v>
      </c>
      <c r="L1120" s="31" t="str">
        <f>IFERROR(__xludf.DUMMYFUNCTION("IF(OR(E1120="""",K1120=""""),"""",IFERROR(IF(K1120="""","""",query('tbl user'!$A$2:$D10975,""SELECT A WHERE D = '""&amp;K1120&amp;""'"")),""USER TIDAK DIKETAHUI""))"),"#REF!")</f>
        <v>#REF!</v>
      </c>
    </row>
    <row r="1121">
      <c r="A1121" s="21">
        <f t="shared" si="1"/>
        <v>0</v>
      </c>
      <c r="B1121" s="32" t="s">
        <v>281</v>
      </c>
      <c r="C1121" s="23" t="s">
        <v>282</v>
      </c>
      <c r="D1121" s="23" t="s">
        <v>21</v>
      </c>
      <c r="E1121" s="37">
        <v>45402.0</v>
      </c>
      <c r="F1121" s="25">
        <v>0.2548611111111111</v>
      </c>
      <c r="G1121" s="25">
        <v>0.6854166666666667</v>
      </c>
      <c r="H1121" s="27">
        <f t="shared" si="2"/>
        <v>0.4305555556</v>
      </c>
      <c r="I1121" s="28">
        <v>3.0</v>
      </c>
      <c r="J1121" s="29" t="s">
        <v>690</v>
      </c>
      <c r="K1121" s="30" t="s">
        <v>23</v>
      </c>
      <c r="L1121" s="31" t="str">
        <f>IFERROR(__xludf.DUMMYFUNCTION("IF(OR(E1121="""",K1121=""""),"""",IFERROR(IF(K1121="""","""",query('tbl user'!$A$2:$D10975,""SELECT A WHERE D = '""&amp;K1121&amp;""'"")),""USER TIDAK DIKETAHUI""))"),"#REF!")</f>
        <v>#REF!</v>
      </c>
    </row>
    <row r="1122">
      <c r="A1122" s="21">
        <f t="shared" si="1"/>
        <v>0</v>
      </c>
      <c r="B1122" s="32" t="s">
        <v>153</v>
      </c>
      <c r="C1122" s="23" t="s">
        <v>27</v>
      </c>
      <c r="D1122" s="23" t="s">
        <v>21</v>
      </c>
      <c r="E1122" s="37">
        <v>45402.0</v>
      </c>
      <c r="F1122" s="25">
        <v>0.2611111111111111</v>
      </c>
      <c r="G1122" s="25">
        <v>0.7</v>
      </c>
      <c r="H1122" s="27">
        <f t="shared" si="2"/>
        <v>0.4388888889</v>
      </c>
      <c r="I1122" s="28">
        <v>3.0</v>
      </c>
      <c r="J1122" s="29" t="s">
        <v>675</v>
      </c>
      <c r="K1122" s="30" t="s">
        <v>23</v>
      </c>
      <c r="L1122" s="31" t="str">
        <f>IFERROR(__xludf.DUMMYFUNCTION("IF(OR(E1122="""",K1122=""""),"""",IFERROR(IF(K1122="""","""",query('tbl user'!$A$2:$D10975,""SELECT A WHERE D = '""&amp;K1122&amp;""'"")),""USER TIDAK DIKETAHUI""))"),"#REF!")</f>
        <v>#REF!</v>
      </c>
    </row>
    <row r="1123">
      <c r="A1123" s="21">
        <f t="shared" si="1"/>
        <v>0</v>
      </c>
      <c r="B1123" s="32" t="s">
        <v>577</v>
      </c>
      <c r="C1123" s="23" t="s">
        <v>330</v>
      </c>
      <c r="D1123" s="23" t="s">
        <v>21</v>
      </c>
      <c r="E1123" s="37">
        <v>45402.0</v>
      </c>
      <c r="F1123" s="25">
        <v>0.26805555555555555</v>
      </c>
      <c r="G1123" s="25">
        <v>0.4722222222222222</v>
      </c>
      <c r="H1123" s="27">
        <f t="shared" si="2"/>
        <v>0.2041666667</v>
      </c>
      <c r="I1123" s="28">
        <v>2.0</v>
      </c>
      <c r="J1123" s="29" t="s">
        <v>691</v>
      </c>
      <c r="K1123" s="30" t="s">
        <v>23</v>
      </c>
      <c r="L1123" s="31" t="str">
        <f>IFERROR(__xludf.DUMMYFUNCTION("IF(OR(E1123="""",K1123=""""),"""",IFERROR(IF(K1123="""","""",query('tbl user'!$A$2:$D10975,""SELECT A WHERE D = '""&amp;K1123&amp;""'"")),""USER TIDAK DIKETAHUI""))"),"#REF!")</f>
        <v>#REF!</v>
      </c>
    </row>
    <row r="1124">
      <c r="A1124" s="21">
        <f t="shared" si="1"/>
        <v>0</v>
      </c>
      <c r="B1124" s="32" t="s">
        <v>335</v>
      </c>
      <c r="C1124" s="23" t="s">
        <v>336</v>
      </c>
      <c r="D1124" s="23" t="s">
        <v>21</v>
      </c>
      <c r="E1124" s="37">
        <v>45402.0</v>
      </c>
      <c r="F1124" s="25">
        <v>0.29444444444444445</v>
      </c>
      <c r="G1124" s="25">
        <v>0.61875</v>
      </c>
      <c r="H1124" s="27">
        <f t="shared" si="2"/>
        <v>0.3243055556</v>
      </c>
      <c r="I1124" s="28">
        <v>4.0</v>
      </c>
      <c r="J1124" s="29" t="s">
        <v>692</v>
      </c>
      <c r="K1124" s="30" t="s">
        <v>23</v>
      </c>
      <c r="L1124" s="31" t="str">
        <f>IFERROR(__xludf.DUMMYFUNCTION("IF(OR(E1124="""",K1124=""""),"""",IFERROR(IF(K1124="""","""",query('tbl user'!$A$2:$D10975,""SELECT A WHERE D = '""&amp;K1124&amp;""'"")),""USER TIDAK DIKETAHUI""))"),"#REF!")</f>
        <v>#REF!</v>
      </c>
    </row>
    <row r="1125">
      <c r="A1125" s="21">
        <f t="shared" si="1"/>
        <v>0</v>
      </c>
      <c r="B1125" s="32" t="s">
        <v>53</v>
      </c>
      <c r="C1125" s="23" t="s">
        <v>54</v>
      </c>
      <c r="D1125" s="23" t="s">
        <v>21</v>
      </c>
      <c r="E1125" s="37">
        <v>45402.0</v>
      </c>
      <c r="F1125" s="25">
        <v>0.2569444444444444</v>
      </c>
      <c r="G1125" s="25">
        <v>0.5763888888888888</v>
      </c>
      <c r="H1125" s="27">
        <f t="shared" si="2"/>
        <v>0.3194444444</v>
      </c>
      <c r="I1125" s="28">
        <v>4.0</v>
      </c>
      <c r="J1125" s="29" t="s">
        <v>693</v>
      </c>
      <c r="K1125" s="30" t="s">
        <v>23</v>
      </c>
      <c r="L1125" s="31" t="str">
        <f>IFERROR(__xludf.DUMMYFUNCTION("IF(OR(E1125="""",K1125=""""),"""",IFERROR(IF(K1125="""","""",query('tbl user'!$A$2:$D10975,""SELECT A WHERE D = '""&amp;K1125&amp;""'"")),""USER TIDAK DIKETAHUI""))"),"#REF!")</f>
        <v>#REF!</v>
      </c>
    </row>
    <row r="1126">
      <c r="A1126" s="21">
        <f t="shared" si="1"/>
        <v>0</v>
      </c>
      <c r="B1126" s="32" t="s">
        <v>328</v>
      </c>
      <c r="C1126" s="23" t="s">
        <v>329</v>
      </c>
      <c r="D1126" s="23" t="s">
        <v>21</v>
      </c>
      <c r="E1126" s="37">
        <v>45402.0</v>
      </c>
      <c r="F1126" s="25">
        <v>0.2923611111111111</v>
      </c>
      <c r="G1126" s="25">
        <v>0.7180555555555556</v>
      </c>
      <c r="H1126" s="27">
        <f t="shared" si="2"/>
        <v>0.4256944444</v>
      </c>
      <c r="I1126" s="28">
        <v>5.0</v>
      </c>
      <c r="J1126" s="29" t="s">
        <v>55</v>
      </c>
      <c r="K1126" s="30" t="s">
        <v>23</v>
      </c>
      <c r="L1126" s="31" t="str">
        <f>IFERROR(__xludf.DUMMYFUNCTION("IF(OR(E1126="""",K1126=""""),"""",IFERROR(IF(K1126="""","""",query('tbl user'!$A$2:$D10975,""SELECT A WHERE D = '""&amp;K1126&amp;""'"")),""USER TIDAK DIKETAHUI""))"),"#REF!")</f>
        <v>#REF!</v>
      </c>
    </row>
    <row r="1127">
      <c r="A1127" s="21">
        <f t="shared" si="1"/>
        <v>0</v>
      </c>
      <c r="B1127" s="32" t="s">
        <v>319</v>
      </c>
      <c r="C1127" s="23" t="s">
        <v>320</v>
      </c>
      <c r="D1127" s="23" t="s">
        <v>21</v>
      </c>
      <c r="E1127" s="37">
        <v>45402.0</v>
      </c>
      <c r="F1127" s="25">
        <v>0.2298611111111111</v>
      </c>
      <c r="G1127" s="25">
        <v>0.6388888888888888</v>
      </c>
      <c r="H1127" s="27">
        <f t="shared" si="2"/>
        <v>0.4090277778</v>
      </c>
      <c r="I1127" s="28">
        <v>5.0</v>
      </c>
      <c r="J1127" s="29" t="s">
        <v>55</v>
      </c>
      <c r="K1127" s="30" t="s">
        <v>23</v>
      </c>
      <c r="L1127" s="31" t="str">
        <f>IFERROR(__xludf.DUMMYFUNCTION("IF(OR(E1127="""",K1127=""""),"""",IFERROR(IF(K1127="""","""",query('tbl user'!$A$2:$D10975,""SELECT A WHERE D = '""&amp;K1127&amp;""'"")),""USER TIDAK DIKETAHUI""))"),"#REF!")</f>
        <v>#REF!</v>
      </c>
    </row>
    <row r="1128">
      <c r="A1128" s="21">
        <f t="shared" si="1"/>
        <v>0</v>
      </c>
      <c r="B1128" s="32" t="s">
        <v>337</v>
      </c>
      <c r="C1128" s="23" t="s">
        <v>338</v>
      </c>
      <c r="D1128" s="23" t="s">
        <v>21</v>
      </c>
      <c r="E1128" s="37">
        <v>45402.0</v>
      </c>
      <c r="F1128" s="25">
        <v>0.2590277777777778</v>
      </c>
      <c r="G1128" s="25">
        <v>0.6826388888888889</v>
      </c>
      <c r="H1128" s="27">
        <f t="shared" si="2"/>
        <v>0.4236111111</v>
      </c>
      <c r="I1128" s="28">
        <v>5.0</v>
      </c>
      <c r="J1128" s="29" t="s">
        <v>55</v>
      </c>
      <c r="K1128" s="30" t="s">
        <v>23</v>
      </c>
      <c r="L1128" s="31" t="str">
        <f>IFERROR(__xludf.DUMMYFUNCTION("IF(OR(E1128="""",K1128=""""),"""",IFERROR(IF(K1128="""","""",query('tbl user'!$A$2:$D10975,""SELECT A WHERE D = '""&amp;K1128&amp;""'"")),""USER TIDAK DIKETAHUI""))"),"#REF!")</f>
        <v>#REF!</v>
      </c>
    </row>
    <row r="1129">
      <c r="A1129" s="21">
        <f t="shared" si="1"/>
        <v>0</v>
      </c>
      <c r="B1129" s="32" t="s">
        <v>229</v>
      </c>
      <c r="C1129" s="23" t="s">
        <v>339</v>
      </c>
      <c r="D1129" s="23" t="s">
        <v>21</v>
      </c>
      <c r="E1129" s="37">
        <v>45402.0</v>
      </c>
      <c r="F1129" s="25">
        <v>0.2638888888888889</v>
      </c>
      <c r="G1129" s="25">
        <v>0.7416666666666667</v>
      </c>
      <c r="H1129" s="27">
        <f t="shared" si="2"/>
        <v>0.4777777778</v>
      </c>
      <c r="I1129" s="28">
        <v>6.0</v>
      </c>
      <c r="J1129" s="29" t="s">
        <v>55</v>
      </c>
      <c r="K1129" s="30" t="s">
        <v>23</v>
      </c>
      <c r="L1129" s="31" t="str">
        <f>IFERROR(__xludf.DUMMYFUNCTION("IF(OR(E1129="""",K1129=""""),"""",IFERROR(IF(K1129="""","""",query('tbl user'!$A$2:$D10975,""SELECT A WHERE D = '""&amp;K1129&amp;""'"")),""USER TIDAK DIKETAHUI""))"),"#REF!")</f>
        <v>#REF!</v>
      </c>
    </row>
    <row r="1130">
      <c r="A1130" s="21">
        <f t="shared" si="1"/>
        <v>0</v>
      </c>
      <c r="B1130" s="32" t="s">
        <v>331</v>
      </c>
      <c r="C1130" s="23" t="s">
        <v>332</v>
      </c>
      <c r="D1130" s="23" t="s">
        <v>21</v>
      </c>
      <c r="E1130" s="37">
        <v>45402.0</v>
      </c>
      <c r="F1130" s="25">
        <v>0.22708333333333333</v>
      </c>
      <c r="G1130" s="25">
        <v>0.70625</v>
      </c>
      <c r="H1130" s="27">
        <f t="shared" si="2"/>
        <v>0.4791666667</v>
      </c>
      <c r="I1130" s="28">
        <v>6.0</v>
      </c>
      <c r="J1130" s="29" t="s">
        <v>55</v>
      </c>
      <c r="K1130" s="30" t="s">
        <v>23</v>
      </c>
      <c r="L1130" s="31" t="str">
        <f>IFERROR(__xludf.DUMMYFUNCTION("IF(OR(E1130="""",K1130=""""),"""",IFERROR(IF(K1130="""","""",query('tbl user'!$A$2:$D10975,""SELECT A WHERE D = '""&amp;K1130&amp;""'"")),""USER TIDAK DIKETAHUI""))"),"#REF!")</f>
        <v>#REF!</v>
      </c>
    </row>
    <row r="1131">
      <c r="A1131" s="21">
        <f t="shared" si="1"/>
        <v>0</v>
      </c>
      <c r="B1131" s="32" t="s">
        <v>220</v>
      </c>
      <c r="C1131" s="23" t="s">
        <v>316</v>
      </c>
      <c r="D1131" s="23" t="s">
        <v>21</v>
      </c>
      <c r="E1131" s="37">
        <v>45402.0</v>
      </c>
      <c r="F1131" s="25">
        <v>0.22916666666666666</v>
      </c>
      <c r="G1131" s="25">
        <v>0.7375</v>
      </c>
      <c r="H1131" s="27">
        <f t="shared" si="2"/>
        <v>0.5083333333</v>
      </c>
      <c r="I1131" s="28">
        <v>6.0</v>
      </c>
      <c r="J1131" s="29" t="s">
        <v>55</v>
      </c>
      <c r="K1131" s="30" t="s">
        <v>23</v>
      </c>
      <c r="L1131" s="31" t="str">
        <f>IFERROR(__xludf.DUMMYFUNCTION("IF(OR(E1131="""",K1131=""""),"""",IFERROR(IF(K1131="""","""",query('tbl user'!$A$2:$D10975,""SELECT A WHERE D = '""&amp;K1131&amp;""'"")),""USER TIDAK DIKETAHUI""))"),"#REF!")</f>
        <v>#REF!</v>
      </c>
    </row>
    <row r="1132">
      <c r="A1132" s="21">
        <f t="shared" si="1"/>
        <v>0</v>
      </c>
      <c r="B1132" s="32" t="s">
        <v>276</v>
      </c>
      <c r="C1132" s="23" t="s">
        <v>132</v>
      </c>
      <c r="D1132" s="23" t="s">
        <v>32</v>
      </c>
      <c r="E1132" s="37">
        <v>45402.0</v>
      </c>
      <c r="F1132" s="25">
        <v>0.2423611111111111</v>
      </c>
      <c r="G1132" s="25">
        <v>0.4444444444444444</v>
      </c>
      <c r="H1132" s="27">
        <f t="shared" si="2"/>
        <v>0.2020833333</v>
      </c>
      <c r="I1132" s="28">
        <v>1.0</v>
      </c>
      <c r="J1132" s="29" t="s">
        <v>694</v>
      </c>
      <c r="K1132" s="30" t="s">
        <v>23</v>
      </c>
      <c r="L1132" s="31" t="str">
        <f>IFERROR(__xludf.DUMMYFUNCTION("IF(OR(E1132="""",K1132=""""),"""",IFERROR(IF(K1132="""","""",query('tbl user'!$A$2:$D10975,""SELECT A WHERE D = '""&amp;K1132&amp;""'"")),""USER TIDAK DIKETAHUI""))"),"#REF!")</f>
        <v>#REF!</v>
      </c>
    </row>
    <row r="1133">
      <c r="A1133" s="21">
        <f t="shared" si="1"/>
        <v>0</v>
      </c>
      <c r="B1133" s="32" t="s">
        <v>139</v>
      </c>
      <c r="C1133" s="23" t="s">
        <v>96</v>
      </c>
      <c r="D1133" s="23" t="s">
        <v>32</v>
      </c>
      <c r="E1133" s="37">
        <v>45402.0</v>
      </c>
      <c r="F1133" s="25">
        <v>0.2652777777777778</v>
      </c>
      <c r="G1133" s="25">
        <v>0.41180555555555554</v>
      </c>
      <c r="H1133" s="27">
        <f t="shared" si="2"/>
        <v>0.1465277778</v>
      </c>
      <c r="I1133" s="28">
        <v>1.0</v>
      </c>
      <c r="J1133" s="29" t="s">
        <v>695</v>
      </c>
      <c r="K1133" s="30" t="s">
        <v>23</v>
      </c>
      <c r="L1133" s="31" t="str">
        <f>IFERROR(__xludf.DUMMYFUNCTION("IF(OR(E1133="""",K1133=""""),"""",IFERROR(IF(K1133="""","""",query('tbl user'!$A$2:$D10975,""SELECT A WHERE D = '""&amp;K1133&amp;""'"")),""USER TIDAK DIKETAHUI""))"),"#REF!")</f>
        <v>#REF!</v>
      </c>
    </row>
    <row r="1134">
      <c r="A1134" s="21">
        <f t="shared" si="1"/>
        <v>0</v>
      </c>
      <c r="B1134" s="32" t="s">
        <v>267</v>
      </c>
      <c r="C1134" s="23" t="s">
        <v>268</v>
      </c>
      <c r="D1134" s="23" t="s">
        <v>32</v>
      </c>
      <c r="E1134" s="37">
        <v>45402.0</v>
      </c>
      <c r="F1134" s="25">
        <v>0.24305555555555555</v>
      </c>
      <c r="G1134" s="25">
        <v>0.6701388888888888</v>
      </c>
      <c r="H1134" s="27">
        <f t="shared" si="2"/>
        <v>0.4270833333</v>
      </c>
      <c r="I1134" s="28">
        <v>2.0</v>
      </c>
      <c r="J1134" s="29" t="s">
        <v>680</v>
      </c>
      <c r="K1134" s="30" t="s">
        <v>23</v>
      </c>
      <c r="L1134" s="31" t="str">
        <f>IFERROR(__xludf.DUMMYFUNCTION("IF(OR(E1134="""",K1134=""""),"""",IFERROR(IF(K1134="""","""",query('tbl user'!$A$2:$D10975,""SELECT A WHERE D = '""&amp;K1134&amp;""'"")),""USER TIDAK DIKETAHUI""))"),"#REF!")</f>
        <v>#REF!</v>
      </c>
    </row>
    <row r="1135">
      <c r="A1135" s="21">
        <f t="shared" si="1"/>
        <v>0</v>
      </c>
      <c r="B1135" s="32" t="s">
        <v>250</v>
      </c>
      <c r="C1135" s="23" t="s">
        <v>315</v>
      </c>
      <c r="D1135" s="23" t="s">
        <v>32</v>
      </c>
      <c r="E1135" s="37">
        <v>45402.0</v>
      </c>
      <c r="F1135" s="25">
        <v>0.42916666666666664</v>
      </c>
      <c r="G1135" s="25">
        <v>0.7208333333333333</v>
      </c>
      <c r="H1135" s="27">
        <f t="shared" si="2"/>
        <v>0.2916666667</v>
      </c>
      <c r="I1135" s="28">
        <v>3.0</v>
      </c>
      <c r="J1135" s="29" t="s">
        <v>696</v>
      </c>
      <c r="K1135" s="30" t="s">
        <v>23</v>
      </c>
      <c r="L1135" s="31" t="str">
        <f>IFERROR(__xludf.DUMMYFUNCTION("IF(OR(E1135="""",K1135=""""),"""",IFERROR(IF(K1135="""","""",query('tbl user'!$A$2:$D10975,""SELECT A WHERE D = '""&amp;K1135&amp;""'"")),""USER TIDAK DIKETAHUI""))"),"#REF!")</f>
        <v>#REF!</v>
      </c>
    </row>
    <row r="1136">
      <c r="A1136" s="21">
        <f t="shared" si="1"/>
        <v>0</v>
      </c>
      <c r="B1136" s="32" t="s">
        <v>118</v>
      </c>
      <c r="C1136" s="23" t="s">
        <v>119</v>
      </c>
      <c r="D1136" s="23" t="s">
        <v>32</v>
      </c>
      <c r="E1136" s="37">
        <v>45402.0</v>
      </c>
      <c r="F1136" s="25">
        <v>0.4236111111111111</v>
      </c>
      <c r="G1136" s="25">
        <v>0.7020833333333333</v>
      </c>
      <c r="H1136" s="27">
        <f t="shared" si="2"/>
        <v>0.2784722222</v>
      </c>
      <c r="I1136" s="28">
        <v>3.0</v>
      </c>
      <c r="J1136" s="29" t="s">
        <v>629</v>
      </c>
      <c r="K1136" s="30" t="s">
        <v>23</v>
      </c>
      <c r="L1136" s="31" t="str">
        <f>IFERROR(__xludf.DUMMYFUNCTION("IF(OR(E1136="""",K1136=""""),"""",IFERROR(IF(K1136="""","""",query('tbl user'!$A$2:$D10975,""SELECT A WHERE D = '""&amp;K1136&amp;""'"")),""USER TIDAK DIKETAHUI""))"),"#REF!")</f>
        <v>#REF!</v>
      </c>
    </row>
    <row r="1137">
      <c r="A1137" s="21">
        <f t="shared" si="1"/>
        <v>0</v>
      </c>
      <c r="B1137" s="32" t="s">
        <v>75</v>
      </c>
      <c r="C1137" s="23" t="s">
        <v>76</v>
      </c>
      <c r="D1137" s="23" t="s">
        <v>32</v>
      </c>
      <c r="E1137" s="37">
        <v>45402.0</v>
      </c>
      <c r="F1137" s="25">
        <v>0.28402777777777777</v>
      </c>
      <c r="G1137" s="25">
        <v>0.6618055555555555</v>
      </c>
      <c r="H1137" s="27">
        <f t="shared" si="2"/>
        <v>0.3777777778</v>
      </c>
      <c r="I1137" s="28">
        <v>3.0</v>
      </c>
      <c r="J1137" s="29" t="s">
        <v>618</v>
      </c>
      <c r="K1137" s="30" t="s">
        <v>23</v>
      </c>
      <c r="L1137" s="31" t="str">
        <f>IFERROR(__xludf.DUMMYFUNCTION("IF(OR(E1137="""",K1137=""""),"""",IFERROR(IF(K1137="""","""",query('tbl user'!$A$2:$D10975,""SELECT A WHERE D = '""&amp;K1137&amp;""'"")),""USER TIDAK DIKETAHUI""))"),"#REF!")</f>
        <v>#REF!</v>
      </c>
    </row>
    <row r="1138">
      <c r="A1138" s="21">
        <f t="shared" si="1"/>
        <v>0</v>
      </c>
      <c r="B1138" s="32" t="s">
        <v>72</v>
      </c>
      <c r="C1138" s="23" t="s">
        <v>73</v>
      </c>
      <c r="D1138" s="23" t="s">
        <v>32</v>
      </c>
      <c r="E1138" s="37">
        <v>45402.0</v>
      </c>
      <c r="F1138" s="25">
        <v>0.2548611111111111</v>
      </c>
      <c r="G1138" s="25">
        <v>0.7180555555555556</v>
      </c>
      <c r="H1138" s="27">
        <f t="shared" si="2"/>
        <v>0.4631944444</v>
      </c>
      <c r="I1138" s="28">
        <v>4.0</v>
      </c>
      <c r="J1138" s="29" t="s">
        <v>55</v>
      </c>
      <c r="K1138" s="30" t="s">
        <v>23</v>
      </c>
      <c r="L1138" s="31" t="str">
        <f>IFERROR(__xludf.DUMMYFUNCTION("IF(OR(E1138="""",K1138=""""),"""",IFERROR(IF(K1138="""","""",query('tbl user'!$A$2:$D10975,""SELECT A WHERE D = '""&amp;K1138&amp;""'"")),""USER TIDAK DIKETAHUI""))"),"#REF!")</f>
        <v>#REF!</v>
      </c>
    </row>
    <row r="1139">
      <c r="A1139" s="21">
        <f t="shared" si="1"/>
        <v>0</v>
      </c>
      <c r="B1139" s="32" t="s">
        <v>135</v>
      </c>
      <c r="C1139" s="23" t="s">
        <v>136</v>
      </c>
      <c r="D1139" s="23" t="s">
        <v>32</v>
      </c>
      <c r="E1139" s="37">
        <v>45402.0</v>
      </c>
      <c r="F1139" s="25">
        <v>0.24166666666666667</v>
      </c>
      <c r="G1139" s="25">
        <v>0.6847222222222222</v>
      </c>
      <c r="H1139" s="27">
        <f t="shared" si="2"/>
        <v>0.4430555556</v>
      </c>
      <c r="I1139" s="28">
        <v>4.0</v>
      </c>
      <c r="J1139" s="29" t="s">
        <v>55</v>
      </c>
      <c r="K1139" s="30" t="s">
        <v>23</v>
      </c>
      <c r="L1139" s="31" t="str">
        <f>IFERROR(__xludf.DUMMYFUNCTION("IF(OR(E1139="""",K1139=""""),"""",IFERROR(IF(K1139="""","""",query('tbl user'!$A$2:$D10975,""SELECT A WHERE D = '""&amp;K1139&amp;""'"")),""USER TIDAK DIKETAHUI""))"),"#REF!")</f>
        <v>#REF!</v>
      </c>
    </row>
    <row r="1140">
      <c r="A1140" s="21">
        <f t="shared" si="1"/>
        <v>0</v>
      </c>
      <c r="B1140" s="32" t="s">
        <v>40</v>
      </c>
      <c r="C1140" s="23" t="s">
        <v>41</v>
      </c>
      <c r="D1140" s="23" t="s">
        <v>32</v>
      </c>
      <c r="E1140" s="37">
        <v>45402.0</v>
      </c>
      <c r="F1140" s="25">
        <v>0.23402777777777778</v>
      </c>
      <c r="G1140" s="25">
        <v>0.6527777777777778</v>
      </c>
      <c r="H1140" s="27">
        <f t="shared" si="2"/>
        <v>0.41875</v>
      </c>
      <c r="I1140" s="28">
        <v>4.0</v>
      </c>
      <c r="J1140" s="29" t="s">
        <v>55</v>
      </c>
      <c r="K1140" s="30" t="s">
        <v>23</v>
      </c>
      <c r="L1140" s="31" t="str">
        <f>IFERROR(__xludf.DUMMYFUNCTION("IF(OR(E1140="""",K1140=""""),"""",IFERROR(IF(K1140="""","""",query('tbl user'!$A$2:$D10975,""SELECT A WHERE D = '""&amp;K1140&amp;""'"")),""USER TIDAK DIKETAHUI""))"),"#REF!")</f>
        <v>#REF!</v>
      </c>
    </row>
    <row r="1141">
      <c r="A1141" s="21">
        <f t="shared" si="1"/>
        <v>0</v>
      </c>
      <c r="B1141" s="32" t="s">
        <v>137</v>
      </c>
      <c r="C1141" s="23" t="s">
        <v>138</v>
      </c>
      <c r="D1141" s="23" t="s">
        <v>32</v>
      </c>
      <c r="E1141" s="37">
        <v>45402.0</v>
      </c>
      <c r="F1141" s="25">
        <v>0.26458333333333334</v>
      </c>
      <c r="G1141" s="25">
        <v>0.6791666666666667</v>
      </c>
      <c r="H1141" s="27">
        <f t="shared" si="2"/>
        <v>0.4145833333</v>
      </c>
      <c r="I1141" s="28">
        <v>4.0</v>
      </c>
      <c r="J1141" s="29" t="s">
        <v>55</v>
      </c>
      <c r="K1141" s="30" t="s">
        <v>23</v>
      </c>
      <c r="L1141" s="31" t="str">
        <f>IFERROR(__xludf.DUMMYFUNCTION("IF(OR(E1141="""",K1141=""""),"""",IFERROR(IF(K1141="""","""",query('tbl user'!$A$2:$D10975,""SELECT A WHERE D = '""&amp;K1141&amp;""'"")),""USER TIDAK DIKETAHUI""))"),"#REF!")</f>
        <v>#REF!</v>
      </c>
    </row>
    <row r="1142">
      <c r="A1142" s="21">
        <f t="shared" si="1"/>
        <v>0</v>
      </c>
      <c r="B1142" s="32" t="s">
        <v>277</v>
      </c>
      <c r="C1142" s="23" t="s">
        <v>278</v>
      </c>
      <c r="D1142" s="23" t="s">
        <v>32</v>
      </c>
      <c r="E1142" s="37">
        <v>45402.0</v>
      </c>
      <c r="F1142" s="25">
        <v>0.28194444444444444</v>
      </c>
      <c r="G1142" s="25">
        <v>0.6958333333333333</v>
      </c>
      <c r="H1142" s="27">
        <f t="shared" si="2"/>
        <v>0.4138888889</v>
      </c>
      <c r="I1142" s="28">
        <v>4.0</v>
      </c>
      <c r="J1142" s="29" t="s">
        <v>55</v>
      </c>
      <c r="K1142" s="30" t="s">
        <v>23</v>
      </c>
      <c r="L1142" s="31" t="str">
        <f>IFERROR(__xludf.DUMMYFUNCTION("IF(OR(E1142="""",K1142=""""),"""",IFERROR(IF(K1142="""","""",query('tbl user'!$A$2:$D10975,""SELECT A WHERE D = '""&amp;K1142&amp;""'"")),""USER TIDAK DIKETAHUI""))"),"#REF!")</f>
        <v>#REF!</v>
      </c>
    </row>
    <row r="1143">
      <c r="A1143" s="21">
        <f t="shared" si="1"/>
        <v>0</v>
      </c>
      <c r="B1143" s="32" t="s">
        <v>133</v>
      </c>
      <c r="C1143" s="23" t="s">
        <v>134</v>
      </c>
      <c r="D1143" s="23" t="s">
        <v>32</v>
      </c>
      <c r="E1143" s="37">
        <v>45402.0</v>
      </c>
      <c r="F1143" s="25">
        <v>0.2361111111111111</v>
      </c>
      <c r="G1143" s="25">
        <v>0.7305555555555555</v>
      </c>
      <c r="H1143" s="27">
        <f t="shared" si="2"/>
        <v>0.4944444444</v>
      </c>
      <c r="I1143" s="28">
        <v>5.0</v>
      </c>
      <c r="J1143" s="29" t="s">
        <v>55</v>
      </c>
      <c r="K1143" s="30" t="s">
        <v>23</v>
      </c>
      <c r="L1143" s="31" t="str">
        <f>IFERROR(__xludf.DUMMYFUNCTION("IF(OR(E1143="""",K1143=""""),"""",IFERROR(IF(K1143="""","""",query('tbl user'!$A$2:$D10975,""SELECT A WHERE D = '""&amp;K1143&amp;""'"")),""USER TIDAK DIKETAHUI""))"),"#REF!")</f>
        <v>#REF!</v>
      </c>
    </row>
    <row r="1144">
      <c r="A1144" s="21" t="str">
        <f t="shared" si="1"/>
        <v/>
      </c>
      <c r="B1144" s="35"/>
      <c r="C1144" s="23" t="s">
        <v>68</v>
      </c>
      <c r="D1144" s="23" t="s">
        <v>58</v>
      </c>
      <c r="E1144" s="37">
        <v>45403.0</v>
      </c>
      <c r="F1144" s="25">
        <v>0.2986111111111111</v>
      </c>
      <c r="G1144" s="25">
        <v>0.4270833333333333</v>
      </c>
      <c r="H1144" s="27">
        <f t="shared" si="2"/>
        <v>0.1284722222</v>
      </c>
      <c r="I1144" s="28">
        <v>0.0</v>
      </c>
      <c r="J1144" s="29" t="s">
        <v>94</v>
      </c>
      <c r="K1144" s="30" t="s">
        <v>23</v>
      </c>
      <c r="L1144" s="31" t="str">
        <f>IFERROR(__xludf.DUMMYFUNCTION("IF(OR(E1144="""",K1144=""""),"""",IFERROR(IF(K1144="""","""",query('tbl user'!$A$2:$D10975,""SELECT A WHERE D = '""&amp;K1144&amp;""'"")),""USER TIDAK DIKETAHUI""))"),"#REF!")</f>
        <v>#REF!</v>
      </c>
    </row>
    <row r="1145">
      <c r="A1145" s="21">
        <f t="shared" si="1"/>
        <v>0</v>
      </c>
      <c r="B1145" s="32" t="s">
        <v>297</v>
      </c>
      <c r="C1145" s="23" t="s">
        <v>348</v>
      </c>
      <c r="D1145" s="23" t="s">
        <v>58</v>
      </c>
      <c r="E1145" s="37">
        <v>45403.0</v>
      </c>
      <c r="F1145" s="25">
        <v>0.2465277777777778</v>
      </c>
      <c r="G1145" s="25">
        <v>0.3229166666666667</v>
      </c>
      <c r="H1145" s="27">
        <f t="shared" si="2"/>
        <v>0.07638888889</v>
      </c>
      <c r="I1145" s="28">
        <v>1.0</v>
      </c>
      <c r="J1145" s="29" t="s">
        <v>94</v>
      </c>
      <c r="K1145" s="30" t="s">
        <v>23</v>
      </c>
      <c r="L1145" s="31" t="str">
        <f>IFERROR(__xludf.DUMMYFUNCTION("IF(OR(E1145="""",K1145=""""),"""",IFERROR(IF(K1145="""","""",query('tbl user'!$A$2:$D10975,""SELECT A WHERE D = '""&amp;K1145&amp;""'"")),""USER TIDAK DIKETAHUI""))"),"#REF!")</f>
        <v>#REF!</v>
      </c>
    </row>
    <row r="1146">
      <c r="A1146" s="21">
        <f t="shared" si="1"/>
        <v>0</v>
      </c>
      <c r="B1146" s="32" t="s">
        <v>205</v>
      </c>
      <c r="C1146" s="23" t="s">
        <v>206</v>
      </c>
      <c r="D1146" s="23" t="s">
        <v>58</v>
      </c>
      <c r="E1146" s="37">
        <v>45403.0</v>
      </c>
      <c r="F1146" s="25">
        <v>0.24722222222222223</v>
      </c>
      <c r="G1146" s="25">
        <v>0.3729166666666667</v>
      </c>
      <c r="H1146" s="27">
        <f t="shared" si="2"/>
        <v>0.1256944444</v>
      </c>
      <c r="I1146" s="28">
        <v>1.0</v>
      </c>
      <c r="J1146" s="29" t="s">
        <v>94</v>
      </c>
      <c r="K1146" s="30" t="s">
        <v>23</v>
      </c>
      <c r="L1146" s="31" t="str">
        <f>IFERROR(__xludf.DUMMYFUNCTION("IF(OR(E1146="""",K1146=""""),"""",IFERROR(IF(K1146="""","""",query('tbl user'!$A$2:$D10975,""SELECT A WHERE D = '""&amp;K1146&amp;""'"")),""USER TIDAK DIKETAHUI""))"),"#REF!")</f>
        <v>#REF!</v>
      </c>
    </row>
    <row r="1147">
      <c r="A1147" s="21">
        <f t="shared" si="1"/>
        <v>0</v>
      </c>
      <c r="B1147" s="32" t="s">
        <v>56</v>
      </c>
      <c r="C1147" s="23" t="s">
        <v>57</v>
      </c>
      <c r="D1147" s="23" t="s">
        <v>58</v>
      </c>
      <c r="E1147" s="37">
        <v>45403.0</v>
      </c>
      <c r="F1147" s="25">
        <v>0.28958333333333336</v>
      </c>
      <c r="G1147" s="25">
        <v>0.5840277777777778</v>
      </c>
      <c r="H1147" s="27">
        <f t="shared" si="2"/>
        <v>0.2944444444</v>
      </c>
      <c r="I1147" s="28">
        <v>2.0</v>
      </c>
      <c r="J1147" s="29" t="s">
        <v>94</v>
      </c>
      <c r="K1147" s="30" t="s">
        <v>23</v>
      </c>
      <c r="L1147" s="31" t="str">
        <f>IFERROR(__xludf.DUMMYFUNCTION("IF(OR(E1147="""",K1147=""""),"""",IFERROR(IF(K1147="""","""",query('tbl user'!$A$2:$D10975,""SELECT A WHERE D = '""&amp;K1147&amp;""'"")),""USER TIDAK DIKETAHUI""))"),"#REF!")</f>
        <v>#REF!</v>
      </c>
    </row>
    <row r="1148">
      <c r="A1148" s="21">
        <f t="shared" si="1"/>
        <v>0</v>
      </c>
      <c r="B1148" s="32" t="s">
        <v>184</v>
      </c>
      <c r="C1148" s="23" t="s">
        <v>185</v>
      </c>
      <c r="D1148" s="23" t="s">
        <v>58</v>
      </c>
      <c r="E1148" s="37">
        <v>45403.0</v>
      </c>
      <c r="F1148" s="25">
        <v>0.25833333333333336</v>
      </c>
      <c r="G1148" s="25">
        <v>0.58125</v>
      </c>
      <c r="H1148" s="27">
        <f t="shared" si="2"/>
        <v>0.3229166667</v>
      </c>
      <c r="I1148" s="28">
        <v>3.0</v>
      </c>
      <c r="J1148" s="29" t="s">
        <v>94</v>
      </c>
      <c r="K1148" s="30" t="s">
        <v>23</v>
      </c>
      <c r="L1148" s="31" t="str">
        <f>IFERROR(__xludf.DUMMYFUNCTION("IF(OR(E1148="""",K1148=""""),"""",IFERROR(IF(K1148="""","""",query('tbl user'!$A$2:$D10975,""SELECT A WHERE D = '""&amp;K1148&amp;""'"")),""USER TIDAK DIKETAHUI""))"),"#REF!")</f>
        <v>#REF!</v>
      </c>
    </row>
    <row r="1149">
      <c r="A1149" s="21">
        <f t="shared" si="1"/>
        <v>0</v>
      </c>
      <c r="B1149" s="32" t="s">
        <v>127</v>
      </c>
      <c r="C1149" s="23" t="s">
        <v>183</v>
      </c>
      <c r="D1149" s="23" t="s">
        <v>58</v>
      </c>
      <c r="E1149" s="37">
        <v>45403.0</v>
      </c>
      <c r="F1149" s="25">
        <v>0.2861111111111111</v>
      </c>
      <c r="G1149" s="25">
        <v>0.6215277777777778</v>
      </c>
      <c r="H1149" s="27">
        <f t="shared" si="2"/>
        <v>0.3354166667</v>
      </c>
      <c r="I1149" s="28">
        <v>3.0</v>
      </c>
      <c r="J1149" s="29" t="s">
        <v>94</v>
      </c>
      <c r="K1149" s="30" t="s">
        <v>23</v>
      </c>
      <c r="L1149" s="31" t="str">
        <f>IFERROR(__xludf.DUMMYFUNCTION("IF(OR(E1149="""",K1149=""""),"""",IFERROR(IF(K1149="""","""",query('tbl user'!$A$2:$D10975,""SELECT A WHERE D = '""&amp;K1149&amp;""'"")),""USER TIDAK DIKETAHUI""))"),"#REF!")</f>
        <v>#REF!</v>
      </c>
    </row>
    <row r="1150">
      <c r="A1150" s="21">
        <f t="shared" si="1"/>
        <v>0</v>
      </c>
      <c r="B1150" s="32" t="s">
        <v>305</v>
      </c>
      <c r="C1150" s="23" t="s">
        <v>201</v>
      </c>
      <c r="D1150" s="23" t="s">
        <v>58</v>
      </c>
      <c r="E1150" s="37">
        <v>45403.0</v>
      </c>
      <c r="F1150" s="25">
        <v>0.26458333333333334</v>
      </c>
      <c r="G1150" s="25">
        <v>0.5979166666666667</v>
      </c>
      <c r="H1150" s="27">
        <f t="shared" si="2"/>
        <v>0.3333333333</v>
      </c>
      <c r="I1150" s="28">
        <v>3.0</v>
      </c>
      <c r="J1150" s="29" t="s">
        <v>94</v>
      </c>
      <c r="K1150" s="30" t="s">
        <v>23</v>
      </c>
      <c r="L1150" s="31" t="str">
        <f>IFERROR(__xludf.DUMMYFUNCTION("IF(OR(E1150="""",K1150=""""),"""",IFERROR(IF(K1150="""","""",query('tbl user'!$A$2:$D10975,""SELECT A WHERE D = '""&amp;K1150&amp;""'"")),""USER TIDAK DIKETAHUI""))"),"#REF!")</f>
        <v>#REF!</v>
      </c>
    </row>
    <row r="1151">
      <c r="A1151" s="21">
        <f t="shared" si="1"/>
        <v>0</v>
      </c>
      <c r="B1151" s="32" t="s">
        <v>216</v>
      </c>
      <c r="C1151" s="23" t="s">
        <v>190</v>
      </c>
      <c r="D1151" s="23" t="s">
        <v>58</v>
      </c>
      <c r="E1151" s="37">
        <v>45403.0</v>
      </c>
      <c r="F1151" s="25">
        <v>0.22291666666666668</v>
      </c>
      <c r="G1151" s="25">
        <v>0.5402777777777777</v>
      </c>
      <c r="H1151" s="27">
        <f t="shared" si="2"/>
        <v>0.3173611111</v>
      </c>
      <c r="I1151" s="28">
        <v>3.0</v>
      </c>
      <c r="J1151" s="29" t="s">
        <v>94</v>
      </c>
      <c r="K1151" s="30" t="s">
        <v>23</v>
      </c>
      <c r="L1151" s="31" t="str">
        <f>IFERROR(__xludf.DUMMYFUNCTION("IF(OR(E1151="""",K1151=""""),"""",IFERROR(IF(K1151="""","""",query('tbl user'!$A$2:$D10975,""SELECT A WHERE D = '""&amp;K1151&amp;""'"")),""USER TIDAK DIKETAHUI""))"),"#REF!")</f>
        <v>#REF!</v>
      </c>
    </row>
    <row r="1152">
      <c r="A1152" s="21">
        <f t="shared" si="1"/>
        <v>0</v>
      </c>
      <c r="B1152" s="32" t="s">
        <v>95</v>
      </c>
      <c r="C1152" s="23" t="s">
        <v>168</v>
      </c>
      <c r="D1152" s="23" t="s">
        <v>58</v>
      </c>
      <c r="E1152" s="37">
        <v>45403.0</v>
      </c>
      <c r="F1152" s="25">
        <v>0.3020833333333333</v>
      </c>
      <c r="G1152" s="25">
        <v>0.6215277777777778</v>
      </c>
      <c r="H1152" s="27">
        <f t="shared" si="2"/>
        <v>0.3194444444</v>
      </c>
      <c r="I1152" s="28">
        <v>3.0</v>
      </c>
      <c r="J1152" s="29" t="s">
        <v>94</v>
      </c>
      <c r="K1152" s="30" t="s">
        <v>23</v>
      </c>
      <c r="L1152" s="31" t="str">
        <f>IFERROR(__xludf.DUMMYFUNCTION("IF(OR(E1152="""",K1152=""""),"""",IFERROR(IF(K1152="""","""",query('tbl user'!$A$2:$D10975,""SELECT A WHERE D = '""&amp;K1152&amp;""'"")),""USER TIDAK DIKETAHUI""))"),"#REF!")</f>
        <v>#REF!</v>
      </c>
    </row>
    <row r="1153">
      <c r="A1153" s="21">
        <f t="shared" si="1"/>
        <v>0</v>
      </c>
      <c r="B1153" s="32" t="s">
        <v>214</v>
      </c>
      <c r="C1153" s="23" t="s">
        <v>170</v>
      </c>
      <c r="D1153" s="23" t="s">
        <v>58</v>
      </c>
      <c r="E1153" s="37">
        <v>45403.0</v>
      </c>
      <c r="F1153" s="25">
        <v>0.29930555555555555</v>
      </c>
      <c r="G1153" s="25">
        <v>0.6458333333333334</v>
      </c>
      <c r="H1153" s="27">
        <f t="shared" si="2"/>
        <v>0.3465277778</v>
      </c>
      <c r="I1153" s="28">
        <v>3.0</v>
      </c>
      <c r="J1153" s="29" t="s">
        <v>94</v>
      </c>
      <c r="K1153" s="30" t="s">
        <v>23</v>
      </c>
      <c r="L1153" s="31" t="str">
        <f>IFERROR(__xludf.DUMMYFUNCTION("IF(OR(E1153="""",K1153=""""),"""",IFERROR(IF(K1153="""","""",query('tbl user'!$A$2:$D10975,""SELECT A WHERE D = '""&amp;K1153&amp;""'"")),""USER TIDAK DIKETAHUI""))"),"#REF!")</f>
        <v>#REF!</v>
      </c>
    </row>
    <row r="1154">
      <c r="A1154" s="21">
        <f t="shared" si="1"/>
        <v>0</v>
      </c>
      <c r="B1154" s="32" t="s">
        <v>30</v>
      </c>
      <c r="C1154" s="23" t="s">
        <v>105</v>
      </c>
      <c r="D1154" s="23" t="s">
        <v>58</v>
      </c>
      <c r="E1154" s="37">
        <v>45403.0</v>
      </c>
      <c r="F1154" s="25">
        <v>0.20625</v>
      </c>
      <c r="G1154" s="25">
        <v>0.6291666666666667</v>
      </c>
      <c r="H1154" s="27">
        <f t="shared" si="2"/>
        <v>0.4229166667</v>
      </c>
      <c r="I1154" s="28">
        <v>3.0</v>
      </c>
      <c r="J1154" s="29" t="s">
        <v>94</v>
      </c>
      <c r="K1154" s="30" t="s">
        <v>23</v>
      </c>
      <c r="L1154" s="31" t="str">
        <f>IFERROR(__xludf.DUMMYFUNCTION("IF(OR(E1154="""",K1154=""""),"""",IFERROR(IF(K1154="""","""",query('tbl user'!$A$2:$D10975,""SELECT A WHERE D = '""&amp;K1154&amp;""'"")),""USER TIDAK DIKETAHUI""))"),"#REF!")</f>
        <v>#REF!</v>
      </c>
    </row>
    <row r="1155">
      <c r="A1155" s="21">
        <f t="shared" si="1"/>
        <v>0</v>
      </c>
      <c r="B1155" s="32" t="s">
        <v>84</v>
      </c>
      <c r="C1155" s="23" t="s">
        <v>85</v>
      </c>
      <c r="D1155" s="23" t="s">
        <v>58</v>
      </c>
      <c r="E1155" s="37">
        <v>45403.0</v>
      </c>
      <c r="F1155" s="25">
        <v>0.2826388888888889</v>
      </c>
      <c r="G1155" s="25">
        <v>0.7555555555555555</v>
      </c>
      <c r="H1155" s="27">
        <f t="shared" si="2"/>
        <v>0.4729166667</v>
      </c>
      <c r="I1155" s="28">
        <v>3.0</v>
      </c>
      <c r="J1155" s="29" t="s">
        <v>94</v>
      </c>
      <c r="K1155" s="30" t="s">
        <v>23</v>
      </c>
      <c r="L1155" s="31" t="str">
        <f>IFERROR(__xludf.DUMMYFUNCTION("IF(OR(E1155="""",K1155=""""),"""",IFERROR(IF(K1155="""","""",query('tbl user'!$A$2:$D10975,""SELECT A WHERE D = '""&amp;K1155&amp;""'"")),""USER TIDAK DIKETAHUI""))"),"#REF!")</f>
        <v>#REF!</v>
      </c>
    </row>
    <row r="1156">
      <c r="A1156" s="21">
        <f t="shared" si="1"/>
        <v>0</v>
      </c>
      <c r="B1156" s="32" t="s">
        <v>191</v>
      </c>
      <c r="C1156" s="23" t="s">
        <v>192</v>
      </c>
      <c r="D1156" s="23" t="s">
        <v>58</v>
      </c>
      <c r="E1156" s="37">
        <v>45403.0</v>
      </c>
      <c r="F1156" s="25">
        <v>0.2722222222222222</v>
      </c>
      <c r="G1156" s="25">
        <v>0.6805555555555556</v>
      </c>
      <c r="H1156" s="27">
        <f t="shared" si="2"/>
        <v>0.4083333333</v>
      </c>
      <c r="I1156" s="28">
        <v>4.0</v>
      </c>
      <c r="J1156" s="29" t="s">
        <v>94</v>
      </c>
      <c r="K1156" s="30" t="s">
        <v>23</v>
      </c>
      <c r="L1156" s="31" t="str">
        <f>IFERROR(__xludf.DUMMYFUNCTION("IF(OR(E1156="""",K1156=""""),"""",IFERROR(IF(K1156="""","""",query('tbl user'!$A$2:$D10975,""SELECT A WHERE D = '""&amp;K1156&amp;""'"")),""USER TIDAK DIKETAHUI""))"),"#REF!")</f>
        <v>#REF!</v>
      </c>
    </row>
    <row r="1157">
      <c r="A1157" s="21">
        <f t="shared" si="1"/>
        <v>0</v>
      </c>
      <c r="B1157" s="32" t="s">
        <v>92</v>
      </c>
      <c r="C1157" s="23" t="s">
        <v>195</v>
      </c>
      <c r="D1157" s="23" t="s">
        <v>58</v>
      </c>
      <c r="E1157" s="37">
        <v>45403.0</v>
      </c>
      <c r="F1157" s="25">
        <v>0.2569444444444444</v>
      </c>
      <c r="G1157" s="25">
        <v>0.6527777777777778</v>
      </c>
      <c r="H1157" s="27">
        <f t="shared" si="2"/>
        <v>0.3958333333</v>
      </c>
      <c r="I1157" s="28">
        <v>4.0</v>
      </c>
      <c r="J1157" s="29" t="s">
        <v>94</v>
      </c>
      <c r="K1157" s="30" t="s">
        <v>23</v>
      </c>
      <c r="L1157" s="31" t="str">
        <f>IFERROR(__xludf.DUMMYFUNCTION("IF(OR(E1157="""",K1157=""""),"""",IFERROR(IF(K1157="""","""",query('tbl user'!$A$2:$D10975,""SELECT A WHERE D = '""&amp;K1157&amp;""'"")),""USER TIDAK DIKETAHUI""))"),"#REF!")</f>
        <v>#REF!</v>
      </c>
    </row>
    <row r="1158">
      <c r="A1158" s="21">
        <f t="shared" si="1"/>
        <v>0</v>
      </c>
      <c r="B1158" s="32" t="s">
        <v>180</v>
      </c>
      <c r="C1158" s="23" t="s">
        <v>181</v>
      </c>
      <c r="D1158" s="23" t="s">
        <v>58</v>
      </c>
      <c r="E1158" s="37">
        <v>45403.0</v>
      </c>
      <c r="F1158" s="25">
        <v>0.2361111111111111</v>
      </c>
      <c r="G1158" s="25">
        <v>0.6416666666666667</v>
      </c>
      <c r="H1158" s="27">
        <f t="shared" si="2"/>
        <v>0.4055555556</v>
      </c>
      <c r="I1158" s="28">
        <v>4.0</v>
      </c>
      <c r="J1158" s="29" t="s">
        <v>94</v>
      </c>
      <c r="K1158" s="30" t="s">
        <v>23</v>
      </c>
      <c r="L1158" s="31" t="str">
        <f>IFERROR(__xludf.DUMMYFUNCTION("IF(OR(E1158="""",K1158=""""),"""",IFERROR(IF(K1158="""","""",query('tbl user'!$A$2:$D10975,""SELECT A WHERE D = '""&amp;K1158&amp;""'"")),""USER TIDAK DIKETAHUI""))"),"#REF!")</f>
        <v>#REF!</v>
      </c>
    </row>
    <row r="1159">
      <c r="A1159" s="21">
        <f t="shared" si="1"/>
        <v>0</v>
      </c>
      <c r="B1159" s="32" t="s">
        <v>178</v>
      </c>
      <c r="C1159" s="23" t="s">
        <v>82</v>
      </c>
      <c r="D1159" s="23" t="s">
        <v>58</v>
      </c>
      <c r="E1159" s="37">
        <v>45403.0</v>
      </c>
      <c r="F1159" s="25">
        <v>0.2638888888888889</v>
      </c>
      <c r="G1159" s="25">
        <v>0.6666666666666666</v>
      </c>
      <c r="H1159" s="27">
        <f t="shared" si="2"/>
        <v>0.4027777778</v>
      </c>
      <c r="I1159" s="28">
        <v>4.0</v>
      </c>
      <c r="J1159" s="29" t="s">
        <v>94</v>
      </c>
      <c r="K1159" s="30" t="s">
        <v>23</v>
      </c>
      <c r="L1159" s="31" t="str">
        <f>IFERROR(__xludf.DUMMYFUNCTION("IF(OR(E1159="""",K1159=""""),"""",IFERROR(IF(K1159="""","""",query('tbl user'!$A$2:$D10975,""SELECT A WHERE D = '""&amp;K1159&amp;""'"")),""USER TIDAK DIKETAHUI""))"),"#REF!")</f>
        <v>#REF!</v>
      </c>
    </row>
    <row r="1160">
      <c r="A1160" s="21">
        <f t="shared" si="1"/>
        <v>0</v>
      </c>
      <c r="B1160" s="32" t="s">
        <v>187</v>
      </c>
      <c r="C1160" s="23" t="s">
        <v>188</v>
      </c>
      <c r="D1160" s="23" t="s">
        <v>58</v>
      </c>
      <c r="E1160" s="37">
        <v>45403.0</v>
      </c>
      <c r="F1160" s="25">
        <v>0.22361111111111112</v>
      </c>
      <c r="G1160" s="25">
        <v>0.6479166666666667</v>
      </c>
      <c r="H1160" s="27">
        <f t="shared" si="2"/>
        <v>0.4243055556</v>
      </c>
      <c r="I1160" s="28">
        <v>4.0</v>
      </c>
      <c r="J1160" s="29" t="s">
        <v>94</v>
      </c>
      <c r="K1160" s="30" t="s">
        <v>23</v>
      </c>
      <c r="L1160" s="31" t="str">
        <f>IFERROR(__xludf.DUMMYFUNCTION("IF(OR(E1160="""",K1160=""""),"""",IFERROR(IF(K1160="""","""",query('tbl user'!$A$2:$D10975,""SELECT A WHERE D = '""&amp;K1160&amp;""'"")),""USER TIDAK DIKETAHUI""))"),"#REF!")</f>
        <v>#REF!</v>
      </c>
    </row>
    <row r="1161">
      <c r="A1161" s="21">
        <f t="shared" si="1"/>
        <v>0</v>
      </c>
      <c r="B1161" s="32" t="s">
        <v>337</v>
      </c>
      <c r="C1161" s="23" t="s">
        <v>176</v>
      </c>
      <c r="D1161" s="23" t="s">
        <v>58</v>
      </c>
      <c r="E1161" s="37">
        <v>45403.0</v>
      </c>
      <c r="F1161" s="25">
        <v>0.27152777777777776</v>
      </c>
      <c r="G1161" s="25">
        <v>0.6986111111111111</v>
      </c>
      <c r="H1161" s="27">
        <f t="shared" si="2"/>
        <v>0.4270833333</v>
      </c>
      <c r="I1161" s="28">
        <v>4.0</v>
      </c>
      <c r="J1161" s="29" t="s">
        <v>94</v>
      </c>
      <c r="K1161" s="30" t="s">
        <v>23</v>
      </c>
      <c r="L1161" s="31" t="str">
        <f>IFERROR(__xludf.DUMMYFUNCTION("IF(OR(E1161="""",K1161=""""),"""",IFERROR(IF(K1161="""","""",query('tbl user'!$A$2:$D10975,""SELECT A WHERE D = '""&amp;K1161&amp;""'"")),""USER TIDAK DIKETAHUI""))"),"#REF!")</f>
        <v>#REF!</v>
      </c>
    </row>
    <row r="1162">
      <c r="A1162" s="21">
        <f t="shared" si="1"/>
        <v>0</v>
      </c>
      <c r="B1162" s="32" t="s">
        <v>197</v>
      </c>
      <c r="C1162" s="23" t="s">
        <v>198</v>
      </c>
      <c r="D1162" s="23" t="s">
        <v>58</v>
      </c>
      <c r="E1162" s="37">
        <v>45403.0</v>
      </c>
      <c r="F1162" s="25">
        <v>0.2013888888888889</v>
      </c>
      <c r="G1162" s="25">
        <v>0.7013888888888888</v>
      </c>
      <c r="H1162" s="27">
        <f t="shared" si="2"/>
        <v>0.5</v>
      </c>
      <c r="I1162" s="28">
        <v>4.0</v>
      </c>
      <c r="J1162" s="29" t="s">
        <v>94</v>
      </c>
      <c r="K1162" s="30" t="s">
        <v>23</v>
      </c>
      <c r="L1162" s="31" t="str">
        <f>IFERROR(__xludf.DUMMYFUNCTION("IF(OR(E1162="""",K1162=""""),"""",IFERROR(IF(K1162="""","""",query('tbl user'!$A$2:$D10975,""SELECT A WHERE D = '""&amp;K1162&amp;""'"")),""USER TIDAK DIKETAHUI""))"),"#REF!")</f>
        <v>#REF!</v>
      </c>
    </row>
    <row r="1163">
      <c r="A1163" s="21">
        <f t="shared" si="1"/>
        <v>0</v>
      </c>
      <c r="B1163" s="32" t="s">
        <v>224</v>
      </c>
      <c r="C1163" s="23" t="s">
        <v>208</v>
      </c>
      <c r="D1163" s="23" t="s">
        <v>58</v>
      </c>
      <c r="E1163" s="37">
        <v>45403.0</v>
      </c>
      <c r="F1163" s="25">
        <v>0.25763888888888886</v>
      </c>
      <c r="G1163" s="25">
        <v>0.6840277777777778</v>
      </c>
      <c r="H1163" s="27">
        <f t="shared" si="2"/>
        <v>0.4263888889</v>
      </c>
      <c r="I1163" s="28">
        <v>4.0</v>
      </c>
      <c r="J1163" s="29" t="s">
        <v>94</v>
      </c>
      <c r="K1163" s="30" t="s">
        <v>23</v>
      </c>
      <c r="L1163" s="31" t="str">
        <f>IFERROR(__xludf.DUMMYFUNCTION("IF(OR(E1163="""",K1163=""""),"""",IFERROR(IF(K1163="""","""",query('tbl user'!$A$2:$D10975,""SELECT A WHERE D = '""&amp;K1163&amp;""'"")),""USER TIDAK DIKETAHUI""))"),"#REF!")</f>
        <v>#REF!</v>
      </c>
    </row>
    <row r="1164">
      <c r="A1164" s="21" t="str">
        <f t="shared" si="1"/>
        <v/>
      </c>
      <c r="B1164" s="35"/>
      <c r="C1164" s="23" t="s">
        <v>20</v>
      </c>
      <c r="D1164" s="23" t="s">
        <v>21</v>
      </c>
      <c r="E1164" s="37">
        <v>45403.0</v>
      </c>
      <c r="F1164" s="25">
        <v>0.36666666666666664</v>
      </c>
      <c r="G1164" s="25">
        <v>0.38819444444444445</v>
      </c>
      <c r="H1164" s="27">
        <f t="shared" si="2"/>
        <v>0.02152777778</v>
      </c>
      <c r="I1164" s="28">
        <v>0.0</v>
      </c>
      <c r="J1164" s="29" t="s">
        <v>94</v>
      </c>
      <c r="K1164" s="30" t="s">
        <v>23</v>
      </c>
      <c r="L1164" s="31" t="str">
        <f>IFERROR(__xludf.DUMMYFUNCTION("IF(OR(E1164="""",K1164=""""),"""",IFERROR(IF(K1164="""","""",query('tbl user'!$A$2:$D10975,""SELECT A WHERE D = '""&amp;K1164&amp;""'"")),""USER TIDAK DIKETAHUI""))"),"#REF!")</f>
        <v>#REF!</v>
      </c>
    </row>
    <row r="1165">
      <c r="A1165" s="21">
        <f t="shared" si="1"/>
        <v>0</v>
      </c>
      <c r="B1165" s="32" t="s">
        <v>43</v>
      </c>
      <c r="C1165" s="23" t="s">
        <v>44</v>
      </c>
      <c r="D1165" s="23" t="s">
        <v>21</v>
      </c>
      <c r="E1165" s="37">
        <v>45403.0</v>
      </c>
      <c r="F1165" s="25">
        <v>0.2861111111111111</v>
      </c>
      <c r="G1165" s="25">
        <v>0.5493055555555556</v>
      </c>
      <c r="H1165" s="27">
        <f t="shared" si="2"/>
        <v>0.2631944444</v>
      </c>
      <c r="I1165" s="28">
        <v>1.0</v>
      </c>
      <c r="J1165" s="29" t="s">
        <v>94</v>
      </c>
      <c r="K1165" s="30" t="s">
        <v>23</v>
      </c>
      <c r="L1165" s="31" t="str">
        <f>IFERROR(__xludf.DUMMYFUNCTION("IF(OR(E1165="""",K1165=""""),"""",IFERROR(IF(K1165="""","""",query('tbl user'!$A$2:$D10975,""SELECT A WHERE D = '""&amp;K1165&amp;""'"")),""USER TIDAK DIKETAHUI""))"),"#REF!")</f>
        <v>#REF!</v>
      </c>
    </row>
    <row r="1166">
      <c r="A1166" s="21">
        <f t="shared" si="1"/>
        <v>0</v>
      </c>
      <c r="B1166" s="32" t="s">
        <v>231</v>
      </c>
      <c r="C1166" s="23" t="s">
        <v>232</v>
      </c>
      <c r="D1166" s="23" t="s">
        <v>21</v>
      </c>
      <c r="E1166" s="37">
        <v>45403.0</v>
      </c>
      <c r="F1166" s="25">
        <v>0.2673611111111111</v>
      </c>
      <c r="G1166" s="25">
        <v>0.47430555555555554</v>
      </c>
      <c r="H1166" s="27">
        <f t="shared" si="2"/>
        <v>0.2069444444</v>
      </c>
      <c r="I1166" s="28">
        <v>1.0</v>
      </c>
      <c r="J1166" s="29" t="s">
        <v>94</v>
      </c>
      <c r="K1166" s="30" t="s">
        <v>23</v>
      </c>
      <c r="L1166" s="31" t="str">
        <f>IFERROR(__xludf.DUMMYFUNCTION("IF(OR(E1166="""",K1166=""""),"""",IFERROR(IF(K1166="""","""",query('tbl user'!$A$2:$D10975,""SELECT A WHERE D = '""&amp;K1166&amp;""'"")),""USER TIDAK DIKETAHUI""))"),"#REF!")</f>
        <v>#REF!</v>
      </c>
    </row>
    <row r="1167">
      <c r="A1167" s="21">
        <f t="shared" si="1"/>
        <v>0</v>
      </c>
      <c r="B1167" s="32" t="s">
        <v>159</v>
      </c>
      <c r="C1167" s="23" t="s">
        <v>102</v>
      </c>
      <c r="D1167" s="23" t="s">
        <v>21</v>
      </c>
      <c r="E1167" s="37">
        <v>45403.0</v>
      </c>
      <c r="F1167" s="25">
        <v>0.3020833333333333</v>
      </c>
      <c r="G1167" s="25">
        <v>0.5513888888888889</v>
      </c>
      <c r="H1167" s="27">
        <f t="shared" si="2"/>
        <v>0.2493055556</v>
      </c>
      <c r="I1167" s="28">
        <v>1.0</v>
      </c>
      <c r="J1167" s="29" t="s">
        <v>94</v>
      </c>
      <c r="K1167" s="30" t="s">
        <v>23</v>
      </c>
      <c r="L1167" s="31" t="str">
        <f>IFERROR(__xludf.DUMMYFUNCTION("IF(OR(E1167="""",K1167=""""),"""",IFERROR(IF(K1167="""","""",query('tbl user'!$A$2:$D10975,""SELECT A WHERE D = '""&amp;K1167&amp;""'"")),""USER TIDAK DIKETAHUI""))"),"#REF!")</f>
        <v>#REF!</v>
      </c>
    </row>
    <row r="1168">
      <c r="A1168" s="21">
        <f t="shared" si="1"/>
        <v>0</v>
      </c>
      <c r="B1168" s="32" t="s">
        <v>258</v>
      </c>
      <c r="C1168" s="23" t="s">
        <v>259</v>
      </c>
      <c r="D1168" s="23" t="s">
        <v>21</v>
      </c>
      <c r="E1168" s="37">
        <v>45403.0</v>
      </c>
      <c r="F1168" s="25">
        <v>0.2604166666666667</v>
      </c>
      <c r="G1168" s="25">
        <v>0.45</v>
      </c>
      <c r="H1168" s="27">
        <f t="shared" si="2"/>
        <v>0.1895833333</v>
      </c>
      <c r="I1168" s="28">
        <v>1.0</v>
      </c>
      <c r="J1168" s="29" t="s">
        <v>94</v>
      </c>
      <c r="K1168" s="30" t="s">
        <v>23</v>
      </c>
      <c r="L1168" s="31" t="str">
        <f>IFERROR(__xludf.DUMMYFUNCTION("IF(OR(E1168="""",K1168=""""),"""",IFERROR(IF(K1168="""","""",query('tbl user'!$A$2:$D10975,""SELECT A WHERE D = '""&amp;K1168&amp;""'"")),""USER TIDAK DIKETAHUI""))"),"#REF!")</f>
        <v>#REF!</v>
      </c>
    </row>
    <row r="1169">
      <c r="A1169" s="21">
        <f t="shared" si="1"/>
        <v>0</v>
      </c>
      <c r="B1169" s="32" t="s">
        <v>34</v>
      </c>
      <c r="C1169" s="23" t="s">
        <v>35</v>
      </c>
      <c r="D1169" s="23" t="s">
        <v>21</v>
      </c>
      <c r="E1169" s="37">
        <v>45403.0</v>
      </c>
      <c r="F1169" s="25">
        <v>0.3020833333333333</v>
      </c>
      <c r="G1169" s="25">
        <v>0.6472222222222223</v>
      </c>
      <c r="H1169" s="27">
        <f t="shared" si="2"/>
        <v>0.3451388889</v>
      </c>
      <c r="I1169" s="28">
        <v>2.0</v>
      </c>
      <c r="J1169" s="29" t="s">
        <v>94</v>
      </c>
      <c r="K1169" s="30" t="s">
        <v>23</v>
      </c>
      <c r="L1169" s="31" t="str">
        <f>IFERROR(__xludf.DUMMYFUNCTION("IF(OR(E1169="""",K1169=""""),"""",IFERROR(IF(K1169="""","""",query('tbl user'!$A$2:$D10975,""SELECT A WHERE D = '""&amp;K1169&amp;""'"")),""USER TIDAK DIKETAHUI""))"),"#REF!")</f>
        <v>#REF!</v>
      </c>
    </row>
    <row r="1170">
      <c r="A1170" s="21">
        <f t="shared" si="1"/>
        <v>0</v>
      </c>
      <c r="B1170" s="32" t="s">
        <v>246</v>
      </c>
      <c r="C1170" s="23" t="s">
        <v>99</v>
      </c>
      <c r="D1170" s="23" t="s">
        <v>21</v>
      </c>
      <c r="E1170" s="37">
        <v>45403.0</v>
      </c>
      <c r="F1170" s="25">
        <v>0.2777777777777778</v>
      </c>
      <c r="G1170" s="25">
        <v>0.6180555555555556</v>
      </c>
      <c r="H1170" s="27">
        <f t="shared" si="2"/>
        <v>0.3402777778</v>
      </c>
      <c r="I1170" s="28">
        <v>2.0</v>
      </c>
      <c r="J1170" s="29" t="s">
        <v>94</v>
      </c>
      <c r="K1170" s="30" t="s">
        <v>23</v>
      </c>
      <c r="L1170" s="31" t="str">
        <f>IFERROR(__xludf.DUMMYFUNCTION("IF(OR(E1170="""",K1170=""""),"""",IFERROR(IF(K1170="""","""",query('tbl user'!$A$2:$D10975,""SELECT A WHERE D = '""&amp;K1170&amp;""'"")),""USER TIDAK DIKETAHUI""))"),"#REF!")</f>
        <v>#REF!</v>
      </c>
    </row>
    <row r="1171">
      <c r="A1171" s="21">
        <f t="shared" si="1"/>
        <v>0</v>
      </c>
      <c r="B1171" s="32" t="s">
        <v>303</v>
      </c>
      <c r="C1171" s="23" t="s">
        <v>251</v>
      </c>
      <c r="D1171" s="23" t="s">
        <v>21</v>
      </c>
      <c r="E1171" s="24">
        <v>45403.0</v>
      </c>
      <c r="F1171" s="25">
        <v>0.2986111111111111</v>
      </c>
      <c r="G1171" s="25">
        <v>0.7291666666666666</v>
      </c>
      <c r="H1171" s="27">
        <f t="shared" si="2"/>
        <v>0.4305555556</v>
      </c>
      <c r="I1171" s="28">
        <v>2.0</v>
      </c>
      <c r="J1171" s="29" t="s">
        <v>94</v>
      </c>
      <c r="K1171" s="30" t="s">
        <v>23</v>
      </c>
      <c r="L1171" s="31" t="str">
        <f>IFERROR(__xludf.DUMMYFUNCTION("IF(OR(E1171="""",K1171=""""),"""",IFERROR(IF(K1171="""","""",query('tbl user'!$A$2:$D10975,""SELECT A WHERE D = '""&amp;K1171&amp;""'"")),""USER TIDAK DIKETAHUI""))"),"#REF!")</f>
        <v>#REF!</v>
      </c>
    </row>
    <row r="1172">
      <c r="A1172" s="21">
        <f t="shared" si="1"/>
        <v>0</v>
      </c>
      <c r="B1172" s="32" t="s">
        <v>662</v>
      </c>
      <c r="C1172" s="23" t="s">
        <v>234</v>
      </c>
      <c r="D1172" s="23" t="s">
        <v>21</v>
      </c>
      <c r="E1172" s="24">
        <v>45403.0</v>
      </c>
      <c r="F1172" s="25">
        <v>0.26458333333333334</v>
      </c>
      <c r="G1172" s="25">
        <v>0.6951388888888889</v>
      </c>
      <c r="H1172" s="27">
        <f t="shared" si="2"/>
        <v>0.4305555556</v>
      </c>
      <c r="I1172" s="28">
        <v>2.0</v>
      </c>
      <c r="J1172" s="29" t="s">
        <v>94</v>
      </c>
      <c r="K1172" s="30" t="s">
        <v>23</v>
      </c>
      <c r="L1172" s="31" t="str">
        <f>IFERROR(__xludf.DUMMYFUNCTION("IF(OR(E1172="""",K1172=""""),"""",IFERROR(IF(K1172="""","""",query('tbl user'!$A$2:$D10975,""SELECT A WHERE D = '""&amp;K1172&amp;""'"")),""USER TIDAK DIKETAHUI""))"),"#REF!")</f>
        <v>#REF!</v>
      </c>
    </row>
    <row r="1173">
      <c r="A1173" s="21">
        <f t="shared" si="1"/>
        <v>0</v>
      </c>
      <c r="B1173" s="32" t="s">
        <v>255</v>
      </c>
      <c r="C1173" s="23" t="s">
        <v>256</v>
      </c>
      <c r="D1173" s="23" t="s">
        <v>21</v>
      </c>
      <c r="E1173" s="24">
        <v>45403.0</v>
      </c>
      <c r="F1173" s="25">
        <v>0.3284722222222222</v>
      </c>
      <c r="G1173" s="25">
        <v>0.7006944444444444</v>
      </c>
      <c r="H1173" s="27">
        <f t="shared" si="2"/>
        <v>0.3722222222</v>
      </c>
      <c r="I1173" s="28">
        <v>2.0</v>
      </c>
      <c r="J1173" s="29" t="s">
        <v>94</v>
      </c>
      <c r="K1173" s="30" t="s">
        <v>23</v>
      </c>
      <c r="L1173" s="31" t="str">
        <f>IFERROR(__xludf.DUMMYFUNCTION("IF(OR(E1173="""",K1173=""""),"""",IFERROR(IF(K1173="""","""",query('tbl user'!$A$2:$D10975,""SELECT A WHERE D = '""&amp;K1173&amp;""'"")),""USER TIDAK DIKETAHUI""))"),"#REF!")</f>
        <v>#REF!</v>
      </c>
    </row>
    <row r="1174">
      <c r="A1174" s="21">
        <f t="shared" si="1"/>
        <v>0</v>
      </c>
      <c r="B1174" s="32" t="s">
        <v>238</v>
      </c>
      <c r="C1174" s="23" t="s">
        <v>239</v>
      </c>
      <c r="D1174" s="23" t="s">
        <v>21</v>
      </c>
      <c r="E1174" s="24">
        <v>45403.0</v>
      </c>
      <c r="F1174" s="25">
        <v>0.24444444444444444</v>
      </c>
      <c r="G1174" s="25">
        <v>0.7527777777777778</v>
      </c>
      <c r="H1174" s="27">
        <f t="shared" si="2"/>
        <v>0.5083333333</v>
      </c>
      <c r="I1174" s="28">
        <v>3.0</v>
      </c>
      <c r="J1174" s="29" t="s">
        <v>94</v>
      </c>
      <c r="K1174" s="30" t="s">
        <v>23</v>
      </c>
      <c r="L1174" s="31" t="str">
        <f>IFERROR(__xludf.DUMMYFUNCTION("IF(OR(E1174="""",K1174=""""),"""",IFERROR(IF(K1174="""","""",query('tbl user'!$A$2:$D10975,""SELECT A WHERE D = '""&amp;K1174&amp;""'"")),""USER TIDAK DIKETAHUI""))"),"#REF!")</f>
        <v>#REF!</v>
      </c>
    </row>
    <row r="1175">
      <c r="A1175" s="21">
        <f t="shared" si="1"/>
        <v>0</v>
      </c>
      <c r="B1175" s="32" t="s">
        <v>243</v>
      </c>
      <c r="C1175" s="23" t="s">
        <v>244</v>
      </c>
      <c r="D1175" s="23" t="s">
        <v>21</v>
      </c>
      <c r="E1175" s="24">
        <v>45403.0</v>
      </c>
      <c r="F1175" s="25">
        <v>0.22708333333333333</v>
      </c>
      <c r="G1175" s="25">
        <v>0.7229166666666667</v>
      </c>
      <c r="H1175" s="27">
        <f t="shared" si="2"/>
        <v>0.4958333333</v>
      </c>
      <c r="I1175" s="28">
        <v>3.0</v>
      </c>
      <c r="J1175" s="29" t="s">
        <v>94</v>
      </c>
      <c r="K1175" s="30" t="s">
        <v>23</v>
      </c>
      <c r="L1175" s="31" t="str">
        <f>IFERROR(__xludf.DUMMYFUNCTION("IF(OR(E1175="""",K1175=""""),"""",IFERROR(IF(K1175="""","""",query('tbl user'!$A$2:$D10975,""SELECT A WHERE D = '""&amp;K1175&amp;""'"")),""USER TIDAK DIKETAHUI""))"),"#REF!")</f>
        <v>#REF!</v>
      </c>
    </row>
    <row r="1176">
      <c r="A1176" s="21">
        <f t="shared" si="1"/>
        <v>0</v>
      </c>
      <c r="B1176" s="32" t="s">
        <v>593</v>
      </c>
      <c r="C1176" s="23" t="s">
        <v>236</v>
      </c>
      <c r="D1176" s="23" t="s">
        <v>21</v>
      </c>
      <c r="E1176" s="24">
        <v>45403.0</v>
      </c>
      <c r="F1176" s="25">
        <v>0.2652777777777778</v>
      </c>
      <c r="G1176" s="25">
        <v>0.7555555555555555</v>
      </c>
      <c r="H1176" s="27">
        <f t="shared" si="2"/>
        <v>0.4902777778</v>
      </c>
      <c r="I1176" s="28">
        <v>3.0</v>
      </c>
      <c r="J1176" s="29" t="s">
        <v>94</v>
      </c>
      <c r="K1176" s="30" t="s">
        <v>23</v>
      </c>
      <c r="L1176" s="31" t="str">
        <f>IFERROR(__xludf.DUMMYFUNCTION("IF(OR(E1176="""",K1176=""""),"""",IFERROR(IF(K1176="""","""",query('tbl user'!$A$2:$D10975,""SELECT A WHERE D = '""&amp;K1176&amp;""'"")),""USER TIDAK DIKETAHUI""))"),"#REF!")</f>
        <v>#REF!</v>
      </c>
    </row>
    <row r="1177">
      <c r="A1177" s="21">
        <f t="shared" si="1"/>
        <v>0</v>
      </c>
      <c r="B1177" s="32" t="s">
        <v>61</v>
      </c>
      <c r="C1177" s="23" t="s">
        <v>62</v>
      </c>
      <c r="D1177" s="23" t="s">
        <v>21</v>
      </c>
      <c r="E1177" s="24">
        <v>45403.0</v>
      </c>
      <c r="F1177" s="25">
        <v>0.25069444444444444</v>
      </c>
      <c r="G1177" s="25">
        <v>0.7479166666666667</v>
      </c>
      <c r="H1177" s="27">
        <f t="shared" si="2"/>
        <v>0.4972222222</v>
      </c>
      <c r="I1177" s="28">
        <v>2.0</v>
      </c>
      <c r="J1177" s="29" t="s">
        <v>94</v>
      </c>
      <c r="K1177" s="30" t="s">
        <v>23</v>
      </c>
      <c r="L1177" s="31" t="str">
        <f>IFERROR(__xludf.DUMMYFUNCTION("IF(OR(E1177="""",K1177=""""),"""",IFERROR(IF(K1177="""","""",query('tbl user'!$A$2:$D10975,""SELECT A WHERE D = '""&amp;K1177&amp;""'"")),""USER TIDAK DIKETAHUI""))"),"#REF!")</f>
        <v>#REF!</v>
      </c>
    </row>
    <row r="1178">
      <c r="A1178" s="21">
        <f t="shared" si="1"/>
        <v>0</v>
      </c>
      <c r="B1178" s="32" t="s">
        <v>289</v>
      </c>
      <c r="C1178" s="23" t="s">
        <v>290</v>
      </c>
      <c r="D1178" s="23" t="s">
        <v>21</v>
      </c>
      <c r="E1178" s="24">
        <v>45403.0</v>
      </c>
      <c r="F1178" s="25">
        <v>0.2875</v>
      </c>
      <c r="G1178" s="25">
        <v>0.6368055555555555</v>
      </c>
      <c r="H1178" s="27">
        <f t="shared" si="2"/>
        <v>0.3493055556</v>
      </c>
      <c r="I1178" s="28">
        <v>2.0</v>
      </c>
      <c r="J1178" s="29" t="s">
        <v>94</v>
      </c>
      <c r="K1178" s="30" t="s">
        <v>23</v>
      </c>
      <c r="L1178" s="31" t="str">
        <f>IFERROR(__xludf.DUMMYFUNCTION("IF(OR(E1178="""",K1178=""""),"""",IFERROR(IF(K1178="""","""",query('tbl user'!$A$2:$D10975,""SELECT A WHERE D = '""&amp;K1178&amp;""'"")),""USER TIDAK DIKETAHUI""))"),"#REF!")</f>
        <v>#REF!</v>
      </c>
    </row>
    <row r="1179">
      <c r="A1179" s="21">
        <f t="shared" si="1"/>
        <v>0</v>
      </c>
      <c r="B1179" s="32" t="s">
        <v>286</v>
      </c>
      <c r="C1179" s="23" t="s">
        <v>287</v>
      </c>
      <c r="D1179" s="23" t="s">
        <v>21</v>
      </c>
      <c r="E1179" s="24">
        <v>45403.0</v>
      </c>
      <c r="F1179" s="25">
        <v>0.27152777777777776</v>
      </c>
      <c r="G1179" s="25">
        <v>0.55625</v>
      </c>
      <c r="H1179" s="27">
        <f t="shared" si="2"/>
        <v>0.2847222222</v>
      </c>
      <c r="I1179" s="28">
        <v>2.0</v>
      </c>
      <c r="J1179" s="29" t="s">
        <v>94</v>
      </c>
      <c r="K1179" s="30" t="s">
        <v>23</v>
      </c>
      <c r="L1179" s="31" t="str">
        <f>IFERROR(__xludf.DUMMYFUNCTION("IF(OR(E1179="""",K1179=""""),"""",IFERROR(IF(K1179="""","""",query('tbl user'!$A$2:$D10975,""SELECT A WHERE D = '""&amp;K1179&amp;""'"")),""USER TIDAK DIKETAHUI""))"),"#REF!")</f>
        <v>#REF!</v>
      </c>
    </row>
    <row r="1180">
      <c r="A1180" s="21">
        <f t="shared" si="1"/>
        <v>0</v>
      </c>
      <c r="B1180" s="32" t="s">
        <v>153</v>
      </c>
      <c r="C1180" s="23" t="s">
        <v>27</v>
      </c>
      <c r="D1180" s="23" t="s">
        <v>21</v>
      </c>
      <c r="E1180" s="24">
        <v>45403.0</v>
      </c>
      <c r="F1180" s="25">
        <v>0.23055555555555557</v>
      </c>
      <c r="G1180" s="25">
        <v>0.6291666666666667</v>
      </c>
      <c r="H1180" s="27">
        <f t="shared" si="2"/>
        <v>0.3986111111</v>
      </c>
      <c r="I1180" s="28">
        <v>3.0</v>
      </c>
      <c r="J1180" s="29" t="s">
        <v>94</v>
      </c>
      <c r="K1180" s="30" t="s">
        <v>23</v>
      </c>
      <c r="L1180" s="31" t="str">
        <f>IFERROR(__xludf.DUMMYFUNCTION("IF(OR(E1180="""",K1180=""""),"""",IFERROR(IF(K1180="""","""",query('tbl user'!$A$2:$D10975,""SELECT A WHERE D = '""&amp;K1180&amp;""'"")),""USER TIDAK DIKETAHUI""))"),"#REF!")</f>
        <v>#REF!</v>
      </c>
    </row>
    <row r="1181">
      <c r="A1181" s="21">
        <f t="shared" si="1"/>
        <v>0</v>
      </c>
      <c r="B1181" s="32" t="s">
        <v>328</v>
      </c>
      <c r="C1181" s="23" t="s">
        <v>329</v>
      </c>
      <c r="D1181" s="23" t="s">
        <v>21</v>
      </c>
      <c r="E1181" s="24">
        <v>45403.0</v>
      </c>
      <c r="F1181" s="25">
        <v>0.2590277777777778</v>
      </c>
      <c r="G1181" s="25">
        <v>0.5395833333333333</v>
      </c>
      <c r="H1181" s="27">
        <f t="shared" si="2"/>
        <v>0.2805555556</v>
      </c>
      <c r="I1181" s="28">
        <v>2.0</v>
      </c>
      <c r="J1181" s="29" t="s">
        <v>94</v>
      </c>
      <c r="K1181" s="30" t="s">
        <v>23</v>
      </c>
      <c r="L1181" s="31" t="str">
        <f>IFERROR(__xludf.DUMMYFUNCTION("IF(OR(E1181="""",K1181=""""),"""",IFERROR(IF(K1181="""","""",query('tbl user'!$A$2:$D10975,""SELECT A WHERE D = '""&amp;K1181&amp;""'"")),""USER TIDAK DIKETAHUI""))"),"#REF!")</f>
        <v>#REF!</v>
      </c>
    </row>
    <row r="1182">
      <c r="A1182" s="21">
        <f t="shared" si="1"/>
        <v>0</v>
      </c>
      <c r="B1182" s="32" t="s">
        <v>331</v>
      </c>
      <c r="C1182" s="23" t="s">
        <v>332</v>
      </c>
      <c r="D1182" s="23" t="s">
        <v>21</v>
      </c>
      <c r="E1182" s="24">
        <v>45403.0</v>
      </c>
      <c r="F1182" s="25">
        <v>0.22291666666666668</v>
      </c>
      <c r="G1182" s="25">
        <v>0.7506944444444444</v>
      </c>
      <c r="H1182" s="27">
        <f t="shared" si="2"/>
        <v>0.5277777778</v>
      </c>
      <c r="I1182" s="28">
        <v>3.0</v>
      </c>
      <c r="J1182" s="29" t="s">
        <v>94</v>
      </c>
      <c r="K1182" s="30" t="s">
        <v>23</v>
      </c>
      <c r="L1182" s="31" t="str">
        <f>IFERROR(__xludf.DUMMYFUNCTION("IF(OR(E1182="""",K1182=""""),"""",IFERROR(IF(K1182="""","""",query('tbl user'!$A$2:$D10975,""SELECT A WHERE D = '""&amp;K1182&amp;""'"")),""USER TIDAK DIKETAHUI""))"),"#REF!")</f>
        <v>#REF!</v>
      </c>
    </row>
    <row r="1183">
      <c r="A1183" s="21">
        <f t="shared" si="1"/>
        <v>0</v>
      </c>
      <c r="B1183" s="32" t="s">
        <v>220</v>
      </c>
      <c r="C1183" s="23" t="s">
        <v>316</v>
      </c>
      <c r="D1183" s="23" t="s">
        <v>21</v>
      </c>
      <c r="E1183" s="24">
        <v>45403.0</v>
      </c>
      <c r="F1183" s="25">
        <v>0.23055555555555557</v>
      </c>
      <c r="G1183" s="25">
        <v>0.7513888888888889</v>
      </c>
      <c r="H1183" s="27">
        <f t="shared" si="2"/>
        <v>0.5208333333</v>
      </c>
      <c r="I1183" s="28">
        <v>3.0</v>
      </c>
      <c r="J1183" s="29" t="s">
        <v>94</v>
      </c>
      <c r="K1183" s="30" t="s">
        <v>23</v>
      </c>
      <c r="L1183" s="31" t="str">
        <f>IFERROR(__xludf.DUMMYFUNCTION("IF(OR(E1183="""",K1183=""""),"""",IFERROR(IF(K1183="""","""",query('tbl user'!$A$2:$D10975,""SELECT A WHERE D = '""&amp;K1183&amp;""'"")),""USER TIDAK DIKETAHUI""))"),"#REF!")</f>
        <v>#REF!</v>
      </c>
    </row>
    <row r="1184">
      <c r="A1184" s="21">
        <f t="shared" si="1"/>
        <v>0</v>
      </c>
      <c r="B1184" s="32" t="s">
        <v>81</v>
      </c>
      <c r="C1184" s="23" t="s">
        <v>88</v>
      </c>
      <c r="D1184" s="23" t="s">
        <v>21</v>
      </c>
      <c r="E1184" s="24">
        <v>45403.0</v>
      </c>
      <c r="F1184" s="25">
        <v>0.26875</v>
      </c>
      <c r="G1184" s="25">
        <v>0.5520833333333334</v>
      </c>
      <c r="H1184" s="27">
        <f t="shared" si="2"/>
        <v>0.2833333333</v>
      </c>
      <c r="I1184" s="28">
        <v>3.0</v>
      </c>
      <c r="J1184" s="29" t="s">
        <v>94</v>
      </c>
      <c r="K1184" s="30" t="s">
        <v>23</v>
      </c>
      <c r="L1184" s="31" t="str">
        <f>IFERROR(__xludf.DUMMYFUNCTION("IF(OR(E1184="""",K1184=""""),"""",IFERROR(IF(K1184="""","""",query('tbl user'!$A$2:$D10975,""SELECT A WHERE D = '""&amp;K1184&amp;""'"")),""USER TIDAK DIKETAHUI""))"),"#REF!")</f>
        <v>#REF!</v>
      </c>
    </row>
    <row r="1185">
      <c r="A1185" s="21">
        <f t="shared" si="1"/>
        <v>0</v>
      </c>
      <c r="B1185" s="32" t="s">
        <v>219</v>
      </c>
      <c r="C1185" s="23" t="s">
        <v>340</v>
      </c>
      <c r="D1185" s="23" t="s">
        <v>21</v>
      </c>
      <c r="E1185" s="24">
        <v>45403.0</v>
      </c>
      <c r="F1185" s="25">
        <v>0.2847222222222222</v>
      </c>
      <c r="G1185" s="25">
        <v>0.6506944444444445</v>
      </c>
      <c r="H1185" s="27">
        <f t="shared" si="2"/>
        <v>0.3659722222</v>
      </c>
      <c r="I1185" s="28">
        <v>4.0</v>
      </c>
      <c r="J1185" s="29" t="s">
        <v>94</v>
      </c>
      <c r="K1185" s="30" t="s">
        <v>23</v>
      </c>
      <c r="L1185" s="31" t="str">
        <f>IFERROR(__xludf.DUMMYFUNCTION("IF(OR(E1185="""",K1185=""""),"""",IFERROR(IF(K1185="""","""",query('tbl user'!$A$2:$D10975,""SELECT A WHERE D = '""&amp;K1185&amp;""'"")),""USER TIDAK DIKETAHUI""))"),"#REF!")</f>
        <v>#REF!</v>
      </c>
    </row>
    <row r="1186">
      <c r="A1186" s="21">
        <f t="shared" si="1"/>
        <v>0</v>
      </c>
      <c r="B1186" s="32" t="s">
        <v>156</v>
      </c>
      <c r="C1186" s="23" t="s">
        <v>326</v>
      </c>
      <c r="D1186" s="23" t="s">
        <v>21</v>
      </c>
      <c r="E1186" s="24">
        <v>45403.0</v>
      </c>
      <c r="F1186" s="25">
        <v>0.3784722222222222</v>
      </c>
      <c r="G1186" s="25">
        <v>0.70625</v>
      </c>
      <c r="H1186" s="27">
        <f t="shared" si="2"/>
        <v>0.3277777778</v>
      </c>
      <c r="I1186" s="28">
        <v>4.0</v>
      </c>
      <c r="J1186" s="29" t="s">
        <v>94</v>
      </c>
      <c r="K1186" s="30" t="s">
        <v>23</v>
      </c>
      <c r="L1186" s="31" t="str">
        <f>IFERROR(__xludf.DUMMYFUNCTION("IF(OR(E1186="""",K1186=""""),"""",IFERROR(IF(K1186="""","""",query('tbl user'!$A$2:$D10975,""SELECT A WHERE D = '""&amp;K1186&amp;""'"")),""USER TIDAK DIKETAHUI""))"),"#REF!")</f>
        <v>#REF!</v>
      </c>
    </row>
    <row r="1187">
      <c r="A1187" s="21">
        <f t="shared" si="1"/>
        <v>0</v>
      </c>
      <c r="B1187" s="32" t="s">
        <v>229</v>
      </c>
      <c r="C1187" s="23" t="s">
        <v>339</v>
      </c>
      <c r="D1187" s="23" t="s">
        <v>21</v>
      </c>
      <c r="E1187" s="24">
        <v>45403.0</v>
      </c>
      <c r="F1187" s="25">
        <v>0.2659722222222222</v>
      </c>
      <c r="G1187" s="25">
        <v>0.6736111111111112</v>
      </c>
      <c r="H1187" s="27">
        <f t="shared" si="2"/>
        <v>0.4076388889</v>
      </c>
      <c r="I1187" s="28">
        <v>5.0</v>
      </c>
      <c r="J1187" s="29" t="s">
        <v>94</v>
      </c>
      <c r="K1187" s="30" t="s">
        <v>23</v>
      </c>
      <c r="L1187" s="31" t="str">
        <f>IFERROR(__xludf.DUMMYFUNCTION("IF(OR(E1187="""",K1187=""""),"""",IFERROR(IF(K1187="""","""",query('tbl user'!$A$2:$D10975,""SELECT A WHERE D = '""&amp;K1187&amp;""'"")),""USER TIDAK DIKETAHUI""))"),"#REF!")</f>
        <v>#REF!</v>
      </c>
    </row>
    <row r="1188">
      <c r="A1188" s="21">
        <f t="shared" si="1"/>
        <v>0</v>
      </c>
      <c r="B1188" s="32" t="s">
        <v>333</v>
      </c>
      <c r="C1188" s="23" t="s">
        <v>334</v>
      </c>
      <c r="D1188" s="23" t="s">
        <v>21</v>
      </c>
      <c r="E1188" s="24">
        <v>45403.0</v>
      </c>
      <c r="F1188" s="25">
        <v>0.26319444444444445</v>
      </c>
      <c r="G1188" s="25">
        <v>0.7340277777777777</v>
      </c>
      <c r="H1188" s="27">
        <f t="shared" si="2"/>
        <v>0.4708333333</v>
      </c>
      <c r="I1188" s="28">
        <v>5.0</v>
      </c>
      <c r="J1188" s="29" t="s">
        <v>94</v>
      </c>
      <c r="K1188" s="30" t="s">
        <v>23</v>
      </c>
      <c r="L1188" s="31" t="str">
        <f>IFERROR(__xludf.DUMMYFUNCTION("IF(OR(E1188="""",K1188=""""),"""",IFERROR(IF(K1188="""","""",query('tbl user'!$A$2:$D10975,""SELECT A WHERE D = '""&amp;K1188&amp;""'"")),""USER TIDAK DIKETAHUI""))"),"#REF!")</f>
        <v>#REF!</v>
      </c>
    </row>
    <row r="1189">
      <c r="A1189" s="21">
        <f t="shared" si="1"/>
        <v>0</v>
      </c>
      <c r="B1189" s="32" t="s">
        <v>319</v>
      </c>
      <c r="C1189" s="23" t="s">
        <v>320</v>
      </c>
      <c r="D1189" s="23" t="s">
        <v>21</v>
      </c>
      <c r="E1189" s="24">
        <v>45403.0</v>
      </c>
      <c r="F1189" s="25">
        <v>0.25763888888888886</v>
      </c>
      <c r="G1189" s="25">
        <v>0.6791666666666667</v>
      </c>
      <c r="H1189" s="27">
        <f t="shared" si="2"/>
        <v>0.4215277778</v>
      </c>
      <c r="I1189" s="28">
        <v>6.0</v>
      </c>
      <c r="J1189" s="29" t="s">
        <v>94</v>
      </c>
      <c r="K1189" s="30" t="s">
        <v>23</v>
      </c>
      <c r="L1189" s="31" t="str">
        <f>IFERROR(__xludf.DUMMYFUNCTION("IF(OR(E1189="""",K1189=""""),"""",IFERROR(IF(K1189="""","""",query('tbl user'!$A$2:$D10975,""SELECT A WHERE D = '""&amp;K1189&amp;""'"")),""USER TIDAK DIKETAHUI""))"),"#REF!")</f>
        <v>#REF!</v>
      </c>
    </row>
    <row r="1190">
      <c r="A1190" s="21">
        <f t="shared" si="1"/>
        <v>0</v>
      </c>
      <c r="B1190" s="32" t="s">
        <v>577</v>
      </c>
      <c r="C1190" s="23" t="s">
        <v>330</v>
      </c>
      <c r="D1190" s="23" t="s">
        <v>21</v>
      </c>
      <c r="E1190" s="24">
        <v>45403.0</v>
      </c>
      <c r="F1190" s="25">
        <v>0.2611111111111111</v>
      </c>
      <c r="G1190" s="25">
        <v>0.7138888888888889</v>
      </c>
      <c r="H1190" s="27">
        <f t="shared" si="2"/>
        <v>0.4527777778</v>
      </c>
      <c r="I1190" s="28">
        <v>6.0</v>
      </c>
      <c r="J1190" s="29" t="s">
        <v>94</v>
      </c>
      <c r="K1190" s="30" t="s">
        <v>23</v>
      </c>
      <c r="L1190" s="31" t="str">
        <f>IFERROR(__xludf.DUMMYFUNCTION("IF(OR(E1190="""",K1190=""""),"""",IFERROR(IF(K1190="""","""",query('tbl user'!$A$2:$D10975,""SELECT A WHERE D = '""&amp;K1190&amp;""'"")),""USER TIDAK DIKETAHUI""))"),"#REF!")</f>
        <v>#REF!</v>
      </c>
    </row>
    <row r="1191">
      <c r="A1191" s="21">
        <f t="shared" si="1"/>
        <v>0</v>
      </c>
      <c r="B1191" s="32" t="s">
        <v>53</v>
      </c>
      <c r="C1191" s="23" t="s">
        <v>54</v>
      </c>
      <c r="D1191" s="23" t="s">
        <v>21</v>
      </c>
      <c r="E1191" s="24">
        <v>45403.0</v>
      </c>
      <c r="F1191" s="25">
        <v>0.25763888888888886</v>
      </c>
      <c r="G1191" s="25">
        <v>0.7513888888888889</v>
      </c>
      <c r="H1191" s="27">
        <f t="shared" si="2"/>
        <v>0.49375</v>
      </c>
      <c r="I1191" s="28">
        <v>7.0</v>
      </c>
      <c r="J1191" s="29" t="s">
        <v>94</v>
      </c>
      <c r="K1191" s="30" t="s">
        <v>23</v>
      </c>
      <c r="L1191" s="31" t="str">
        <f>IFERROR(__xludf.DUMMYFUNCTION("IF(OR(E1191="""",K1191=""""),"""",IFERROR(IF(K1191="""","""",query('tbl user'!$A$2:$D10975,""SELECT A WHERE D = '""&amp;K1191&amp;""'"")),""USER TIDAK DIKETAHUI""))"),"#REF!")</f>
        <v>#REF!</v>
      </c>
    </row>
    <row r="1192">
      <c r="A1192" s="21" t="str">
        <f t="shared" si="1"/>
        <v/>
      </c>
      <c r="B1192" s="35"/>
      <c r="C1192" s="23" t="s">
        <v>111</v>
      </c>
      <c r="D1192" s="23" t="s">
        <v>32</v>
      </c>
      <c r="E1192" s="24">
        <v>45403.0</v>
      </c>
      <c r="F1192" s="25">
        <v>0.2652777777777778</v>
      </c>
      <c r="G1192" s="25">
        <v>0.3263888888888889</v>
      </c>
      <c r="H1192" s="27">
        <f t="shared" si="2"/>
        <v>0.06111111111</v>
      </c>
      <c r="I1192" s="28">
        <v>0.0</v>
      </c>
      <c r="J1192" s="29" t="s">
        <v>94</v>
      </c>
      <c r="K1192" s="30" t="s">
        <v>23</v>
      </c>
      <c r="L1192" s="31" t="str">
        <f>IFERROR(__xludf.DUMMYFUNCTION("IF(OR(E1192="""",K1192=""""),"""",IFERROR(IF(K1192="""","""",query('tbl user'!$A$2:$D10975,""SELECT A WHERE D = '""&amp;K1192&amp;""'"")),""USER TIDAK DIKETAHUI""))"),"#REF!")</f>
        <v>#REF!</v>
      </c>
    </row>
    <row r="1193">
      <c r="A1193" s="21">
        <f t="shared" si="1"/>
        <v>0</v>
      </c>
      <c r="B1193" s="32" t="s">
        <v>115</v>
      </c>
      <c r="C1193" s="23" t="s">
        <v>116</v>
      </c>
      <c r="D1193" s="23" t="s">
        <v>32</v>
      </c>
      <c r="E1193" s="24">
        <v>45403.0</v>
      </c>
      <c r="F1193" s="25">
        <v>0.2708333333333333</v>
      </c>
      <c r="G1193" s="25">
        <v>0.6673611111111111</v>
      </c>
      <c r="H1193" s="27">
        <f t="shared" si="2"/>
        <v>0.3965277778</v>
      </c>
      <c r="I1193" s="28">
        <v>4.0</v>
      </c>
      <c r="J1193" s="29" t="s">
        <v>94</v>
      </c>
      <c r="K1193" s="30" t="s">
        <v>23</v>
      </c>
      <c r="L1193" s="31" t="str">
        <f>IFERROR(__xludf.DUMMYFUNCTION("IF(OR(E1193="""",K1193=""""),"""",IFERROR(IF(K1193="""","""",query('tbl user'!$A$2:$D10975,""SELECT A WHERE D = '""&amp;K1193&amp;""'"")),""USER TIDAK DIKETAHUI""))"),"#REF!")</f>
        <v>#REF!</v>
      </c>
    </row>
    <row r="1194">
      <c r="A1194" s="21">
        <f t="shared" si="1"/>
        <v>0</v>
      </c>
      <c r="B1194" s="32" t="s">
        <v>263</v>
      </c>
      <c r="C1194" s="23" t="s">
        <v>264</v>
      </c>
      <c r="D1194" s="23" t="s">
        <v>32</v>
      </c>
      <c r="E1194" s="24">
        <v>45403.0</v>
      </c>
      <c r="F1194" s="25">
        <v>0.33125</v>
      </c>
      <c r="G1194" s="25">
        <v>0.55</v>
      </c>
      <c r="H1194" s="27">
        <f t="shared" si="2"/>
        <v>0.21875</v>
      </c>
      <c r="I1194" s="28">
        <v>4.0</v>
      </c>
      <c r="J1194" s="29" t="s">
        <v>94</v>
      </c>
      <c r="K1194" s="30" t="s">
        <v>23</v>
      </c>
      <c r="L1194" s="31" t="str">
        <f>IFERROR(__xludf.DUMMYFUNCTION("IF(OR(E1194="""",K1194=""""),"""",IFERROR(IF(K1194="""","""",query('tbl user'!$A$2:$D10975,""SELECT A WHERE D = '""&amp;K1194&amp;""'"")),""USER TIDAK DIKETAHUI""))"),"#REF!")</f>
        <v>#REF!</v>
      </c>
    </row>
    <row r="1195">
      <c r="A1195" s="21">
        <f t="shared" si="1"/>
        <v>0</v>
      </c>
      <c r="B1195" s="32" t="s">
        <v>141</v>
      </c>
      <c r="C1195" s="23" t="s">
        <v>142</v>
      </c>
      <c r="D1195" s="23" t="s">
        <v>32</v>
      </c>
      <c r="E1195" s="24">
        <v>45403.0</v>
      </c>
      <c r="F1195" s="25">
        <v>0.2673611111111111</v>
      </c>
      <c r="G1195" s="25">
        <v>0.6680555555555555</v>
      </c>
      <c r="H1195" s="27">
        <f t="shared" si="2"/>
        <v>0.4006944444</v>
      </c>
      <c r="I1195" s="28">
        <v>4.0</v>
      </c>
      <c r="J1195" s="29" t="s">
        <v>94</v>
      </c>
      <c r="K1195" s="30" t="s">
        <v>23</v>
      </c>
      <c r="L1195" s="31" t="str">
        <f>IFERROR(__xludf.DUMMYFUNCTION("IF(OR(E1195="""",K1195=""""),"""",IFERROR(IF(K1195="""","""",query('tbl user'!$A$2:$D10975,""SELECT A WHERE D = '""&amp;K1195&amp;""'"")),""USER TIDAK DIKETAHUI""))"),"#REF!")</f>
        <v>#REF!</v>
      </c>
    </row>
    <row r="1196">
      <c r="A1196" s="21" t="str">
        <f t="shared" si="1"/>
        <v/>
      </c>
      <c r="B1196" s="35"/>
      <c r="C1196" s="23" t="s">
        <v>270</v>
      </c>
      <c r="D1196" s="23" t="s">
        <v>32</v>
      </c>
      <c r="E1196" s="24">
        <v>45403.0</v>
      </c>
      <c r="F1196" s="25">
        <v>0.2743055555555556</v>
      </c>
      <c r="G1196" s="25">
        <v>0.6784722222222223</v>
      </c>
      <c r="H1196" s="27">
        <f t="shared" si="2"/>
        <v>0.4041666667</v>
      </c>
      <c r="I1196" s="28">
        <v>4.0</v>
      </c>
      <c r="J1196" s="29" t="s">
        <v>94</v>
      </c>
      <c r="K1196" s="30" t="s">
        <v>23</v>
      </c>
      <c r="L1196" s="31" t="str">
        <f>IFERROR(__xludf.DUMMYFUNCTION("IF(OR(E1196="""",K1196=""""),"""",IFERROR(IF(K1196="""","""",query('tbl user'!$A$2:$D10975,""SELECT A WHERE D = '""&amp;K1196&amp;""'"")),""USER TIDAK DIKETAHUI""))"),"#REF!")</f>
        <v>#REF!</v>
      </c>
    </row>
    <row r="1197">
      <c r="A1197" s="21">
        <f t="shared" si="1"/>
        <v>0</v>
      </c>
      <c r="B1197" s="32" t="s">
        <v>250</v>
      </c>
      <c r="C1197" s="23" t="s">
        <v>315</v>
      </c>
      <c r="D1197" s="23" t="s">
        <v>32</v>
      </c>
      <c r="E1197" s="24">
        <v>45403.0</v>
      </c>
      <c r="F1197" s="25">
        <v>0.2847222222222222</v>
      </c>
      <c r="G1197" s="25">
        <v>0.7319444444444444</v>
      </c>
      <c r="H1197" s="27">
        <f t="shared" si="2"/>
        <v>0.4472222222</v>
      </c>
      <c r="I1197" s="28">
        <v>5.0</v>
      </c>
      <c r="J1197" s="29" t="s">
        <v>94</v>
      </c>
      <c r="K1197" s="30" t="s">
        <v>23</v>
      </c>
      <c r="L1197" s="31" t="str">
        <f>IFERROR(__xludf.DUMMYFUNCTION("IF(OR(E1197="""",K1197=""""),"""",IFERROR(IF(K1197="""","""",query('tbl user'!$A$2:$D10975,""SELECT A WHERE D = '""&amp;K1197&amp;""'"")),""USER TIDAK DIKETAHUI""))"),"#REF!")</f>
        <v>#REF!</v>
      </c>
    </row>
    <row r="1198">
      <c r="A1198" s="21">
        <f t="shared" si="1"/>
        <v>0</v>
      </c>
      <c r="B1198" s="32" t="s">
        <v>113</v>
      </c>
      <c r="C1198" s="23" t="s">
        <v>114</v>
      </c>
      <c r="D1198" s="23" t="s">
        <v>32</v>
      </c>
      <c r="E1198" s="24">
        <v>45403.0</v>
      </c>
      <c r="F1198" s="25">
        <v>0.2048611111111111</v>
      </c>
      <c r="G1198" s="25">
        <v>0.7027777777777777</v>
      </c>
      <c r="H1198" s="27">
        <f t="shared" si="2"/>
        <v>0.4979166667</v>
      </c>
      <c r="I1198" s="28">
        <v>5.0</v>
      </c>
      <c r="J1198" s="29" t="s">
        <v>94</v>
      </c>
      <c r="K1198" s="30" t="s">
        <v>23</v>
      </c>
      <c r="L1198" s="31" t="str">
        <f>IFERROR(__xludf.DUMMYFUNCTION("IF(OR(E1198="""",K1198=""""),"""",IFERROR(IF(K1198="""","""",query('tbl user'!$A$2:$D10975,""SELECT A WHERE D = '""&amp;K1198&amp;""'"")),""USER TIDAK DIKETAHUI""))"),"#REF!")</f>
        <v>#REF!</v>
      </c>
    </row>
    <row r="1199">
      <c r="A1199" s="21">
        <f t="shared" si="1"/>
        <v>0</v>
      </c>
      <c r="B1199" s="32" t="s">
        <v>118</v>
      </c>
      <c r="C1199" s="23" t="s">
        <v>119</v>
      </c>
      <c r="D1199" s="23" t="s">
        <v>32</v>
      </c>
      <c r="E1199" s="24">
        <v>45403.0</v>
      </c>
      <c r="F1199" s="25">
        <v>0.2708333333333333</v>
      </c>
      <c r="G1199" s="25">
        <v>0.6833333333333333</v>
      </c>
      <c r="H1199" s="27">
        <f t="shared" si="2"/>
        <v>0.4125</v>
      </c>
      <c r="I1199" s="28">
        <v>5.0</v>
      </c>
      <c r="J1199" s="29" t="s">
        <v>94</v>
      </c>
      <c r="K1199" s="30" t="s">
        <v>23</v>
      </c>
      <c r="L1199" s="31" t="str">
        <f>IFERROR(__xludf.DUMMYFUNCTION("IF(OR(E1199="""",K1199=""""),"""",IFERROR(IF(K1199="""","""",query('tbl user'!$A$2:$D10975,""SELECT A WHERE D = '""&amp;K1199&amp;""'"")),""USER TIDAK DIKETAHUI""))"),"#REF!")</f>
        <v>#REF!</v>
      </c>
    </row>
    <row r="1200">
      <c r="A1200" s="21">
        <f t="shared" si="1"/>
        <v>0</v>
      </c>
      <c r="B1200" s="32" t="s">
        <v>312</v>
      </c>
      <c r="C1200" s="23" t="s">
        <v>313</v>
      </c>
      <c r="D1200" s="23" t="s">
        <v>32</v>
      </c>
      <c r="E1200" s="24">
        <v>45403.0</v>
      </c>
      <c r="F1200" s="25">
        <v>0.2222222222222222</v>
      </c>
      <c r="G1200" s="25">
        <v>0.2951388888888889</v>
      </c>
      <c r="H1200" s="27">
        <f t="shared" si="2"/>
        <v>0.07291666667</v>
      </c>
      <c r="I1200" s="28">
        <v>5.0</v>
      </c>
      <c r="J1200" s="29" t="s">
        <v>94</v>
      </c>
      <c r="K1200" s="30" t="s">
        <v>23</v>
      </c>
      <c r="L1200" s="31" t="str">
        <f>IFERROR(__xludf.DUMMYFUNCTION("IF(OR(E1200="""",K1200=""""),"""",IFERROR(IF(K1200="""","""",query('tbl user'!$A$2:$D10975,""SELECT A WHERE D = '""&amp;K1200&amp;""'"")),""USER TIDAK DIKETAHUI""))"),"#REF!")</f>
        <v>#REF!</v>
      </c>
    </row>
    <row r="1201">
      <c r="A1201" s="21">
        <f t="shared" si="1"/>
        <v>0</v>
      </c>
      <c r="B1201" s="32" t="s">
        <v>78</v>
      </c>
      <c r="C1201" s="23" t="s">
        <v>79</v>
      </c>
      <c r="D1201" s="23" t="s">
        <v>32</v>
      </c>
      <c r="E1201" s="24">
        <v>45403.0</v>
      </c>
      <c r="F1201" s="25">
        <v>0.20555555555555555</v>
      </c>
      <c r="G1201" s="25">
        <v>0.7263888888888889</v>
      </c>
      <c r="H1201" s="27">
        <f t="shared" si="2"/>
        <v>0.5208333333</v>
      </c>
      <c r="I1201" s="28">
        <v>5.0</v>
      </c>
      <c r="J1201" s="29" t="s">
        <v>94</v>
      </c>
      <c r="K1201" s="30" t="s">
        <v>23</v>
      </c>
      <c r="L1201" s="31" t="str">
        <f>IFERROR(__xludf.DUMMYFUNCTION("IF(OR(E1201="""",K1201=""""),"""",IFERROR(IF(K1201="""","""",query('tbl user'!$A$2:$D10975,""SELECT A WHERE D = '""&amp;K1201&amp;""'"")),""USER TIDAK DIKETAHUI""))"),"#REF!")</f>
        <v>#REF!</v>
      </c>
    </row>
    <row r="1202">
      <c r="A1202" s="21">
        <f t="shared" si="1"/>
        <v>0</v>
      </c>
      <c r="B1202" s="32" t="s">
        <v>149</v>
      </c>
      <c r="C1202" s="23" t="s">
        <v>150</v>
      </c>
      <c r="D1202" s="23" t="s">
        <v>32</v>
      </c>
      <c r="E1202" s="24">
        <v>45403.0</v>
      </c>
      <c r="F1202" s="25">
        <v>0.23680555555555555</v>
      </c>
      <c r="G1202" s="25">
        <v>0.725</v>
      </c>
      <c r="H1202" s="27">
        <f t="shared" si="2"/>
        <v>0.4881944444</v>
      </c>
      <c r="I1202" s="28">
        <v>5.0</v>
      </c>
      <c r="J1202" s="29" t="s">
        <v>94</v>
      </c>
      <c r="K1202" s="30" t="s">
        <v>23</v>
      </c>
      <c r="L1202" s="31" t="str">
        <f>IFERROR(__xludf.DUMMYFUNCTION("IF(OR(E1202="""",K1202=""""),"""",IFERROR(IF(K1202="""","""",query('tbl user'!$A$2:$D10975,""SELECT A WHERE D = '""&amp;K1202&amp;""'"")),""USER TIDAK DIKETAHUI""))"),"#REF!")</f>
        <v>#REF!</v>
      </c>
    </row>
    <row r="1203">
      <c r="A1203" s="21">
        <f t="shared" si="1"/>
        <v>0</v>
      </c>
      <c r="B1203" s="32" t="s">
        <v>178</v>
      </c>
      <c r="C1203" s="23" t="s">
        <v>82</v>
      </c>
      <c r="D1203" s="23" t="s">
        <v>58</v>
      </c>
      <c r="E1203" s="24">
        <v>45413.0</v>
      </c>
      <c r="F1203" s="25">
        <v>0.27291666666666664</v>
      </c>
      <c r="G1203" s="25">
        <v>0.5763888888888888</v>
      </c>
      <c r="H1203" s="27">
        <f t="shared" si="2"/>
        <v>0.3034722222</v>
      </c>
      <c r="I1203" s="28">
        <v>2.0</v>
      </c>
      <c r="J1203" s="29" t="s">
        <v>420</v>
      </c>
      <c r="K1203" s="30" t="s">
        <v>23</v>
      </c>
      <c r="L1203" s="31" t="str">
        <f>IFERROR(__xludf.DUMMYFUNCTION("IF(OR(E1203="""",K1203=""""),"""",IFERROR(IF(K1203="""","""",query('tbl user'!$A$2:$D10975,""SELECT A WHERE D = '""&amp;K1203&amp;""'"")),""USER TIDAK DIKETAHUI""))"),"#REF!")</f>
        <v>#REF!</v>
      </c>
    </row>
    <row r="1204">
      <c r="A1204" s="21">
        <f t="shared" si="1"/>
        <v>0</v>
      </c>
      <c r="B1204" s="32" t="s">
        <v>180</v>
      </c>
      <c r="C1204" s="23" t="s">
        <v>181</v>
      </c>
      <c r="D1204" s="23" t="s">
        <v>58</v>
      </c>
      <c r="E1204" s="24">
        <v>45413.0</v>
      </c>
      <c r="F1204" s="25">
        <v>0.2361111111111111</v>
      </c>
      <c r="G1204" s="25">
        <v>0.6381944444444444</v>
      </c>
      <c r="H1204" s="27">
        <f t="shared" si="2"/>
        <v>0.4020833333</v>
      </c>
      <c r="I1204" s="28">
        <v>3.0</v>
      </c>
      <c r="J1204" s="29" t="s">
        <v>697</v>
      </c>
      <c r="K1204" s="30" t="s">
        <v>23</v>
      </c>
      <c r="L1204" s="31" t="str">
        <f>IFERROR(__xludf.DUMMYFUNCTION("IF(OR(E1204="""",K1204=""""),"""",IFERROR(IF(K1204="""","""",query('tbl user'!$A$2:$D10975,""SELECT A WHERE D = '""&amp;K1204&amp;""'"")),""USER TIDAK DIKETAHUI""))"),"#REF!")</f>
        <v>#REF!</v>
      </c>
    </row>
    <row r="1205">
      <c r="A1205" s="21">
        <f t="shared" si="1"/>
        <v>0</v>
      </c>
      <c r="B1205" s="32" t="s">
        <v>187</v>
      </c>
      <c r="C1205" s="23" t="s">
        <v>188</v>
      </c>
      <c r="D1205" s="23" t="s">
        <v>58</v>
      </c>
      <c r="E1205" s="24">
        <v>45413.0</v>
      </c>
      <c r="F1205" s="25">
        <v>0.3784722222222222</v>
      </c>
      <c r="G1205" s="25">
        <v>0.6951388888888889</v>
      </c>
      <c r="H1205" s="27">
        <f t="shared" si="2"/>
        <v>0.3166666667</v>
      </c>
      <c r="I1205" s="28">
        <v>3.0</v>
      </c>
      <c r="J1205" s="29" t="s">
        <v>171</v>
      </c>
      <c r="K1205" s="30" t="s">
        <v>23</v>
      </c>
      <c r="L1205" s="31" t="str">
        <f>IFERROR(__xludf.DUMMYFUNCTION("IF(OR(E1205="""",K1205=""""),"""",IFERROR(IF(K1205="""","""",query('tbl user'!$A$2:$D10975,""SELECT A WHERE D = '""&amp;K1205&amp;""'"")),""USER TIDAK DIKETAHUI""))"),"#REF!")</f>
        <v>#REF!</v>
      </c>
    </row>
    <row r="1206">
      <c r="A1206" s="21">
        <f t="shared" si="1"/>
        <v>0</v>
      </c>
      <c r="B1206" s="32" t="s">
        <v>194</v>
      </c>
      <c r="C1206" s="23" t="s">
        <v>195</v>
      </c>
      <c r="D1206" s="23" t="s">
        <v>58</v>
      </c>
      <c r="E1206" s="24">
        <v>45413.0</v>
      </c>
      <c r="F1206" s="25">
        <v>0.24027777777777778</v>
      </c>
      <c r="G1206" s="25">
        <v>0.5625</v>
      </c>
      <c r="H1206" s="27">
        <f t="shared" si="2"/>
        <v>0.3222222222</v>
      </c>
      <c r="I1206" s="28">
        <v>3.0</v>
      </c>
      <c r="J1206" s="29" t="s">
        <v>698</v>
      </c>
      <c r="K1206" s="30" t="s">
        <v>23</v>
      </c>
      <c r="L1206" s="31" t="str">
        <f>IFERROR(__xludf.DUMMYFUNCTION("IF(OR(E1206="""",K1206=""""),"""",IFERROR(IF(K1206="""","""",query('tbl user'!$A$2:$D10975,""SELECT A WHERE D = '""&amp;K1206&amp;""'"")),""USER TIDAK DIKETAHUI""))"),"#REF!")</f>
        <v>#REF!</v>
      </c>
    </row>
    <row r="1207">
      <c r="A1207" s="21">
        <f t="shared" si="1"/>
        <v>0</v>
      </c>
      <c r="B1207" s="32" t="s">
        <v>197</v>
      </c>
      <c r="C1207" s="23" t="s">
        <v>198</v>
      </c>
      <c r="D1207" s="23" t="s">
        <v>58</v>
      </c>
      <c r="E1207" s="24">
        <v>45413.0</v>
      </c>
      <c r="F1207" s="25">
        <v>0.26944444444444443</v>
      </c>
      <c r="G1207" s="25">
        <v>0.6673611111111111</v>
      </c>
      <c r="H1207" s="27">
        <f t="shared" si="2"/>
        <v>0.3979166667</v>
      </c>
      <c r="I1207" s="28">
        <v>3.0</v>
      </c>
      <c r="J1207" s="29" t="s">
        <v>171</v>
      </c>
      <c r="K1207" s="30" t="s">
        <v>23</v>
      </c>
      <c r="L1207" s="31" t="str">
        <f>IFERROR(__xludf.DUMMYFUNCTION("IF(OR(E1207="""",K1207=""""),"""",IFERROR(IF(K1207="""","""",query('tbl user'!$A$2:$D10975,""SELECT A WHERE D = '""&amp;K1207&amp;""'"")),""USER TIDAK DIKETAHUI""))"),"#REF!")</f>
        <v>#REF!</v>
      </c>
    </row>
    <row r="1208">
      <c r="A1208" s="21">
        <f t="shared" si="1"/>
        <v>0</v>
      </c>
      <c r="B1208" s="32" t="s">
        <v>30</v>
      </c>
      <c r="C1208" s="23" t="s">
        <v>105</v>
      </c>
      <c r="D1208" s="23" t="s">
        <v>58</v>
      </c>
      <c r="E1208" s="24">
        <v>45413.0</v>
      </c>
      <c r="F1208" s="25">
        <v>0.34305555555555556</v>
      </c>
      <c r="G1208" s="25">
        <v>0.6402777777777777</v>
      </c>
      <c r="H1208" s="27">
        <f t="shared" si="2"/>
        <v>0.2972222222</v>
      </c>
      <c r="I1208" s="28">
        <v>3.0</v>
      </c>
      <c r="J1208" s="29" t="s">
        <v>218</v>
      </c>
      <c r="K1208" s="30" t="s">
        <v>23</v>
      </c>
      <c r="L1208" s="31" t="str">
        <f>IFERROR(__xludf.DUMMYFUNCTION("IF(OR(E1208="""",K1208=""""),"""",IFERROR(IF(K1208="""","""",query('tbl user'!$A$2:$D10975,""SELECT A WHERE D = '""&amp;K1208&amp;""'"")),""USER TIDAK DIKETAHUI""))"),"#REF!")</f>
        <v>#REF!</v>
      </c>
    </row>
    <row r="1209">
      <c r="A1209" s="21">
        <f t="shared" si="1"/>
        <v>0</v>
      </c>
      <c r="B1209" s="32" t="s">
        <v>40</v>
      </c>
      <c r="C1209" s="23" t="s">
        <v>348</v>
      </c>
      <c r="D1209" s="23" t="s">
        <v>58</v>
      </c>
      <c r="E1209" s="24">
        <v>45413.0</v>
      </c>
      <c r="F1209" s="25">
        <v>0.35347222222222224</v>
      </c>
      <c r="G1209" s="25">
        <v>0.6625</v>
      </c>
      <c r="H1209" s="27">
        <f t="shared" si="2"/>
        <v>0.3090277778</v>
      </c>
      <c r="I1209" s="28">
        <v>3.0</v>
      </c>
      <c r="J1209" s="29" t="s">
        <v>699</v>
      </c>
      <c r="K1209" s="30" t="s">
        <v>23</v>
      </c>
      <c r="L1209" s="31" t="str">
        <f>IFERROR(__xludf.DUMMYFUNCTION("IF(OR(E1209="""",K1209=""""),"""",IFERROR(IF(K1209="""","""",query('tbl user'!$A$2:$D10975,""SELECT A WHERE D = '""&amp;K1209&amp;""'"")),""USER TIDAK DIKETAHUI""))"),"#REF!")</f>
        <v>#REF!</v>
      </c>
    </row>
    <row r="1210">
      <c r="A1210" s="21">
        <f t="shared" si="1"/>
        <v>0</v>
      </c>
      <c r="B1210" s="32" t="s">
        <v>67</v>
      </c>
      <c r="C1210" s="23" t="s">
        <v>68</v>
      </c>
      <c r="D1210" s="23" t="s">
        <v>58</v>
      </c>
      <c r="E1210" s="24">
        <v>45413.0</v>
      </c>
      <c r="F1210" s="25">
        <v>0.2701388888888889</v>
      </c>
      <c r="G1210" s="25">
        <v>0.6777777777777778</v>
      </c>
      <c r="H1210" s="27">
        <f t="shared" si="2"/>
        <v>0.4076388889</v>
      </c>
      <c r="I1210" s="28">
        <v>4.0</v>
      </c>
      <c r="J1210" s="29" t="s">
        <v>55</v>
      </c>
      <c r="K1210" s="30" t="s">
        <v>23</v>
      </c>
      <c r="L1210" s="31" t="str">
        <f>IFERROR(__xludf.DUMMYFUNCTION("IF(OR(E1210="""",K1210=""""),"""",IFERROR(IF(K1210="""","""",query('tbl user'!$A$2:$D10975,""SELECT A WHERE D = '""&amp;K1210&amp;""'"")),""USER TIDAK DIKETAHUI""))"),"#REF!")</f>
        <v>#REF!</v>
      </c>
    </row>
    <row r="1211">
      <c r="A1211" s="21">
        <f t="shared" si="1"/>
        <v>0</v>
      </c>
      <c r="B1211" s="32" t="s">
        <v>127</v>
      </c>
      <c r="C1211" s="23" t="s">
        <v>170</v>
      </c>
      <c r="D1211" s="23" t="s">
        <v>58</v>
      </c>
      <c r="E1211" s="24">
        <v>45413.0</v>
      </c>
      <c r="F1211" s="25">
        <v>0.30694444444444446</v>
      </c>
      <c r="G1211" s="25">
        <v>0.7083333333333334</v>
      </c>
      <c r="H1211" s="27">
        <f t="shared" si="2"/>
        <v>0.4013888889</v>
      </c>
      <c r="I1211" s="28">
        <v>4.0</v>
      </c>
      <c r="J1211" s="29" t="s">
        <v>55</v>
      </c>
      <c r="K1211" s="30" t="s">
        <v>23</v>
      </c>
      <c r="L1211" s="31" t="str">
        <f>IFERROR(__xludf.DUMMYFUNCTION("IF(OR(E1211="""",K1211=""""),"""",IFERROR(IF(K1211="""","""",query('tbl user'!$A$2:$D10975,""SELECT A WHERE D = '""&amp;K1211&amp;""'"")),""USER TIDAK DIKETAHUI""))"),"#REF!")</f>
        <v>#REF!</v>
      </c>
    </row>
    <row r="1212">
      <c r="A1212" s="21">
        <f t="shared" si="1"/>
        <v>0</v>
      </c>
      <c r="B1212" s="32" t="s">
        <v>92</v>
      </c>
      <c r="C1212" s="23" t="s">
        <v>93</v>
      </c>
      <c r="D1212" s="23" t="s">
        <v>58</v>
      </c>
      <c r="E1212" s="24">
        <v>45413.0</v>
      </c>
      <c r="F1212" s="25">
        <v>0.24722222222222223</v>
      </c>
      <c r="G1212" s="25">
        <v>0.6020833333333333</v>
      </c>
      <c r="H1212" s="27">
        <f t="shared" si="2"/>
        <v>0.3548611111</v>
      </c>
      <c r="I1212" s="28">
        <v>4.0</v>
      </c>
      <c r="J1212" s="29" t="s">
        <v>55</v>
      </c>
      <c r="K1212" s="30" t="s">
        <v>23</v>
      </c>
      <c r="L1212" s="31" t="str">
        <f>IFERROR(__xludf.DUMMYFUNCTION("IF(OR(E1212="""",K1212=""""),"""",IFERROR(IF(K1212="""","""",query('tbl user'!$A$2:$D10975,""SELECT A WHERE D = '""&amp;K1212&amp;""'"")),""USER TIDAK DIKETAHUI""))"),"#REF!")</f>
        <v>#REF!</v>
      </c>
    </row>
    <row r="1213">
      <c r="A1213" s="21">
        <f t="shared" si="1"/>
        <v>0</v>
      </c>
      <c r="B1213" s="32" t="s">
        <v>215</v>
      </c>
      <c r="C1213" s="23" t="s">
        <v>176</v>
      </c>
      <c r="D1213" s="23" t="s">
        <v>58</v>
      </c>
      <c r="E1213" s="24">
        <v>45413.0</v>
      </c>
      <c r="F1213" s="25">
        <v>0.275</v>
      </c>
      <c r="G1213" s="25">
        <v>0.6701388888888888</v>
      </c>
      <c r="H1213" s="27">
        <f t="shared" si="2"/>
        <v>0.3951388889</v>
      </c>
      <c r="I1213" s="28">
        <v>4.0</v>
      </c>
      <c r="J1213" s="29" t="s">
        <v>55</v>
      </c>
      <c r="K1213" s="30" t="s">
        <v>23</v>
      </c>
      <c r="L1213" s="31" t="str">
        <f>IFERROR(__xludf.DUMMYFUNCTION("IF(OR(E1213="""",K1213=""""),"""",IFERROR(IF(K1213="""","""",query('tbl user'!$A$2:$D10975,""SELECT A WHERE D = '""&amp;K1213&amp;""'"")),""USER TIDAK DIKETAHUI""))"),"#REF!")</f>
        <v>#REF!</v>
      </c>
    </row>
    <row r="1214">
      <c r="A1214" s="21">
        <f t="shared" si="1"/>
        <v>0</v>
      </c>
      <c r="B1214" s="32" t="s">
        <v>56</v>
      </c>
      <c r="C1214" s="23" t="s">
        <v>57</v>
      </c>
      <c r="D1214" s="23" t="s">
        <v>58</v>
      </c>
      <c r="E1214" s="24">
        <v>45413.0</v>
      </c>
      <c r="F1214" s="25">
        <v>0.3034722222222222</v>
      </c>
      <c r="G1214" s="25">
        <v>0.7027777777777777</v>
      </c>
      <c r="H1214" s="27">
        <f t="shared" si="2"/>
        <v>0.3993055556</v>
      </c>
      <c r="I1214" s="28">
        <v>4.0</v>
      </c>
      <c r="J1214" s="29" t="s">
        <v>55</v>
      </c>
      <c r="K1214" s="30" t="s">
        <v>23</v>
      </c>
      <c r="L1214" s="31" t="str">
        <f>IFERROR(__xludf.DUMMYFUNCTION("IF(OR(E1214="""",K1214=""""),"""",IFERROR(IF(K1214="""","""",query('tbl user'!$A$2:$D10975,""SELECT A WHERE D = '""&amp;K1214&amp;""'"")),""USER TIDAK DIKETAHUI""))"),"#REF!")</f>
        <v>#REF!</v>
      </c>
    </row>
    <row r="1215">
      <c r="A1215" s="21">
        <f t="shared" si="1"/>
        <v>0</v>
      </c>
      <c r="B1215" s="32" t="s">
        <v>189</v>
      </c>
      <c r="C1215" s="23" t="s">
        <v>190</v>
      </c>
      <c r="D1215" s="23" t="s">
        <v>58</v>
      </c>
      <c r="E1215" s="24">
        <v>45413.0</v>
      </c>
      <c r="F1215" s="25">
        <v>0.28680555555555554</v>
      </c>
      <c r="G1215" s="25">
        <v>0.6854166666666667</v>
      </c>
      <c r="H1215" s="27">
        <f t="shared" si="2"/>
        <v>0.3986111111</v>
      </c>
      <c r="I1215" s="28">
        <v>4.0</v>
      </c>
      <c r="J1215" s="29" t="s">
        <v>55</v>
      </c>
      <c r="K1215" s="30" t="s">
        <v>23</v>
      </c>
      <c r="L1215" s="31" t="str">
        <f>IFERROR(__xludf.DUMMYFUNCTION("IF(OR(E1215="""",K1215=""""),"""",IFERROR(IF(K1215="""","""",query('tbl user'!$A$2:$D10975,""SELECT A WHERE D = '""&amp;K1215&amp;""'"")),""USER TIDAK DIKETAHUI""))"),"#REF!")</f>
        <v>#REF!</v>
      </c>
    </row>
    <row r="1216">
      <c r="A1216" s="21">
        <f t="shared" si="1"/>
        <v>0</v>
      </c>
      <c r="B1216" s="32" t="s">
        <v>191</v>
      </c>
      <c r="C1216" s="23" t="s">
        <v>192</v>
      </c>
      <c r="D1216" s="23" t="s">
        <v>58</v>
      </c>
      <c r="E1216" s="24">
        <v>45413.0</v>
      </c>
      <c r="F1216" s="25">
        <v>0.2881944444444444</v>
      </c>
      <c r="G1216" s="25">
        <v>0.6604166666666667</v>
      </c>
      <c r="H1216" s="27">
        <f t="shared" si="2"/>
        <v>0.3722222222</v>
      </c>
      <c r="I1216" s="28">
        <v>4.0</v>
      </c>
      <c r="J1216" s="29" t="s">
        <v>55</v>
      </c>
      <c r="K1216" s="30" t="s">
        <v>23</v>
      </c>
      <c r="L1216" s="31" t="str">
        <f>IFERROR(__xludf.DUMMYFUNCTION("IF(OR(E1216="""",K1216=""""),"""",IFERROR(IF(K1216="""","""",query('tbl user'!$A$2:$D10975,""SELECT A WHERE D = '""&amp;K1216&amp;""'"")),""USER TIDAK DIKETAHUI""))"),"#REF!")</f>
        <v>#REF!</v>
      </c>
    </row>
    <row r="1217">
      <c r="A1217" s="21">
        <f t="shared" si="1"/>
        <v>0</v>
      </c>
      <c r="B1217" s="32" t="s">
        <v>202</v>
      </c>
      <c r="C1217" s="23" t="s">
        <v>203</v>
      </c>
      <c r="D1217" s="23" t="s">
        <v>58</v>
      </c>
      <c r="E1217" s="24">
        <v>45413.0</v>
      </c>
      <c r="F1217" s="25">
        <v>0.25625</v>
      </c>
      <c r="G1217" s="25">
        <v>0.7076388888888889</v>
      </c>
      <c r="H1217" s="27">
        <f t="shared" si="2"/>
        <v>0.4513888889</v>
      </c>
      <c r="I1217" s="28">
        <v>4.0</v>
      </c>
      <c r="J1217" s="29" t="s">
        <v>55</v>
      </c>
      <c r="K1217" s="30" t="s">
        <v>23</v>
      </c>
      <c r="L1217" s="31" t="str">
        <f>IFERROR(__xludf.DUMMYFUNCTION("IF(OR(E1217="""",K1217=""""),"""",IFERROR(IF(K1217="""","""",query('tbl user'!$A$2:$D10975,""SELECT A WHERE D = '""&amp;K1217&amp;""'"")),""USER TIDAK DIKETAHUI""))"),"#REF!")</f>
        <v>#REF!</v>
      </c>
    </row>
    <row r="1218">
      <c r="A1218" s="21">
        <f t="shared" si="1"/>
        <v>0</v>
      </c>
      <c r="B1218" s="32" t="s">
        <v>205</v>
      </c>
      <c r="C1218" s="23" t="s">
        <v>206</v>
      </c>
      <c r="D1218" s="23" t="s">
        <v>58</v>
      </c>
      <c r="E1218" s="24">
        <v>45413.0</v>
      </c>
      <c r="F1218" s="25">
        <v>0.24791666666666667</v>
      </c>
      <c r="G1218" s="25">
        <v>0.6645833333333333</v>
      </c>
      <c r="H1218" s="27">
        <f t="shared" si="2"/>
        <v>0.4166666667</v>
      </c>
      <c r="I1218" s="28">
        <v>4.0</v>
      </c>
      <c r="J1218" s="29" t="s">
        <v>55</v>
      </c>
      <c r="K1218" s="30" t="s">
        <v>23</v>
      </c>
      <c r="L1218" s="31" t="str">
        <f>IFERROR(__xludf.DUMMYFUNCTION("IF(OR(E1218="""",K1218=""""),"""",IFERROR(IF(K1218="""","""",query('tbl user'!$A$2:$D10975,""SELECT A WHERE D = '""&amp;K1218&amp;""'"")),""USER TIDAK DIKETAHUI""))"),"#REF!")</f>
        <v>#REF!</v>
      </c>
    </row>
    <row r="1219">
      <c r="A1219" s="21">
        <f t="shared" si="1"/>
        <v>0</v>
      </c>
      <c r="B1219" s="32" t="s">
        <v>224</v>
      </c>
      <c r="C1219" s="23" t="s">
        <v>208</v>
      </c>
      <c r="D1219" s="23" t="s">
        <v>58</v>
      </c>
      <c r="E1219" s="24">
        <v>45413.0</v>
      </c>
      <c r="F1219" s="25">
        <v>0.26458333333333334</v>
      </c>
      <c r="G1219" s="25">
        <v>0.6784722222222223</v>
      </c>
      <c r="H1219" s="27">
        <f t="shared" si="2"/>
        <v>0.4138888889</v>
      </c>
      <c r="I1219" s="28">
        <v>4.0</v>
      </c>
      <c r="J1219" s="29" t="s">
        <v>55</v>
      </c>
      <c r="K1219" s="30" t="s">
        <v>23</v>
      </c>
      <c r="L1219" s="31" t="str">
        <f>IFERROR(__xludf.DUMMYFUNCTION("IF(OR(E1219="""",K1219=""""),"""",IFERROR(IF(K1219="""","""",query('tbl user'!$A$2:$D10975,""SELECT A WHERE D = '""&amp;K1219&amp;""'"")),""USER TIDAK DIKETAHUI""))"),"#REF!")</f>
        <v>#REF!</v>
      </c>
    </row>
    <row r="1220">
      <c r="A1220" s="21">
        <f t="shared" si="1"/>
        <v>0</v>
      </c>
      <c r="B1220" s="32" t="s">
        <v>84</v>
      </c>
      <c r="C1220" s="23" t="s">
        <v>85</v>
      </c>
      <c r="D1220" s="23" t="s">
        <v>58</v>
      </c>
      <c r="E1220" s="24">
        <v>45413.0</v>
      </c>
      <c r="F1220" s="25">
        <v>0.26875</v>
      </c>
      <c r="G1220" s="25">
        <v>0.6944444444444444</v>
      </c>
      <c r="H1220" s="27">
        <f t="shared" si="2"/>
        <v>0.4256944444</v>
      </c>
      <c r="I1220" s="28">
        <v>4.0</v>
      </c>
      <c r="J1220" s="29" t="s">
        <v>55</v>
      </c>
      <c r="K1220" s="30" t="s">
        <v>23</v>
      </c>
      <c r="L1220" s="31" t="str">
        <f>IFERROR(__xludf.DUMMYFUNCTION("IF(OR(E1220="""",K1220=""""),"""",IFERROR(IF(K1220="""","""",query('tbl user'!$A$2:$D10975,""SELECT A WHERE D = '""&amp;K1220&amp;""'"")),""USER TIDAK DIKETAHUI""))"),"#REF!")</f>
        <v>#REF!</v>
      </c>
    </row>
    <row r="1221">
      <c r="A1221" s="21">
        <f t="shared" si="1"/>
        <v>0</v>
      </c>
      <c r="B1221" s="32" t="s">
        <v>182</v>
      </c>
      <c r="C1221" s="23" t="s">
        <v>183</v>
      </c>
      <c r="D1221" s="23" t="s">
        <v>58</v>
      </c>
      <c r="E1221" s="24">
        <v>45413.0</v>
      </c>
      <c r="F1221" s="25">
        <v>0.23541666666666666</v>
      </c>
      <c r="G1221" s="25">
        <v>0.6763888888888889</v>
      </c>
      <c r="H1221" s="27">
        <f t="shared" si="2"/>
        <v>0.4409722222</v>
      </c>
      <c r="I1221" s="28">
        <v>5.0</v>
      </c>
      <c r="J1221" s="29" t="s">
        <v>55</v>
      </c>
      <c r="K1221" s="30" t="s">
        <v>23</v>
      </c>
      <c r="L1221" s="31" t="str">
        <f>IFERROR(__xludf.DUMMYFUNCTION("IF(OR(E1221="""",K1221=""""),"""",IFERROR(IF(K1221="""","""",query('tbl user'!$A$2:$D10975,""SELECT A WHERE D = '""&amp;K1221&amp;""'"")),""USER TIDAK DIKETAHUI""))"),"#REF!")</f>
        <v>#REF!</v>
      </c>
    </row>
    <row r="1222">
      <c r="A1222" s="21">
        <f t="shared" si="1"/>
        <v>0</v>
      </c>
      <c r="B1222" s="32" t="s">
        <v>184</v>
      </c>
      <c r="C1222" s="23" t="s">
        <v>185</v>
      </c>
      <c r="D1222" s="23" t="s">
        <v>58</v>
      </c>
      <c r="E1222" s="24">
        <v>45413.0</v>
      </c>
      <c r="F1222" s="25">
        <v>0.2569444444444444</v>
      </c>
      <c r="G1222" s="25">
        <v>0.7069444444444445</v>
      </c>
      <c r="H1222" s="27">
        <f t="shared" si="2"/>
        <v>0.45</v>
      </c>
      <c r="I1222" s="28">
        <v>5.0</v>
      </c>
      <c r="J1222" s="29" t="s">
        <v>55</v>
      </c>
      <c r="K1222" s="30" t="s">
        <v>23</v>
      </c>
      <c r="L1222" s="31" t="str">
        <f>IFERROR(__xludf.DUMMYFUNCTION("IF(OR(E1222="""",K1222=""""),"""",IFERROR(IF(K1222="""","""",query('tbl user'!$A$2:$D10975,""SELECT A WHERE D = '""&amp;K1222&amp;""'"")),""USER TIDAK DIKETAHUI""))"),"#REF!")</f>
        <v>#REF!</v>
      </c>
    </row>
    <row r="1223">
      <c r="A1223" s="21">
        <f t="shared" si="1"/>
        <v>0</v>
      </c>
      <c r="B1223" s="32" t="s">
        <v>200</v>
      </c>
      <c r="C1223" s="23" t="s">
        <v>201</v>
      </c>
      <c r="D1223" s="23" t="s">
        <v>58</v>
      </c>
      <c r="E1223" s="24">
        <v>45413.0</v>
      </c>
      <c r="F1223" s="25">
        <v>0.23472222222222222</v>
      </c>
      <c r="G1223" s="25">
        <v>0.7034722222222223</v>
      </c>
      <c r="H1223" s="27">
        <f t="shared" si="2"/>
        <v>0.46875</v>
      </c>
      <c r="I1223" s="28">
        <v>5.0</v>
      </c>
      <c r="J1223" s="29" t="s">
        <v>55</v>
      </c>
      <c r="K1223" s="30" t="s">
        <v>23</v>
      </c>
      <c r="L1223" s="31" t="str">
        <f>IFERROR(__xludf.DUMMYFUNCTION("IF(OR(E1223="""",K1223=""""),"""",IFERROR(IF(K1223="""","""",query('tbl user'!$A$2:$D10975,""SELECT A WHERE D = '""&amp;K1223&amp;""'"")),""USER TIDAK DIKETAHUI""))"),"#REF!")</f>
        <v>#REF!</v>
      </c>
    </row>
    <row r="1224">
      <c r="A1224" s="21">
        <f t="shared" si="1"/>
        <v>0</v>
      </c>
      <c r="B1224" s="32" t="s">
        <v>253</v>
      </c>
      <c r="C1224" s="23" t="s">
        <v>102</v>
      </c>
      <c r="D1224" s="23" t="s">
        <v>21</v>
      </c>
      <c r="E1224" s="24">
        <v>45413.0</v>
      </c>
      <c r="F1224" s="25">
        <v>0.26875</v>
      </c>
      <c r="G1224" s="25">
        <v>0.3902777777777778</v>
      </c>
      <c r="H1224" s="27">
        <f t="shared" si="2"/>
        <v>0.1215277778</v>
      </c>
      <c r="I1224" s="28">
        <v>1.0</v>
      </c>
      <c r="J1224" s="29" t="s">
        <v>700</v>
      </c>
      <c r="K1224" s="30" t="s">
        <v>23</v>
      </c>
      <c r="L1224" s="31" t="str">
        <f>IFERROR(__xludf.DUMMYFUNCTION("IF(OR(E1224="""",K1224=""""),"""",IFERROR(IF(K1224="""","""",query('tbl user'!$A$2:$D10975,""SELECT A WHERE D = '""&amp;K1224&amp;""'"")),""USER TIDAK DIKETAHUI""))"),"#REF!")</f>
        <v>#REF!</v>
      </c>
    </row>
    <row r="1225">
      <c r="A1225" s="21">
        <f t="shared" si="1"/>
        <v>0</v>
      </c>
      <c r="B1225" s="32" t="s">
        <v>246</v>
      </c>
      <c r="C1225" s="23" t="s">
        <v>99</v>
      </c>
      <c r="D1225" s="23" t="s">
        <v>21</v>
      </c>
      <c r="E1225" s="24">
        <v>45413.0</v>
      </c>
      <c r="F1225" s="25">
        <v>0.32222222222222224</v>
      </c>
      <c r="G1225" s="25">
        <v>0.5847222222222223</v>
      </c>
      <c r="H1225" s="27">
        <f t="shared" si="2"/>
        <v>0.2625</v>
      </c>
      <c r="I1225" s="28">
        <v>3.0</v>
      </c>
      <c r="J1225" s="29" t="s">
        <v>701</v>
      </c>
      <c r="K1225" s="30" t="s">
        <v>23</v>
      </c>
      <c r="L1225" s="31" t="str">
        <f>IFERROR(__xludf.DUMMYFUNCTION("IF(OR(E1225="""",K1225=""""),"""",IFERROR(IF(K1225="""","""",query('tbl user'!$A$2:$D10975,""SELECT A WHERE D = '""&amp;K1225&amp;""'"")),""USER TIDAK DIKETAHUI""))"),"#REF!")</f>
        <v>#REF!</v>
      </c>
    </row>
    <row r="1226">
      <c r="A1226" s="21">
        <f t="shared" si="1"/>
        <v>0</v>
      </c>
      <c r="B1226" s="32" t="s">
        <v>225</v>
      </c>
      <c r="C1226" s="23" t="s">
        <v>44</v>
      </c>
      <c r="D1226" s="23" t="s">
        <v>21</v>
      </c>
      <c r="E1226" s="24">
        <v>45413.0</v>
      </c>
      <c r="F1226" s="25">
        <v>0.34097222222222223</v>
      </c>
      <c r="G1226" s="25">
        <v>0.6048611111111111</v>
      </c>
      <c r="H1226" s="27">
        <f t="shared" si="2"/>
        <v>0.2638888889</v>
      </c>
      <c r="I1226" s="28">
        <v>3.0</v>
      </c>
      <c r="J1226" s="29" t="s">
        <v>702</v>
      </c>
      <c r="K1226" s="30" t="s">
        <v>23</v>
      </c>
      <c r="L1226" s="31" t="str">
        <f>IFERROR(__xludf.DUMMYFUNCTION("IF(OR(E1226="""",K1226=""""),"""",IFERROR(IF(K1226="""","""",query('tbl user'!$A$2:$D10975,""SELECT A WHERE D = '""&amp;K1226&amp;""'"")),""USER TIDAK DIKETAHUI""))"),"#REF!")</f>
        <v>#REF!</v>
      </c>
    </row>
    <row r="1227">
      <c r="A1227" s="21">
        <f t="shared" si="1"/>
        <v>0</v>
      </c>
      <c r="B1227" s="32" t="s">
        <v>220</v>
      </c>
      <c r="C1227" s="23" t="s">
        <v>232</v>
      </c>
      <c r="D1227" s="23" t="s">
        <v>21</v>
      </c>
      <c r="E1227" s="24">
        <v>45413.0</v>
      </c>
      <c r="F1227" s="25">
        <v>0.3013888888888889</v>
      </c>
      <c r="G1227" s="25">
        <v>0.6444444444444445</v>
      </c>
      <c r="H1227" s="27">
        <f t="shared" si="2"/>
        <v>0.3430555556</v>
      </c>
      <c r="I1227" s="28">
        <v>3.0</v>
      </c>
      <c r="J1227" s="29" t="s">
        <v>237</v>
      </c>
      <c r="K1227" s="30" t="s">
        <v>23</v>
      </c>
      <c r="L1227" s="31" t="str">
        <f>IFERROR(__xludf.DUMMYFUNCTION("IF(OR(E1227="""",K1227=""""),"""",IFERROR(IF(K1227="""","""",query('tbl user'!$A$2:$D10975,""SELECT A WHERE D = '""&amp;K1227&amp;""'"")),""USER TIDAK DIKETAHUI""))"),"#REF!")</f>
        <v>#REF!</v>
      </c>
    </row>
    <row r="1228">
      <c r="A1228" s="21">
        <f t="shared" si="1"/>
        <v>0</v>
      </c>
      <c r="B1228" s="32" t="s">
        <v>81</v>
      </c>
      <c r="C1228" s="23" t="s">
        <v>261</v>
      </c>
      <c r="D1228" s="23" t="s">
        <v>21</v>
      </c>
      <c r="E1228" s="24">
        <v>45413.0</v>
      </c>
      <c r="F1228" s="25">
        <v>0.27569444444444446</v>
      </c>
      <c r="G1228" s="25">
        <v>0.6034722222222222</v>
      </c>
      <c r="H1228" s="27">
        <f t="shared" si="2"/>
        <v>0.3277777778</v>
      </c>
      <c r="I1228" s="28">
        <v>3.0</v>
      </c>
      <c r="J1228" s="29" t="s">
        <v>649</v>
      </c>
      <c r="K1228" s="30" t="s">
        <v>23</v>
      </c>
      <c r="L1228" s="31" t="str">
        <f>IFERROR(__xludf.DUMMYFUNCTION("IF(OR(E1228="""",K1228=""""),"""",IFERROR(IF(K1228="""","""",query('tbl user'!$A$2:$D10975,""SELECT A WHERE D = '""&amp;K1228&amp;""'"")),""USER TIDAK DIKETAHUI""))"),"#REF!")</f>
        <v>#REF!</v>
      </c>
    </row>
    <row r="1229">
      <c r="A1229" s="21">
        <f t="shared" si="1"/>
        <v>0</v>
      </c>
      <c r="B1229" s="32" t="s">
        <v>172</v>
      </c>
      <c r="C1229" s="23" t="s">
        <v>239</v>
      </c>
      <c r="D1229" s="23" t="s">
        <v>21</v>
      </c>
      <c r="E1229" s="24">
        <v>45413.0</v>
      </c>
      <c r="F1229" s="25">
        <v>0.33125</v>
      </c>
      <c r="G1229" s="25">
        <v>0.6986111111111111</v>
      </c>
      <c r="H1229" s="27">
        <f t="shared" si="2"/>
        <v>0.3673611111</v>
      </c>
      <c r="I1229" s="28">
        <v>4.0</v>
      </c>
      <c r="J1229" s="29" t="s">
        <v>703</v>
      </c>
      <c r="K1229" s="30" t="s">
        <v>23</v>
      </c>
      <c r="L1229" s="31" t="str">
        <f>IFERROR(__xludf.DUMMYFUNCTION("IF(OR(E1229="""",K1229=""""),"""",IFERROR(IF(K1229="""","""",query('tbl user'!$A$2:$D10975,""SELECT A WHERE D = '""&amp;K1229&amp;""'"")),""USER TIDAK DIKETAHUI""))"),"#REF!")</f>
        <v>#REF!</v>
      </c>
    </row>
    <row r="1230">
      <c r="A1230" s="21">
        <f t="shared" si="1"/>
        <v>0</v>
      </c>
      <c r="B1230" s="32" t="s">
        <v>153</v>
      </c>
      <c r="C1230" s="23" t="s">
        <v>234</v>
      </c>
      <c r="D1230" s="23" t="s">
        <v>21</v>
      </c>
      <c r="E1230" s="24">
        <v>45413.0</v>
      </c>
      <c r="F1230" s="25">
        <v>0.27361111111111114</v>
      </c>
      <c r="G1230" s="25">
        <v>0.6625</v>
      </c>
      <c r="H1230" s="27">
        <f t="shared" si="2"/>
        <v>0.3888888889</v>
      </c>
      <c r="I1230" s="28">
        <v>4.0</v>
      </c>
      <c r="J1230" s="29" t="s">
        <v>213</v>
      </c>
      <c r="K1230" s="30" t="s">
        <v>23</v>
      </c>
      <c r="L1230" s="31" t="str">
        <f>IFERROR(__xludf.DUMMYFUNCTION("IF(OR(E1230="""",K1230=""""),"""",IFERROR(IF(K1230="""","""",query('tbl user'!$A$2:$D10975,""SELECT A WHERE D = '""&amp;K1230&amp;""'"")),""USER TIDAK DIKETAHUI""))"),"#REF!")</f>
        <v>#REF!</v>
      </c>
    </row>
    <row r="1231">
      <c r="A1231" s="21">
        <f t="shared" si="1"/>
        <v>0</v>
      </c>
      <c r="B1231" s="32" t="s">
        <v>258</v>
      </c>
      <c r="C1231" s="23" t="s">
        <v>259</v>
      </c>
      <c r="D1231" s="23" t="s">
        <v>21</v>
      </c>
      <c r="E1231" s="24">
        <v>45413.0</v>
      </c>
      <c r="F1231" s="25">
        <v>0.27708333333333335</v>
      </c>
      <c r="G1231" s="25">
        <v>0.6388888888888888</v>
      </c>
      <c r="H1231" s="27">
        <f t="shared" si="2"/>
        <v>0.3618055556</v>
      </c>
      <c r="I1231" s="28">
        <v>4.0</v>
      </c>
      <c r="J1231" s="29" t="s">
        <v>704</v>
      </c>
      <c r="K1231" s="30" t="s">
        <v>23</v>
      </c>
      <c r="L1231" s="31" t="str">
        <f>IFERROR(__xludf.DUMMYFUNCTION("IF(OR(E1231="""",K1231=""""),"""",IFERROR(IF(K1231="""","""",query('tbl user'!$A$2:$D10975,""SELECT A WHERE D = '""&amp;K1231&amp;""'"")),""USER TIDAK DIKETAHUI""))"),"#REF!")</f>
        <v>#REF!</v>
      </c>
    </row>
    <row r="1232">
      <c r="A1232" s="21">
        <f t="shared" si="1"/>
        <v>0</v>
      </c>
      <c r="B1232" s="32" t="s">
        <v>34</v>
      </c>
      <c r="C1232" s="23" t="s">
        <v>35</v>
      </c>
      <c r="D1232" s="23" t="s">
        <v>21</v>
      </c>
      <c r="E1232" s="24">
        <v>45413.0</v>
      </c>
      <c r="F1232" s="25">
        <v>0.3</v>
      </c>
      <c r="G1232" s="25">
        <v>0.7493055555555556</v>
      </c>
      <c r="H1232" s="27">
        <f t="shared" si="2"/>
        <v>0.4493055556</v>
      </c>
      <c r="I1232" s="28">
        <v>5.0</v>
      </c>
      <c r="J1232" s="29" t="s">
        <v>55</v>
      </c>
      <c r="K1232" s="30" t="s">
        <v>23</v>
      </c>
      <c r="L1232" s="31" t="str">
        <f>IFERROR(__xludf.DUMMYFUNCTION("IF(OR(E1232="""",K1232=""""),"""",IFERROR(IF(K1232="""","""",query('tbl user'!$A$2:$D10975,""SELECT A WHERE D = '""&amp;K1232&amp;""'"")),""USER TIDAK DIKETAHUI""))"),"#REF!")</f>
        <v>#REF!</v>
      </c>
    </row>
    <row r="1233">
      <c r="A1233" s="21">
        <f t="shared" si="1"/>
        <v>0</v>
      </c>
      <c r="B1233" s="32" t="s">
        <v>243</v>
      </c>
      <c r="C1233" s="23" t="s">
        <v>244</v>
      </c>
      <c r="D1233" s="23" t="s">
        <v>21</v>
      </c>
      <c r="E1233" s="24">
        <v>45413.0</v>
      </c>
      <c r="F1233" s="25">
        <v>0.3368055555555556</v>
      </c>
      <c r="G1233" s="25">
        <v>0.7777777777777778</v>
      </c>
      <c r="H1233" s="27">
        <f t="shared" si="2"/>
        <v>0.4409722222</v>
      </c>
      <c r="I1233" s="28">
        <v>5.0</v>
      </c>
      <c r="J1233" s="29" t="s">
        <v>55</v>
      </c>
      <c r="K1233" s="30" t="s">
        <v>23</v>
      </c>
      <c r="L1233" s="31" t="str">
        <f>IFERROR(__xludf.DUMMYFUNCTION("IF(OR(E1233="""",K1233=""""),"""",IFERROR(IF(K1233="""","""",query('tbl user'!$A$2:$D10975,""SELECT A WHERE D = '""&amp;K1233&amp;""'"")),""USER TIDAK DIKETAHUI""))"),"#REF!")</f>
        <v>#REF!</v>
      </c>
    </row>
    <row r="1234">
      <c r="A1234" s="21">
        <f t="shared" si="1"/>
        <v>0</v>
      </c>
      <c r="B1234" s="32" t="s">
        <v>24</v>
      </c>
      <c r="C1234" s="23" t="s">
        <v>25</v>
      </c>
      <c r="D1234" s="23" t="s">
        <v>21</v>
      </c>
      <c r="E1234" s="24">
        <v>45413.0</v>
      </c>
      <c r="F1234" s="25">
        <v>0.2916666666666667</v>
      </c>
      <c r="G1234" s="25">
        <v>0.7340277777777777</v>
      </c>
      <c r="H1234" s="27">
        <f t="shared" si="2"/>
        <v>0.4423611111</v>
      </c>
      <c r="I1234" s="28">
        <v>5.0</v>
      </c>
      <c r="J1234" s="29" t="s">
        <v>55</v>
      </c>
      <c r="K1234" s="30" t="s">
        <v>23</v>
      </c>
      <c r="L1234" s="31" t="str">
        <f>IFERROR(__xludf.DUMMYFUNCTION("IF(OR(E1234="""",K1234=""""),"""",IFERROR(IF(K1234="""","""",query('tbl user'!$A$2:$D10975,""SELECT A WHERE D = '""&amp;K1234&amp;""'"")),""USER TIDAK DIKETAHUI""))"),"#REF!")</f>
        <v>#REF!</v>
      </c>
    </row>
    <row r="1235">
      <c r="A1235" s="21">
        <f t="shared" si="1"/>
        <v>0</v>
      </c>
      <c r="B1235" s="32" t="s">
        <v>305</v>
      </c>
      <c r="C1235" s="23" t="s">
        <v>251</v>
      </c>
      <c r="D1235" s="23" t="s">
        <v>21</v>
      </c>
      <c r="E1235" s="24">
        <v>45413.0</v>
      </c>
      <c r="F1235" s="25">
        <v>0.2569444444444444</v>
      </c>
      <c r="G1235" s="25">
        <v>0.7395833333333334</v>
      </c>
      <c r="H1235" s="27">
        <f t="shared" si="2"/>
        <v>0.4826388889</v>
      </c>
      <c r="I1235" s="28">
        <v>5.0</v>
      </c>
      <c r="J1235" s="29" t="s">
        <v>55</v>
      </c>
      <c r="K1235" s="30" t="s">
        <v>23</v>
      </c>
      <c r="L1235" s="31" t="str">
        <f>IFERROR(__xludf.DUMMYFUNCTION("IF(OR(E1235="""",K1235=""""),"""",IFERROR(IF(K1235="""","""",query('tbl user'!$A$2:$D10975,""SELECT A WHERE D = '""&amp;K1235&amp;""'"")),""USER TIDAK DIKETAHUI""))"),"#REF!")</f>
        <v>#REF!</v>
      </c>
    </row>
    <row r="1236">
      <c r="A1236" s="21">
        <f t="shared" si="1"/>
        <v>0</v>
      </c>
      <c r="B1236" s="32" t="s">
        <v>255</v>
      </c>
      <c r="C1236" s="23" t="s">
        <v>256</v>
      </c>
      <c r="D1236" s="23" t="s">
        <v>21</v>
      </c>
      <c r="E1236" s="24">
        <v>45413.0</v>
      </c>
      <c r="F1236" s="25">
        <v>0.2652777777777778</v>
      </c>
      <c r="G1236" s="25">
        <v>0.7465277777777778</v>
      </c>
      <c r="H1236" s="27">
        <f t="shared" si="2"/>
        <v>0.48125</v>
      </c>
      <c r="I1236" s="28">
        <v>5.0</v>
      </c>
      <c r="J1236" s="29" t="s">
        <v>55</v>
      </c>
      <c r="K1236" s="30" t="s">
        <v>23</v>
      </c>
      <c r="L1236" s="31" t="str">
        <f>IFERROR(__xludf.DUMMYFUNCTION("IF(OR(E1236="""",K1236=""""),"""",IFERROR(IF(K1236="""","""",query('tbl user'!$A$2:$D10975,""SELECT A WHERE D = '""&amp;K1236&amp;""'"")),""USER TIDAK DIKETAHUI""))"),"#REF!")</f>
        <v>#REF!</v>
      </c>
    </row>
    <row r="1237">
      <c r="A1237" s="21">
        <f t="shared" si="1"/>
        <v>0</v>
      </c>
      <c r="B1237" s="32" t="s">
        <v>593</v>
      </c>
      <c r="C1237" s="23" t="s">
        <v>236</v>
      </c>
      <c r="D1237" s="23" t="s">
        <v>21</v>
      </c>
      <c r="E1237" s="24">
        <v>45413.0</v>
      </c>
      <c r="F1237" s="25">
        <v>0.27152777777777776</v>
      </c>
      <c r="G1237" s="25">
        <v>0.7222222222222222</v>
      </c>
      <c r="H1237" s="27">
        <f t="shared" si="2"/>
        <v>0.4506944444</v>
      </c>
      <c r="I1237" s="28">
        <v>5.0</v>
      </c>
      <c r="J1237" s="29" t="s">
        <v>55</v>
      </c>
      <c r="K1237" s="30" t="s">
        <v>23</v>
      </c>
      <c r="L1237" s="31" t="str">
        <f>IFERROR(__xludf.DUMMYFUNCTION("IF(OR(E1237="""",K1237=""""),"""",IFERROR(IF(K1237="""","""",query('tbl user'!$A$2:$D10975,""SELECT A WHERE D = '""&amp;K1237&amp;""'"")),""USER TIDAK DIKETAHUI""))"),"#REF!")</f>
        <v>#REF!</v>
      </c>
    </row>
    <row r="1238">
      <c r="A1238" s="21">
        <f t="shared" si="1"/>
        <v>0</v>
      </c>
      <c r="B1238" s="32" t="s">
        <v>37</v>
      </c>
      <c r="C1238" s="23" t="s">
        <v>38</v>
      </c>
      <c r="D1238" s="23" t="s">
        <v>21</v>
      </c>
      <c r="E1238" s="24">
        <v>45413.0</v>
      </c>
      <c r="F1238" s="25">
        <v>0.32083333333333336</v>
      </c>
      <c r="G1238" s="25">
        <v>0.4826388888888889</v>
      </c>
      <c r="H1238" s="27">
        <f t="shared" si="2"/>
        <v>0.1618055556</v>
      </c>
      <c r="I1238" s="28">
        <v>1.0</v>
      </c>
      <c r="J1238" s="29" t="s">
        <v>705</v>
      </c>
      <c r="K1238" s="30" t="s">
        <v>23</v>
      </c>
      <c r="L1238" s="31" t="str">
        <f>IFERROR(__xludf.DUMMYFUNCTION("IF(OR(E1238="""",K1238=""""),"""",IFERROR(IF(K1238="""","""",query('tbl user'!$A$2:$D10975,""SELECT A WHERE D = '""&amp;K1238&amp;""'"")),""USER TIDAK DIKETAHUI""))"),"#REF!")</f>
        <v>#REF!</v>
      </c>
    </row>
    <row r="1239">
      <c r="A1239" s="21">
        <f t="shared" si="1"/>
        <v>0</v>
      </c>
      <c r="B1239" s="32" t="s">
        <v>281</v>
      </c>
      <c r="C1239" s="23" t="s">
        <v>282</v>
      </c>
      <c r="D1239" s="23" t="s">
        <v>21</v>
      </c>
      <c r="E1239" s="24">
        <v>45413.0</v>
      </c>
      <c r="F1239" s="25">
        <v>0.30416666666666664</v>
      </c>
      <c r="G1239" s="25">
        <v>0.48194444444444445</v>
      </c>
      <c r="H1239" s="27">
        <f t="shared" si="2"/>
        <v>0.1777777778</v>
      </c>
      <c r="I1239" s="28">
        <v>1.0</v>
      </c>
      <c r="J1239" s="29" t="s">
        <v>706</v>
      </c>
      <c r="K1239" s="30" t="s">
        <v>23</v>
      </c>
      <c r="L1239" s="31" t="str">
        <f>IFERROR(__xludf.DUMMYFUNCTION("IF(OR(E1239="""",K1239=""""),"""",IFERROR(IF(K1239="""","""",query('tbl user'!$A$2:$D10975,""SELECT A WHERE D = '""&amp;K1239&amp;""'"")),""USER TIDAK DIKETAHUI""))"),"#REF!")</f>
        <v>#REF!</v>
      </c>
    </row>
    <row r="1240">
      <c r="A1240" s="21">
        <f t="shared" si="1"/>
        <v>0</v>
      </c>
      <c r="B1240" s="32" t="s">
        <v>51</v>
      </c>
      <c r="C1240" s="23" t="s">
        <v>27</v>
      </c>
      <c r="D1240" s="23" t="s">
        <v>21</v>
      </c>
      <c r="E1240" s="24">
        <v>45413.0</v>
      </c>
      <c r="F1240" s="25">
        <v>0.29097222222222224</v>
      </c>
      <c r="G1240" s="25">
        <v>0.44722222222222224</v>
      </c>
      <c r="H1240" s="27">
        <f t="shared" si="2"/>
        <v>0.15625</v>
      </c>
      <c r="I1240" s="28">
        <v>1.0</v>
      </c>
      <c r="J1240" s="29" t="s">
        <v>707</v>
      </c>
      <c r="K1240" s="30" t="s">
        <v>23</v>
      </c>
      <c r="L1240" s="31" t="str">
        <f>IFERROR(__xludf.DUMMYFUNCTION("IF(OR(E1240="""",K1240=""""),"""",IFERROR(IF(K1240="""","""",query('tbl user'!$A$2:$D10975,""SELECT A WHERE D = '""&amp;K1240&amp;""'"")),""USER TIDAK DIKETAHUI""))"),"#REF!")</f>
        <v>#REF!</v>
      </c>
    </row>
    <row r="1241">
      <c r="A1241" s="21">
        <f t="shared" si="1"/>
        <v>0</v>
      </c>
      <c r="B1241" s="32" t="s">
        <v>289</v>
      </c>
      <c r="C1241" s="23" t="s">
        <v>290</v>
      </c>
      <c r="D1241" s="23" t="s">
        <v>21</v>
      </c>
      <c r="E1241" s="24">
        <v>45413.0</v>
      </c>
      <c r="F1241" s="25">
        <v>0.30625</v>
      </c>
      <c r="G1241" s="25">
        <v>0.6638888888888889</v>
      </c>
      <c r="H1241" s="27">
        <f t="shared" si="2"/>
        <v>0.3576388889</v>
      </c>
      <c r="I1241" s="28">
        <v>3.0</v>
      </c>
      <c r="J1241" s="29" t="s">
        <v>385</v>
      </c>
      <c r="K1241" s="30" t="s">
        <v>23</v>
      </c>
      <c r="L1241" s="31" t="str">
        <f>IFERROR(__xludf.DUMMYFUNCTION("IF(OR(E1241="""",K1241=""""),"""",IFERROR(IF(K1241="""","""",query('tbl user'!$A$2:$D10975,""SELECT A WHERE D = '""&amp;K1241&amp;""'"")),""USER TIDAK DIKETAHUI""))"),"#REF!")</f>
        <v>#REF!</v>
      </c>
    </row>
    <row r="1242">
      <c r="A1242" s="21">
        <f t="shared" si="1"/>
        <v>0</v>
      </c>
      <c r="B1242" s="32" t="s">
        <v>64</v>
      </c>
      <c r="C1242" s="23" t="s">
        <v>65</v>
      </c>
      <c r="D1242" s="23" t="s">
        <v>21</v>
      </c>
      <c r="E1242" s="24">
        <v>45413.0</v>
      </c>
      <c r="F1242" s="25">
        <v>0.33541666666666664</v>
      </c>
      <c r="G1242" s="25">
        <v>0.6805555555555556</v>
      </c>
      <c r="H1242" s="27">
        <f t="shared" si="2"/>
        <v>0.3451388889</v>
      </c>
      <c r="I1242" s="28">
        <v>3.0</v>
      </c>
      <c r="J1242" s="29" t="s">
        <v>708</v>
      </c>
      <c r="K1242" s="30" t="s">
        <v>23</v>
      </c>
      <c r="L1242" s="31" t="str">
        <f>IFERROR(__xludf.DUMMYFUNCTION("IF(OR(E1242="""",K1242=""""),"""",IFERROR(IF(K1242="""","""",query('tbl user'!$A$2:$D10975,""SELECT A WHERE D = '""&amp;K1242&amp;""'"")),""USER TIDAK DIKETAHUI""))"),"#REF!")</f>
        <v>#REF!</v>
      </c>
    </row>
    <row r="1243">
      <c r="A1243" s="21">
        <f t="shared" si="1"/>
        <v>0</v>
      </c>
      <c r="B1243" s="32" t="s">
        <v>101</v>
      </c>
      <c r="C1243" s="23" t="s">
        <v>285</v>
      </c>
      <c r="D1243" s="23" t="s">
        <v>21</v>
      </c>
      <c r="E1243" s="24">
        <v>45413.0</v>
      </c>
      <c r="F1243" s="25">
        <v>0.3576388888888889</v>
      </c>
      <c r="G1243" s="25">
        <v>0.6895833333333333</v>
      </c>
      <c r="H1243" s="27">
        <f t="shared" si="2"/>
        <v>0.3319444444</v>
      </c>
      <c r="I1243" s="28">
        <v>3.0</v>
      </c>
      <c r="J1243" s="29" t="s">
        <v>709</v>
      </c>
      <c r="K1243" s="30" t="s">
        <v>23</v>
      </c>
      <c r="L1243" s="31" t="str">
        <f>IFERROR(__xludf.DUMMYFUNCTION("IF(OR(E1243="""",K1243=""""),"""",IFERROR(IF(K1243="""","""",query('tbl user'!$A$2:$D10975,""SELECT A WHERE D = '""&amp;K1243&amp;""'"")),""USER TIDAK DIKETAHUI""))"),"#REF!")</f>
        <v>#REF!</v>
      </c>
    </row>
    <row r="1244">
      <c r="A1244" s="21">
        <f t="shared" si="1"/>
        <v>0</v>
      </c>
      <c r="B1244" s="32" t="s">
        <v>286</v>
      </c>
      <c r="C1244" s="23" t="s">
        <v>287</v>
      </c>
      <c r="D1244" s="23" t="s">
        <v>21</v>
      </c>
      <c r="E1244" s="24">
        <v>45413.0</v>
      </c>
      <c r="F1244" s="25">
        <v>0.2965277777777778</v>
      </c>
      <c r="G1244" s="25">
        <v>0.6298611111111111</v>
      </c>
      <c r="H1244" s="27">
        <f t="shared" si="2"/>
        <v>0.3333333333</v>
      </c>
      <c r="I1244" s="28">
        <v>3.0</v>
      </c>
      <c r="J1244" s="29" t="s">
        <v>709</v>
      </c>
      <c r="K1244" s="30" t="s">
        <v>23</v>
      </c>
      <c r="L1244" s="31" t="str">
        <f>IFERROR(__xludf.DUMMYFUNCTION("IF(OR(E1244="""",K1244=""""),"""",IFERROR(IF(K1244="""","""",query('tbl user'!$A$2:$D10975,""SELECT A WHERE D = '""&amp;K1244&amp;""'"")),""USER TIDAK DIKETAHUI""))"),"#REF!")</f>
        <v>#REF!</v>
      </c>
    </row>
    <row r="1245">
      <c r="A1245" s="21">
        <f t="shared" si="1"/>
        <v>0</v>
      </c>
      <c r="B1245" s="32" t="s">
        <v>61</v>
      </c>
      <c r="C1245" s="23" t="s">
        <v>62</v>
      </c>
      <c r="D1245" s="23" t="s">
        <v>21</v>
      </c>
      <c r="E1245" s="24">
        <v>45413.0</v>
      </c>
      <c r="F1245" s="25">
        <v>0.2951388888888889</v>
      </c>
      <c r="G1245" s="25">
        <v>0.6993055555555555</v>
      </c>
      <c r="H1245" s="27">
        <f t="shared" si="2"/>
        <v>0.4041666667</v>
      </c>
      <c r="I1245" s="28">
        <v>4.0</v>
      </c>
      <c r="J1245" s="29" t="s">
        <v>55</v>
      </c>
      <c r="K1245" s="30" t="s">
        <v>23</v>
      </c>
      <c r="L1245" s="31" t="str">
        <f>IFERROR(__xludf.DUMMYFUNCTION("IF(OR(E1245="""",K1245=""""),"""",IFERROR(IF(K1245="""","""",query('tbl user'!$A$2:$D10975,""SELECT A WHERE D = '""&amp;K1245&amp;""'"")),""USER TIDAK DIKETAHUI""))"),"#REF!")</f>
        <v>#REF!</v>
      </c>
    </row>
    <row r="1246">
      <c r="A1246" s="21">
        <f t="shared" si="1"/>
        <v>0</v>
      </c>
      <c r="B1246" s="32" t="s">
        <v>159</v>
      </c>
      <c r="C1246" s="23" t="s">
        <v>340</v>
      </c>
      <c r="D1246" s="23" t="s">
        <v>21</v>
      </c>
      <c r="E1246" s="24">
        <v>45413.0</v>
      </c>
      <c r="F1246" s="25">
        <v>0.33611111111111114</v>
      </c>
      <c r="G1246" s="25">
        <v>0.5618055555555556</v>
      </c>
      <c r="H1246" s="27">
        <f t="shared" si="2"/>
        <v>0.2256944444</v>
      </c>
      <c r="I1246" s="28">
        <v>2.0</v>
      </c>
      <c r="J1246" s="29" t="s">
        <v>710</v>
      </c>
      <c r="K1246" s="30" t="s">
        <v>23</v>
      </c>
      <c r="L1246" s="31" t="str">
        <f>IFERROR(__xludf.DUMMYFUNCTION("IF(OR(E1246="""",K1246=""""),"""",IFERROR(IF(K1246="""","""",query('tbl user'!$A$2:$D10975,""SELECT A WHERE D = '""&amp;K1246&amp;""'"")),""USER TIDAK DIKETAHUI""))"),"#REF!")</f>
        <v>#REF!</v>
      </c>
    </row>
    <row r="1247">
      <c r="A1247" s="21">
        <f t="shared" si="1"/>
        <v>0</v>
      </c>
      <c r="B1247" s="32" t="s">
        <v>331</v>
      </c>
      <c r="C1247" s="23" t="s">
        <v>332</v>
      </c>
      <c r="D1247" s="23" t="s">
        <v>21</v>
      </c>
      <c r="E1247" s="24">
        <v>45413.0</v>
      </c>
      <c r="F1247" s="25">
        <v>0.26805555555555555</v>
      </c>
      <c r="G1247" s="25">
        <v>0.5611111111111111</v>
      </c>
      <c r="H1247" s="27">
        <f t="shared" si="2"/>
        <v>0.2930555556</v>
      </c>
      <c r="I1247" s="28">
        <v>3.0</v>
      </c>
      <c r="J1247" s="29" t="s">
        <v>711</v>
      </c>
      <c r="K1247" s="30" t="s">
        <v>23</v>
      </c>
      <c r="L1247" s="31" t="str">
        <f>IFERROR(__xludf.DUMMYFUNCTION("IF(OR(E1247="""",K1247=""""),"""",IFERROR(IF(K1247="""","""",query('tbl user'!$A$2:$D10975,""SELECT A WHERE D = '""&amp;K1247&amp;""'"")),""USER TIDAK DIKETAHUI""))"),"#REF!")</f>
        <v>#REF!</v>
      </c>
    </row>
    <row r="1248">
      <c r="A1248" s="21">
        <f t="shared" si="1"/>
        <v>0</v>
      </c>
      <c r="B1248" s="32" t="s">
        <v>328</v>
      </c>
      <c r="C1248" s="23" t="s">
        <v>329</v>
      </c>
      <c r="D1248" s="23" t="s">
        <v>21</v>
      </c>
      <c r="E1248" s="24">
        <v>45413.0</v>
      </c>
      <c r="F1248" s="25">
        <v>0.3194444444444444</v>
      </c>
      <c r="G1248" s="25">
        <v>0.5951388888888889</v>
      </c>
      <c r="H1248" s="27">
        <f t="shared" si="2"/>
        <v>0.2756944444</v>
      </c>
      <c r="I1248" s="28">
        <v>3.0</v>
      </c>
      <c r="J1248" s="29" t="s">
        <v>237</v>
      </c>
      <c r="K1248" s="30" t="s">
        <v>23</v>
      </c>
      <c r="L1248" s="31" t="str">
        <f>IFERROR(__xludf.DUMMYFUNCTION("IF(OR(E1248="""",K1248=""""),"""",IFERROR(IF(K1248="""","""",query('tbl user'!$A$2:$D10975,""SELECT A WHERE D = '""&amp;K1248&amp;""'"")),""USER TIDAK DIKETAHUI""))"),"#REF!")</f>
        <v>#REF!</v>
      </c>
    </row>
    <row r="1249">
      <c r="A1249" s="21">
        <f t="shared" si="1"/>
        <v>0</v>
      </c>
      <c r="B1249" s="32" t="s">
        <v>95</v>
      </c>
      <c r="C1249" s="23" t="s">
        <v>326</v>
      </c>
      <c r="D1249" s="23" t="s">
        <v>21</v>
      </c>
      <c r="E1249" s="24">
        <v>45413.0</v>
      </c>
      <c r="F1249" s="25">
        <v>0.32222222222222224</v>
      </c>
      <c r="G1249" s="25">
        <v>0.6</v>
      </c>
      <c r="H1249" s="27">
        <f t="shared" si="2"/>
        <v>0.2777777778</v>
      </c>
      <c r="I1249" s="28">
        <v>3.0</v>
      </c>
      <c r="J1249" s="29" t="s">
        <v>712</v>
      </c>
      <c r="K1249" s="30" t="s">
        <v>23</v>
      </c>
      <c r="L1249" s="31" t="str">
        <f>IFERROR(__xludf.DUMMYFUNCTION("IF(OR(E1249="""",K1249=""""),"""",IFERROR(IF(K1249="""","""",query('tbl user'!$A$2:$D10975,""SELECT A WHERE D = '""&amp;K1249&amp;""'"")),""USER TIDAK DIKETAHUI""))"),"#REF!")</f>
        <v>#REF!</v>
      </c>
    </row>
    <row r="1250">
      <c r="A1250" s="21">
        <f t="shared" si="1"/>
        <v>0</v>
      </c>
      <c r="B1250" s="32" t="s">
        <v>601</v>
      </c>
      <c r="C1250" s="23" t="s">
        <v>323</v>
      </c>
      <c r="D1250" s="23" t="s">
        <v>21</v>
      </c>
      <c r="E1250" s="24">
        <v>45413.0</v>
      </c>
      <c r="F1250" s="25">
        <v>0.2826388888888889</v>
      </c>
      <c r="G1250" s="25">
        <v>0.7236111111111111</v>
      </c>
      <c r="H1250" s="27">
        <f t="shared" si="2"/>
        <v>0.4409722222</v>
      </c>
      <c r="I1250" s="28">
        <v>3.0</v>
      </c>
      <c r="J1250" s="29" t="s">
        <v>713</v>
      </c>
      <c r="K1250" s="30" t="s">
        <v>23</v>
      </c>
      <c r="L1250" s="31" t="str">
        <f>IFERROR(__xludf.DUMMYFUNCTION("IF(OR(E1250="""",K1250=""""),"""",IFERROR(IF(K1250="""","""",query('tbl user'!$A$2:$D10975,""SELECT A WHERE D = '""&amp;K1250&amp;""'"")),""USER TIDAK DIKETAHUI""))"),"#REF!")</f>
        <v>#REF!</v>
      </c>
    </row>
    <row r="1251">
      <c r="A1251" s="21">
        <f t="shared" si="1"/>
        <v>0</v>
      </c>
      <c r="B1251" s="32" t="s">
        <v>131</v>
      </c>
      <c r="C1251" s="23" t="s">
        <v>339</v>
      </c>
      <c r="D1251" s="23" t="s">
        <v>21</v>
      </c>
      <c r="E1251" s="24">
        <v>45413.0</v>
      </c>
      <c r="F1251" s="25">
        <v>0.27152777777777776</v>
      </c>
      <c r="G1251" s="25">
        <v>0.63125</v>
      </c>
      <c r="H1251" s="27">
        <f t="shared" si="2"/>
        <v>0.3597222222</v>
      </c>
      <c r="I1251" s="28">
        <v>4.0</v>
      </c>
      <c r="J1251" s="29" t="s">
        <v>714</v>
      </c>
      <c r="K1251" s="30" t="s">
        <v>23</v>
      </c>
      <c r="L1251" s="31" t="str">
        <f>IFERROR(__xludf.DUMMYFUNCTION("IF(OR(E1251="""",K1251=""""),"""",IFERROR(IF(K1251="""","""",query('tbl user'!$A$2:$D10975,""SELECT A WHERE D = '""&amp;K1251&amp;""'"")),""USER TIDAK DIKETAHUI""))"),"#REF!")</f>
        <v>#REF!</v>
      </c>
    </row>
    <row r="1252">
      <c r="A1252" s="21">
        <f t="shared" si="1"/>
        <v>0</v>
      </c>
      <c r="B1252" s="32" t="s">
        <v>337</v>
      </c>
      <c r="C1252" s="23" t="s">
        <v>338</v>
      </c>
      <c r="D1252" s="23" t="s">
        <v>21</v>
      </c>
      <c r="E1252" s="24">
        <v>45413.0</v>
      </c>
      <c r="F1252" s="25">
        <v>0.24444444444444444</v>
      </c>
      <c r="G1252" s="25">
        <v>0.6319444444444444</v>
      </c>
      <c r="H1252" s="27">
        <f t="shared" si="2"/>
        <v>0.3875</v>
      </c>
      <c r="I1252" s="28">
        <v>4.0</v>
      </c>
      <c r="J1252" s="29" t="s">
        <v>715</v>
      </c>
      <c r="K1252" s="30" t="s">
        <v>23</v>
      </c>
      <c r="L1252" s="31" t="str">
        <f>IFERROR(__xludf.DUMMYFUNCTION("IF(OR(E1252="""",K1252=""""),"""",IFERROR(IF(K1252="""","""",query('tbl user'!$A$2:$D10975,""SELECT A WHERE D = '""&amp;K1252&amp;""'"")),""USER TIDAK DIKETAHUI""))"),"#REF!")</f>
        <v>#REF!</v>
      </c>
    </row>
    <row r="1253">
      <c r="A1253" s="21">
        <f t="shared" si="1"/>
        <v>0</v>
      </c>
      <c r="B1253" s="32" t="s">
        <v>333</v>
      </c>
      <c r="C1253" s="23" t="s">
        <v>334</v>
      </c>
      <c r="D1253" s="23" t="s">
        <v>21</v>
      </c>
      <c r="E1253" s="24">
        <v>45413.0</v>
      </c>
      <c r="F1253" s="25">
        <v>0.2638888888888889</v>
      </c>
      <c r="G1253" s="25">
        <v>0.7513888888888889</v>
      </c>
      <c r="H1253" s="27">
        <f t="shared" si="2"/>
        <v>0.4875</v>
      </c>
      <c r="I1253" s="28">
        <v>5.0</v>
      </c>
      <c r="J1253" s="29" t="s">
        <v>55</v>
      </c>
      <c r="K1253" s="30" t="s">
        <v>23</v>
      </c>
      <c r="L1253" s="31" t="str">
        <f>IFERROR(__xludf.DUMMYFUNCTION("IF(OR(E1253="""",K1253=""""),"""",IFERROR(IF(K1253="""","""",query('tbl user'!$A$2:$D10975,""SELECT A WHERE D = '""&amp;K1253&amp;""'"")),""USER TIDAK DIKETAHUI""))"),"#REF!")</f>
        <v>#REF!</v>
      </c>
    </row>
    <row r="1254">
      <c r="A1254" s="21">
        <f t="shared" si="1"/>
        <v>0</v>
      </c>
      <c r="B1254" s="32" t="s">
        <v>716</v>
      </c>
      <c r="C1254" s="23" t="s">
        <v>316</v>
      </c>
      <c r="D1254" s="23" t="s">
        <v>21</v>
      </c>
      <c r="E1254" s="24">
        <v>45413.0</v>
      </c>
      <c r="F1254" s="25">
        <v>0.26944444444444443</v>
      </c>
      <c r="G1254" s="25">
        <v>0.7708333333333334</v>
      </c>
      <c r="H1254" s="27">
        <f t="shared" si="2"/>
        <v>0.5013888889</v>
      </c>
      <c r="I1254" s="28">
        <v>5.0</v>
      </c>
      <c r="J1254" s="29" t="s">
        <v>55</v>
      </c>
      <c r="K1254" s="30" t="s">
        <v>23</v>
      </c>
      <c r="L1254" s="31" t="str">
        <f>IFERROR(__xludf.DUMMYFUNCTION("IF(OR(E1254="""",K1254=""""),"""",IFERROR(IF(K1254="""","""",query('tbl user'!$A$2:$D10975,""SELECT A WHERE D = '""&amp;K1254&amp;""'"")),""USER TIDAK DIKETAHUI""))"),"#REF!")</f>
        <v>#REF!</v>
      </c>
    </row>
    <row r="1255">
      <c r="A1255" s="21">
        <f t="shared" si="1"/>
        <v>0</v>
      </c>
      <c r="B1255" s="32" t="s">
        <v>87</v>
      </c>
      <c r="C1255" s="23" t="s">
        <v>88</v>
      </c>
      <c r="D1255" s="23" t="s">
        <v>21</v>
      </c>
      <c r="E1255" s="24">
        <v>45413.0</v>
      </c>
      <c r="F1255" s="25">
        <v>0.275</v>
      </c>
      <c r="G1255" s="25">
        <v>0.7527777777777778</v>
      </c>
      <c r="H1255" s="27">
        <f t="shared" si="2"/>
        <v>0.4777777778</v>
      </c>
      <c r="I1255" s="28">
        <v>5.0</v>
      </c>
      <c r="J1255" s="29" t="s">
        <v>55</v>
      </c>
      <c r="K1255" s="30" t="s">
        <v>23</v>
      </c>
      <c r="L1255" s="31" t="str">
        <f>IFERROR(__xludf.DUMMYFUNCTION("IF(OR(E1255="""",K1255=""""),"""",IFERROR(IF(K1255="""","""",query('tbl user'!$A$2:$D10975,""SELECT A WHERE D = '""&amp;K1255&amp;""'"")),""USER TIDAK DIKETAHUI""))"),"#REF!")</f>
        <v>#REF!</v>
      </c>
    </row>
    <row r="1256">
      <c r="A1256" s="21">
        <f t="shared" si="1"/>
        <v>0</v>
      </c>
      <c r="B1256" s="32" t="s">
        <v>53</v>
      </c>
      <c r="C1256" s="23" t="s">
        <v>54</v>
      </c>
      <c r="D1256" s="23" t="s">
        <v>21</v>
      </c>
      <c r="E1256" s="24">
        <v>45413.0</v>
      </c>
      <c r="F1256" s="25">
        <v>0.2625</v>
      </c>
      <c r="G1256" s="25">
        <v>0.7576388888888889</v>
      </c>
      <c r="H1256" s="27">
        <f t="shared" si="2"/>
        <v>0.4951388889</v>
      </c>
      <c r="I1256" s="28">
        <v>5.0</v>
      </c>
      <c r="J1256" s="29" t="s">
        <v>55</v>
      </c>
      <c r="K1256" s="30" t="s">
        <v>23</v>
      </c>
      <c r="L1256" s="31" t="str">
        <f>IFERROR(__xludf.DUMMYFUNCTION("IF(OR(E1256="""",K1256=""""),"""",IFERROR(IF(K1256="""","""",query('tbl user'!$A$2:$D10975,""SELECT A WHERE D = '""&amp;K1256&amp;""'"")),""USER TIDAK DIKETAHUI""))"),"#REF!")</f>
        <v>#REF!</v>
      </c>
    </row>
    <row r="1257">
      <c r="A1257" s="21">
        <f t="shared" si="1"/>
        <v>0</v>
      </c>
      <c r="B1257" s="32" t="s">
        <v>319</v>
      </c>
      <c r="C1257" s="23" t="s">
        <v>320</v>
      </c>
      <c r="D1257" s="23" t="s">
        <v>21</v>
      </c>
      <c r="E1257" s="24">
        <v>45413.0</v>
      </c>
      <c r="F1257" s="25">
        <v>0.22916666666666666</v>
      </c>
      <c r="G1257" s="25">
        <v>0.7069444444444445</v>
      </c>
      <c r="H1257" s="27">
        <f t="shared" si="2"/>
        <v>0.4777777778</v>
      </c>
      <c r="I1257" s="28">
        <v>5.0</v>
      </c>
      <c r="J1257" s="29" t="s">
        <v>55</v>
      </c>
      <c r="K1257" s="30" t="s">
        <v>23</v>
      </c>
      <c r="L1257" s="31" t="str">
        <f>IFERROR(__xludf.DUMMYFUNCTION("IF(OR(E1257="""",K1257=""""),"""",IFERROR(IF(K1257="""","""",query('tbl user'!$A$2:$D10975,""SELECT A WHERE D = '""&amp;K1257&amp;""'"")),""USER TIDAK DIKETAHUI""))"),"#REF!")</f>
        <v>#REF!</v>
      </c>
    </row>
    <row r="1258">
      <c r="A1258" s="21">
        <f t="shared" si="1"/>
        <v>0</v>
      </c>
      <c r="B1258" s="32" t="s">
        <v>577</v>
      </c>
      <c r="C1258" s="23" t="s">
        <v>330</v>
      </c>
      <c r="D1258" s="23" t="s">
        <v>21</v>
      </c>
      <c r="E1258" s="24">
        <v>45413.0</v>
      </c>
      <c r="F1258" s="25">
        <v>0.25833333333333336</v>
      </c>
      <c r="G1258" s="25">
        <v>0.725</v>
      </c>
      <c r="H1258" s="27">
        <f t="shared" si="2"/>
        <v>0.4666666667</v>
      </c>
      <c r="I1258" s="28">
        <v>5.0</v>
      </c>
      <c r="J1258" s="29" t="s">
        <v>55</v>
      </c>
      <c r="K1258" s="30" t="s">
        <v>23</v>
      </c>
      <c r="L1258" s="31" t="str">
        <f>IFERROR(__xludf.DUMMYFUNCTION("IF(OR(E1258="""",K1258=""""),"""",IFERROR(IF(K1258="""","""",query('tbl user'!$A$2:$D10975,""SELECT A WHERE D = '""&amp;K1258&amp;""'"")),""USER TIDAK DIKETAHUI""))"),"#REF!")</f>
        <v>#REF!</v>
      </c>
    </row>
    <row r="1259">
      <c r="A1259" s="21">
        <f t="shared" si="1"/>
        <v>0</v>
      </c>
      <c r="B1259" s="32" t="s">
        <v>67</v>
      </c>
      <c r="C1259" s="23" t="s">
        <v>68</v>
      </c>
      <c r="D1259" s="23" t="s">
        <v>58</v>
      </c>
      <c r="E1259" s="24">
        <v>45414.0</v>
      </c>
      <c r="F1259" s="25">
        <v>0.2791666666666667</v>
      </c>
      <c r="G1259" s="25">
        <v>0.5791666666666667</v>
      </c>
      <c r="H1259" s="27">
        <f t="shared" si="2"/>
        <v>0.3</v>
      </c>
      <c r="I1259" s="28">
        <v>2.0</v>
      </c>
      <c r="J1259" s="29" t="s">
        <v>717</v>
      </c>
      <c r="K1259" s="30" t="s">
        <v>23</v>
      </c>
      <c r="L1259" s="31" t="str">
        <f>IFERROR(__xludf.DUMMYFUNCTION("IF(OR(E1259="""",K1259=""""),"""",IFERROR(IF(K1259="""","""",query('tbl user'!$A$2:$D10975,""SELECT A WHERE D = '""&amp;K1259&amp;""'"")),""USER TIDAK DIKETAHUI""))"),"#REF!")</f>
        <v>#REF!</v>
      </c>
    </row>
    <row r="1260">
      <c r="A1260" s="21">
        <f t="shared" si="1"/>
        <v>0</v>
      </c>
      <c r="B1260" s="32" t="s">
        <v>56</v>
      </c>
      <c r="C1260" s="23" t="s">
        <v>57</v>
      </c>
      <c r="D1260" s="23" t="s">
        <v>58</v>
      </c>
      <c r="E1260" s="24">
        <v>45414.0</v>
      </c>
      <c r="F1260" s="25">
        <v>0.3125</v>
      </c>
      <c r="G1260" s="25">
        <v>0.5784722222222223</v>
      </c>
      <c r="H1260" s="27">
        <f t="shared" si="2"/>
        <v>0.2659722222</v>
      </c>
      <c r="I1260" s="28">
        <v>2.0</v>
      </c>
      <c r="J1260" s="29" t="s">
        <v>718</v>
      </c>
      <c r="K1260" s="30" t="s">
        <v>23</v>
      </c>
      <c r="L1260" s="31" t="str">
        <f>IFERROR(__xludf.DUMMYFUNCTION("IF(OR(E1260="""",K1260=""""),"""",IFERROR(IF(K1260="""","""",query('tbl user'!$A$2:$D10975,""SELECT A WHERE D = '""&amp;K1260&amp;""'"")),""USER TIDAK DIKETAHUI""))"),"#REF!")</f>
        <v>#REF!</v>
      </c>
    </row>
    <row r="1261">
      <c r="A1261" s="21">
        <f t="shared" si="1"/>
        <v>0</v>
      </c>
      <c r="B1261" s="32" t="s">
        <v>178</v>
      </c>
      <c r="C1261" s="23" t="s">
        <v>82</v>
      </c>
      <c r="D1261" s="23" t="s">
        <v>58</v>
      </c>
      <c r="E1261" s="24">
        <v>45414.0</v>
      </c>
      <c r="F1261" s="25">
        <v>0.2743055555555556</v>
      </c>
      <c r="G1261" s="25">
        <v>0.5534722222222223</v>
      </c>
      <c r="H1261" s="27">
        <f t="shared" si="2"/>
        <v>0.2791666667</v>
      </c>
      <c r="I1261" s="28">
        <v>2.0</v>
      </c>
      <c r="J1261" s="29" t="s">
        <v>719</v>
      </c>
      <c r="K1261" s="30" t="s">
        <v>23</v>
      </c>
      <c r="L1261" s="31" t="str">
        <f>IFERROR(__xludf.DUMMYFUNCTION("IF(OR(E1261="""",K1261=""""),"""",IFERROR(IF(K1261="""","""",query('tbl user'!$A$2:$D10975,""SELECT A WHERE D = '""&amp;K1261&amp;""'"")),""USER TIDAK DIKETAHUI""))"),"#REF!")</f>
        <v>#REF!</v>
      </c>
    </row>
    <row r="1262">
      <c r="A1262" s="21">
        <f t="shared" si="1"/>
        <v>0</v>
      </c>
      <c r="B1262" s="32" t="s">
        <v>224</v>
      </c>
      <c r="C1262" s="23" t="s">
        <v>208</v>
      </c>
      <c r="D1262" s="23" t="s">
        <v>58</v>
      </c>
      <c r="E1262" s="24">
        <v>45414.0</v>
      </c>
      <c r="F1262" s="25">
        <v>0.2569444444444444</v>
      </c>
      <c r="G1262" s="25">
        <v>0.47638888888888886</v>
      </c>
      <c r="H1262" s="27">
        <f t="shared" si="2"/>
        <v>0.2194444444</v>
      </c>
      <c r="I1262" s="28">
        <v>2.0</v>
      </c>
      <c r="J1262" s="29" t="s">
        <v>720</v>
      </c>
      <c r="K1262" s="30" t="s">
        <v>23</v>
      </c>
      <c r="L1262" s="31" t="str">
        <f>IFERROR(__xludf.DUMMYFUNCTION("IF(OR(E1262="""",K1262=""""),"""",IFERROR(IF(K1262="""","""",query('tbl user'!$A$2:$D10975,""SELECT A WHERE D = '""&amp;K1262&amp;""'"")),""USER TIDAK DIKETAHUI""))"),"#REF!")</f>
        <v>#REF!</v>
      </c>
    </row>
    <row r="1263">
      <c r="A1263" s="21">
        <f t="shared" si="1"/>
        <v>0</v>
      </c>
      <c r="B1263" s="32" t="s">
        <v>293</v>
      </c>
      <c r="C1263" s="23" t="s">
        <v>211</v>
      </c>
      <c r="D1263" s="23" t="s">
        <v>58</v>
      </c>
      <c r="E1263" s="24">
        <v>45414.0</v>
      </c>
      <c r="F1263" s="25">
        <v>0.28194444444444444</v>
      </c>
      <c r="G1263" s="25">
        <v>0.6118055555555556</v>
      </c>
      <c r="H1263" s="27">
        <f t="shared" si="2"/>
        <v>0.3298611111</v>
      </c>
      <c r="I1263" s="28">
        <v>3.0</v>
      </c>
      <c r="J1263" s="29" t="s">
        <v>721</v>
      </c>
      <c r="K1263" s="30" t="s">
        <v>23</v>
      </c>
      <c r="L1263" s="31" t="str">
        <f>IFERROR(__xludf.DUMMYFUNCTION("IF(OR(E1263="""",K1263=""""),"""",IFERROR(IF(K1263="""","""",query('tbl user'!$A$2:$D10975,""SELECT A WHERE D = '""&amp;K1263&amp;""'"")),""USER TIDAK DIKETAHUI""))"),"#REF!")</f>
        <v>#REF!</v>
      </c>
    </row>
    <row r="1264">
      <c r="A1264" s="21">
        <f t="shared" si="1"/>
        <v>0</v>
      </c>
      <c r="B1264" s="32" t="s">
        <v>127</v>
      </c>
      <c r="C1264" s="23" t="s">
        <v>170</v>
      </c>
      <c r="D1264" s="23" t="s">
        <v>58</v>
      </c>
      <c r="E1264" s="24">
        <v>45414.0</v>
      </c>
      <c r="F1264" s="25">
        <v>0.2965277777777778</v>
      </c>
      <c r="G1264" s="25">
        <v>0.6611111111111111</v>
      </c>
      <c r="H1264" s="27">
        <f t="shared" si="2"/>
        <v>0.3645833333</v>
      </c>
      <c r="I1264" s="28">
        <v>3.0</v>
      </c>
      <c r="J1264" s="29" t="s">
        <v>722</v>
      </c>
      <c r="K1264" s="30" t="s">
        <v>23</v>
      </c>
      <c r="L1264" s="31" t="str">
        <f>IFERROR(__xludf.DUMMYFUNCTION("IF(OR(E1264="""",K1264=""""),"""",IFERROR(IF(K1264="""","""",query('tbl user'!$A$2:$D10975,""SELECT A WHERE D = '""&amp;K1264&amp;""'"")),""USER TIDAK DIKETAHUI""))"),"#REF!")</f>
        <v>#REF!</v>
      </c>
    </row>
    <row r="1265">
      <c r="A1265" s="21">
        <f t="shared" si="1"/>
        <v>0</v>
      </c>
      <c r="B1265" s="32" t="s">
        <v>215</v>
      </c>
      <c r="C1265" s="23" t="s">
        <v>176</v>
      </c>
      <c r="D1265" s="23" t="s">
        <v>58</v>
      </c>
      <c r="E1265" s="24">
        <v>45414.0</v>
      </c>
      <c r="F1265" s="25">
        <v>0.28125</v>
      </c>
      <c r="G1265" s="25">
        <v>0.6166666666666667</v>
      </c>
      <c r="H1265" s="27">
        <f t="shared" si="2"/>
        <v>0.3354166667</v>
      </c>
      <c r="I1265" s="28">
        <v>3.0</v>
      </c>
      <c r="J1265" s="29" t="s">
        <v>721</v>
      </c>
      <c r="K1265" s="30" t="s">
        <v>23</v>
      </c>
      <c r="L1265" s="31" t="str">
        <f>IFERROR(__xludf.DUMMYFUNCTION("IF(OR(E1265="""",K1265=""""),"""",IFERROR(IF(K1265="""","""",query('tbl user'!$A$2:$D10975,""SELECT A WHERE D = '""&amp;K1265&amp;""'"")),""USER TIDAK DIKETAHUI""))"),"#REF!")</f>
        <v>#REF!</v>
      </c>
    </row>
    <row r="1266">
      <c r="A1266" s="21">
        <f t="shared" si="1"/>
        <v>0</v>
      </c>
      <c r="B1266" s="32" t="s">
        <v>189</v>
      </c>
      <c r="C1266" s="23" t="s">
        <v>190</v>
      </c>
      <c r="D1266" s="23" t="s">
        <v>58</v>
      </c>
      <c r="E1266" s="24">
        <v>45414.0</v>
      </c>
      <c r="F1266" s="25">
        <v>0.2923611111111111</v>
      </c>
      <c r="G1266" s="25">
        <v>0.6243055555555556</v>
      </c>
      <c r="H1266" s="27">
        <f t="shared" si="2"/>
        <v>0.3319444444</v>
      </c>
      <c r="I1266" s="28">
        <v>3.0</v>
      </c>
      <c r="J1266" s="29" t="s">
        <v>723</v>
      </c>
      <c r="K1266" s="30" t="s">
        <v>23</v>
      </c>
      <c r="L1266" s="31" t="str">
        <f>IFERROR(__xludf.DUMMYFUNCTION("IF(OR(E1266="""",K1266=""""),"""",IFERROR(IF(K1266="""","""",query('tbl user'!$A$2:$D10975,""SELECT A WHERE D = '""&amp;K1266&amp;""'"")),""USER TIDAK DIKETAHUI""))"),"#REF!")</f>
        <v>#REF!</v>
      </c>
    </row>
    <row r="1267">
      <c r="A1267" s="21">
        <f t="shared" si="1"/>
        <v>0</v>
      </c>
      <c r="B1267" s="32" t="s">
        <v>191</v>
      </c>
      <c r="C1267" s="23" t="s">
        <v>192</v>
      </c>
      <c r="D1267" s="23" t="s">
        <v>58</v>
      </c>
      <c r="E1267" s="24">
        <v>45414.0</v>
      </c>
      <c r="F1267" s="25">
        <v>0.35138888888888886</v>
      </c>
      <c r="G1267" s="25">
        <v>0.6701388888888888</v>
      </c>
      <c r="H1267" s="27">
        <f t="shared" si="2"/>
        <v>0.31875</v>
      </c>
      <c r="I1267" s="28">
        <v>3.0</v>
      </c>
      <c r="J1267" s="29" t="s">
        <v>724</v>
      </c>
      <c r="K1267" s="30" t="s">
        <v>23</v>
      </c>
      <c r="L1267" s="31" t="str">
        <f>IFERROR(__xludf.DUMMYFUNCTION("IF(OR(E1267="""",K1267=""""),"""",IFERROR(IF(K1267="""","""",query('tbl user'!$A$2:$D10975,""SELECT A WHERE D = '""&amp;K1267&amp;""'"")),""USER TIDAK DIKETAHUI""))"),"#REF!")</f>
        <v>#REF!</v>
      </c>
    </row>
    <row r="1268">
      <c r="A1268" s="21">
        <f t="shared" si="1"/>
        <v>0</v>
      </c>
      <c r="B1268" s="32" t="s">
        <v>197</v>
      </c>
      <c r="C1268" s="23" t="s">
        <v>198</v>
      </c>
      <c r="D1268" s="23" t="s">
        <v>58</v>
      </c>
      <c r="E1268" s="24">
        <v>45414.0</v>
      </c>
      <c r="F1268" s="25">
        <v>0.22916666666666666</v>
      </c>
      <c r="G1268" s="25">
        <v>0.5548611111111111</v>
      </c>
      <c r="H1268" s="27">
        <f t="shared" si="2"/>
        <v>0.3256944444</v>
      </c>
      <c r="I1268" s="28">
        <v>3.0</v>
      </c>
      <c r="J1268" s="29" t="s">
        <v>721</v>
      </c>
      <c r="K1268" s="30" t="s">
        <v>23</v>
      </c>
      <c r="L1268" s="31" t="str">
        <f>IFERROR(__xludf.DUMMYFUNCTION("IF(OR(E1268="""",K1268=""""),"""",IFERROR(IF(K1268="""","""",query('tbl user'!$A$2:$D10975,""SELECT A WHERE D = '""&amp;K1268&amp;""'"")),""USER TIDAK DIKETAHUI""))"),"#REF!")</f>
        <v>#REF!</v>
      </c>
    </row>
    <row r="1269">
      <c r="A1269" s="21">
        <f t="shared" si="1"/>
        <v>0</v>
      </c>
      <c r="B1269" s="32" t="s">
        <v>202</v>
      </c>
      <c r="C1269" s="23" t="s">
        <v>203</v>
      </c>
      <c r="D1269" s="23" t="s">
        <v>58</v>
      </c>
      <c r="E1269" s="24">
        <v>45414.0</v>
      </c>
      <c r="F1269" s="25">
        <v>0.24930555555555556</v>
      </c>
      <c r="G1269" s="25">
        <v>0.6076388888888888</v>
      </c>
      <c r="H1269" s="27">
        <f t="shared" si="2"/>
        <v>0.3583333333</v>
      </c>
      <c r="I1269" s="28">
        <v>3.0</v>
      </c>
      <c r="J1269" s="29" t="s">
        <v>721</v>
      </c>
      <c r="K1269" s="30" t="s">
        <v>23</v>
      </c>
      <c r="L1269" s="31" t="str">
        <f>IFERROR(__xludf.DUMMYFUNCTION("IF(OR(E1269="""",K1269=""""),"""",IFERROR(IF(K1269="""","""",query('tbl user'!$A$2:$D10975,""SELECT A WHERE D = '""&amp;K1269&amp;""'"")),""USER TIDAK DIKETAHUI""))"),"#REF!")</f>
        <v>#REF!</v>
      </c>
    </row>
    <row r="1270">
      <c r="A1270" s="21">
        <f t="shared" si="1"/>
        <v>0</v>
      </c>
      <c r="B1270" s="32" t="s">
        <v>297</v>
      </c>
      <c r="C1270" s="23" t="s">
        <v>348</v>
      </c>
      <c r="D1270" s="23" t="s">
        <v>58</v>
      </c>
      <c r="E1270" s="24">
        <v>45414.0</v>
      </c>
      <c r="F1270" s="25">
        <v>0.28055555555555556</v>
      </c>
      <c r="G1270" s="25">
        <v>0.6041666666666666</v>
      </c>
      <c r="H1270" s="27">
        <f t="shared" si="2"/>
        <v>0.3236111111</v>
      </c>
      <c r="I1270" s="28">
        <v>3.0</v>
      </c>
      <c r="J1270" s="29" t="s">
        <v>725</v>
      </c>
      <c r="K1270" s="30" t="s">
        <v>23</v>
      </c>
      <c r="L1270" s="31" t="str">
        <f>IFERROR(__xludf.DUMMYFUNCTION("IF(OR(E1270="""",K1270=""""),"""",IFERROR(IF(K1270="""","""",query('tbl user'!$A$2:$D10975,""SELECT A WHERE D = '""&amp;K1270&amp;""'"")),""USER TIDAK DIKETAHUI""))"),"#REF!")</f>
        <v>#REF!</v>
      </c>
    </row>
    <row r="1271">
      <c r="A1271" s="21">
        <f t="shared" si="1"/>
        <v>0</v>
      </c>
      <c r="B1271" s="32" t="s">
        <v>205</v>
      </c>
      <c r="C1271" s="23" t="s">
        <v>206</v>
      </c>
      <c r="D1271" s="23" t="s">
        <v>58</v>
      </c>
      <c r="E1271" s="24">
        <v>45414.0</v>
      </c>
      <c r="F1271" s="25">
        <v>0.23958333333333334</v>
      </c>
      <c r="G1271" s="25">
        <v>0.5958333333333333</v>
      </c>
      <c r="H1271" s="27">
        <f t="shared" si="2"/>
        <v>0.35625</v>
      </c>
      <c r="I1271" s="28">
        <v>3.0</v>
      </c>
      <c r="J1271" s="29" t="s">
        <v>309</v>
      </c>
      <c r="K1271" s="30" t="s">
        <v>23</v>
      </c>
      <c r="L1271" s="31" t="str">
        <f>IFERROR(__xludf.DUMMYFUNCTION("IF(OR(E1271="""",K1271=""""),"""",IFERROR(IF(K1271="""","""",query('tbl user'!$A$2:$D10975,""SELECT A WHERE D = '""&amp;K1271&amp;""'"")),""USER TIDAK DIKETAHUI""))"),"#REF!")</f>
        <v>#REF!</v>
      </c>
    </row>
    <row r="1272">
      <c r="A1272" s="21">
        <f t="shared" si="1"/>
        <v>0</v>
      </c>
      <c r="B1272" s="32" t="s">
        <v>167</v>
      </c>
      <c r="C1272" s="23" t="s">
        <v>168</v>
      </c>
      <c r="D1272" s="23" t="s">
        <v>58</v>
      </c>
      <c r="E1272" s="24">
        <v>45414.0</v>
      </c>
      <c r="F1272" s="25">
        <v>0.29305555555555557</v>
      </c>
      <c r="G1272" s="25">
        <v>0.71875</v>
      </c>
      <c r="H1272" s="27">
        <f t="shared" si="2"/>
        <v>0.4256944444</v>
      </c>
      <c r="I1272" s="28">
        <v>4.0</v>
      </c>
      <c r="J1272" s="29" t="s">
        <v>55</v>
      </c>
      <c r="K1272" s="30" t="s">
        <v>23</v>
      </c>
      <c r="L1272" s="31" t="str">
        <f>IFERROR(__xludf.DUMMYFUNCTION("IF(OR(E1272="""",K1272=""""),"""",IFERROR(IF(K1272="""","""",query('tbl user'!$A$2:$D10975,""SELECT A WHERE D = '""&amp;K1272&amp;""'"")),""USER TIDAK DIKETAHUI""))"),"#REF!")</f>
        <v>#REF!</v>
      </c>
    </row>
    <row r="1273">
      <c r="A1273" s="21">
        <f t="shared" si="1"/>
        <v>0</v>
      </c>
      <c r="B1273" s="32" t="s">
        <v>92</v>
      </c>
      <c r="C1273" s="23" t="s">
        <v>93</v>
      </c>
      <c r="D1273" s="23" t="s">
        <v>58</v>
      </c>
      <c r="E1273" s="24">
        <v>45414.0</v>
      </c>
      <c r="F1273" s="25">
        <v>0.26180555555555557</v>
      </c>
      <c r="G1273" s="25">
        <v>0.6486111111111111</v>
      </c>
      <c r="H1273" s="27">
        <f t="shared" si="2"/>
        <v>0.3868055556</v>
      </c>
      <c r="I1273" s="28">
        <v>4.0</v>
      </c>
      <c r="J1273" s="29" t="s">
        <v>55</v>
      </c>
      <c r="K1273" s="30" t="s">
        <v>23</v>
      </c>
      <c r="L1273" s="31" t="str">
        <f>IFERROR(__xludf.DUMMYFUNCTION("IF(OR(E1273="""",K1273=""""),"""",IFERROR(IF(K1273="""","""",query('tbl user'!$A$2:$D10975,""SELECT A WHERE D = '""&amp;K1273&amp;""'"")),""USER TIDAK DIKETAHUI""))"),"#REF!")</f>
        <v>#REF!</v>
      </c>
    </row>
    <row r="1274">
      <c r="A1274" s="21">
        <f t="shared" si="1"/>
        <v>0</v>
      </c>
      <c r="B1274" s="32" t="s">
        <v>180</v>
      </c>
      <c r="C1274" s="23" t="s">
        <v>181</v>
      </c>
      <c r="D1274" s="23" t="s">
        <v>58</v>
      </c>
      <c r="E1274" s="24">
        <v>45414.0</v>
      </c>
      <c r="F1274" s="25">
        <v>0.24305555555555555</v>
      </c>
      <c r="G1274" s="25">
        <v>0.6736111111111112</v>
      </c>
      <c r="H1274" s="27">
        <f t="shared" si="2"/>
        <v>0.4305555556</v>
      </c>
      <c r="I1274" s="28">
        <v>4.0</v>
      </c>
      <c r="J1274" s="29" t="s">
        <v>55</v>
      </c>
      <c r="K1274" s="30" t="s">
        <v>23</v>
      </c>
      <c r="L1274" s="31" t="str">
        <f>IFERROR(__xludf.DUMMYFUNCTION("IF(OR(E1274="""",K1274=""""),"""",IFERROR(IF(K1274="""","""",query('tbl user'!$A$2:$D10975,""SELECT A WHERE D = '""&amp;K1274&amp;""'"")),""USER TIDAK DIKETAHUI""))"),"#REF!")</f>
        <v>#REF!</v>
      </c>
    </row>
    <row r="1275">
      <c r="A1275" s="21">
        <f t="shared" si="1"/>
        <v>0</v>
      </c>
      <c r="B1275" s="32" t="s">
        <v>184</v>
      </c>
      <c r="C1275" s="23" t="s">
        <v>185</v>
      </c>
      <c r="D1275" s="23" t="s">
        <v>58</v>
      </c>
      <c r="E1275" s="24">
        <v>45414.0</v>
      </c>
      <c r="F1275" s="25">
        <v>0.25625</v>
      </c>
      <c r="G1275" s="25">
        <v>0.675</v>
      </c>
      <c r="H1275" s="27">
        <f t="shared" si="2"/>
        <v>0.41875</v>
      </c>
      <c r="I1275" s="28">
        <v>4.0</v>
      </c>
      <c r="J1275" s="29" t="s">
        <v>55</v>
      </c>
      <c r="K1275" s="30" t="s">
        <v>23</v>
      </c>
      <c r="L1275" s="31" t="str">
        <f>IFERROR(__xludf.DUMMYFUNCTION("IF(OR(E1275="""",K1275=""""),"""",IFERROR(IF(K1275="""","""",query('tbl user'!$A$2:$D10975,""SELECT A WHERE D = '""&amp;K1275&amp;""'"")),""USER TIDAK DIKETAHUI""))"),"#REF!")</f>
        <v>#REF!</v>
      </c>
    </row>
    <row r="1276">
      <c r="A1276" s="21">
        <f t="shared" si="1"/>
        <v>0</v>
      </c>
      <c r="B1276" s="32" t="s">
        <v>187</v>
      </c>
      <c r="C1276" s="23" t="s">
        <v>188</v>
      </c>
      <c r="D1276" s="23" t="s">
        <v>58</v>
      </c>
      <c r="E1276" s="24">
        <v>45414.0</v>
      </c>
      <c r="F1276" s="25">
        <v>0.23333333333333334</v>
      </c>
      <c r="G1276" s="25">
        <v>0.6770833333333334</v>
      </c>
      <c r="H1276" s="27">
        <f t="shared" si="2"/>
        <v>0.44375</v>
      </c>
      <c r="I1276" s="28">
        <v>4.0</v>
      </c>
      <c r="J1276" s="29" t="s">
        <v>55</v>
      </c>
      <c r="K1276" s="30" t="s">
        <v>23</v>
      </c>
      <c r="L1276" s="31" t="str">
        <f>IFERROR(__xludf.DUMMYFUNCTION("IF(OR(E1276="""",K1276=""""),"""",IFERROR(IF(K1276="""","""",query('tbl user'!$A$2:$D10975,""SELECT A WHERE D = '""&amp;K1276&amp;""'"")),""USER TIDAK DIKETAHUI""))"),"#REF!")</f>
        <v>#REF!</v>
      </c>
    </row>
    <row r="1277">
      <c r="A1277" s="21">
        <f t="shared" si="1"/>
        <v>0</v>
      </c>
      <c r="B1277" s="32" t="s">
        <v>194</v>
      </c>
      <c r="C1277" s="23" t="s">
        <v>195</v>
      </c>
      <c r="D1277" s="23" t="s">
        <v>58</v>
      </c>
      <c r="E1277" s="24">
        <v>45414.0</v>
      </c>
      <c r="F1277" s="25">
        <v>0.24305555555555555</v>
      </c>
      <c r="G1277" s="25">
        <v>0.6631944444444444</v>
      </c>
      <c r="H1277" s="27">
        <f t="shared" si="2"/>
        <v>0.4201388889</v>
      </c>
      <c r="I1277" s="28">
        <v>4.0</v>
      </c>
      <c r="J1277" s="29" t="s">
        <v>55</v>
      </c>
      <c r="K1277" s="30" t="s">
        <v>23</v>
      </c>
      <c r="L1277" s="31" t="str">
        <f>IFERROR(__xludf.DUMMYFUNCTION("IF(OR(E1277="""",K1277=""""),"""",IFERROR(IF(K1277="""","""",query('tbl user'!$A$2:$D10975,""SELECT A WHERE D = '""&amp;K1277&amp;""'"")),""USER TIDAK DIKETAHUI""))"),"#REF!")</f>
        <v>#REF!</v>
      </c>
    </row>
    <row r="1278">
      <c r="A1278" s="21">
        <f t="shared" si="1"/>
        <v>0</v>
      </c>
      <c r="B1278" s="32" t="s">
        <v>30</v>
      </c>
      <c r="C1278" s="23" t="s">
        <v>105</v>
      </c>
      <c r="D1278" s="23" t="s">
        <v>58</v>
      </c>
      <c r="E1278" s="24">
        <v>45414.0</v>
      </c>
      <c r="F1278" s="25">
        <v>0.24166666666666667</v>
      </c>
      <c r="G1278" s="25">
        <v>0.6479166666666667</v>
      </c>
      <c r="H1278" s="27">
        <f t="shared" si="2"/>
        <v>0.40625</v>
      </c>
      <c r="I1278" s="28">
        <v>4.0</v>
      </c>
      <c r="J1278" s="29" t="s">
        <v>55</v>
      </c>
      <c r="K1278" s="30" t="s">
        <v>23</v>
      </c>
      <c r="L1278" s="31" t="str">
        <f>IFERROR(__xludf.DUMMYFUNCTION("IF(OR(E1278="""",K1278=""""),"""",IFERROR(IF(K1278="""","""",query('tbl user'!$A$2:$D10975,""SELECT A WHERE D = '""&amp;K1278&amp;""'"")),""USER TIDAK DIKETAHUI""))"),"#REF!")</f>
        <v>#REF!</v>
      </c>
    </row>
    <row r="1279">
      <c r="A1279" s="21">
        <f t="shared" si="1"/>
        <v>0</v>
      </c>
      <c r="B1279" s="32" t="s">
        <v>84</v>
      </c>
      <c r="C1279" s="23" t="s">
        <v>85</v>
      </c>
      <c r="D1279" s="23" t="s">
        <v>58</v>
      </c>
      <c r="E1279" s="24">
        <v>45414.0</v>
      </c>
      <c r="F1279" s="25">
        <v>0.24097222222222223</v>
      </c>
      <c r="G1279" s="25">
        <v>0.7131944444444445</v>
      </c>
      <c r="H1279" s="27">
        <f t="shared" si="2"/>
        <v>0.4722222222</v>
      </c>
      <c r="I1279" s="28">
        <v>4.0</v>
      </c>
      <c r="J1279" s="29" t="s">
        <v>55</v>
      </c>
      <c r="K1279" s="30" t="s">
        <v>23</v>
      </c>
      <c r="L1279" s="31" t="str">
        <f>IFERROR(__xludf.DUMMYFUNCTION("IF(OR(E1279="""",K1279=""""),"""",IFERROR(IF(K1279="""","""",query('tbl user'!$A$2:$D10975,""SELECT A WHERE D = '""&amp;K1279&amp;""'"")),""USER TIDAK DIKETAHUI""))"),"#REF!")</f>
        <v>#REF!</v>
      </c>
    </row>
    <row r="1280">
      <c r="A1280" s="21">
        <f t="shared" si="1"/>
        <v>0</v>
      </c>
      <c r="B1280" s="32" t="s">
        <v>200</v>
      </c>
      <c r="C1280" s="23" t="s">
        <v>201</v>
      </c>
      <c r="D1280" s="23" t="s">
        <v>58</v>
      </c>
      <c r="E1280" s="24">
        <v>45414.0</v>
      </c>
      <c r="F1280" s="25">
        <v>0.2152777777777778</v>
      </c>
      <c r="G1280" s="25">
        <v>0.7152777777777778</v>
      </c>
      <c r="H1280" s="27">
        <f t="shared" si="2"/>
        <v>0.5</v>
      </c>
      <c r="I1280" s="28">
        <v>5.0</v>
      </c>
      <c r="J1280" s="29" t="s">
        <v>55</v>
      </c>
      <c r="K1280" s="30" t="s">
        <v>23</v>
      </c>
      <c r="L1280" s="31" t="str">
        <f>IFERROR(__xludf.DUMMYFUNCTION("IF(OR(E1280="""",K1280=""""),"""",IFERROR(IF(K1280="""","""",query('tbl user'!$A$2:$D10975,""SELECT A WHERE D = '""&amp;K1280&amp;""'"")),""USER TIDAK DIKETAHUI""))"),"#REF!")</f>
        <v>#REF!</v>
      </c>
    </row>
    <row r="1281">
      <c r="A1281" s="21">
        <f t="shared" si="1"/>
        <v>0</v>
      </c>
      <c r="B1281" s="32" t="s">
        <v>172</v>
      </c>
      <c r="C1281" s="23" t="s">
        <v>239</v>
      </c>
      <c r="D1281" s="23" t="s">
        <v>21</v>
      </c>
      <c r="E1281" s="24">
        <v>45414.0</v>
      </c>
      <c r="F1281" s="25">
        <v>0.33541666666666664</v>
      </c>
      <c r="G1281" s="25">
        <v>0.5458333333333333</v>
      </c>
      <c r="H1281" s="27">
        <f t="shared" si="2"/>
        <v>0.2104166667</v>
      </c>
      <c r="I1281" s="28">
        <v>2.0</v>
      </c>
      <c r="J1281" s="29" t="s">
        <v>726</v>
      </c>
      <c r="K1281" s="30" t="s">
        <v>23</v>
      </c>
      <c r="L1281" s="31" t="str">
        <f>IFERROR(__xludf.DUMMYFUNCTION("IF(OR(E1281="""",K1281=""""),"""",IFERROR(IF(K1281="""","""",query('tbl user'!$A$2:$D10975,""SELECT A WHERE D = '""&amp;K1281&amp;""'"")),""USER TIDAK DIKETAHUI""))"),"#REF!")</f>
        <v>#REF!</v>
      </c>
    </row>
    <row r="1282">
      <c r="A1282" s="21">
        <f t="shared" si="1"/>
        <v>0</v>
      </c>
      <c r="B1282" s="32" t="s">
        <v>24</v>
      </c>
      <c r="C1282" s="23" t="s">
        <v>25</v>
      </c>
      <c r="D1282" s="23" t="s">
        <v>21</v>
      </c>
      <c r="E1282" s="24">
        <v>45414.0</v>
      </c>
      <c r="F1282" s="25">
        <v>0.29097222222222224</v>
      </c>
      <c r="G1282" s="25">
        <v>0.5798611111111112</v>
      </c>
      <c r="H1282" s="27">
        <f t="shared" si="2"/>
        <v>0.2888888889</v>
      </c>
      <c r="I1282" s="28">
        <v>2.0</v>
      </c>
      <c r="J1282" s="29" t="s">
        <v>727</v>
      </c>
      <c r="K1282" s="30" t="s">
        <v>23</v>
      </c>
      <c r="L1282" s="31" t="str">
        <f>IFERROR(__xludf.DUMMYFUNCTION("IF(OR(E1282="""",K1282=""""),"""",IFERROR(IF(K1282="""","""",query('tbl user'!$A$2:$D10975,""SELECT A WHERE D = '""&amp;K1282&amp;""'"")),""USER TIDAK DIKETAHUI""))"),"#REF!")</f>
        <v>#REF!</v>
      </c>
    </row>
    <row r="1283">
      <c r="A1283" s="21">
        <f t="shared" si="1"/>
        <v>0</v>
      </c>
      <c r="B1283" s="32" t="s">
        <v>231</v>
      </c>
      <c r="C1283" s="23" t="s">
        <v>232</v>
      </c>
      <c r="D1283" s="23" t="s">
        <v>21</v>
      </c>
      <c r="E1283" s="24">
        <v>45414.0</v>
      </c>
      <c r="F1283" s="25">
        <v>0.28888888888888886</v>
      </c>
      <c r="G1283" s="25">
        <v>0.5777777777777777</v>
      </c>
      <c r="H1283" s="27">
        <f t="shared" si="2"/>
        <v>0.2888888889</v>
      </c>
      <c r="I1283" s="28">
        <v>2.0</v>
      </c>
      <c r="J1283" s="29" t="s">
        <v>728</v>
      </c>
      <c r="K1283" s="30" t="s">
        <v>23</v>
      </c>
      <c r="L1283" s="31" t="str">
        <f>IFERROR(__xludf.DUMMYFUNCTION("IF(OR(E1283="""",K1283=""""),"""",IFERROR(IF(K1283="""","""",query('tbl user'!$A$2:$D10975,""SELECT A WHERE D = '""&amp;K1283&amp;""'"")),""USER TIDAK DIKETAHUI""))"),"#REF!")</f>
        <v>#REF!</v>
      </c>
    </row>
    <row r="1284">
      <c r="A1284" s="21">
        <f t="shared" si="1"/>
        <v>0</v>
      </c>
      <c r="B1284" s="32" t="s">
        <v>34</v>
      </c>
      <c r="C1284" s="23" t="s">
        <v>35</v>
      </c>
      <c r="D1284" s="23" t="s">
        <v>21</v>
      </c>
      <c r="E1284" s="24">
        <v>45414.0</v>
      </c>
      <c r="F1284" s="25">
        <v>0.29097222222222224</v>
      </c>
      <c r="G1284" s="25">
        <v>0.6854166666666667</v>
      </c>
      <c r="H1284" s="27">
        <f t="shared" si="2"/>
        <v>0.3944444444</v>
      </c>
      <c r="I1284" s="28">
        <v>5.0</v>
      </c>
      <c r="J1284" s="29" t="s">
        <v>55</v>
      </c>
      <c r="K1284" s="30" t="s">
        <v>23</v>
      </c>
      <c r="L1284" s="31" t="str">
        <f>IFERROR(__xludf.DUMMYFUNCTION("IF(OR(E1284="""",K1284=""""),"""",IFERROR(IF(K1284="""","""",query('tbl user'!$A$2:$D10975,""SELECT A WHERE D = '""&amp;K1284&amp;""'"")),""USER TIDAK DIKETAHUI""))"),"#REF!")</f>
        <v>#REF!</v>
      </c>
    </row>
    <row r="1285">
      <c r="A1285" s="21">
        <f t="shared" si="1"/>
        <v>0</v>
      </c>
      <c r="B1285" s="32" t="s">
        <v>246</v>
      </c>
      <c r="C1285" s="23" t="s">
        <v>99</v>
      </c>
      <c r="D1285" s="23" t="s">
        <v>21</v>
      </c>
      <c r="E1285" s="24">
        <v>45414.0</v>
      </c>
      <c r="F1285" s="25">
        <v>0.2986111111111111</v>
      </c>
      <c r="G1285" s="25">
        <v>0.7222222222222222</v>
      </c>
      <c r="H1285" s="27">
        <f t="shared" si="2"/>
        <v>0.4236111111</v>
      </c>
      <c r="I1285" s="28">
        <v>5.0</v>
      </c>
      <c r="J1285" s="29" t="s">
        <v>55</v>
      </c>
      <c r="K1285" s="30" t="s">
        <v>23</v>
      </c>
      <c r="L1285" s="31" t="str">
        <f>IFERROR(__xludf.DUMMYFUNCTION("IF(OR(E1285="""",K1285=""""),"""",IFERROR(IF(K1285="""","""",query('tbl user'!$A$2:$D10975,""SELECT A WHERE D = '""&amp;K1285&amp;""'"")),""USER TIDAK DIKETAHUI""))"),"#REF!")</f>
        <v>#REF!</v>
      </c>
    </row>
    <row r="1286">
      <c r="A1286" s="21">
        <f t="shared" si="1"/>
        <v>0</v>
      </c>
      <c r="B1286" s="32" t="s">
        <v>258</v>
      </c>
      <c r="C1286" s="23" t="s">
        <v>259</v>
      </c>
      <c r="D1286" s="23" t="s">
        <v>21</v>
      </c>
      <c r="E1286" s="24">
        <v>45414.0</v>
      </c>
      <c r="F1286" s="25">
        <v>0.3020833333333333</v>
      </c>
      <c r="G1286" s="25">
        <v>0.7208333333333333</v>
      </c>
      <c r="H1286" s="27">
        <f t="shared" si="2"/>
        <v>0.41875</v>
      </c>
      <c r="I1286" s="28">
        <v>5.0</v>
      </c>
      <c r="J1286" s="29" t="s">
        <v>55</v>
      </c>
      <c r="K1286" s="30" t="s">
        <v>23</v>
      </c>
      <c r="L1286" s="31" t="str">
        <f>IFERROR(__xludf.DUMMYFUNCTION("IF(OR(E1286="""",K1286=""""),"""",IFERROR(IF(K1286="""","""",query('tbl user'!$A$2:$D10975,""SELECT A WHERE D = '""&amp;K1286&amp;""'"")),""USER TIDAK DIKETAHUI""))"),"#REF!")</f>
        <v>#REF!</v>
      </c>
    </row>
    <row r="1287">
      <c r="A1287" s="21">
        <f t="shared" si="1"/>
        <v>0</v>
      </c>
      <c r="B1287" s="32" t="s">
        <v>81</v>
      </c>
      <c r="C1287" s="23" t="s">
        <v>261</v>
      </c>
      <c r="D1287" s="23" t="s">
        <v>21</v>
      </c>
      <c r="E1287" s="24">
        <v>45414.0</v>
      </c>
      <c r="F1287" s="25">
        <v>0.2902777777777778</v>
      </c>
      <c r="G1287" s="25">
        <v>0.7590277777777777</v>
      </c>
      <c r="H1287" s="27">
        <f t="shared" si="2"/>
        <v>0.46875</v>
      </c>
      <c r="I1287" s="28">
        <v>5.0</v>
      </c>
      <c r="J1287" s="29" t="s">
        <v>55</v>
      </c>
      <c r="K1287" s="30" t="s">
        <v>23</v>
      </c>
      <c r="L1287" s="31" t="str">
        <f>IFERROR(__xludf.DUMMYFUNCTION("IF(OR(E1287="""",K1287=""""),"""",IFERROR(IF(K1287="""","""",query('tbl user'!$A$2:$D10975,""SELECT A WHERE D = '""&amp;K1287&amp;""'"")),""USER TIDAK DIKETAHUI""))"),"#REF!")</f>
        <v>#REF!</v>
      </c>
    </row>
    <row r="1288">
      <c r="A1288" s="21">
        <f t="shared" si="1"/>
        <v>0</v>
      </c>
      <c r="B1288" s="32" t="s">
        <v>243</v>
      </c>
      <c r="C1288" s="23" t="s">
        <v>244</v>
      </c>
      <c r="D1288" s="23" t="s">
        <v>21</v>
      </c>
      <c r="E1288" s="24">
        <v>45414.0</v>
      </c>
      <c r="F1288" s="25">
        <v>0.2638888888888889</v>
      </c>
      <c r="G1288" s="25">
        <v>0.7465277777777778</v>
      </c>
      <c r="H1288" s="27">
        <f t="shared" si="2"/>
        <v>0.4826388889</v>
      </c>
      <c r="I1288" s="28">
        <v>6.0</v>
      </c>
      <c r="J1288" s="29" t="s">
        <v>55</v>
      </c>
      <c r="K1288" s="30" t="s">
        <v>23</v>
      </c>
      <c r="L1288" s="31" t="str">
        <f>IFERROR(__xludf.DUMMYFUNCTION("IF(OR(E1288="""",K1288=""""),"""",IFERROR(IF(K1288="""","""",query('tbl user'!$A$2:$D10975,""SELECT A WHERE D = '""&amp;K1288&amp;""'"")),""USER TIDAK DIKETAHUI""))"),"#REF!")</f>
        <v>#REF!</v>
      </c>
    </row>
    <row r="1289">
      <c r="A1289" s="21">
        <f t="shared" si="1"/>
        <v>0</v>
      </c>
      <c r="B1289" s="32" t="s">
        <v>305</v>
      </c>
      <c r="C1289" s="23" t="s">
        <v>251</v>
      </c>
      <c r="D1289" s="23" t="s">
        <v>21</v>
      </c>
      <c r="E1289" s="24">
        <v>45414.0</v>
      </c>
      <c r="F1289" s="25">
        <v>0.23472222222222222</v>
      </c>
      <c r="G1289" s="25">
        <v>0.7347222222222223</v>
      </c>
      <c r="H1289" s="27">
        <f t="shared" si="2"/>
        <v>0.5</v>
      </c>
      <c r="I1289" s="28">
        <v>6.0</v>
      </c>
      <c r="J1289" s="29" t="s">
        <v>55</v>
      </c>
      <c r="K1289" s="30" t="s">
        <v>23</v>
      </c>
      <c r="L1289" s="31" t="str">
        <f>IFERROR(__xludf.DUMMYFUNCTION("IF(OR(E1289="""",K1289=""""),"""",IFERROR(IF(K1289="""","""",query('tbl user'!$A$2:$D10975,""SELECT A WHERE D = '""&amp;K1289&amp;""'"")),""USER TIDAK DIKETAHUI""))"),"#REF!")</f>
        <v>#REF!</v>
      </c>
    </row>
    <row r="1290">
      <c r="A1290" s="21">
        <f t="shared" si="1"/>
        <v>0</v>
      </c>
      <c r="B1290" s="32" t="s">
        <v>43</v>
      </c>
      <c r="C1290" s="23" t="s">
        <v>44</v>
      </c>
      <c r="D1290" s="23" t="s">
        <v>21</v>
      </c>
      <c r="E1290" s="24">
        <v>45414.0</v>
      </c>
      <c r="F1290" s="25">
        <v>0.2916666666666667</v>
      </c>
      <c r="G1290" s="25">
        <v>0.7673611111111112</v>
      </c>
      <c r="H1290" s="27">
        <f t="shared" si="2"/>
        <v>0.4756944444</v>
      </c>
      <c r="I1290" s="28">
        <v>6.0</v>
      </c>
      <c r="J1290" s="29" t="s">
        <v>55</v>
      </c>
      <c r="K1290" s="30" t="s">
        <v>23</v>
      </c>
      <c r="L1290" s="31" t="str">
        <f>IFERROR(__xludf.DUMMYFUNCTION("IF(OR(E1290="""",K1290=""""),"""",IFERROR(IF(K1290="""","""",query('tbl user'!$A$2:$D10975,""SELECT A WHERE D = '""&amp;K1290&amp;""'"")),""USER TIDAK DIKETAHUI""))"),"#REF!")</f>
        <v>#REF!</v>
      </c>
    </row>
    <row r="1291">
      <c r="A1291" s="21">
        <f t="shared" si="1"/>
        <v>0</v>
      </c>
      <c r="B1291" s="32" t="s">
        <v>662</v>
      </c>
      <c r="C1291" s="23" t="s">
        <v>234</v>
      </c>
      <c r="D1291" s="23" t="s">
        <v>21</v>
      </c>
      <c r="E1291" s="24">
        <v>45414.0</v>
      </c>
      <c r="F1291" s="25">
        <v>0.27847222222222223</v>
      </c>
      <c r="G1291" s="25">
        <v>0.7604166666666666</v>
      </c>
      <c r="H1291" s="27">
        <f t="shared" si="2"/>
        <v>0.4819444444</v>
      </c>
      <c r="I1291" s="28">
        <v>6.0</v>
      </c>
      <c r="J1291" s="29" t="s">
        <v>55</v>
      </c>
      <c r="K1291" s="30" t="s">
        <v>23</v>
      </c>
      <c r="L1291" s="31" t="str">
        <f>IFERROR(__xludf.DUMMYFUNCTION("IF(OR(E1291="""",K1291=""""),"""",IFERROR(IF(K1291="""","""",query('tbl user'!$A$2:$D10975,""SELECT A WHERE D = '""&amp;K1291&amp;""'"")),""USER TIDAK DIKETAHUI""))"),"#REF!")</f>
        <v>#REF!</v>
      </c>
    </row>
    <row r="1292">
      <c r="A1292" s="21">
        <f t="shared" si="1"/>
        <v>0</v>
      </c>
      <c r="B1292" s="32" t="s">
        <v>37</v>
      </c>
      <c r="C1292" s="23" t="s">
        <v>38</v>
      </c>
      <c r="D1292" s="23" t="s">
        <v>21</v>
      </c>
      <c r="E1292" s="24">
        <v>45414.0</v>
      </c>
      <c r="F1292" s="25">
        <v>0.27708333333333335</v>
      </c>
      <c r="G1292" s="25">
        <v>0.6604166666666667</v>
      </c>
      <c r="H1292" s="27">
        <f t="shared" si="2"/>
        <v>0.3833333333</v>
      </c>
      <c r="I1292" s="28">
        <v>3.0</v>
      </c>
      <c r="J1292" s="29" t="s">
        <v>729</v>
      </c>
      <c r="K1292" s="30" t="s">
        <v>23</v>
      </c>
      <c r="L1292" s="31" t="str">
        <f>IFERROR(__xludf.DUMMYFUNCTION("IF(OR(E1292="""",K1292=""""),"""",IFERROR(IF(K1292="""","""",query('tbl user'!$A$2:$D10975,""SELECT A WHERE D = '""&amp;K1292&amp;""'"")),""USER TIDAK DIKETAHUI""))"),"#REF!")</f>
        <v>#REF!</v>
      </c>
    </row>
    <row r="1293">
      <c r="A1293" s="21">
        <f t="shared" si="1"/>
        <v>0</v>
      </c>
      <c r="B1293" s="32" t="s">
        <v>153</v>
      </c>
      <c r="C1293" s="23" t="s">
        <v>282</v>
      </c>
      <c r="D1293" s="23" t="s">
        <v>21</v>
      </c>
      <c r="E1293" s="24">
        <v>45414.0</v>
      </c>
      <c r="F1293" s="25">
        <v>0.3263888888888889</v>
      </c>
      <c r="G1293" s="25">
        <v>0.65625</v>
      </c>
      <c r="H1293" s="27">
        <f t="shared" si="2"/>
        <v>0.3298611111</v>
      </c>
      <c r="I1293" s="28">
        <v>3.0</v>
      </c>
      <c r="J1293" s="29" t="s">
        <v>730</v>
      </c>
      <c r="K1293" s="30" t="s">
        <v>23</v>
      </c>
      <c r="L1293" s="31" t="str">
        <f>IFERROR(__xludf.DUMMYFUNCTION("IF(OR(E1293="""",K1293=""""),"""",IFERROR(IF(K1293="""","""",query('tbl user'!$A$2:$D10975,""SELECT A WHERE D = '""&amp;K1293&amp;""'"")),""USER TIDAK DIKETAHUI""))"),"#REF!")</f>
        <v>#REF!</v>
      </c>
    </row>
    <row r="1294">
      <c r="A1294" s="21">
        <f t="shared" si="1"/>
        <v>0</v>
      </c>
      <c r="B1294" s="32" t="s">
        <v>64</v>
      </c>
      <c r="C1294" s="23" t="s">
        <v>65</v>
      </c>
      <c r="D1294" s="23" t="s">
        <v>21</v>
      </c>
      <c r="E1294" s="24">
        <v>45414.0</v>
      </c>
      <c r="F1294" s="25">
        <v>0.3506944444444444</v>
      </c>
      <c r="G1294" s="25">
        <v>0.6840277777777778</v>
      </c>
      <c r="H1294" s="27">
        <f t="shared" si="2"/>
        <v>0.3333333333</v>
      </c>
      <c r="I1294" s="28">
        <v>3.0</v>
      </c>
      <c r="J1294" s="29" t="s">
        <v>731</v>
      </c>
      <c r="K1294" s="30" t="s">
        <v>23</v>
      </c>
      <c r="L1294" s="31" t="str">
        <f>IFERROR(__xludf.DUMMYFUNCTION("IF(OR(E1294="""",K1294=""""),"""",IFERROR(IF(K1294="""","""",query('tbl user'!$A$2:$D10975,""SELECT A WHERE D = '""&amp;K1294&amp;""'"")),""USER TIDAK DIKETAHUI""))"),"#REF!")</f>
        <v>#REF!</v>
      </c>
    </row>
    <row r="1295">
      <c r="A1295" s="21">
        <f t="shared" si="1"/>
        <v>0</v>
      </c>
      <c r="B1295" s="32" t="s">
        <v>51</v>
      </c>
      <c r="C1295" s="23" t="s">
        <v>27</v>
      </c>
      <c r="D1295" s="23" t="s">
        <v>21</v>
      </c>
      <c r="E1295" s="24">
        <v>45414.0</v>
      </c>
      <c r="F1295" s="25">
        <v>0.28541666666666665</v>
      </c>
      <c r="G1295" s="25">
        <v>0.6506944444444445</v>
      </c>
      <c r="H1295" s="27">
        <f t="shared" si="2"/>
        <v>0.3652777778</v>
      </c>
      <c r="I1295" s="28">
        <v>3.0</v>
      </c>
      <c r="J1295" s="29" t="s">
        <v>732</v>
      </c>
      <c r="K1295" s="30" t="s">
        <v>23</v>
      </c>
      <c r="L1295" s="31" t="str">
        <f>IFERROR(__xludf.DUMMYFUNCTION("IF(OR(E1295="""",K1295=""""),"""",IFERROR(IF(K1295="""","""",query('tbl user'!$A$2:$D10975,""SELECT A WHERE D = '""&amp;K1295&amp;""'"")),""USER TIDAK DIKETAHUI""))"),"#REF!")</f>
        <v>#REF!</v>
      </c>
    </row>
    <row r="1296">
      <c r="A1296" s="21">
        <f t="shared" si="1"/>
        <v>0</v>
      </c>
      <c r="B1296" s="32" t="s">
        <v>101</v>
      </c>
      <c r="C1296" s="23" t="s">
        <v>285</v>
      </c>
      <c r="D1296" s="23" t="s">
        <v>21</v>
      </c>
      <c r="E1296" s="24">
        <v>45414.0</v>
      </c>
      <c r="F1296" s="25">
        <v>0.30625</v>
      </c>
      <c r="G1296" s="25">
        <v>0.6513888888888889</v>
      </c>
      <c r="H1296" s="27">
        <f t="shared" si="2"/>
        <v>0.3451388889</v>
      </c>
      <c r="I1296" s="28">
        <v>3.0</v>
      </c>
      <c r="J1296" s="29" t="s">
        <v>733</v>
      </c>
      <c r="K1296" s="30" t="s">
        <v>23</v>
      </c>
      <c r="L1296" s="31" t="str">
        <f>IFERROR(__xludf.DUMMYFUNCTION("IF(OR(E1296="""",K1296=""""),"""",IFERROR(IF(K1296="""","""",query('tbl user'!$A$2:$D10975,""SELECT A WHERE D = '""&amp;K1296&amp;""'"")),""USER TIDAK DIKETAHUI""))"),"#REF!")</f>
        <v>#REF!</v>
      </c>
    </row>
    <row r="1297">
      <c r="A1297" s="21">
        <f t="shared" si="1"/>
        <v>0</v>
      </c>
      <c r="B1297" s="32" t="s">
        <v>286</v>
      </c>
      <c r="C1297" s="23" t="s">
        <v>287</v>
      </c>
      <c r="D1297" s="23" t="s">
        <v>21</v>
      </c>
      <c r="E1297" s="24">
        <v>45414.0</v>
      </c>
      <c r="F1297" s="25">
        <v>0.2798611111111111</v>
      </c>
      <c r="G1297" s="25">
        <v>0.6125</v>
      </c>
      <c r="H1297" s="27">
        <f t="shared" si="2"/>
        <v>0.3326388889</v>
      </c>
      <c r="I1297" s="28">
        <v>3.0</v>
      </c>
      <c r="J1297" s="29" t="s">
        <v>729</v>
      </c>
      <c r="K1297" s="30" t="s">
        <v>23</v>
      </c>
      <c r="L1297" s="31" t="str">
        <f>IFERROR(__xludf.DUMMYFUNCTION("IF(OR(E1297="""",K1297=""""),"""",IFERROR(IF(K1297="""","""",query('tbl user'!$A$2:$D10975,""SELECT A WHERE D = '""&amp;K1297&amp;""'"")),""USER TIDAK DIKETAHUI""))"),"#REF!")</f>
        <v>#REF!</v>
      </c>
    </row>
    <row r="1298">
      <c r="A1298" s="21">
        <f t="shared" si="1"/>
        <v>0</v>
      </c>
      <c r="B1298" s="32" t="s">
        <v>61</v>
      </c>
      <c r="C1298" s="23" t="s">
        <v>62</v>
      </c>
      <c r="D1298" s="23" t="s">
        <v>21</v>
      </c>
      <c r="E1298" s="24">
        <v>45414.0</v>
      </c>
      <c r="F1298" s="25">
        <v>0.27291666666666664</v>
      </c>
      <c r="G1298" s="25">
        <v>0.7013888888888888</v>
      </c>
      <c r="H1298" s="27">
        <f t="shared" si="2"/>
        <v>0.4284722222</v>
      </c>
      <c r="I1298" s="28">
        <v>4.0</v>
      </c>
      <c r="J1298" s="29" t="s">
        <v>55</v>
      </c>
      <c r="K1298" s="30" t="s">
        <v>23</v>
      </c>
      <c r="L1298" s="31" t="str">
        <f>IFERROR(__xludf.DUMMYFUNCTION("IF(OR(E1298="""",K1298=""""),"""",IFERROR(IF(K1298="""","""",query('tbl user'!$A$2:$D10975,""SELECT A WHERE D = '""&amp;K1298&amp;""'"")),""USER TIDAK DIKETAHUI""))"),"#REF!")</f>
        <v>#REF!</v>
      </c>
    </row>
    <row r="1299">
      <c r="A1299" s="21">
        <f t="shared" si="1"/>
        <v>0</v>
      </c>
      <c r="B1299" s="32" t="s">
        <v>225</v>
      </c>
      <c r="C1299" s="23" t="s">
        <v>336</v>
      </c>
      <c r="D1299" s="23" t="s">
        <v>21</v>
      </c>
      <c r="E1299" s="24">
        <v>45414.0</v>
      </c>
      <c r="F1299" s="25">
        <v>0.3611111111111111</v>
      </c>
      <c r="G1299" s="25">
        <v>0.4638888888888889</v>
      </c>
      <c r="H1299" s="27">
        <f t="shared" si="2"/>
        <v>0.1027777778</v>
      </c>
      <c r="I1299" s="28">
        <v>1.0</v>
      </c>
      <c r="J1299" s="29" t="s">
        <v>734</v>
      </c>
      <c r="K1299" s="30" t="s">
        <v>23</v>
      </c>
      <c r="L1299" s="31" t="str">
        <f>IFERROR(__xludf.DUMMYFUNCTION("IF(OR(E1299="""",K1299=""""),"""",IFERROR(IF(K1299="""","""",query('tbl user'!$A$2:$D10975,""SELECT A WHERE D = '""&amp;K1299&amp;""'"")),""USER TIDAK DIKETAHUI""))"),"#REF!")</f>
        <v>#REF!</v>
      </c>
    </row>
    <row r="1300">
      <c r="A1300" s="21">
        <f t="shared" si="1"/>
        <v>0</v>
      </c>
      <c r="B1300" s="32" t="s">
        <v>95</v>
      </c>
      <c r="C1300" s="23" t="s">
        <v>329</v>
      </c>
      <c r="D1300" s="23" t="s">
        <v>21</v>
      </c>
      <c r="E1300" s="24">
        <v>45414.0</v>
      </c>
      <c r="F1300" s="25">
        <v>0.3034722222222222</v>
      </c>
      <c r="G1300" s="25">
        <v>0.44930555555555557</v>
      </c>
      <c r="H1300" s="27">
        <f t="shared" si="2"/>
        <v>0.1458333333</v>
      </c>
      <c r="I1300" s="28">
        <v>1.0</v>
      </c>
      <c r="J1300" s="29" t="s">
        <v>735</v>
      </c>
      <c r="K1300" s="30" t="s">
        <v>23</v>
      </c>
      <c r="L1300" s="31" t="str">
        <f>IFERROR(__xludf.DUMMYFUNCTION("IF(OR(E1300="""",K1300=""""),"""",IFERROR(IF(K1300="""","""",query('tbl user'!$A$2:$D10975,""SELECT A WHERE D = '""&amp;K1300&amp;""'"")),""USER TIDAK DIKETAHUI""))"),"#REF!")</f>
        <v>#REF!</v>
      </c>
    </row>
    <row r="1301">
      <c r="A1301" s="21">
        <f t="shared" si="1"/>
        <v>0</v>
      </c>
      <c r="B1301" s="32" t="s">
        <v>87</v>
      </c>
      <c r="C1301" s="23" t="s">
        <v>88</v>
      </c>
      <c r="D1301" s="23" t="s">
        <v>21</v>
      </c>
      <c r="E1301" s="24">
        <v>45414.0</v>
      </c>
      <c r="F1301" s="25">
        <v>0.26875</v>
      </c>
      <c r="G1301" s="25">
        <v>0.4861111111111111</v>
      </c>
      <c r="H1301" s="27">
        <f t="shared" si="2"/>
        <v>0.2173611111</v>
      </c>
      <c r="I1301" s="28">
        <v>2.0</v>
      </c>
      <c r="J1301" s="29" t="s">
        <v>736</v>
      </c>
      <c r="K1301" s="30" t="s">
        <v>23</v>
      </c>
      <c r="L1301" s="31" t="str">
        <f>IFERROR(__xludf.DUMMYFUNCTION("IF(OR(E1301="""",K1301=""""),"""",IFERROR(IF(K1301="""","""",query('tbl user'!$A$2:$D10975,""SELECT A WHERE D = '""&amp;K1301&amp;""'"")),""USER TIDAK DIKETAHUI""))"),"#REF!")</f>
        <v>#REF!</v>
      </c>
    </row>
    <row r="1302">
      <c r="A1302" s="21">
        <f t="shared" si="1"/>
        <v>0</v>
      </c>
      <c r="B1302" s="32" t="s">
        <v>337</v>
      </c>
      <c r="C1302" s="23" t="s">
        <v>338</v>
      </c>
      <c r="D1302" s="23" t="s">
        <v>21</v>
      </c>
      <c r="E1302" s="24">
        <v>45414.0</v>
      </c>
      <c r="F1302" s="25">
        <v>0.2534722222222222</v>
      </c>
      <c r="G1302" s="25">
        <v>0.45</v>
      </c>
      <c r="H1302" s="27">
        <f t="shared" si="2"/>
        <v>0.1965277778</v>
      </c>
      <c r="I1302" s="28">
        <v>2.0</v>
      </c>
      <c r="J1302" s="29" t="s">
        <v>737</v>
      </c>
      <c r="K1302" s="30" t="s">
        <v>23</v>
      </c>
      <c r="L1302" s="31" t="str">
        <f>IFERROR(__xludf.DUMMYFUNCTION("IF(OR(E1302="""",K1302=""""),"""",IFERROR(IF(K1302="""","""",query('tbl user'!$A$2:$D10975,""SELECT A WHERE D = '""&amp;K1302&amp;""'"")),""USER TIDAK DIKETAHUI""))"),"#REF!")</f>
        <v>#REF!</v>
      </c>
    </row>
    <row r="1303">
      <c r="A1303" s="21">
        <f t="shared" si="1"/>
        <v>0</v>
      </c>
      <c r="B1303" s="32" t="s">
        <v>716</v>
      </c>
      <c r="C1303" s="23" t="s">
        <v>316</v>
      </c>
      <c r="D1303" s="23" t="s">
        <v>21</v>
      </c>
      <c r="E1303" s="24">
        <v>45414.0</v>
      </c>
      <c r="F1303" s="25">
        <v>0.26805555555555555</v>
      </c>
      <c r="G1303" s="25">
        <v>0.5875</v>
      </c>
      <c r="H1303" s="27">
        <f t="shared" si="2"/>
        <v>0.3194444444</v>
      </c>
      <c r="I1303" s="28">
        <v>3.0</v>
      </c>
      <c r="J1303" s="29" t="s">
        <v>736</v>
      </c>
      <c r="K1303" s="30" t="s">
        <v>23</v>
      </c>
      <c r="L1303" s="31" t="str">
        <f>IFERROR(__xludf.DUMMYFUNCTION("IF(OR(E1303="""",K1303=""""),"""",IFERROR(IF(K1303="""","""",query('tbl user'!$A$2:$D10975,""SELECT A WHERE D = '""&amp;K1303&amp;""'"")),""USER TIDAK DIKETAHUI""))"),"#REF!")</f>
        <v>#REF!</v>
      </c>
    </row>
    <row r="1304">
      <c r="A1304" s="21">
        <f t="shared" si="1"/>
        <v>0</v>
      </c>
      <c r="B1304" s="32" t="s">
        <v>131</v>
      </c>
      <c r="C1304" s="23" t="s">
        <v>339</v>
      </c>
      <c r="D1304" s="23" t="s">
        <v>21</v>
      </c>
      <c r="E1304" s="24">
        <v>45414.0</v>
      </c>
      <c r="F1304" s="25">
        <v>0.2520833333333333</v>
      </c>
      <c r="G1304" s="25">
        <v>0.5868055555555556</v>
      </c>
      <c r="H1304" s="27">
        <f t="shared" si="2"/>
        <v>0.3347222222</v>
      </c>
      <c r="I1304" s="28">
        <v>4.0</v>
      </c>
      <c r="J1304" s="29" t="s">
        <v>598</v>
      </c>
      <c r="K1304" s="30" t="s">
        <v>23</v>
      </c>
      <c r="L1304" s="31" t="str">
        <f>IFERROR(__xludf.DUMMYFUNCTION("IF(OR(E1304="""",K1304=""""),"""",IFERROR(IF(K1304="""","""",query('tbl user'!$A$2:$D10975,""SELECT A WHERE D = '""&amp;K1304&amp;""'"")),""USER TIDAK DIKETAHUI""))"),"#REF!")</f>
        <v>#REF!</v>
      </c>
    </row>
    <row r="1305">
      <c r="A1305" s="21">
        <f t="shared" si="1"/>
        <v>0</v>
      </c>
      <c r="B1305" s="32" t="s">
        <v>219</v>
      </c>
      <c r="C1305" s="23" t="s">
        <v>340</v>
      </c>
      <c r="D1305" s="23" t="s">
        <v>21</v>
      </c>
      <c r="E1305" s="24">
        <v>45414.0</v>
      </c>
      <c r="F1305" s="25">
        <v>0.30486111111111114</v>
      </c>
      <c r="G1305" s="25">
        <v>0.6576388888888889</v>
      </c>
      <c r="H1305" s="27">
        <f t="shared" si="2"/>
        <v>0.3527777778</v>
      </c>
      <c r="I1305" s="28">
        <v>4.0</v>
      </c>
      <c r="J1305" s="29" t="s">
        <v>738</v>
      </c>
      <c r="K1305" s="30" t="s">
        <v>23</v>
      </c>
      <c r="L1305" s="31" t="str">
        <f>IFERROR(__xludf.DUMMYFUNCTION("IF(OR(E1305="""",K1305=""""),"""",IFERROR(IF(K1305="""","""",query('tbl user'!$A$2:$D10975,""SELECT A WHERE D = '""&amp;K1305&amp;""'"")),""USER TIDAK DIKETAHUI""))"),"#REF!")</f>
        <v>#REF!</v>
      </c>
    </row>
    <row r="1306">
      <c r="A1306" s="21">
        <f t="shared" si="1"/>
        <v>0</v>
      </c>
      <c r="B1306" s="32" t="s">
        <v>601</v>
      </c>
      <c r="C1306" s="23" t="s">
        <v>323</v>
      </c>
      <c r="D1306" s="23" t="s">
        <v>21</v>
      </c>
      <c r="E1306" s="24">
        <v>45414.0</v>
      </c>
      <c r="F1306" s="25">
        <v>0.26666666666666666</v>
      </c>
      <c r="G1306" s="25">
        <v>0.64375</v>
      </c>
      <c r="H1306" s="27">
        <f t="shared" si="2"/>
        <v>0.3770833333</v>
      </c>
      <c r="I1306" s="28">
        <v>4.0</v>
      </c>
      <c r="J1306" s="29" t="s">
        <v>739</v>
      </c>
      <c r="K1306" s="30" t="s">
        <v>23</v>
      </c>
      <c r="L1306" s="31" t="str">
        <f>IFERROR(__xludf.DUMMYFUNCTION("IF(OR(E1306="""",K1306=""""),"""",IFERROR(IF(K1306="""","""",query('tbl user'!$A$2:$D10975,""SELECT A WHERE D = '""&amp;K1306&amp;""'"")),""USER TIDAK DIKETAHUI""))"),"#REF!")</f>
        <v>#REF!</v>
      </c>
    </row>
    <row r="1307">
      <c r="A1307" s="21">
        <f t="shared" si="1"/>
        <v>0</v>
      </c>
      <c r="B1307" s="32" t="s">
        <v>333</v>
      </c>
      <c r="C1307" s="23" t="s">
        <v>334</v>
      </c>
      <c r="D1307" s="23" t="s">
        <v>21</v>
      </c>
      <c r="E1307" s="24">
        <v>45414.0</v>
      </c>
      <c r="F1307" s="25">
        <v>0.29791666666666666</v>
      </c>
      <c r="G1307" s="25">
        <v>0.7333333333333333</v>
      </c>
      <c r="H1307" s="27">
        <f t="shared" si="2"/>
        <v>0.4354166667</v>
      </c>
      <c r="I1307" s="28">
        <v>5.0</v>
      </c>
      <c r="J1307" s="29" t="s">
        <v>55</v>
      </c>
      <c r="K1307" s="30" t="s">
        <v>23</v>
      </c>
      <c r="L1307" s="31" t="str">
        <f>IFERROR(__xludf.DUMMYFUNCTION("IF(OR(E1307="""",K1307=""""),"""",IFERROR(IF(K1307="""","""",query('tbl user'!$A$2:$D10975,""SELECT A WHERE D = '""&amp;K1307&amp;""'"")),""USER TIDAK DIKETAHUI""))"),"#REF!")</f>
        <v>#REF!</v>
      </c>
    </row>
    <row r="1308">
      <c r="A1308" s="21">
        <f t="shared" si="1"/>
        <v>0</v>
      </c>
      <c r="B1308" s="32" t="s">
        <v>53</v>
      </c>
      <c r="C1308" s="23" t="s">
        <v>54</v>
      </c>
      <c r="D1308" s="23" t="s">
        <v>21</v>
      </c>
      <c r="E1308" s="24">
        <v>45414.0</v>
      </c>
      <c r="F1308" s="25">
        <v>0.2673611111111111</v>
      </c>
      <c r="G1308" s="25">
        <v>0.7013888888888888</v>
      </c>
      <c r="H1308" s="27">
        <f t="shared" si="2"/>
        <v>0.4340277778</v>
      </c>
      <c r="I1308" s="28">
        <v>5.0</v>
      </c>
      <c r="J1308" s="29" t="s">
        <v>55</v>
      </c>
      <c r="K1308" s="30" t="s">
        <v>23</v>
      </c>
      <c r="L1308" s="31" t="str">
        <f>IFERROR(__xludf.DUMMYFUNCTION("IF(OR(E1308="""",K1308=""""),"""",IFERROR(IF(K1308="""","""",query('tbl user'!$A$2:$D10975,""SELECT A WHERE D = '""&amp;K1308&amp;""'"")),""USER TIDAK DIKETAHUI""))"),"#REF!")</f>
        <v>#REF!</v>
      </c>
    </row>
    <row r="1309">
      <c r="A1309" s="21">
        <f t="shared" si="1"/>
        <v>0</v>
      </c>
      <c r="B1309" s="32" t="s">
        <v>159</v>
      </c>
      <c r="C1309" s="23" t="s">
        <v>326</v>
      </c>
      <c r="D1309" s="23" t="s">
        <v>21</v>
      </c>
      <c r="E1309" s="24">
        <v>45414.0</v>
      </c>
      <c r="F1309" s="25">
        <v>0.34375</v>
      </c>
      <c r="G1309" s="25">
        <v>0.7597222222222222</v>
      </c>
      <c r="H1309" s="27">
        <f t="shared" si="2"/>
        <v>0.4159722222</v>
      </c>
      <c r="I1309" s="28">
        <v>5.0</v>
      </c>
      <c r="J1309" s="29" t="s">
        <v>55</v>
      </c>
      <c r="K1309" s="30" t="s">
        <v>23</v>
      </c>
      <c r="L1309" s="31" t="str">
        <f>IFERROR(__xludf.DUMMYFUNCTION("IF(OR(E1309="""",K1309=""""),"""",IFERROR(IF(K1309="""","""",query('tbl user'!$A$2:$D10975,""SELECT A WHERE D = '""&amp;K1309&amp;""'"")),""USER TIDAK DIKETAHUI""))"),"#REF!")</f>
        <v>#REF!</v>
      </c>
    </row>
    <row r="1310">
      <c r="A1310" s="21">
        <f t="shared" si="1"/>
        <v>0</v>
      </c>
      <c r="B1310" s="32" t="s">
        <v>331</v>
      </c>
      <c r="C1310" s="23" t="s">
        <v>332</v>
      </c>
      <c r="D1310" s="23" t="s">
        <v>21</v>
      </c>
      <c r="E1310" s="24">
        <v>45414.0</v>
      </c>
      <c r="F1310" s="25">
        <v>0.22013888888888888</v>
      </c>
      <c r="G1310" s="25">
        <v>0.6833333333333333</v>
      </c>
      <c r="H1310" s="27">
        <f t="shared" si="2"/>
        <v>0.4631944444</v>
      </c>
      <c r="I1310" s="28">
        <v>6.0</v>
      </c>
      <c r="J1310" s="29" t="s">
        <v>55</v>
      </c>
      <c r="K1310" s="30" t="s">
        <v>23</v>
      </c>
      <c r="L1310" s="31" t="str">
        <f>IFERROR(__xludf.DUMMYFUNCTION("IF(OR(E1310="""",K1310=""""),"""",IFERROR(IF(K1310="""","""",query('tbl user'!$A$2:$D10975,""SELECT A WHERE D = '""&amp;K1310&amp;""'"")),""USER TIDAK DIKETAHUI""))"),"#REF!")</f>
        <v>#REF!</v>
      </c>
    </row>
    <row r="1311">
      <c r="A1311" s="21">
        <f t="shared" si="1"/>
        <v>0</v>
      </c>
      <c r="B1311" s="32" t="s">
        <v>319</v>
      </c>
      <c r="C1311" s="23" t="s">
        <v>320</v>
      </c>
      <c r="D1311" s="23" t="s">
        <v>21</v>
      </c>
      <c r="E1311" s="24">
        <v>45414.0</v>
      </c>
      <c r="F1311" s="25">
        <v>0.20972222222222223</v>
      </c>
      <c r="G1311" s="25">
        <v>0.7236111111111111</v>
      </c>
      <c r="H1311" s="27">
        <f t="shared" si="2"/>
        <v>0.5138888889</v>
      </c>
      <c r="I1311" s="28">
        <v>6.0</v>
      </c>
      <c r="J1311" s="29" t="s">
        <v>55</v>
      </c>
      <c r="K1311" s="30" t="s">
        <v>23</v>
      </c>
      <c r="L1311" s="31" t="str">
        <f>IFERROR(__xludf.DUMMYFUNCTION("IF(OR(E1311="""",K1311=""""),"""",IFERROR(IF(K1311="""","""",query('tbl user'!$A$2:$D10975,""SELECT A WHERE D = '""&amp;K1311&amp;""'"")),""USER TIDAK DIKETAHUI""))"),"#REF!")</f>
        <v>#REF!</v>
      </c>
    </row>
    <row r="1312">
      <c r="A1312" s="21">
        <f t="shared" si="1"/>
        <v>0</v>
      </c>
      <c r="B1312" s="32" t="s">
        <v>577</v>
      </c>
      <c r="C1312" s="23" t="s">
        <v>330</v>
      </c>
      <c r="D1312" s="23" t="s">
        <v>21</v>
      </c>
      <c r="E1312" s="24">
        <v>45414.0</v>
      </c>
      <c r="F1312" s="25">
        <v>0.25972222222222224</v>
      </c>
      <c r="G1312" s="25">
        <v>0.7340277777777777</v>
      </c>
      <c r="H1312" s="27">
        <f t="shared" si="2"/>
        <v>0.4743055556</v>
      </c>
      <c r="I1312" s="28">
        <v>6.0</v>
      </c>
      <c r="J1312" s="29" t="s">
        <v>55</v>
      </c>
      <c r="K1312" s="30" t="s">
        <v>23</v>
      </c>
      <c r="L1312" s="31" t="str">
        <f>IFERROR(__xludf.DUMMYFUNCTION("IF(OR(E1312="""",K1312=""""),"""",IFERROR(IF(K1312="""","""",query('tbl user'!$A$2:$D10975,""SELECT A WHERE D = '""&amp;K1312&amp;""'"")),""USER TIDAK DIKETAHUI""))"),"#REF!")</f>
        <v>#REF!</v>
      </c>
    </row>
    <row r="1313">
      <c r="A1313" s="21">
        <f t="shared" si="1"/>
        <v>0</v>
      </c>
      <c r="B1313" s="32" t="s">
        <v>56</v>
      </c>
      <c r="C1313" s="23" t="s">
        <v>57</v>
      </c>
      <c r="D1313" s="23" t="s">
        <v>58</v>
      </c>
      <c r="E1313" s="24">
        <v>45415.0</v>
      </c>
      <c r="F1313" s="25">
        <v>0.31180555555555556</v>
      </c>
      <c r="G1313" s="25">
        <v>0.5854166666666667</v>
      </c>
      <c r="H1313" s="27">
        <f t="shared" si="2"/>
        <v>0.2736111111</v>
      </c>
      <c r="I1313" s="28">
        <v>1.0</v>
      </c>
      <c r="J1313" s="29" t="s">
        <v>740</v>
      </c>
      <c r="K1313" s="30" t="s">
        <v>23</v>
      </c>
      <c r="L1313" s="31" t="str">
        <f>IFERROR(__xludf.DUMMYFUNCTION("IF(OR(E1313="""",K1313=""""),"""",IFERROR(IF(K1313="""","""",query('tbl user'!$A$2:$D10975,""SELECT A WHERE D = '""&amp;K1313&amp;""'"")),""USER TIDAK DIKETAHUI""))"),"#REF!")</f>
        <v>#REF!</v>
      </c>
    </row>
    <row r="1314">
      <c r="A1314" s="21">
        <f t="shared" si="1"/>
        <v>0</v>
      </c>
      <c r="B1314" s="32" t="s">
        <v>67</v>
      </c>
      <c r="C1314" s="23" t="s">
        <v>68</v>
      </c>
      <c r="D1314" s="23" t="s">
        <v>58</v>
      </c>
      <c r="E1314" s="24">
        <v>45415.0</v>
      </c>
      <c r="F1314" s="25">
        <v>0.3680555555555556</v>
      </c>
      <c r="G1314" s="25">
        <v>0.6666666666666666</v>
      </c>
      <c r="H1314" s="27">
        <f t="shared" si="2"/>
        <v>0.2986111111</v>
      </c>
      <c r="I1314" s="28">
        <v>2.0</v>
      </c>
      <c r="J1314" s="29" t="s">
        <v>736</v>
      </c>
      <c r="K1314" s="30" t="s">
        <v>23</v>
      </c>
      <c r="L1314" s="31" t="str">
        <f>IFERROR(__xludf.DUMMYFUNCTION("IF(OR(E1314="""",K1314=""""),"""",IFERROR(IF(K1314="""","""",query('tbl user'!$A$2:$D10975,""SELECT A WHERE D = '""&amp;K1314&amp;""'"")),""USER TIDAK DIKETAHUI""))"),"#REF!")</f>
        <v>#REF!</v>
      </c>
    </row>
    <row r="1315">
      <c r="A1315" s="21">
        <f t="shared" si="1"/>
        <v>0</v>
      </c>
      <c r="B1315" s="32" t="s">
        <v>167</v>
      </c>
      <c r="C1315" s="23" t="s">
        <v>168</v>
      </c>
      <c r="D1315" s="23" t="s">
        <v>58</v>
      </c>
      <c r="E1315" s="24">
        <v>45415.0</v>
      </c>
      <c r="F1315" s="25">
        <v>0.3034722222222222</v>
      </c>
      <c r="G1315" s="25">
        <v>0.5805555555555556</v>
      </c>
      <c r="H1315" s="27">
        <f t="shared" si="2"/>
        <v>0.2770833333</v>
      </c>
      <c r="I1315" s="28">
        <v>2.0</v>
      </c>
      <c r="J1315" s="29" t="s">
        <v>741</v>
      </c>
      <c r="K1315" s="30" t="s">
        <v>23</v>
      </c>
      <c r="L1315" s="31" t="str">
        <f>IFERROR(__xludf.DUMMYFUNCTION("IF(OR(E1315="""",K1315=""""),"""",IFERROR(IF(K1315="""","""",query('tbl user'!$A$2:$D10975,""SELECT A WHERE D = '""&amp;K1315&amp;""'"")),""USER TIDAK DIKETAHUI""))"),"#REF!")</f>
        <v>#REF!</v>
      </c>
    </row>
    <row r="1316">
      <c r="A1316" s="21">
        <f t="shared" si="1"/>
        <v>0</v>
      </c>
      <c r="B1316" s="32" t="s">
        <v>127</v>
      </c>
      <c r="C1316" s="23" t="s">
        <v>170</v>
      </c>
      <c r="D1316" s="23" t="s">
        <v>58</v>
      </c>
      <c r="E1316" s="24">
        <v>45415.0</v>
      </c>
      <c r="F1316" s="25">
        <v>0.3576388888888889</v>
      </c>
      <c r="G1316" s="25">
        <v>0.6777777777777778</v>
      </c>
      <c r="H1316" s="27">
        <f t="shared" si="2"/>
        <v>0.3201388889</v>
      </c>
      <c r="I1316" s="28">
        <v>2.0</v>
      </c>
      <c r="J1316" s="29" t="s">
        <v>741</v>
      </c>
      <c r="K1316" s="30" t="s">
        <v>23</v>
      </c>
      <c r="L1316" s="31" t="str">
        <f>IFERROR(__xludf.DUMMYFUNCTION("IF(OR(E1316="""",K1316=""""),"""",IFERROR(IF(K1316="""","""",query('tbl user'!$A$2:$D10975,""SELECT A WHERE D = '""&amp;K1316&amp;""'"")),""USER TIDAK DIKETAHUI""))"),"#REF!")</f>
        <v>#REF!</v>
      </c>
    </row>
    <row r="1317">
      <c r="A1317" s="21">
        <f t="shared" si="1"/>
        <v>0</v>
      </c>
      <c r="B1317" s="32" t="s">
        <v>215</v>
      </c>
      <c r="C1317" s="23" t="s">
        <v>176</v>
      </c>
      <c r="D1317" s="23" t="s">
        <v>58</v>
      </c>
      <c r="E1317" s="24">
        <v>45415.0</v>
      </c>
      <c r="F1317" s="25">
        <v>0.2798611111111111</v>
      </c>
      <c r="G1317" s="25">
        <v>0.5868055555555556</v>
      </c>
      <c r="H1317" s="27">
        <f t="shared" si="2"/>
        <v>0.3069444444</v>
      </c>
      <c r="I1317" s="28">
        <v>2.0</v>
      </c>
      <c r="J1317" s="29" t="s">
        <v>742</v>
      </c>
      <c r="K1317" s="30" t="s">
        <v>23</v>
      </c>
      <c r="L1317" s="31" t="str">
        <f>IFERROR(__xludf.DUMMYFUNCTION("IF(OR(E1317="""",K1317=""""),"""",IFERROR(IF(K1317="""","""",query('tbl user'!$A$2:$D10975,""SELECT A WHERE D = '""&amp;K1317&amp;""'"")),""USER TIDAK DIKETAHUI""))"),"#REF!")</f>
        <v>#REF!</v>
      </c>
    </row>
    <row r="1318">
      <c r="A1318" s="21">
        <f t="shared" si="1"/>
        <v>0</v>
      </c>
      <c r="B1318" s="32" t="s">
        <v>178</v>
      </c>
      <c r="C1318" s="23" t="s">
        <v>82</v>
      </c>
      <c r="D1318" s="23" t="s">
        <v>58</v>
      </c>
      <c r="E1318" s="24">
        <v>45415.0</v>
      </c>
      <c r="F1318" s="25">
        <v>0.27291666666666664</v>
      </c>
      <c r="G1318" s="25">
        <v>0.6138888888888889</v>
      </c>
      <c r="H1318" s="27">
        <f t="shared" si="2"/>
        <v>0.3409722222</v>
      </c>
      <c r="I1318" s="28">
        <v>2.0</v>
      </c>
      <c r="J1318" s="29" t="s">
        <v>741</v>
      </c>
      <c r="K1318" s="30" t="s">
        <v>23</v>
      </c>
      <c r="L1318" s="31" t="str">
        <f>IFERROR(__xludf.DUMMYFUNCTION("IF(OR(E1318="""",K1318=""""),"""",IFERROR(IF(K1318="""","""",query('tbl user'!$A$2:$D10975,""SELECT A WHERE D = '""&amp;K1318&amp;""'"")),""USER TIDAK DIKETAHUI""))"),"#REF!")</f>
        <v>#REF!</v>
      </c>
    </row>
    <row r="1319">
      <c r="A1319" s="21">
        <f t="shared" si="1"/>
        <v>0</v>
      </c>
      <c r="B1319" s="32" t="s">
        <v>216</v>
      </c>
      <c r="C1319" s="23" t="s">
        <v>198</v>
      </c>
      <c r="D1319" s="23" t="s">
        <v>58</v>
      </c>
      <c r="E1319" s="24">
        <v>45415.0</v>
      </c>
      <c r="F1319" s="25">
        <v>0.22430555555555556</v>
      </c>
      <c r="G1319" s="25">
        <v>0.5597222222222222</v>
      </c>
      <c r="H1319" s="27">
        <f t="shared" si="2"/>
        <v>0.3354166667</v>
      </c>
      <c r="I1319" s="28">
        <v>2.0</v>
      </c>
      <c r="J1319" s="29" t="s">
        <v>741</v>
      </c>
      <c r="K1319" s="30" t="s">
        <v>23</v>
      </c>
      <c r="L1319" s="31" t="str">
        <f>IFERROR(__xludf.DUMMYFUNCTION("IF(OR(E1319="""",K1319=""""),"""",IFERROR(IF(K1319="""","""",query('tbl user'!$A$2:$D10975,""SELECT A WHERE D = '""&amp;K1319&amp;""'"")),""USER TIDAK DIKETAHUI""))"),"#REF!")</f>
        <v>#REF!</v>
      </c>
    </row>
    <row r="1320">
      <c r="A1320" s="21">
        <f t="shared" si="1"/>
        <v>0</v>
      </c>
      <c r="B1320" s="32" t="s">
        <v>297</v>
      </c>
      <c r="C1320" s="23" t="s">
        <v>348</v>
      </c>
      <c r="D1320" s="23" t="s">
        <v>58</v>
      </c>
      <c r="E1320" s="24">
        <v>45415.0</v>
      </c>
      <c r="F1320" s="25">
        <v>0.27361111111111114</v>
      </c>
      <c r="G1320" s="25">
        <v>0.6826388888888889</v>
      </c>
      <c r="H1320" s="27">
        <f t="shared" si="2"/>
        <v>0.4090277778</v>
      </c>
      <c r="I1320" s="28">
        <v>2.0</v>
      </c>
      <c r="J1320" s="29" t="s">
        <v>741</v>
      </c>
      <c r="K1320" s="30" t="s">
        <v>23</v>
      </c>
      <c r="L1320" s="31" t="str">
        <f>IFERROR(__xludf.DUMMYFUNCTION("IF(OR(E1320="""",K1320=""""),"""",IFERROR(IF(K1320="""","""",query('tbl user'!$A$2:$D10975,""SELECT A WHERE D = '""&amp;K1320&amp;""'"")),""USER TIDAK DIKETAHUI""))"),"#REF!")</f>
        <v>#REF!</v>
      </c>
    </row>
    <row r="1321">
      <c r="A1321" s="21">
        <f t="shared" si="1"/>
        <v>0</v>
      </c>
      <c r="B1321" s="32" t="s">
        <v>205</v>
      </c>
      <c r="C1321" s="23" t="s">
        <v>206</v>
      </c>
      <c r="D1321" s="23" t="s">
        <v>58</v>
      </c>
      <c r="E1321" s="24">
        <v>45415.0</v>
      </c>
      <c r="F1321" s="25">
        <v>0.23472222222222222</v>
      </c>
      <c r="G1321" s="25">
        <v>0.5881944444444445</v>
      </c>
      <c r="H1321" s="27">
        <f t="shared" si="2"/>
        <v>0.3534722222</v>
      </c>
      <c r="I1321" s="28">
        <v>2.0</v>
      </c>
      <c r="J1321" s="29" t="s">
        <v>743</v>
      </c>
      <c r="K1321" s="30" t="s">
        <v>23</v>
      </c>
      <c r="L1321" s="31" t="str">
        <f>IFERROR(__xludf.DUMMYFUNCTION("IF(OR(E1321="""",K1321=""""),"""",IFERROR(IF(K1321="""","""",query('tbl user'!$A$2:$D10975,""SELECT A WHERE D = '""&amp;K1321&amp;""'"")),""USER TIDAK DIKETAHUI""))"),"#REF!")</f>
        <v>#REF!</v>
      </c>
    </row>
    <row r="1322">
      <c r="A1322" s="21">
        <f t="shared" si="1"/>
        <v>0</v>
      </c>
      <c r="B1322" s="32" t="s">
        <v>224</v>
      </c>
      <c r="C1322" s="23" t="s">
        <v>208</v>
      </c>
      <c r="D1322" s="23" t="s">
        <v>58</v>
      </c>
      <c r="E1322" s="24">
        <v>45415.0</v>
      </c>
      <c r="F1322" s="25">
        <v>0.26319444444444445</v>
      </c>
      <c r="G1322" s="25">
        <v>0.5833333333333334</v>
      </c>
      <c r="H1322" s="27">
        <f t="shared" si="2"/>
        <v>0.3201388889</v>
      </c>
      <c r="I1322" s="28">
        <v>2.0</v>
      </c>
      <c r="J1322" s="29" t="s">
        <v>744</v>
      </c>
      <c r="K1322" s="30" t="s">
        <v>23</v>
      </c>
      <c r="L1322" s="31" t="str">
        <f>IFERROR(__xludf.DUMMYFUNCTION("IF(OR(E1322="""",K1322=""""),"""",IFERROR(IF(K1322="""","""",query('tbl user'!$A$2:$D10975,""SELECT A WHERE D = '""&amp;K1322&amp;""'"")),""USER TIDAK DIKETAHUI""))"),"#REF!")</f>
        <v>#REF!</v>
      </c>
    </row>
    <row r="1323">
      <c r="A1323" s="21">
        <f t="shared" si="1"/>
        <v>0</v>
      </c>
      <c r="B1323" s="32" t="s">
        <v>293</v>
      </c>
      <c r="C1323" s="23" t="s">
        <v>211</v>
      </c>
      <c r="D1323" s="23" t="s">
        <v>58</v>
      </c>
      <c r="E1323" s="24">
        <v>45415.0</v>
      </c>
      <c r="F1323" s="25">
        <v>0.25625</v>
      </c>
      <c r="G1323" s="25">
        <v>0.69375</v>
      </c>
      <c r="H1323" s="27">
        <f t="shared" si="2"/>
        <v>0.4375</v>
      </c>
      <c r="I1323" s="28">
        <v>3.0</v>
      </c>
      <c r="J1323" s="29" t="s">
        <v>741</v>
      </c>
      <c r="K1323" s="30" t="s">
        <v>23</v>
      </c>
      <c r="L1323" s="31" t="str">
        <f>IFERROR(__xludf.DUMMYFUNCTION("IF(OR(E1323="""",K1323=""""),"""",IFERROR(IF(K1323="""","""",query('tbl user'!$A$2:$D10975,""SELECT A WHERE D = '""&amp;K1323&amp;""'"")),""USER TIDAK DIKETAHUI""))"),"#REF!")</f>
        <v>#REF!</v>
      </c>
    </row>
    <row r="1324">
      <c r="A1324" s="21">
        <f t="shared" si="1"/>
        <v>0</v>
      </c>
      <c r="B1324" s="32" t="s">
        <v>92</v>
      </c>
      <c r="C1324" s="23" t="s">
        <v>93</v>
      </c>
      <c r="D1324" s="23" t="s">
        <v>58</v>
      </c>
      <c r="E1324" s="24">
        <v>45415.0</v>
      </c>
      <c r="F1324" s="25">
        <v>0.25277777777777777</v>
      </c>
      <c r="G1324" s="25">
        <v>0.6368055555555555</v>
      </c>
      <c r="H1324" s="27">
        <f t="shared" si="2"/>
        <v>0.3840277778</v>
      </c>
      <c r="I1324" s="28">
        <v>3.0</v>
      </c>
      <c r="J1324" s="29" t="s">
        <v>741</v>
      </c>
      <c r="K1324" s="30" t="s">
        <v>23</v>
      </c>
      <c r="L1324" s="31" t="str">
        <f>IFERROR(__xludf.DUMMYFUNCTION("IF(OR(E1324="""",K1324=""""),"""",IFERROR(IF(K1324="""","""",query('tbl user'!$A$2:$D10975,""SELECT A WHERE D = '""&amp;K1324&amp;""'"")),""USER TIDAK DIKETAHUI""))"),"#REF!")</f>
        <v>#REF!</v>
      </c>
    </row>
    <row r="1325">
      <c r="A1325" s="21">
        <f t="shared" si="1"/>
        <v>0</v>
      </c>
      <c r="B1325" s="32" t="s">
        <v>180</v>
      </c>
      <c r="C1325" s="23" t="s">
        <v>181</v>
      </c>
      <c r="D1325" s="23" t="s">
        <v>58</v>
      </c>
      <c r="E1325" s="24">
        <v>45415.0</v>
      </c>
      <c r="F1325" s="25">
        <v>0.25069444444444444</v>
      </c>
      <c r="G1325" s="25">
        <v>0.6486111111111111</v>
      </c>
      <c r="H1325" s="27">
        <f t="shared" si="2"/>
        <v>0.3979166667</v>
      </c>
      <c r="I1325" s="28">
        <v>3.0</v>
      </c>
      <c r="J1325" s="29" t="s">
        <v>741</v>
      </c>
      <c r="K1325" s="30" t="s">
        <v>23</v>
      </c>
      <c r="L1325" s="31" t="str">
        <f>IFERROR(__xludf.DUMMYFUNCTION("IF(OR(E1325="""",K1325=""""),"""",IFERROR(IF(K1325="""","""",query('tbl user'!$A$2:$D10975,""SELECT A WHERE D = '""&amp;K1325&amp;""'"")),""USER TIDAK DIKETAHUI""))"),"#REF!")</f>
        <v>#REF!</v>
      </c>
    </row>
    <row r="1326">
      <c r="A1326" s="21">
        <f t="shared" si="1"/>
        <v>0</v>
      </c>
      <c r="B1326" s="32" t="s">
        <v>182</v>
      </c>
      <c r="C1326" s="23" t="s">
        <v>183</v>
      </c>
      <c r="D1326" s="23" t="s">
        <v>58</v>
      </c>
      <c r="E1326" s="24">
        <v>45415.0</v>
      </c>
      <c r="F1326" s="25">
        <v>0.21180555555555555</v>
      </c>
      <c r="G1326" s="25">
        <v>0.5902777777777778</v>
      </c>
      <c r="H1326" s="27">
        <f t="shared" si="2"/>
        <v>0.3784722222</v>
      </c>
      <c r="I1326" s="28">
        <v>3.0</v>
      </c>
      <c r="J1326" s="29" t="s">
        <v>741</v>
      </c>
      <c r="K1326" s="30" t="s">
        <v>23</v>
      </c>
      <c r="L1326" s="31" t="str">
        <f>IFERROR(__xludf.DUMMYFUNCTION("IF(OR(E1326="""",K1326=""""),"""",IFERROR(IF(K1326="""","""",query('tbl user'!$A$2:$D10975,""SELECT A WHERE D = '""&amp;K1326&amp;""'"")),""USER TIDAK DIKETAHUI""))"),"#REF!")</f>
        <v>#REF!</v>
      </c>
    </row>
    <row r="1327">
      <c r="A1327" s="21">
        <f t="shared" si="1"/>
        <v>0</v>
      </c>
      <c r="B1327" s="32" t="s">
        <v>184</v>
      </c>
      <c r="C1327" s="23" t="s">
        <v>185</v>
      </c>
      <c r="D1327" s="23" t="s">
        <v>58</v>
      </c>
      <c r="E1327" s="24">
        <v>45415.0</v>
      </c>
      <c r="F1327" s="25">
        <v>0.2798611111111111</v>
      </c>
      <c r="G1327" s="25">
        <v>0.6798611111111111</v>
      </c>
      <c r="H1327" s="27">
        <f t="shared" si="2"/>
        <v>0.4</v>
      </c>
      <c r="I1327" s="28">
        <v>3.0</v>
      </c>
      <c r="J1327" s="29" t="s">
        <v>741</v>
      </c>
      <c r="K1327" s="30" t="s">
        <v>23</v>
      </c>
      <c r="L1327" s="31" t="str">
        <f>IFERROR(__xludf.DUMMYFUNCTION("IF(OR(E1327="""",K1327=""""),"""",IFERROR(IF(K1327="""","""",query('tbl user'!$A$2:$D10975,""SELECT A WHERE D = '""&amp;K1327&amp;""'"")),""USER TIDAK DIKETAHUI""))"),"#REF!")</f>
        <v>#REF!</v>
      </c>
    </row>
    <row r="1328">
      <c r="A1328" s="21">
        <f t="shared" si="1"/>
        <v>0</v>
      </c>
      <c r="B1328" s="32" t="s">
        <v>187</v>
      </c>
      <c r="C1328" s="23" t="s">
        <v>188</v>
      </c>
      <c r="D1328" s="23" t="s">
        <v>58</v>
      </c>
      <c r="E1328" s="24">
        <v>45415.0</v>
      </c>
      <c r="F1328" s="25">
        <v>0.20972222222222223</v>
      </c>
      <c r="G1328" s="25">
        <v>0.60625</v>
      </c>
      <c r="H1328" s="27">
        <f t="shared" si="2"/>
        <v>0.3965277778</v>
      </c>
      <c r="I1328" s="28">
        <v>3.0</v>
      </c>
      <c r="J1328" s="29" t="s">
        <v>741</v>
      </c>
      <c r="K1328" s="30" t="s">
        <v>23</v>
      </c>
      <c r="L1328" s="31" t="str">
        <f>IFERROR(__xludf.DUMMYFUNCTION("IF(OR(E1328="""",K1328=""""),"""",IFERROR(IF(K1328="""","""",query('tbl user'!$A$2:$D10975,""SELECT A WHERE D = '""&amp;K1328&amp;""'"")),""USER TIDAK DIKETAHUI""))"),"#REF!")</f>
        <v>#REF!</v>
      </c>
    </row>
    <row r="1329">
      <c r="A1329" s="21">
        <f t="shared" si="1"/>
        <v>0</v>
      </c>
      <c r="B1329" s="32" t="s">
        <v>189</v>
      </c>
      <c r="C1329" s="23" t="s">
        <v>190</v>
      </c>
      <c r="D1329" s="23" t="s">
        <v>58</v>
      </c>
      <c r="E1329" s="24">
        <v>45415.0</v>
      </c>
      <c r="F1329" s="25">
        <v>0.2791666666666667</v>
      </c>
      <c r="G1329" s="25">
        <v>0.6840277777777778</v>
      </c>
      <c r="H1329" s="27">
        <f t="shared" si="2"/>
        <v>0.4048611111</v>
      </c>
      <c r="I1329" s="28">
        <v>3.0</v>
      </c>
      <c r="J1329" s="29" t="s">
        <v>741</v>
      </c>
      <c r="K1329" s="30" t="s">
        <v>23</v>
      </c>
      <c r="L1329" s="31" t="str">
        <f>IFERROR(__xludf.DUMMYFUNCTION("IF(OR(E1329="""",K1329=""""),"""",IFERROR(IF(K1329="""","""",query('tbl user'!$A$2:$D10975,""SELECT A WHERE D = '""&amp;K1329&amp;""'"")),""USER TIDAK DIKETAHUI""))"),"#REF!")</f>
        <v>#REF!</v>
      </c>
    </row>
    <row r="1330">
      <c r="A1330" s="21">
        <f t="shared" si="1"/>
        <v>0</v>
      </c>
      <c r="B1330" s="32" t="s">
        <v>191</v>
      </c>
      <c r="C1330" s="23" t="s">
        <v>192</v>
      </c>
      <c r="D1330" s="23" t="s">
        <v>58</v>
      </c>
      <c r="E1330" s="24">
        <v>45415.0</v>
      </c>
      <c r="F1330" s="25">
        <v>0.2534722222222222</v>
      </c>
      <c r="G1330" s="25">
        <v>0.7534722222222222</v>
      </c>
      <c r="H1330" s="27">
        <f t="shared" si="2"/>
        <v>0.5</v>
      </c>
      <c r="I1330" s="28">
        <v>3.0</v>
      </c>
      <c r="J1330" s="29" t="s">
        <v>745</v>
      </c>
      <c r="K1330" s="30" t="s">
        <v>23</v>
      </c>
      <c r="L1330" s="31" t="str">
        <f>IFERROR(__xludf.DUMMYFUNCTION("IF(OR(E1330="""",K1330=""""),"""",IFERROR(IF(K1330="""","""",query('tbl user'!$A$2:$D10975,""SELECT A WHERE D = '""&amp;K1330&amp;""'"")),""USER TIDAK DIKETAHUI""))"),"#REF!")</f>
        <v>#REF!</v>
      </c>
    </row>
    <row r="1331">
      <c r="A1331" s="21">
        <f t="shared" si="1"/>
        <v>0</v>
      </c>
      <c r="B1331" s="32" t="s">
        <v>194</v>
      </c>
      <c r="C1331" s="23" t="s">
        <v>195</v>
      </c>
      <c r="D1331" s="23" t="s">
        <v>58</v>
      </c>
      <c r="E1331" s="24">
        <v>45415.0</v>
      </c>
      <c r="F1331" s="25">
        <v>0.22916666666666666</v>
      </c>
      <c r="G1331" s="25">
        <v>0.61875</v>
      </c>
      <c r="H1331" s="27">
        <f t="shared" si="2"/>
        <v>0.3895833333</v>
      </c>
      <c r="I1331" s="28">
        <v>3.0</v>
      </c>
      <c r="J1331" s="29" t="s">
        <v>741</v>
      </c>
      <c r="K1331" s="30" t="s">
        <v>23</v>
      </c>
      <c r="L1331" s="31" t="str">
        <f>IFERROR(__xludf.DUMMYFUNCTION("IF(OR(E1331="""",K1331=""""),"""",IFERROR(IF(K1331="""","""",query('tbl user'!$A$2:$D10975,""SELECT A WHERE D = '""&amp;K1331&amp;""'"")),""USER TIDAK DIKETAHUI""))"),"#REF!")</f>
        <v>#REF!</v>
      </c>
    </row>
    <row r="1332">
      <c r="A1332" s="21">
        <f t="shared" si="1"/>
        <v>0</v>
      </c>
      <c r="B1332" s="32" t="s">
        <v>30</v>
      </c>
      <c r="C1332" s="23" t="s">
        <v>105</v>
      </c>
      <c r="D1332" s="23" t="s">
        <v>58</v>
      </c>
      <c r="E1332" s="24">
        <v>45415.0</v>
      </c>
      <c r="F1332" s="25">
        <v>0.23819444444444443</v>
      </c>
      <c r="G1332" s="25">
        <v>0.6923611111111111</v>
      </c>
      <c r="H1332" s="27">
        <f t="shared" si="2"/>
        <v>0.4541666667</v>
      </c>
      <c r="I1332" s="28">
        <v>3.0</v>
      </c>
      <c r="J1332" s="29" t="s">
        <v>741</v>
      </c>
      <c r="K1332" s="30" t="s">
        <v>23</v>
      </c>
      <c r="L1332" s="31" t="str">
        <f>IFERROR(__xludf.DUMMYFUNCTION("IF(OR(E1332="""",K1332=""""),"""",IFERROR(IF(K1332="""","""",query('tbl user'!$A$2:$D10975,""SELECT A WHERE D = '""&amp;K1332&amp;""'"")),""USER TIDAK DIKETAHUI""))"),"#REF!")</f>
        <v>#REF!</v>
      </c>
    </row>
    <row r="1333">
      <c r="A1333" s="21">
        <f t="shared" si="1"/>
        <v>0</v>
      </c>
      <c r="B1333" s="32" t="s">
        <v>202</v>
      </c>
      <c r="C1333" s="23" t="s">
        <v>203</v>
      </c>
      <c r="D1333" s="23" t="s">
        <v>58</v>
      </c>
      <c r="E1333" s="24">
        <v>45415.0</v>
      </c>
      <c r="F1333" s="25">
        <v>0.25763888888888886</v>
      </c>
      <c r="G1333" s="25">
        <v>0.6951388888888889</v>
      </c>
      <c r="H1333" s="27">
        <f t="shared" si="2"/>
        <v>0.4375</v>
      </c>
      <c r="I1333" s="28">
        <v>3.0</v>
      </c>
      <c r="J1333" s="29" t="s">
        <v>741</v>
      </c>
      <c r="K1333" s="30" t="s">
        <v>23</v>
      </c>
      <c r="L1333" s="31" t="str">
        <f>IFERROR(__xludf.DUMMYFUNCTION("IF(OR(E1333="""",K1333=""""),"""",IFERROR(IF(K1333="""","""",query('tbl user'!$A$2:$D10975,""SELECT A WHERE D = '""&amp;K1333&amp;""'"")),""USER TIDAK DIKETAHUI""))"),"#REF!")</f>
        <v>#REF!</v>
      </c>
    </row>
    <row r="1334">
      <c r="A1334" s="21">
        <f t="shared" si="1"/>
        <v>0</v>
      </c>
      <c r="B1334" s="32" t="s">
        <v>84</v>
      </c>
      <c r="C1334" s="23" t="s">
        <v>85</v>
      </c>
      <c r="D1334" s="23" t="s">
        <v>58</v>
      </c>
      <c r="E1334" s="24">
        <v>45415.0</v>
      </c>
      <c r="F1334" s="25">
        <v>0.25833333333333336</v>
      </c>
      <c r="G1334" s="25">
        <v>0.7166666666666667</v>
      </c>
      <c r="H1334" s="27">
        <f t="shared" si="2"/>
        <v>0.4583333333</v>
      </c>
      <c r="I1334" s="28">
        <v>3.0</v>
      </c>
      <c r="J1334" s="29" t="s">
        <v>741</v>
      </c>
      <c r="K1334" s="30" t="s">
        <v>23</v>
      </c>
      <c r="L1334" s="31" t="str">
        <f>IFERROR(__xludf.DUMMYFUNCTION("IF(OR(E1334="""",K1334=""""),"""",IFERROR(IF(K1334="""","""",query('tbl user'!$A$2:$D10975,""SELECT A WHERE D = '""&amp;K1334&amp;""'"")),""USER TIDAK DIKETAHUI""))"),"#REF!")</f>
        <v>#REF!</v>
      </c>
    </row>
    <row r="1335">
      <c r="A1335" s="21">
        <f t="shared" si="1"/>
        <v>0</v>
      </c>
      <c r="B1335" s="32" t="s">
        <v>200</v>
      </c>
      <c r="C1335" s="23" t="s">
        <v>201</v>
      </c>
      <c r="D1335" s="23" t="s">
        <v>58</v>
      </c>
      <c r="E1335" s="24">
        <v>45415.0</v>
      </c>
      <c r="F1335" s="25">
        <v>0.20833333333333334</v>
      </c>
      <c r="G1335" s="25">
        <v>0.7020833333333333</v>
      </c>
      <c r="H1335" s="27">
        <f t="shared" si="2"/>
        <v>0.49375</v>
      </c>
      <c r="I1335" s="28">
        <v>4.0</v>
      </c>
      <c r="J1335" s="29" t="s">
        <v>55</v>
      </c>
      <c r="K1335" s="30" t="s">
        <v>23</v>
      </c>
      <c r="L1335" s="31" t="str">
        <f>IFERROR(__xludf.DUMMYFUNCTION("IF(OR(E1335="""",K1335=""""),"""",IFERROR(IF(K1335="""","""",query('tbl user'!$A$2:$D10975,""SELECT A WHERE D = '""&amp;K1335&amp;""'"")),""USER TIDAK DIKETAHUI""))"),"#REF!")</f>
        <v>#REF!</v>
      </c>
    </row>
    <row r="1336">
      <c r="A1336" s="21">
        <f t="shared" si="1"/>
        <v>0</v>
      </c>
      <c r="B1336" s="32" t="s">
        <v>43</v>
      </c>
      <c r="C1336" s="23" t="s">
        <v>44</v>
      </c>
      <c r="D1336" s="23" t="s">
        <v>21</v>
      </c>
      <c r="E1336" s="24">
        <v>45415.0</v>
      </c>
      <c r="F1336" s="25">
        <v>0.2861111111111111</v>
      </c>
      <c r="G1336" s="25">
        <v>0.44027777777777777</v>
      </c>
      <c r="H1336" s="27">
        <f t="shared" si="2"/>
        <v>0.1541666667</v>
      </c>
      <c r="I1336" s="28">
        <v>1.0</v>
      </c>
      <c r="J1336" s="29" t="s">
        <v>746</v>
      </c>
      <c r="K1336" s="30" t="s">
        <v>23</v>
      </c>
      <c r="L1336" s="31" t="str">
        <f>IFERROR(__xludf.DUMMYFUNCTION("IF(OR(E1336="""",K1336=""""),"""",IFERROR(IF(K1336="""","""",query('tbl user'!$A$2:$D10975,""SELECT A WHERE D = '""&amp;K1336&amp;""'"")),""USER TIDAK DIKETAHUI""))"),"#REF!")</f>
        <v>#REF!</v>
      </c>
    </row>
    <row r="1337">
      <c r="A1337" s="21">
        <f t="shared" si="1"/>
        <v>0</v>
      </c>
      <c r="B1337" s="32" t="s">
        <v>220</v>
      </c>
      <c r="C1337" s="23" t="s">
        <v>232</v>
      </c>
      <c r="D1337" s="23" t="s">
        <v>21</v>
      </c>
      <c r="E1337" s="24">
        <v>45415.0</v>
      </c>
      <c r="F1337" s="25">
        <v>0.31180555555555556</v>
      </c>
      <c r="G1337" s="25">
        <v>0.43125</v>
      </c>
      <c r="H1337" s="27">
        <f t="shared" si="2"/>
        <v>0.1194444444</v>
      </c>
      <c r="I1337" s="28">
        <v>1.0</v>
      </c>
      <c r="J1337" s="29" t="s">
        <v>237</v>
      </c>
      <c r="K1337" s="30" t="s">
        <v>23</v>
      </c>
      <c r="L1337" s="31" t="str">
        <f>IFERROR(__xludf.DUMMYFUNCTION("IF(OR(E1337="""",K1337=""""),"""",IFERROR(IF(K1337="""","""",query('tbl user'!$A$2:$D10975,""SELECT A WHERE D = '""&amp;K1337&amp;""'"")),""USER TIDAK DIKETAHUI""))"),"#REF!")</f>
        <v>#REF!</v>
      </c>
    </row>
    <row r="1338">
      <c r="A1338" s="21">
        <f t="shared" si="1"/>
        <v>0</v>
      </c>
      <c r="B1338" s="32" t="s">
        <v>305</v>
      </c>
      <c r="C1338" s="23" t="s">
        <v>251</v>
      </c>
      <c r="D1338" s="23" t="s">
        <v>21</v>
      </c>
      <c r="E1338" s="24">
        <v>45415.0</v>
      </c>
      <c r="F1338" s="25">
        <v>0.2222222222222222</v>
      </c>
      <c r="G1338" s="25">
        <v>0.5680555555555555</v>
      </c>
      <c r="H1338" s="27">
        <f t="shared" si="2"/>
        <v>0.3458333333</v>
      </c>
      <c r="I1338" s="28">
        <v>3.0</v>
      </c>
      <c r="J1338" s="29" t="s">
        <v>747</v>
      </c>
      <c r="K1338" s="30" t="s">
        <v>23</v>
      </c>
      <c r="L1338" s="31" t="str">
        <f>IFERROR(__xludf.DUMMYFUNCTION("IF(OR(E1338="""",K1338=""""),"""",IFERROR(IF(K1338="""","""",query('tbl user'!$A$2:$D10975,""SELECT A WHERE D = '""&amp;K1338&amp;""'"")),""USER TIDAK DIKETAHUI""))"),"#REF!")</f>
        <v>#REF!</v>
      </c>
    </row>
    <row r="1339">
      <c r="A1339" s="21">
        <f t="shared" si="1"/>
        <v>0</v>
      </c>
      <c r="B1339" s="32" t="s">
        <v>81</v>
      </c>
      <c r="C1339" s="23" t="s">
        <v>261</v>
      </c>
      <c r="D1339" s="23" t="s">
        <v>21</v>
      </c>
      <c r="E1339" s="24">
        <v>45415.0</v>
      </c>
      <c r="F1339" s="25">
        <v>0.2701388888888889</v>
      </c>
      <c r="G1339" s="25">
        <v>0.6916666666666667</v>
      </c>
      <c r="H1339" s="27">
        <f t="shared" si="2"/>
        <v>0.4215277778</v>
      </c>
      <c r="I1339" s="28">
        <v>3.0</v>
      </c>
      <c r="J1339" s="29" t="s">
        <v>748</v>
      </c>
      <c r="K1339" s="30" t="s">
        <v>23</v>
      </c>
      <c r="L1339" s="31" t="str">
        <f>IFERROR(__xludf.DUMMYFUNCTION("IF(OR(E1339="""",K1339=""""),"""",IFERROR(IF(K1339="""","""",query('tbl user'!$A$2:$D10975,""SELECT A WHERE D = '""&amp;K1339&amp;""'"")),""USER TIDAK DIKETAHUI""))"),"#REF!")</f>
        <v>#REF!</v>
      </c>
    </row>
    <row r="1340">
      <c r="A1340" s="21">
        <f t="shared" si="1"/>
        <v>0</v>
      </c>
      <c r="B1340" s="32" t="s">
        <v>34</v>
      </c>
      <c r="C1340" s="23" t="s">
        <v>35</v>
      </c>
      <c r="D1340" s="23" t="s">
        <v>21</v>
      </c>
      <c r="E1340" s="24">
        <v>45415.0</v>
      </c>
      <c r="F1340" s="25">
        <v>0.30625</v>
      </c>
      <c r="G1340" s="25">
        <v>0.7125</v>
      </c>
      <c r="H1340" s="27">
        <f t="shared" si="2"/>
        <v>0.40625</v>
      </c>
      <c r="I1340" s="28">
        <v>4.0</v>
      </c>
      <c r="J1340" s="29" t="s">
        <v>749</v>
      </c>
      <c r="K1340" s="30" t="s">
        <v>23</v>
      </c>
      <c r="L1340" s="31" t="str">
        <f>IFERROR(__xludf.DUMMYFUNCTION("IF(OR(E1340="""",K1340=""""),"""",IFERROR(IF(K1340="""","""",query('tbl user'!$A$2:$D10975,""SELECT A WHERE D = '""&amp;K1340&amp;""'"")),""USER TIDAK DIKETAHUI""))"),"#REF!")</f>
        <v>#REF!</v>
      </c>
    </row>
    <row r="1341">
      <c r="A1341" s="21">
        <f t="shared" si="1"/>
        <v>0</v>
      </c>
      <c r="B1341" s="32" t="s">
        <v>172</v>
      </c>
      <c r="C1341" s="23" t="s">
        <v>239</v>
      </c>
      <c r="D1341" s="23" t="s">
        <v>21</v>
      </c>
      <c r="E1341" s="24">
        <v>45415.0</v>
      </c>
      <c r="F1341" s="25">
        <v>0.3055555555555556</v>
      </c>
      <c r="G1341" s="25">
        <v>0.7166666666666667</v>
      </c>
      <c r="H1341" s="27">
        <f t="shared" si="2"/>
        <v>0.4111111111</v>
      </c>
      <c r="I1341" s="28">
        <v>4.0</v>
      </c>
      <c r="J1341" s="29" t="s">
        <v>399</v>
      </c>
      <c r="K1341" s="30" t="s">
        <v>23</v>
      </c>
      <c r="L1341" s="31" t="str">
        <f>IFERROR(__xludf.DUMMYFUNCTION("IF(OR(E1341="""",K1341=""""),"""",IFERROR(IF(K1341="""","""",query('tbl user'!$A$2:$D10975,""SELECT A WHERE D = '""&amp;K1341&amp;""'"")),""USER TIDAK DIKETAHUI""))"),"#REF!")</f>
        <v>#REF!</v>
      </c>
    </row>
    <row r="1342">
      <c r="A1342" s="21">
        <f t="shared" si="1"/>
        <v>0</v>
      </c>
      <c r="B1342" s="32" t="s">
        <v>246</v>
      </c>
      <c r="C1342" s="23" t="s">
        <v>99</v>
      </c>
      <c r="D1342" s="23" t="s">
        <v>21</v>
      </c>
      <c r="E1342" s="24">
        <v>45415.0</v>
      </c>
      <c r="F1342" s="25">
        <v>0.28055555555555556</v>
      </c>
      <c r="G1342" s="25">
        <v>0.7222222222222222</v>
      </c>
      <c r="H1342" s="27">
        <f t="shared" si="2"/>
        <v>0.4416666667</v>
      </c>
      <c r="I1342" s="28">
        <v>4.0</v>
      </c>
      <c r="J1342" s="29" t="s">
        <v>399</v>
      </c>
      <c r="K1342" s="30" t="s">
        <v>23</v>
      </c>
      <c r="L1342" s="31" t="str">
        <f>IFERROR(__xludf.DUMMYFUNCTION("IF(OR(E1342="""",K1342=""""),"""",IFERROR(IF(K1342="""","""",query('tbl user'!$A$2:$D10975,""SELECT A WHERE D = '""&amp;K1342&amp;""'"")),""USER TIDAK DIKETAHUI""))"),"#REF!")</f>
        <v>#REF!</v>
      </c>
    </row>
    <row r="1343">
      <c r="A1343" s="21">
        <f t="shared" si="1"/>
        <v>0</v>
      </c>
      <c r="B1343" s="32" t="s">
        <v>662</v>
      </c>
      <c r="C1343" s="23" t="s">
        <v>234</v>
      </c>
      <c r="D1343" s="23" t="s">
        <v>21</v>
      </c>
      <c r="E1343" s="24">
        <v>45415.0</v>
      </c>
      <c r="F1343" s="25">
        <v>0.28125</v>
      </c>
      <c r="G1343" s="25">
        <v>0.7</v>
      </c>
      <c r="H1343" s="27">
        <f t="shared" si="2"/>
        <v>0.41875</v>
      </c>
      <c r="I1343" s="28">
        <v>4.0</v>
      </c>
      <c r="J1343" s="29" t="s">
        <v>399</v>
      </c>
      <c r="K1343" s="30" t="s">
        <v>23</v>
      </c>
      <c r="L1343" s="31" t="str">
        <f>IFERROR(__xludf.DUMMYFUNCTION("IF(OR(E1343="""",K1343=""""),"""",IFERROR(IF(K1343="""","""",query('tbl user'!$A$2:$D10975,""SELECT A WHERE D = '""&amp;K1343&amp;""'"")),""USER TIDAK DIKETAHUI""))"),"#REF!")</f>
        <v>#REF!</v>
      </c>
    </row>
    <row r="1344">
      <c r="A1344" s="21">
        <f t="shared" si="1"/>
        <v>0</v>
      </c>
      <c r="B1344" s="32" t="s">
        <v>258</v>
      </c>
      <c r="C1344" s="23" t="s">
        <v>259</v>
      </c>
      <c r="D1344" s="23" t="s">
        <v>21</v>
      </c>
      <c r="E1344" s="24">
        <v>45415.0</v>
      </c>
      <c r="F1344" s="25">
        <v>0.2548611111111111</v>
      </c>
      <c r="G1344" s="25">
        <v>0.6979166666666666</v>
      </c>
      <c r="H1344" s="27">
        <f t="shared" si="2"/>
        <v>0.4430555556</v>
      </c>
      <c r="I1344" s="28">
        <v>4.0</v>
      </c>
      <c r="J1344" s="29" t="s">
        <v>399</v>
      </c>
      <c r="K1344" s="30" t="s">
        <v>23</v>
      </c>
      <c r="L1344" s="31" t="str">
        <f>IFERROR(__xludf.DUMMYFUNCTION("IF(OR(E1344="""",K1344=""""),"""",IFERROR(IF(K1344="""","""",query('tbl user'!$A$2:$D10975,""SELECT A WHERE D = '""&amp;K1344&amp;""'"")),""USER TIDAK DIKETAHUI""))"),"#REF!")</f>
        <v>#REF!</v>
      </c>
    </row>
    <row r="1345">
      <c r="A1345" s="21">
        <f t="shared" si="1"/>
        <v>0</v>
      </c>
      <c r="B1345" s="32" t="s">
        <v>24</v>
      </c>
      <c r="C1345" s="23" t="s">
        <v>25</v>
      </c>
      <c r="D1345" s="23" t="s">
        <v>21</v>
      </c>
      <c r="E1345" s="24">
        <v>45415.0</v>
      </c>
      <c r="F1345" s="25">
        <v>0.2326388888888889</v>
      </c>
      <c r="G1345" s="25">
        <v>0.7118055555555556</v>
      </c>
      <c r="H1345" s="27">
        <f t="shared" si="2"/>
        <v>0.4791666667</v>
      </c>
      <c r="I1345" s="28">
        <v>5.0</v>
      </c>
      <c r="J1345" s="29" t="s">
        <v>55</v>
      </c>
      <c r="K1345" s="30" t="s">
        <v>23</v>
      </c>
      <c r="L1345" s="31" t="str">
        <f>IFERROR(__xludf.DUMMYFUNCTION("IF(OR(E1345="""",K1345=""""),"""",IFERROR(IF(K1345="""","""",query('tbl user'!$A$2:$D10975,""SELECT A WHERE D = '""&amp;K1345&amp;""'"")),""USER TIDAK DIKETAHUI""))"),"#REF!")</f>
        <v>#REF!</v>
      </c>
    </row>
    <row r="1346">
      <c r="A1346" s="21">
        <f t="shared" si="1"/>
        <v>0</v>
      </c>
      <c r="B1346" s="32" t="s">
        <v>253</v>
      </c>
      <c r="C1346" s="23" t="s">
        <v>102</v>
      </c>
      <c r="D1346" s="23" t="s">
        <v>21</v>
      </c>
      <c r="E1346" s="24">
        <v>45415.0</v>
      </c>
      <c r="F1346" s="25">
        <v>0.2659722222222222</v>
      </c>
      <c r="G1346" s="25">
        <v>0.7777777777777778</v>
      </c>
      <c r="H1346" s="27">
        <f t="shared" si="2"/>
        <v>0.5118055556</v>
      </c>
      <c r="I1346" s="28">
        <v>5.0</v>
      </c>
      <c r="J1346" s="29" t="s">
        <v>55</v>
      </c>
      <c r="K1346" s="30" t="s">
        <v>23</v>
      </c>
      <c r="L1346" s="31" t="str">
        <f>IFERROR(__xludf.DUMMYFUNCTION("IF(OR(E1346="""",K1346=""""),"""",IFERROR(IF(K1346="""","""",query('tbl user'!$A$2:$D10975,""SELECT A WHERE D = '""&amp;K1346&amp;""'"")),""USER TIDAK DIKETAHUI""))"),"#REF!")</f>
        <v>#REF!</v>
      </c>
    </row>
    <row r="1347">
      <c r="A1347" s="21">
        <f t="shared" si="1"/>
        <v>0</v>
      </c>
      <c r="B1347" s="32" t="s">
        <v>281</v>
      </c>
      <c r="C1347" s="23" t="s">
        <v>282</v>
      </c>
      <c r="D1347" s="23" t="s">
        <v>21</v>
      </c>
      <c r="E1347" s="24">
        <v>45415.0</v>
      </c>
      <c r="F1347" s="25">
        <v>0.2791666666666667</v>
      </c>
      <c r="G1347" s="25">
        <v>0.39861111111111114</v>
      </c>
      <c r="H1347" s="27">
        <f t="shared" si="2"/>
        <v>0.1194444444</v>
      </c>
      <c r="I1347" s="28">
        <v>1.0</v>
      </c>
      <c r="J1347" s="29" t="s">
        <v>750</v>
      </c>
      <c r="K1347" s="30" t="s">
        <v>23</v>
      </c>
      <c r="L1347" s="31" t="str">
        <f>IFERROR(__xludf.DUMMYFUNCTION("IF(OR(E1347="""",K1347=""""),"""",IFERROR(IF(K1347="""","""",query('tbl user'!$A$2:$D10975,""SELECT A WHERE D = '""&amp;K1347&amp;""'"")),""USER TIDAK DIKETAHUI""))"),"#REF!")</f>
        <v>#REF!</v>
      </c>
    </row>
    <row r="1348">
      <c r="A1348" s="21">
        <f t="shared" si="1"/>
        <v>0</v>
      </c>
      <c r="B1348" s="32" t="s">
        <v>64</v>
      </c>
      <c r="C1348" s="23" t="s">
        <v>65</v>
      </c>
      <c r="D1348" s="23" t="s">
        <v>21</v>
      </c>
      <c r="E1348" s="24">
        <v>45415.0</v>
      </c>
      <c r="F1348" s="25">
        <v>0.3506944444444444</v>
      </c>
      <c r="G1348" s="25">
        <v>0.5715277777777777</v>
      </c>
      <c r="H1348" s="27">
        <f t="shared" si="2"/>
        <v>0.2208333333</v>
      </c>
      <c r="I1348" s="28">
        <v>1.0</v>
      </c>
      <c r="J1348" s="29" t="s">
        <v>751</v>
      </c>
      <c r="K1348" s="30" t="s">
        <v>23</v>
      </c>
      <c r="L1348" s="31" t="str">
        <f>IFERROR(__xludf.DUMMYFUNCTION("IF(OR(E1348="""",K1348=""""),"""",IFERROR(IF(K1348="""","""",query('tbl user'!$A$2:$D10975,""SELECT A WHERE D = '""&amp;K1348&amp;""'"")),""USER TIDAK DIKETAHUI""))"),"#REF!")</f>
        <v>#REF!</v>
      </c>
    </row>
    <row r="1349">
      <c r="A1349" s="21">
        <f t="shared" si="1"/>
        <v>0</v>
      </c>
      <c r="B1349" s="32" t="s">
        <v>51</v>
      </c>
      <c r="C1349" s="23" t="s">
        <v>27</v>
      </c>
      <c r="D1349" s="23" t="s">
        <v>21</v>
      </c>
      <c r="E1349" s="24">
        <v>45415.0</v>
      </c>
      <c r="F1349" s="25">
        <v>0.2826388888888889</v>
      </c>
      <c r="G1349" s="25">
        <v>0.5756944444444444</v>
      </c>
      <c r="H1349" s="27">
        <f t="shared" si="2"/>
        <v>0.2930555556</v>
      </c>
      <c r="I1349" s="28">
        <v>2.0</v>
      </c>
      <c r="J1349" s="29" t="s">
        <v>752</v>
      </c>
      <c r="K1349" s="30" t="s">
        <v>23</v>
      </c>
      <c r="L1349" s="31" t="str">
        <f>IFERROR(__xludf.DUMMYFUNCTION("IF(OR(E1349="""",K1349=""""),"""",IFERROR(IF(K1349="""","""",query('tbl user'!$A$2:$D10975,""SELECT A WHERE D = '""&amp;K1349&amp;""'"")),""USER TIDAK DIKETAHUI""))"),"#REF!")</f>
        <v>#REF!</v>
      </c>
    </row>
    <row r="1350">
      <c r="A1350" s="21">
        <f t="shared" si="1"/>
        <v>0</v>
      </c>
      <c r="B1350" s="32" t="s">
        <v>37</v>
      </c>
      <c r="C1350" s="23" t="s">
        <v>38</v>
      </c>
      <c r="D1350" s="23" t="s">
        <v>21</v>
      </c>
      <c r="E1350" s="24">
        <v>45415.0</v>
      </c>
      <c r="F1350" s="25">
        <v>0.28680555555555554</v>
      </c>
      <c r="G1350" s="25">
        <v>0.7180555555555556</v>
      </c>
      <c r="H1350" s="27">
        <f t="shared" si="2"/>
        <v>0.43125</v>
      </c>
      <c r="I1350" s="28">
        <v>3.0</v>
      </c>
      <c r="J1350" s="29" t="s">
        <v>749</v>
      </c>
      <c r="K1350" s="30" t="s">
        <v>23</v>
      </c>
      <c r="L1350" s="31" t="str">
        <f>IFERROR(__xludf.DUMMYFUNCTION("IF(OR(E1350="""",K1350=""""),"""",IFERROR(IF(K1350="""","""",query('tbl user'!$A$2:$D10975,""SELECT A WHERE D = '""&amp;K1350&amp;""'"")),""USER TIDAK DIKETAHUI""))"),"#REF!")</f>
        <v>#REF!</v>
      </c>
    </row>
    <row r="1351">
      <c r="A1351" s="21">
        <f t="shared" si="1"/>
        <v>0</v>
      </c>
      <c r="B1351" s="32" t="s">
        <v>61</v>
      </c>
      <c r="C1351" s="23" t="s">
        <v>62</v>
      </c>
      <c r="D1351" s="23" t="s">
        <v>21</v>
      </c>
      <c r="E1351" s="24">
        <v>45415.0</v>
      </c>
      <c r="F1351" s="25">
        <v>0.2777777777777778</v>
      </c>
      <c r="G1351" s="25">
        <v>0.6923611111111111</v>
      </c>
      <c r="H1351" s="27">
        <f t="shared" si="2"/>
        <v>0.4145833333</v>
      </c>
      <c r="I1351" s="28">
        <v>3.0</v>
      </c>
      <c r="J1351" s="29" t="s">
        <v>753</v>
      </c>
      <c r="K1351" s="30" t="s">
        <v>23</v>
      </c>
      <c r="L1351" s="31" t="str">
        <f>IFERROR(__xludf.DUMMYFUNCTION("IF(OR(E1351="""",K1351=""""),"""",IFERROR(IF(K1351="""","""",query('tbl user'!$A$2:$D10975,""SELECT A WHERE D = '""&amp;K1351&amp;""'"")),""USER TIDAK DIKETAHUI""))"),"#REF!")</f>
        <v>#REF!</v>
      </c>
    </row>
    <row r="1352">
      <c r="A1352" s="21">
        <f t="shared" si="1"/>
        <v>0</v>
      </c>
      <c r="B1352" s="32" t="s">
        <v>289</v>
      </c>
      <c r="C1352" s="23" t="s">
        <v>290</v>
      </c>
      <c r="D1352" s="23" t="s">
        <v>21</v>
      </c>
      <c r="E1352" s="24">
        <v>45415.0</v>
      </c>
      <c r="F1352" s="25">
        <v>0.3159722222222222</v>
      </c>
      <c r="G1352" s="25">
        <v>0.6791666666666667</v>
      </c>
      <c r="H1352" s="27">
        <f t="shared" si="2"/>
        <v>0.3631944444</v>
      </c>
      <c r="I1352" s="28">
        <v>3.0</v>
      </c>
      <c r="J1352" s="29" t="s">
        <v>754</v>
      </c>
      <c r="K1352" s="30" t="s">
        <v>23</v>
      </c>
      <c r="L1352" s="31" t="str">
        <f>IFERROR(__xludf.DUMMYFUNCTION("IF(OR(E1352="""",K1352=""""),"""",IFERROR(IF(K1352="""","""",query('tbl user'!$A$2:$D10975,""SELECT A WHERE D = '""&amp;K1352&amp;""'"")),""USER TIDAK DIKETAHUI""))"),"#REF!")</f>
        <v>#REF!</v>
      </c>
    </row>
    <row r="1353">
      <c r="A1353" s="21">
        <f t="shared" si="1"/>
        <v>0</v>
      </c>
      <c r="B1353" s="32" t="s">
        <v>601</v>
      </c>
      <c r="C1353" s="23" t="s">
        <v>323</v>
      </c>
      <c r="D1353" s="23" t="s">
        <v>21</v>
      </c>
      <c r="E1353" s="24">
        <v>45415.0</v>
      </c>
      <c r="F1353" s="25">
        <v>0.2722222222222222</v>
      </c>
      <c r="G1353" s="25">
        <v>0.4166666666666667</v>
      </c>
      <c r="H1353" s="27">
        <f t="shared" si="2"/>
        <v>0.1444444444</v>
      </c>
      <c r="I1353" s="28">
        <v>1.0</v>
      </c>
      <c r="J1353" s="29" t="s">
        <v>755</v>
      </c>
      <c r="K1353" s="30" t="s">
        <v>23</v>
      </c>
      <c r="L1353" s="31" t="str">
        <f>IFERROR(__xludf.DUMMYFUNCTION("IF(OR(E1353="""",K1353=""""),"""",IFERROR(IF(K1353="""","""",query('tbl user'!$A$2:$D10975,""SELECT A WHERE D = '""&amp;K1353&amp;""'"")),""USER TIDAK DIKETAHUI""))"),"#REF!")</f>
        <v>#REF!</v>
      </c>
    </row>
    <row r="1354">
      <c r="A1354" s="21">
        <f t="shared" si="1"/>
        <v>0</v>
      </c>
      <c r="B1354" s="32" t="s">
        <v>95</v>
      </c>
      <c r="C1354" s="23" t="s">
        <v>329</v>
      </c>
      <c r="D1354" s="23" t="s">
        <v>21</v>
      </c>
      <c r="E1354" s="24">
        <v>45415.0</v>
      </c>
      <c r="F1354" s="25">
        <v>0.28541666666666665</v>
      </c>
      <c r="G1354" s="25">
        <v>0.5590277777777778</v>
      </c>
      <c r="H1354" s="27">
        <f t="shared" si="2"/>
        <v>0.2736111111</v>
      </c>
      <c r="I1354" s="28">
        <v>2.0</v>
      </c>
      <c r="J1354" s="29" t="s">
        <v>237</v>
      </c>
      <c r="K1354" s="30" t="s">
        <v>23</v>
      </c>
      <c r="L1354" s="31" t="str">
        <f>IFERROR(__xludf.DUMMYFUNCTION("IF(OR(E1354="""",K1354=""""),"""",IFERROR(IF(K1354="""","""",query('tbl user'!$A$2:$D10975,""SELECT A WHERE D = '""&amp;K1354&amp;""'"")),""USER TIDAK DIKETAHUI""))"),"#REF!")</f>
        <v>#REF!</v>
      </c>
    </row>
    <row r="1355">
      <c r="A1355" s="21">
        <f t="shared" si="1"/>
        <v>0</v>
      </c>
      <c r="B1355" s="32" t="s">
        <v>337</v>
      </c>
      <c r="C1355" s="23" t="s">
        <v>338</v>
      </c>
      <c r="D1355" s="23" t="s">
        <v>21</v>
      </c>
      <c r="E1355" s="24">
        <v>45415.0</v>
      </c>
      <c r="F1355" s="25">
        <v>0.275</v>
      </c>
      <c r="G1355" s="25">
        <v>0.6722222222222223</v>
      </c>
      <c r="H1355" s="27">
        <f t="shared" si="2"/>
        <v>0.3972222222</v>
      </c>
      <c r="I1355" s="28">
        <v>3.0</v>
      </c>
      <c r="J1355" s="29" t="s">
        <v>508</v>
      </c>
      <c r="K1355" s="30" t="s">
        <v>23</v>
      </c>
      <c r="L1355" s="31" t="str">
        <f>IFERROR(__xludf.DUMMYFUNCTION("IF(OR(E1355="""",K1355=""""),"""",IFERROR(IF(K1355="""","""",query('tbl user'!$A$2:$D10975,""SELECT A WHERE D = '""&amp;K1355&amp;""'"")),""USER TIDAK DIKETAHUI""))"),"#REF!")</f>
        <v>#REF!</v>
      </c>
    </row>
    <row r="1356">
      <c r="A1356" s="21">
        <f t="shared" si="1"/>
        <v>0</v>
      </c>
      <c r="B1356" s="32" t="s">
        <v>131</v>
      </c>
      <c r="C1356" s="23" t="s">
        <v>339</v>
      </c>
      <c r="D1356" s="23" t="s">
        <v>21</v>
      </c>
      <c r="E1356" s="24">
        <v>45415.0</v>
      </c>
      <c r="F1356" s="25">
        <v>0.2652777777777778</v>
      </c>
      <c r="G1356" s="25">
        <v>0.7395833333333334</v>
      </c>
      <c r="H1356" s="27">
        <f t="shared" si="2"/>
        <v>0.4743055556</v>
      </c>
      <c r="I1356" s="28">
        <v>4.0</v>
      </c>
      <c r="J1356" s="29" t="s">
        <v>399</v>
      </c>
      <c r="K1356" s="30" t="s">
        <v>23</v>
      </c>
      <c r="L1356" s="31" t="str">
        <f>IFERROR(__xludf.DUMMYFUNCTION("IF(OR(E1356="""",K1356=""""),"""",IFERROR(IF(K1356="""","""",query('tbl user'!$A$2:$D10975,""SELECT A WHERE D = '""&amp;K1356&amp;""'"")),""USER TIDAK DIKETAHUI""))"),"#REF!")</f>
        <v>#REF!</v>
      </c>
    </row>
    <row r="1357">
      <c r="A1357" s="21">
        <f t="shared" si="1"/>
        <v>0</v>
      </c>
      <c r="B1357" s="32" t="s">
        <v>331</v>
      </c>
      <c r="C1357" s="23" t="s">
        <v>332</v>
      </c>
      <c r="D1357" s="23" t="s">
        <v>21</v>
      </c>
      <c r="E1357" s="24">
        <v>45415.0</v>
      </c>
      <c r="F1357" s="25">
        <v>0.2361111111111111</v>
      </c>
      <c r="G1357" s="25">
        <v>0.7118055555555556</v>
      </c>
      <c r="H1357" s="27">
        <f t="shared" si="2"/>
        <v>0.4756944444</v>
      </c>
      <c r="I1357" s="28">
        <v>4.0</v>
      </c>
      <c r="J1357" s="29" t="s">
        <v>399</v>
      </c>
      <c r="K1357" s="30" t="s">
        <v>23</v>
      </c>
      <c r="L1357" s="31" t="str">
        <f>IFERROR(__xludf.DUMMYFUNCTION("IF(OR(E1357="""",K1357=""""),"""",IFERROR(IF(K1357="""","""",query('tbl user'!$A$2:$D10975,""SELECT A WHERE D = '""&amp;K1357&amp;""'"")),""USER TIDAK DIKETAHUI""))"),"#REF!")</f>
        <v>#REF!</v>
      </c>
    </row>
    <row r="1358">
      <c r="A1358" s="21">
        <f t="shared" si="1"/>
        <v>0</v>
      </c>
      <c r="B1358" s="32" t="s">
        <v>335</v>
      </c>
      <c r="C1358" s="23" t="s">
        <v>336</v>
      </c>
      <c r="D1358" s="23" t="s">
        <v>21</v>
      </c>
      <c r="E1358" s="24">
        <v>45415.0</v>
      </c>
      <c r="F1358" s="25">
        <v>0.2972222222222222</v>
      </c>
      <c r="G1358" s="25">
        <v>0.7131944444444445</v>
      </c>
      <c r="H1358" s="27">
        <f t="shared" si="2"/>
        <v>0.4159722222</v>
      </c>
      <c r="I1358" s="28">
        <v>4.0</v>
      </c>
      <c r="J1358" s="29" t="s">
        <v>399</v>
      </c>
      <c r="K1358" s="30" t="s">
        <v>23</v>
      </c>
      <c r="L1358" s="31" t="str">
        <f>IFERROR(__xludf.DUMMYFUNCTION("IF(OR(E1358="""",K1358=""""),"""",IFERROR(IF(K1358="""","""",query('tbl user'!$A$2:$D10975,""SELECT A WHERE D = '""&amp;K1358&amp;""'"")),""USER TIDAK DIKETAHUI""))"),"#REF!")</f>
        <v>#REF!</v>
      </c>
    </row>
    <row r="1359">
      <c r="A1359" s="21">
        <f t="shared" si="1"/>
        <v>0</v>
      </c>
      <c r="B1359" s="32" t="s">
        <v>716</v>
      </c>
      <c r="C1359" s="23" t="s">
        <v>316</v>
      </c>
      <c r="D1359" s="23" t="s">
        <v>21</v>
      </c>
      <c r="E1359" s="24">
        <v>45415.0</v>
      </c>
      <c r="F1359" s="25">
        <v>0.2638888888888889</v>
      </c>
      <c r="G1359" s="25">
        <v>0.7090277777777778</v>
      </c>
      <c r="H1359" s="27">
        <f t="shared" si="2"/>
        <v>0.4451388889</v>
      </c>
      <c r="I1359" s="28">
        <v>4.0</v>
      </c>
      <c r="J1359" s="29" t="s">
        <v>756</v>
      </c>
      <c r="K1359" s="30" t="s">
        <v>23</v>
      </c>
      <c r="L1359" s="31" t="str">
        <f>IFERROR(__xludf.DUMMYFUNCTION("IF(OR(E1359="""",K1359=""""),"""",IFERROR(IF(K1359="""","""",query('tbl user'!$A$2:$D10975,""SELECT A WHERE D = '""&amp;K1359&amp;""'"")),""USER TIDAK DIKETAHUI""))"),"#REF!")</f>
        <v>#REF!</v>
      </c>
    </row>
    <row r="1360">
      <c r="A1360" s="21">
        <f t="shared" si="1"/>
        <v>0</v>
      </c>
      <c r="B1360" s="32" t="s">
        <v>219</v>
      </c>
      <c r="C1360" s="23" t="s">
        <v>340</v>
      </c>
      <c r="D1360" s="23" t="s">
        <v>21</v>
      </c>
      <c r="E1360" s="24">
        <v>45415.0</v>
      </c>
      <c r="F1360" s="25">
        <v>0.28194444444444444</v>
      </c>
      <c r="G1360" s="25">
        <v>0.7</v>
      </c>
      <c r="H1360" s="27">
        <f t="shared" si="2"/>
        <v>0.4180555556</v>
      </c>
      <c r="I1360" s="28">
        <v>4.0</v>
      </c>
      <c r="J1360" s="29" t="s">
        <v>399</v>
      </c>
      <c r="K1360" s="30" t="s">
        <v>23</v>
      </c>
      <c r="L1360" s="31" t="str">
        <f>IFERROR(__xludf.DUMMYFUNCTION("IF(OR(E1360="""",K1360=""""),"""",IFERROR(IF(K1360="""","""",query('tbl user'!$A$2:$D10975,""SELECT A WHERE D = '""&amp;K1360&amp;""'"")),""USER TIDAK DIKETAHUI""))"),"#REF!")</f>
        <v>#REF!</v>
      </c>
    </row>
    <row r="1361">
      <c r="A1361" s="21">
        <f t="shared" si="1"/>
        <v>0</v>
      </c>
      <c r="B1361" s="32" t="s">
        <v>87</v>
      </c>
      <c r="C1361" s="23" t="s">
        <v>88</v>
      </c>
      <c r="D1361" s="23" t="s">
        <v>21</v>
      </c>
      <c r="E1361" s="24">
        <v>45415.0</v>
      </c>
      <c r="F1361" s="25">
        <v>0.2875</v>
      </c>
      <c r="G1361" s="25">
        <v>0.71875</v>
      </c>
      <c r="H1361" s="27">
        <f t="shared" si="2"/>
        <v>0.43125</v>
      </c>
      <c r="I1361" s="28">
        <v>4.0</v>
      </c>
      <c r="J1361" s="29" t="s">
        <v>399</v>
      </c>
      <c r="K1361" s="30" t="s">
        <v>23</v>
      </c>
      <c r="L1361" s="31" t="str">
        <f>IFERROR(__xludf.DUMMYFUNCTION("IF(OR(E1361="""",K1361=""""),"""",IFERROR(IF(K1361="""","""",query('tbl user'!$A$2:$D10975,""SELECT A WHERE D = '""&amp;K1361&amp;""'"")),""USER TIDAK DIKETAHUI""))"),"#REF!")</f>
        <v>#REF!</v>
      </c>
    </row>
    <row r="1362">
      <c r="A1362" s="21">
        <f t="shared" si="1"/>
        <v>0</v>
      </c>
      <c r="B1362" s="32" t="s">
        <v>333</v>
      </c>
      <c r="C1362" s="23" t="s">
        <v>334</v>
      </c>
      <c r="D1362" s="23" t="s">
        <v>21</v>
      </c>
      <c r="E1362" s="24">
        <v>45415.0</v>
      </c>
      <c r="F1362" s="25">
        <v>0.2743055555555556</v>
      </c>
      <c r="G1362" s="25">
        <v>0.7923611111111111</v>
      </c>
      <c r="H1362" s="27">
        <f t="shared" si="2"/>
        <v>0.5180555556</v>
      </c>
      <c r="I1362" s="28">
        <v>5.0</v>
      </c>
      <c r="J1362" s="29" t="s">
        <v>55</v>
      </c>
      <c r="K1362" s="30" t="s">
        <v>23</v>
      </c>
      <c r="L1362" s="31" t="str">
        <f>IFERROR(__xludf.DUMMYFUNCTION("IF(OR(E1362="""",K1362=""""),"""",IFERROR(IF(K1362="""","""",query('tbl user'!$A$2:$D10975,""SELECT A WHERE D = '""&amp;K1362&amp;""'"")),""USER TIDAK DIKETAHUI""))"),"#REF!")</f>
        <v>#REF!</v>
      </c>
    </row>
    <row r="1363">
      <c r="A1363" s="21">
        <f t="shared" si="1"/>
        <v>0</v>
      </c>
      <c r="B1363" s="32" t="s">
        <v>53</v>
      </c>
      <c r="C1363" s="23" t="s">
        <v>54</v>
      </c>
      <c r="D1363" s="23" t="s">
        <v>21</v>
      </c>
      <c r="E1363" s="24">
        <v>45415.0</v>
      </c>
      <c r="F1363" s="25">
        <v>0.2388888888888889</v>
      </c>
      <c r="G1363" s="25">
        <v>0.7513888888888889</v>
      </c>
      <c r="H1363" s="27">
        <f t="shared" si="2"/>
        <v>0.5125</v>
      </c>
      <c r="I1363" s="28">
        <v>5.0</v>
      </c>
      <c r="J1363" s="29" t="s">
        <v>55</v>
      </c>
      <c r="K1363" s="30" t="s">
        <v>23</v>
      </c>
      <c r="L1363" s="31" t="str">
        <f>IFERROR(__xludf.DUMMYFUNCTION("IF(OR(E1363="""",K1363=""""),"""",IFERROR(IF(K1363="""","""",query('tbl user'!$A$2:$D10975,""SELECT A WHERE D = '""&amp;K1363&amp;""'"")),""USER TIDAK DIKETAHUI""))"),"#REF!")</f>
        <v>#REF!</v>
      </c>
    </row>
    <row r="1364">
      <c r="A1364" s="21">
        <f t="shared" si="1"/>
        <v>0</v>
      </c>
      <c r="B1364" s="32" t="s">
        <v>159</v>
      </c>
      <c r="C1364" s="23" t="s">
        <v>326</v>
      </c>
      <c r="D1364" s="23" t="s">
        <v>21</v>
      </c>
      <c r="E1364" s="24">
        <v>45415.0</v>
      </c>
      <c r="F1364" s="25">
        <v>0.26666666666666666</v>
      </c>
      <c r="G1364" s="25">
        <v>0.7701388888888889</v>
      </c>
      <c r="H1364" s="27">
        <f t="shared" si="2"/>
        <v>0.5034722222</v>
      </c>
      <c r="I1364" s="28">
        <v>5.0</v>
      </c>
      <c r="J1364" s="29" t="s">
        <v>55</v>
      </c>
      <c r="K1364" s="30" t="s">
        <v>23</v>
      </c>
      <c r="L1364" s="31" t="str">
        <f>IFERROR(__xludf.DUMMYFUNCTION("IF(OR(E1364="""",K1364=""""),"""",IFERROR(IF(K1364="""","""",query('tbl user'!$A$2:$D10975,""SELECT A WHERE D = '""&amp;K1364&amp;""'"")),""USER TIDAK DIKETAHUI""))"),"#REF!")</f>
        <v>#REF!</v>
      </c>
    </row>
    <row r="1365">
      <c r="A1365" s="21">
        <f t="shared" si="1"/>
        <v>0</v>
      </c>
      <c r="B1365" s="32" t="s">
        <v>577</v>
      </c>
      <c r="C1365" s="23" t="s">
        <v>330</v>
      </c>
      <c r="D1365" s="23" t="s">
        <v>21</v>
      </c>
      <c r="E1365" s="24">
        <v>45415.0</v>
      </c>
      <c r="F1365" s="25">
        <v>0.25833333333333336</v>
      </c>
      <c r="G1365" s="25">
        <v>0.7548611111111111</v>
      </c>
      <c r="H1365" s="27">
        <f t="shared" si="2"/>
        <v>0.4965277778</v>
      </c>
      <c r="I1365" s="28">
        <v>5.0</v>
      </c>
      <c r="J1365" s="29" t="s">
        <v>55</v>
      </c>
      <c r="K1365" s="30" t="s">
        <v>23</v>
      </c>
      <c r="L1365" s="31" t="str">
        <f>IFERROR(__xludf.DUMMYFUNCTION("IF(OR(E1365="""",K1365=""""),"""",IFERROR(IF(K1365="""","""",query('tbl user'!$A$2:$D10975,""SELECT A WHERE D = '""&amp;K1365&amp;""'"")),""USER TIDAK DIKETAHUI""))"),"#REF!")</f>
        <v>#REF!</v>
      </c>
    </row>
    <row r="1366">
      <c r="A1366" s="21">
        <f t="shared" si="1"/>
        <v>0</v>
      </c>
      <c r="B1366" s="32" t="s">
        <v>319</v>
      </c>
      <c r="C1366" s="23" t="s">
        <v>320</v>
      </c>
      <c r="D1366" s="23" t="s">
        <v>21</v>
      </c>
      <c r="E1366" s="24">
        <v>45415.0</v>
      </c>
      <c r="F1366" s="25">
        <v>0.22291666666666668</v>
      </c>
      <c r="G1366" s="25">
        <v>0.7673611111111112</v>
      </c>
      <c r="H1366" s="27">
        <f t="shared" si="2"/>
        <v>0.5444444444</v>
      </c>
      <c r="I1366" s="28">
        <v>6.0</v>
      </c>
      <c r="J1366" s="29" t="s">
        <v>55</v>
      </c>
      <c r="K1366" s="30" t="s">
        <v>23</v>
      </c>
      <c r="L1366" s="31" t="str">
        <f>IFERROR(__xludf.DUMMYFUNCTION("IF(OR(E1366="""",K1366=""""),"""",IFERROR(IF(K1366="""","""",query('tbl user'!$A$2:$D10975,""SELECT A WHERE D = '""&amp;K1366&amp;""'"")),""USER TIDAK DIKETAHUI""))"),"#REF!")</f>
        <v>#REF!</v>
      </c>
    </row>
    <row r="1367">
      <c r="A1367" s="21">
        <f t="shared" si="1"/>
        <v>0</v>
      </c>
      <c r="B1367" s="32" t="s">
        <v>293</v>
      </c>
      <c r="C1367" s="23" t="s">
        <v>211</v>
      </c>
      <c r="D1367" s="23" t="s">
        <v>58</v>
      </c>
      <c r="E1367" s="24">
        <v>45416.0</v>
      </c>
      <c r="F1367" s="25">
        <v>0.2826388888888889</v>
      </c>
      <c r="G1367" s="25">
        <v>0.4423611111111111</v>
      </c>
      <c r="H1367" s="27">
        <f t="shared" si="2"/>
        <v>0.1597222222</v>
      </c>
      <c r="I1367" s="28">
        <v>1.0</v>
      </c>
      <c r="J1367" s="29" t="s">
        <v>757</v>
      </c>
      <c r="K1367" s="30" t="s">
        <v>23</v>
      </c>
      <c r="L1367" s="31" t="str">
        <f>IFERROR(__xludf.DUMMYFUNCTION("IF(OR(E1367="""",K1367=""""),"""",IFERROR(IF(K1367="""","""",query('tbl user'!$A$2:$D10975,""SELECT A WHERE D = '""&amp;K1367&amp;""'"")),""USER TIDAK DIKETAHUI""))"),"#REF!")</f>
        <v>#REF!</v>
      </c>
    </row>
    <row r="1368">
      <c r="A1368" s="21">
        <f t="shared" si="1"/>
        <v>0</v>
      </c>
      <c r="B1368" s="32" t="s">
        <v>30</v>
      </c>
      <c r="C1368" s="23" t="s">
        <v>105</v>
      </c>
      <c r="D1368" s="23" t="s">
        <v>58</v>
      </c>
      <c r="E1368" s="24">
        <v>45416.0</v>
      </c>
      <c r="F1368" s="25">
        <v>0.2326388888888889</v>
      </c>
      <c r="G1368" s="25">
        <v>0.3701388888888889</v>
      </c>
      <c r="H1368" s="27">
        <f t="shared" si="2"/>
        <v>0.1375</v>
      </c>
      <c r="I1368" s="28">
        <v>1.0</v>
      </c>
      <c r="J1368" s="29" t="s">
        <v>758</v>
      </c>
      <c r="K1368" s="30" t="s">
        <v>23</v>
      </c>
      <c r="L1368" s="31" t="str">
        <f>IFERROR(__xludf.DUMMYFUNCTION("IF(OR(E1368="""",K1368=""""),"""",IFERROR(IF(K1368="""","""",query('tbl user'!$A$2:$D10975,""SELECT A WHERE D = '""&amp;K1368&amp;""'"")),""USER TIDAK DIKETAHUI""))"),"#REF!")</f>
        <v>#REF!</v>
      </c>
    </row>
    <row r="1369">
      <c r="A1369" s="21">
        <f t="shared" si="1"/>
        <v>0</v>
      </c>
      <c r="B1369" s="32" t="s">
        <v>167</v>
      </c>
      <c r="C1369" s="23" t="s">
        <v>168</v>
      </c>
      <c r="D1369" s="23" t="s">
        <v>58</v>
      </c>
      <c r="E1369" s="24">
        <v>45416.0</v>
      </c>
      <c r="F1369" s="25">
        <v>0.3090277777777778</v>
      </c>
      <c r="G1369" s="25">
        <v>0.625</v>
      </c>
      <c r="H1369" s="27">
        <f t="shared" si="2"/>
        <v>0.3159722222</v>
      </c>
      <c r="I1369" s="28">
        <v>2.0</v>
      </c>
      <c r="J1369" s="29" t="s">
        <v>759</v>
      </c>
      <c r="K1369" s="30" t="s">
        <v>23</v>
      </c>
      <c r="L1369" s="31" t="str">
        <f>IFERROR(__xludf.DUMMYFUNCTION("IF(OR(E1369="""",K1369=""""),"""",IFERROR(IF(K1369="""","""",query('tbl user'!$A$2:$D10975,""SELECT A WHERE D = '""&amp;K1369&amp;""'"")),""USER TIDAK DIKETAHUI""))"),"#REF!")</f>
        <v>#REF!</v>
      </c>
    </row>
    <row r="1370">
      <c r="A1370" s="21">
        <f t="shared" si="1"/>
        <v>0</v>
      </c>
      <c r="B1370" s="32" t="s">
        <v>214</v>
      </c>
      <c r="C1370" s="23" t="s">
        <v>170</v>
      </c>
      <c r="D1370" s="23" t="s">
        <v>58</v>
      </c>
      <c r="E1370" s="24">
        <v>45416.0</v>
      </c>
      <c r="F1370" s="25">
        <v>0.3125</v>
      </c>
      <c r="G1370" s="25">
        <v>0.6229166666666667</v>
      </c>
      <c r="H1370" s="27">
        <f t="shared" si="2"/>
        <v>0.3104166667</v>
      </c>
      <c r="I1370" s="28">
        <v>2.0</v>
      </c>
      <c r="J1370" s="29" t="s">
        <v>760</v>
      </c>
      <c r="K1370" s="30" t="s">
        <v>23</v>
      </c>
      <c r="L1370" s="31" t="str">
        <f>IFERROR(__xludf.DUMMYFUNCTION("IF(OR(E1370="""",K1370=""""),"""",IFERROR(IF(K1370="""","""",query('tbl user'!$A$2:$D10975,""SELECT A WHERE D = '""&amp;K1370&amp;""'"")),""USER TIDAK DIKETAHUI""))"),"#REF!")</f>
        <v>#REF!</v>
      </c>
    </row>
    <row r="1371">
      <c r="A1371" s="21">
        <f t="shared" si="1"/>
        <v>0</v>
      </c>
      <c r="B1371" s="32" t="s">
        <v>95</v>
      </c>
      <c r="C1371" s="23" t="s">
        <v>93</v>
      </c>
      <c r="D1371" s="23" t="s">
        <v>58</v>
      </c>
      <c r="E1371" s="24">
        <v>45416.0</v>
      </c>
      <c r="F1371" s="25">
        <v>0.2951388888888889</v>
      </c>
      <c r="G1371" s="25">
        <v>0.6034722222222222</v>
      </c>
      <c r="H1371" s="27">
        <f t="shared" si="2"/>
        <v>0.3083333333</v>
      </c>
      <c r="I1371" s="28">
        <v>2.0</v>
      </c>
      <c r="J1371" s="29" t="s">
        <v>761</v>
      </c>
      <c r="K1371" s="30" t="s">
        <v>23</v>
      </c>
      <c r="L1371" s="31" t="str">
        <f>IFERROR(__xludf.DUMMYFUNCTION("IF(OR(E1371="""",K1371=""""),"""",IFERROR(IF(K1371="""","""",query('tbl user'!$A$2:$D10975,""SELECT A WHERE D = '""&amp;K1371&amp;""'"")),""USER TIDAK DIKETAHUI""))"),"#REF!")</f>
        <v>#REF!</v>
      </c>
    </row>
    <row r="1372">
      <c r="A1372" s="21">
        <f t="shared" si="1"/>
        <v>0</v>
      </c>
      <c r="B1372" s="32" t="s">
        <v>56</v>
      </c>
      <c r="C1372" s="23" t="s">
        <v>57</v>
      </c>
      <c r="D1372" s="23" t="s">
        <v>58</v>
      </c>
      <c r="E1372" s="24">
        <v>45416.0</v>
      </c>
      <c r="F1372" s="25">
        <v>0.29930555555555555</v>
      </c>
      <c r="G1372" s="25">
        <v>0.6291666666666667</v>
      </c>
      <c r="H1372" s="27">
        <f t="shared" si="2"/>
        <v>0.3298611111</v>
      </c>
      <c r="I1372" s="28">
        <v>2.0</v>
      </c>
      <c r="J1372" s="29" t="s">
        <v>761</v>
      </c>
      <c r="K1372" s="30" t="s">
        <v>23</v>
      </c>
      <c r="L1372" s="31" t="str">
        <f>IFERROR(__xludf.DUMMYFUNCTION("IF(OR(E1372="""",K1372=""""),"""",IFERROR(IF(K1372="""","""",query('tbl user'!$A$2:$D10975,""SELECT A WHERE D = '""&amp;K1372&amp;""'"")),""USER TIDAK DIKETAHUI""))"),"#REF!")</f>
        <v>#REF!</v>
      </c>
    </row>
    <row r="1373">
      <c r="A1373" s="21">
        <f t="shared" si="1"/>
        <v>0</v>
      </c>
      <c r="B1373" s="32" t="s">
        <v>220</v>
      </c>
      <c r="C1373" s="23" t="s">
        <v>82</v>
      </c>
      <c r="D1373" s="23" t="s">
        <v>58</v>
      </c>
      <c r="E1373" s="24">
        <v>45416.0</v>
      </c>
      <c r="F1373" s="25">
        <v>0.30069444444444443</v>
      </c>
      <c r="G1373" s="25">
        <v>0.6458333333333334</v>
      </c>
      <c r="H1373" s="27">
        <f t="shared" si="2"/>
        <v>0.3451388889</v>
      </c>
      <c r="I1373" s="28">
        <v>2.0</v>
      </c>
      <c r="J1373" s="29" t="s">
        <v>761</v>
      </c>
      <c r="K1373" s="30" t="s">
        <v>23</v>
      </c>
      <c r="L1373" s="31" t="str">
        <f>IFERROR(__xludf.DUMMYFUNCTION("IF(OR(E1373="""",K1373=""""),"""",IFERROR(IF(K1373="""","""",query('tbl user'!$A$2:$D10975,""SELECT A WHERE D = '""&amp;K1373&amp;""'"")),""USER TIDAK DIKETAHUI""))"),"#REF!")</f>
        <v>#REF!</v>
      </c>
    </row>
    <row r="1374">
      <c r="A1374" s="21">
        <f t="shared" si="1"/>
        <v>0</v>
      </c>
      <c r="B1374" s="32" t="s">
        <v>182</v>
      </c>
      <c r="C1374" s="23" t="s">
        <v>183</v>
      </c>
      <c r="D1374" s="23" t="s">
        <v>58</v>
      </c>
      <c r="E1374" s="24">
        <v>45416.0</v>
      </c>
      <c r="F1374" s="25">
        <v>0.3798611111111111</v>
      </c>
      <c r="G1374" s="25">
        <v>0.6701388888888888</v>
      </c>
      <c r="H1374" s="27">
        <f t="shared" si="2"/>
        <v>0.2902777778</v>
      </c>
      <c r="I1374" s="28">
        <v>2.0</v>
      </c>
      <c r="J1374" s="29" t="s">
        <v>762</v>
      </c>
      <c r="K1374" s="30" t="s">
        <v>23</v>
      </c>
      <c r="L1374" s="31" t="str">
        <f>IFERROR(__xludf.DUMMYFUNCTION("IF(OR(E1374="""",K1374=""""),"""",IFERROR(IF(K1374="""","""",query('tbl user'!$A$2:$D10975,""SELECT A WHERE D = '""&amp;K1374&amp;""'"")),""USER TIDAK DIKETAHUI""))"),"#REF!")</f>
        <v>#REF!</v>
      </c>
    </row>
    <row r="1375">
      <c r="A1375" s="21">
        <f t="shared" si="1"/>
        <v>0</v>
      </c>
      <c r="B1375" s="32" t="s">
        <v>191</v>
      </c>
      <c r="C1375" s="23" t="s">
        <v>192</v>
      </c>
      <c r="D1375" s="23" t="s">
        <v>58</v>
      </c>
      <c r="E1375" s="24">
        <v>45416.0</v>
      </c>
      <c r="F1375" s="25">
        <v>0.29097222222222224</v>
      </c>
      <c r="G1375" s="25">
        <v>0.5798611111111112</v>
      </c>
      <c r="H1375" s="27">
        <f t="shared" si="2"/>
        <v>0.2888888889</v>
      </c>
      <c r="I1375" s="28">
        <v>2.0</v>
      </c>
      <c r="J1375" s="29" t="s">
        <v>763</v>
      </c>
      <c r="K1375" s="30" t="s">
        <v>23</v>
      </c>
      <c r="L1375" s="31" t="str">
        <f>IFERROR(__xludf.DUMMYFUNCTION("IF(OR(E1375="""",K1375=""""),"""",IFERROR(IF(K1375="""","""",query('tbl user'!$A$2:$D10975,""SELECT A WHERE D = '""&amp;K1375&amp;""'"")),""USER TIDAK DIKETAHUI""))"),"#REF!")</f>
        <v>#REF!</v>
      </c>
    </row>
    <row r="1376">
      <c r="A1376" s="21">
        <f t="shared" si="1"/>
        <v>0</v>
      </c>
      <c r="B1376" s="32" t="s">
        <v>67</v>
      </c>
      <c r="C1376" s="23" t="s">
        <v>68</v>
      </c>
      <c r="D1376" s="23" t="s">
        <v>58</v>
      </c>
      <c r="E1376" s="24">
        <v>45416.0</v>
      </c>
      <c r="F1376" s="25">
        <v>0.29097222222222224</v>
      </c>
      <c r="G1376" s="25">
        <v>0.6979166666666666</v>
      </c>
      <c r="H1376" s="27">
        <f t="shared" si="2"/>
        <v>0.4069444444</v>
      </c>
      <c r="I1376" s="28">
        <v>3.0</v>
      </c>
      <c r="J1376" s="29" t="s">
        <v>761</v>
      </c>
      <c r="K1376" s="30" t="s">
        <v>23</v>
      </c>
      <c r="L1376" s="31" t="str">
        <f>IFERROR(__xludf.DUMMYFUNCTION("IF(OR(E1376="""",K1376=""""),"""",IFERROR(IF(K1376="""","""",query('tbl user'!$A$2:$D10975,""SELECT A WHERE D = '""&amp;K1376&amp;""'"")),""USER TIDAK DIKETAHUI""))"),"#REF!")</f>
        <v>#REF!</v>
      </c>
    </row>
    <row r="1377">
      <c r="A1377" s="21">
        <f t="shared" si="1"/>
        <v>0</v>
      </c>
      <c r="B1377" s="32" t="s">
        <v>215</v>
      </c>
      <c r="C1377" s="23" t="s">
        <v>176</v>
      </c>
      <c r="D1377" s="23" t="s">
        <v>58</v>
      </c>
      <c r="E1377" s="24">
        <v>45416.0</v>
      </c>
      <c r="F1377" s="25">
        <v>0.2861111111111111</v>
      </c>
      <c r="G1377" s="25">
        <v>0.6784722222222223</v>
      </c>
      <c r="H1377" s="27">
        <f t="shared" si="2"/>
        <v>0.3923611111</v>
      </c>
      <c r="I1377" s="28">
        <v>3.0</v>
      </c>
      <c r="J1377" s="29" t="s">
        <v>761</v>
      </c>
      <c r="K1377" s="30" t="s">
        <v>23</v>
      </c>
      <c r="L1377" s="31" t="str">
        <f>IFERROR(__xludf.DUMMYFUNCTION("IF(OR(E1377="""",K1377=""""),"""",IFERROR(IF(K1377="""","""",query('tbl user'!$A$2:$D10975,""SELECT A WHERE D = '""&amp;K1377&amp;""'"")),""USER TIDAK DIKETAHUI""))"),"#REF!")</f>
        <v>#REF!</v>
      </c>
    </row>
    <row r="1378">
      <c r="A1378" s="21">
        <f t="shared" si="1"/>
        <v>0</v>
      </c>
      <c r="B1378" s="32" t="s">
        <v>180</v>
      </c>
      <c r="C1378" s="23" t="s">
        <v>181</v>
      </c>
      <c r="D1378" s="23" t="s">
        <v>58</v>
      </c>
      <c r="E1378" s="24">
        <v>45416.0</v>
      </c>
      <c r="F1378" s="25">
        <v>0.2513888888888889</v>
      </c>
      <c r="G1378" s="25">
        <v>0.66875</v>
      </c>
      <c r="H1378" s="27">
        <f t="shared" si="2"/>
        <v>0.4173611111</v>
      </c>
      <c r="I1378" s="28">
        <v>3.0</v>
      </c>
      <c r="J1378" s="29" t="s">
        <v>761</v>
      </c>
      <c r="K1378" s="30" t="s">
        <v>23</v>
      </c>
      <c r="L1378" s="31" t="str">
        <f>IFERROR(__xludf.DUMMYFUNCTION("IF(OR(E1378="""",K1378=""""),"""",IFERROR(IF(K1378="""","""",query('tbl user'!$A$2:$D10975,""SELECT A WHERE D = '""&amp;K1378&amp;""'"")),""USER TIDAK DIKETAHUI""))"),"#REF!")</f>
        <v>#REF!</v>
      </c>
    </row>
    <row r="1379">
      <c r="A1379" s="21">
        <f t="shared" si="1"/>
        <v>0</v>
      </c>
      <c r="B1379" s="32" t="s">
        <v>184</v>
      </c>
      <c r="C1379" s="23" t="s">
        <v>185</v>
      </c>
      <c r="D1379" s="23" t="s">
        <v>58</v>
      </c>
      <c r="E1379" s="24">
        <v>45416.0</v>
      </c>
      <c r="F1379" s="25">
        <v>0.26805555555555555</v>
      </c>
      <c r="G1379" s="25">
        <v>0.6611111111111111</v>
      </c>
      <c r="H1379" s="27">
        <f t="shared" si="2"/>
        <v>0.3930555556</v>
      </c>
      <c r="I1379" s="28">
        <v>3.0</v>
      </c>
      <c r="J1379" s="29" t="s">
        <v>295</v>
      </c>
      <c r="K1379" s="30" t="s">
        <v>23</v>
      </c>
      <c r="L1379" s="31" t="str">
        <f>IFERROR(__xludf.DUMMYFUNCTION("IF(OR(E1379="""",K1379=""""),"""",IFERROR(IF(K1379="""","""",query('tbl user'!$A$2:$D10975,""SELECT A WHERE D = '""&amp;K1379&amp;""'"")),""USER TIDAK DIKETAHUI""))"),"#REF!")</f>
        <v>#REF!</v>
      </c>
    </row>
    <row r="1380">
      <c r="A1380" s="21">
        <f t="shared" si="1"/>
        <v>0</v>
      </c>
      <c r="B1380" s="32" t="s">
        <v>187</v>
      </c>
      <c r="C1380" s="23" t="s">
        <v>188</v>
      </c>
      <c r="D1380" s="23" t="s">
        <v>58</v>
      </c>
      <c r="E1380" s="24">
        <v>45416.0</v>
      </c>
      <c r="F1380" s="25">
        <v>0.21875</v>
      </c>
      <c r="G1380" s="25">
        <v>0.6472222222222223</v>
      </c>
      <c r="H1380" s="27">
        <f t="shared" si="2"/>
        <v>0.4284722222</v>
      </c>
      <c r="I1380" s="28">
        <v>3.0</v>
      </c>
      <c r="J1380" s="29" t="s">
        <v>761</v>
      </c>
      <c r="K1380" s="30" t="s">
        <v>23</v>
      </c>
      <c r="L1380" s="31" t="str">
        <f>IFERROR(__xludf.DUMMYFUNCTION("IF(OR(E1380="""",K1380=""""),"""",IFERROR(IF(K1380="""","""",query('tbl user'!$A$2:$D10975,""SELECT A WHERE D = '""&amp;K1380&amp;""'"")),""USER TIDAK DIKETAHUI""))"),"#REF!")</f>
        <v>#REF!</v>
      </c>
    </row>
    <row r="1381">
      <c r="A1381" s="21">
        <f t="shared" si="1"/>
        <v>0</v>
      </c>
      <c r="B1381" s="32" t="s">
        <v>189</v>
      </c>
      <c r="C1381" s="23" t="s">
        <v>190</v>
      </c>
      <c r="D1381" s="23" t="s">
        <v>58</v>
      </c>
      <c r="E1381" s="24">
        <v>45416.0</v>
      </c>
      <c r="F1381" s="25">
        <v>0.2923611111111111</v>
      </c>
      <c r="G1381" s="25">
        <v>0.6972222222222222</v>
      </c>
      <c r="H1381" s="27">
        <f t="shared" si="2"/>
        <v>0.4048611111</v>
      </c>
      <c r="I1381" s="28">
        <v>3.0</v>
      </c>
      <c r="J1381" s="29" t="s">
        <v>761</v>
      </c>
      <c r="K1381" s="30" t="s">
        <v>23</v>
      </c>
      <c r="L1381" s="31" t="str">
        <f>IFERROR(__xludf.DUMMYFUNCTION("IF(OR(E1381="""",K1381=""""),"""",IFERROR(IF(K1381="""","""",query('tbl user'!$A$2:$D10975,""SELECT A WHERE D = '""&amp;K1381&amp;""'"")),""USER TIDAK DIKETAHUI""))"),"#REF!")</f>
        <v>#REF!</v>
      </c>
    </row>
    <row r="1382">
      <c r="A1382" s="21">
        <f t="shared" si="1"/>
        <v>0</v>
      </c>
      <c r="B1382" s="32" t="s">
        <v>194</v>
      </c>
      <c r="C1382" s="23" t="s">
        <v>195</v>
      </c>
      <c r="D1382" s="23" t="s">
        <v>58</v>
      </c>
      <c r="E1382" s="24">
        <v>45416.0</v>
      </c>
      <c r="F1382" s="25">
        <v>0.23402777777777778</v>
      </c>
      <c r="G1382" s="25">
        <v>0.6381944444444444</v>
      </c>
      <c r="H1382" s="27">
        <f t="shared" si="2"/>
        <v>0.4041666667</v>
      </c>
      <c r="I1382" s="28">
        <v>3.0</v>
      </c>
      <c r="J1382" s="29" t="s">
        <v>761</v>
      </c>
      <c r="K1382" s="30" t="s">
        <v>23</v>
      </c>
      <c r="L1382" s="31" t="str">
        <f>IFERROR(__xludf.DUMMYFUNCTION("IF(OR(E1382="""",K1382=""""),"""",IFERROR(IF(K1382="""","""",query('tbl user'!$A$2:$D10975,""SELECT A WHERE D = '""&amp;K1382&amp;""'"")),""USER TIDAK DIKETAHUI""))"),"#REF!")</f>
        <v>#REF!</v>
      </c>
    </row>
    <row r="1383">
      <c r="A1383" s="21">
        <f t="shared" si="1"/>
        <v>0</v>
      </c>
      <c r="B1383" s="32" t="s">
        <v>216</v>
      </c>
      <c r="C1383" s="23" t="s">
        <v>198</v>
      </c>
      <c r="D1383" s="23" t="s">
        <v>58</v>
      </c>
      <c r="E1383" s="24">
        <v>45416.0</v>
      </c>
      <c r="F1383" s="25">
        <v>0.25972222222222224</v>
      </c>
      <c r="G1383" s="25">
        <v>0.6625</v>
      </c>
      <c r="H1383" s="27">
        <f t="shared" si="2"/>
        <v>0.4027777778</v>
      </c>
      <c r="I1383" s="28">
        <v>3.0</v>
      </c>
      <c r="J1383" s="29" t="s">
        <v>761</v>
      </c>
      <c r="K1383" s="30" t="s">
        <v>23</v>
      </c>
      <c r="L1383" s="31" t="str">
        <f>IFERROR(__xludf.DUMMYFUNCTION("IF(OR(E1383="""",K1383=""""),"""",IFERROR(IF(K1383="""","""",query('tbl user'!$A$2:$D10975,""SELECT A WHERE D = '""&amp;K1383&amp;""'"")),""USER TIDAK DIKETAHUI""))"),"#REF!")</f>
        <v>#REF!</v>
      </c>
    </row>
    <row r="1384">
      <c r="A1384" s="21">
        <f t="shared" si="1"/>
        <v>0</v>
      </c>
      <c r="B1384" s="32" t="s">
        <v>200</v>
      </c>
      <c r="C1384" s="23" t="s">
        <v>201</v>
      </c>
      <c r="D1384" s="23" t="s">
        <v>58</v>
      </c>
      <c r="E1384" s="24">
        <v>45416.0</v>
      </c>
      <c r="F1384" s="25">
        <v>0.2048611111111111</v>
      </c>
      <c r="G1384" s="25">
        <v>0.6354166666666666</v>
      </c>
      <c r="H1384" s="27">
        <f t="shared" si="2"/>
        <v>0.4305555556</v>
      </c>
      <c r="I1384" s="28">
        <v>3.0</v>
      </c>
      <c r="J1384" s="29" t="s">
        <v>761</v>
      </c>
      <c r="K1384" s="30" t="s">
        <v>23</v>
      </c>
      <c r="L1384" s="31" t="str">
        <f>IFERROR(__xludf.DUMMYFUNCTION("IF(OR(E1384="""",K1384=""""),"""",IFERROR(IF(K1384="""","""",query('tbl user'!$A$2:$D10975,""SELECT A WHERE D = '""&amp;K1384&amp;""'"")),""USER TIDAK DIKETAHUI""))"),"#REF!")</f>
        <v>#REF!</v>
      </c>
    </row>
    <row r="1385">
      <c r="A1385" s="21">
        <f t="shared" si="1"/>
        <v>0</v>
      </c>
      <c r="B1385" s="32" t="s">
        <v>202</v>
      </c>
      <c r="C1385" s="23" t="s">
        <v>203</v>
      </c>
      <c r="D1385" s="23" t="s">
        <v>58</v>
      </c>
      <c r="E1385" s="24">
        <v>45416.0</v>
      </c>
      <c r="F1385" s="25">
        <v>0.26458333333333334</v>
      </c>
      <c r="G1385" s="25">
        <v>0.6909722222222222</v>
      </c>
      <c r="H1385" s="27">
        <f t="shared" si="2"/>
        <v>0.4263888889</v>
      </c>
      <c r="I1385" s="28">
        <v>3.0</v>
      </c>
      <c r="J1385" s="29" t="s">
        <v>761</v>
      </c>
      <c r="K1385" s="30" t="s">
        <v>23</v>
      </c>
      <c r="L1385" s="31" t="str">
        <f>IFERROR(__xludf.DUMMYFUNCTION("IF(OR(E1385="""",K1385=""""),"""",IFERROR(IF(K1385="""","""",query('tbl user'!$A$2:$D10975,""SELECT A WHERE D = '""&amp;K1385&amp;""'"")),""USER TIDAK DIKETAHUI""))"),"#REF!")</f>
        <v>#REF!</v>
      </c>
    </row>
    <row r="1386">
      <c r="A1386" s="21">
        <f t="shared" si="1"/>
        <v>0</v>
      </c>
      <c r="B1386" s="32" t="s">
        <v>297</v>
      </c>
      <c r="C1386" s="23" t="s">
        <v>348</v>
      </c>
      <c r="D1386" s="23" t="s">
        <v>58</v>
      </c>
      <c r="E1386" s="24">
        <v>45416.0</v>
      </c>
      <c r="F1386" s="25">
        <v>0.2520833333333333</v>
      </c>
      <c r="G1386" s="25">
        <v>0.6534722222222222</v>
      </c>
      <c r="H1386" s="27">
        <f t="shared" si="2"/>
        <v>0.4013888889</v>
      </c>
      <c r="I1386" s="28">
        <v>3.0</v>
      </c>
      <c r="J1386" s="29" t="s">
        <v>761</v>
      </c>
      <c r="K1386" s="30" t="s">
        <v>23</v>
      </c>
      <c r="L1386" s="31" t="str">
        <f>IFERROR(__xludf.DUMMYFUNCTION("IF(OR(E1386="""",K1386=""""),"""",IFERROR(IF(K1386="""","""",query('tbl user'!$A$2:$D10975,""SELECT A WHERE D = '""&amp;K1386&amp;""'"")),""USER TIDAK DIKETAHUI""))"),"#REF!")</f>
        <v>#REF!</v>
      </c>
    </row>
    <row r="1387">
      <c r="A1387" s="21">
        <f t="shared" si="1"/>
        <v>0</v>
      </c>
      <c r="B1387" s="32" t="s">
        <v>224</v>
      </c>
      <c r="C1387" s="23" t="s">
        <v>208</v>
      </c>
      <c r="D1387" s="23" t="s">
        <v>58</v>
      </c>
      <c r="E1387" s="24">
        <v>45416.0</v>
      </c>
      <c r="F1387" s="25">
        <v>0.2708333333333333</v>
      </c>
      <c r="G1387" s="25">
        <v>0.6881944444444444</v>
      </c>
      <c r="H1387" s="27">
        <f t="shared" si="2"/>
        <v>0.4173611111</v>
      </c>
      <c r="I1387" s="28">
        <v>3.0</v>
      </c>
      <c r="J1387" s="29" t="s">
        <v>764</v>
      </c>
      <c r="K1387" s="30" t="s">
        <v>23</v>
      </c>
      <c r="L1387" s="31" t="str">
        <f>IFERROR(__xludf.DUMMYFUNCTION("IF(OR(E1387="""",K1387=""""),"""",IFERROR(IF(K1387="""","""",query('tbl user'!$A$2:$D10975,""SELECT A WHERE D = '""&amp;K1387&amp;""'"")),""USER TIDAK DIKETAHUI""))"),"#REF!")</f>
        <v>#REF!</v>
      </c>
    </row>
    <row r="1388">
      <c r="A1388" s="21">
        <f t="shared" si="1"/>
        <v>0</v>
      </c>
      <c r="B1388" s="32" t="s">
        <v>84</v>
      </c>
      <c r="C1388" s="23" t="s">
        <v>85</v>
      </c>
      <c r="D1388" s="23" t="s">
        <v>58</v>
      </c>
      <c r="E1388" s="24">
        <v>45416.0</v>
      </c>
      <c r="F1388" s="25">
        <v>0.2902777777777778</v>
      </c>
      <c r="G1388" s="25">
        <v>0.7208333333333333</v>
      </c>
      <c r="H1388" s="27">
        <f t="shared" si="2"/>
        <v>0.4305555556</v>
      </c>
      <c r="I1388" s="28">
        <v>3.0</v>
      </c>
      <c r="J1388" s="29" t="s">
        <v>761</v>
      </c>
      <c r="K1388" s="30" t="s">
        <v>23</v>
      </c>
      <c r="L1388" s="31" t="str">
        <f>IFERROR(__xludf.DUMMYFUNCTION("IF(OR(E1388="""",K1388=""""),"""",IFERROR(IF(K1388="""","""",query('tbl user'!$A$2:$D10975,""SELECT A WHERE D = '""&amp;K1388&amp;""'"")),""USER TIDAK DIKETAHUI""))"),"#REF!")</f>
        <v>#REF!</v>
      </c>
    </row>
    <row r="1389">
      <c r="A1389" s="21">
        <f t="shared" si="1"/>
        <v>0</v>
      </c>
      <c r="B1389" s="32" t="s">
        <v>81</v>
      </c>
      <c r="C1389" s="23" t="s">
        <v>232</v>
      </c>
      <c r="D1389" s="23" t="s">
        <v>21</v>
      </c>
      <c r="E1389" s="24">
        <v>45416.0</v>
      </c>
      <c r="F1389" s="25">
        <v>0.31319444444444444</v>
      </c>
      <c r="G1389" s="25">
        <v>0.42430555555555555</v>
      </c>
      <c r="H1389" s="27">
        <f t="shared" si="2"/>
        <v>0.1111111111</v>
      </c>
      <c r="I1389" s="28">
        <v>1.0</v>
      </c>
      <c r="J1389" s="29" t="s">
        <v>237</v>
      </c>
      <c r="K1389" s="30" t="s">
        <v>23</v>
      </c>
      <c r="L1389" s="31" t="str">
        <f>IFERROR(__xludf.DUMMYFUNCTION("IF(OR(E1389="""",K1389=""""),"""",IFERROR(IF(K1389="""","""",query('tbl user'!$A$2:$D10975,""SELECT A WHERE D = '""&amp;K1389&amp;""'"")),""USER TIDAK DIKETAHUI""))"),"#REF!")</f>
        <v>#REF!</v>
      </c>
    </row>
    <row r="1390">
      <c r="A1390" s="21">
        <f t="shared" si="1"/>
        <v>0</v>
      </c>
      <c r="B1390" s="32" t="s">
        <v>243</v>
      </c>
      <c r="C1390" s="23" t="s">
        <v>244</v>
      </c>
      <c r="D1390" s="23" t="s">
        <v>21</v>
      </c>
      <c r="E1390" s="24">
        <v>45416.0</v>
      </c>
      <c r="F1390" s="25">
        <v>0.2916666666666667</v>
      </c>
      <c r="G1390" s="25">
        <v>0.5673611111111111</v>
      </c>
      <c r="H1390" s="27">
        <f t="shared" si="2"/>
        <v>0.2756944444</v>
      </c>
      <c r="I1390" s="28">
        <v>2.0</v>
      </c>
      <c r="J1390" s="29" t="s">
        <v>765</v>
      </c>
      <c r="K1390" s="30" t="s">
        <v>23</v>
      </c>
      <c r="L1390" s="31" t="str">
        <f>IFERROR(__xludf.DUMMYFUNCTION("IF(OR(E1390="""",K1390=""""),"""",IFERROR(IF(K1390="""","""",query('tbl user'!$A$2:$D10975,""SELECT A WHERE D = '""&amp;K1390&amp;""'"")),""USER TIDAK DIKETAHUI""))"),"#REF!")</f>
        <v>#REF!</v>
      </c>
    </row>
    <row r="1391">
      <c r="A1391" s="21">
        <f t="shared" si="1"/>
        <v>0</v>
      </c>
      <c r="B1391" s="32" t="s">
        <v>255</v>
      </c>
      <c r="C1391" s="23" t="s">
        <v>256</v>
      </c>
      <c r="D1391" s="23" t="s">
        <v>21</v>
      </c>
      <c r="E1391" s="24">
        <v>45416.0</v>
      </c>
      <c r="F1391" s="25">
        <v>0.6006944444444444</v>
      </c>
      <c r="G1391" s="25">
        <v>0.7666666666666667</v>
      </c>
      <c r="H1391" s="27">
        <f t="shared" si="2"/>
        <v>0.1659722222</v>
      </c>
      <c r="I1391" s="28">
        <v>2.0</v>
      </c>
      <c r="J1391" s="29" t="s">
        <v>766</v>
      </c>
      <c r="K1391" s="30" t="s">
        <v>23</v>
      </c>
      <c r="L1391" s="31" t="str">
        <f>IFERROR(__xludf.DUMMYFUNCTION("IF(OR(E1391="""",K1391=""""),"""",IFERROR(IF(K1391="""","""",query('tbl user'!$A$2:$D10975,""SELECT A WHERE D = '""&amp;K1391&amp;""'"")),""USER TIDAK DIKETAHUI""))"),"#REF!")</f>
        <v>#REF!</v>
      </c>
    </row>
    <row r="1392">
      <c r="A1392" s="21">
        <f t="shared" si="1"/>
        <v>0</v>
      </c>
      <c r="B1392" s="32" t="s">
        <v>34</v>
      </c>
      <c r="C1392" s="23" t="s">
        <v>35</v>
      </c>
      <c r="D1392" s="23" t="s">
        <v>21</v>
      </c>
      <c r="E1392" s="24">
        <v>45416.0</v>
      </c>
      <c r="F1392" s="25">
        <v>0.2972222222222222</v>
      </c>
      <c r="G1392" s="25">
        <v>0.5659722222222222</v>
      </c>
      <c r="H1392" s="27">
        <f t="shared" si="2"/>
        <v>0.26875</v>
      </c>
      <c r="I1392" s="28">
        <v>3.0</v>
      </c>
      <c r="J1392" s="29" t="s">
        <v>767</v>
      </c>
      <c r="K1392" s="30" t="s">
        <v>23</v>
      </c>
      <c r="L1392" s="31" t="str">
        <f>IFERROR(__xludf.DUMMYFUNCTION("IF(OR(E1392="""",K1392=""""),"""",IFERROR(IF(K1392="""","""",query('tbl user'!$A$2:$D10975,""SELECT A WHERE D = '""&amp;K1392&amp;""'"")),""USER TIDAK DIKETAHUI""))"),"#REF!")</f>
        <v>#REF!</v>
      </c>
    </row>
    <row r="1393">
      <c r="A1393" s="21">
        <f t="shared" si="1"/>
        <v>0</v>
      </c>
      <c r="B1393" s="32" t="s">
        <v>255</v>
      </c>
      <c r="C1393" s="23" t="s">
        <v>99</v>
      </c>
      <c r="D1393" s="23" t="s">
        <v>21</v>
      </c>
      <c r="E1393" s="24">
        <v>45416.0</v>
      </c>
      <c r="F1393" s="25">
        <v>0.32013888888888886</v>
      </c>
      <c r="G1393" s="25">
        <v>0.7027777777777777</v>
      </c>
      <c r="H1393" s="27">
        <f t="shared" si="2"/>
        <v>0.3826388889</v>
      </c>
      <c r="I1393" s="28">
        <v>3.0</v>
      </c>
      <c r="J1393" s="29" t="s">
        <v>768</v>
      </c>
      <c r="K1393" s="30" t="s">
        <v>23</v>
      </c>
      <c r="L1393" s="31" t="str">
        <f>IFERROR(__xludf.DUMMYFUNCTION("IF(OR(E1393="""",K1393=""""),"""",IFERROR(IF(K1393="""","""",query('tbl user'!$A$2:$D10975,""SELECT A WHERE D = '""&amp;K1393&amp;""'"")),""USER TIDAK DIKETAHUI""))"),"#REF!")</f>
        <v>#REF!</v>
      </c>
    </row>
    <row r="1394">
      <c r="A1394" s="21">
        <f t="shared" si="1"/>
        <v>0</v>
      </c>
      <c r="B1394" s="32" t="s">
        <v>81</v>
      </c>
      <c r="C1394" s="23" t="s">
        <v>261</v>
      </c>
      <c r="D1394" s="23" t="s">
        <v>21</v>
      </c>
      <c r="E1394" s="24">
        <v>45416.0</v>
      </c>
      <c r="F1394" s="25">
        <v>0.44583333333333336</v>
      </c>
      <c r="G1394" s="25">
        <v>0.71875</v>
      </c>
      <c r="H1394" s="27">
        <f t="shared" si="2"/>
        <v>0.2729166667</v>
      </c>
      <c r="I1394" s="28">
        <v>4.0</v>
      </c>
      <c r="J1394" s="29" t="s">
        <v>748</v>
      </c>
      <c r="K1394" s="30" t="s">
        <v>23</v>
      </c>
      <c r="L1394" s="31" t="str">
        <f>IFERROR(__xludf.DUMMYFUNCTION("IF(OR(E1394="""",K1394=""""),"""",IFERROR(IF(K1394="""","""",query('tbl user'!$A$2:$D10975,""SELECT A WHERE D = '""&amp;K1394&amp;""'"")),""USER TIDAK DIKETAHUI""))"),"#REF!")</f>
        <v>#REF!</v>
      </c>
    </row>
    <row r="1395">
      <c r="A1395" s="21">
        <f t="shared" si="1"/>
        <v>0</v>
      </c>
      <c r="B1395" s="32" t="s">
        <v>24</v>
      </c>
      <c r="C1395" s="23" t="s">
        <v>25</v>
      </c>
      <c r="D1395" s="23" t="s">
        <v>21</v>
      </c>
      <c r="E1395" s="24">
        <v>45416.0</v>
      </c>
      <c r="F1395" s="25">
        <v>0.23472222222222222</v>
      </c>
      <c r="G1395" s="25">
        <v>0.6555555555555556</v>
      </c>
      <c r="H1395" s="27">
        <f t="shared" si="2"/>
        <v>0.4208333333</v>
      </c>
      <c r="I1395" s="28">
        <v>5.0</v>
      </c>
      <c r="J1395" s="29" t="s">
        <v>55</v>
      </c>
      <c r="K1395" s="30" t="s">
        <v>23</v>
      </c>
      <c r="L1395" s="31" t="str">
        <f>IFERROR(__xludf.DUMMYFUNCTION("IF(OR(E1395="""",K1395=""""),"""",IFERROR(IF(K1395="""","""",query('tbl user'!$A$2:$D10975,""SELECT A WHERE D = '""&amp;K1395&amp;""'"")),""USER TIDAK DIKETAHUI""))"),"#REF!")</f>
        <v>#REF!</v>
      </c>
    </row>
    <row r="1396">
      <c r="A1396" s="21">
        <f t="shared" si="1"/>
        <v>0</v>
      </c>
      <c r="B1396" s="32" t="s">
        <v>305</v>
      </c>
      <c r="C1396" s="23" t="s">
        <v>251</v>
      </c>
      <c r="D1396" s="23" t="s">
        <v>21</v>
      </c>
      <c r="E1396" s="24">
        <v>45416.0</v>
      </c>
      <c r="F1396" s="25">
        <v>0.24583333333333332</v>
      </c>
      <c r="G1396" s="25">
        <v>0.6548611111111111</v>
      </c>
      <c r="H1396" s="27">
        <f t="shared" si="2"/>
        <v>0.4090277778</v>
      </c>
      <c r="I1396" s="28">
        <v>5.0</v>
      </c>
      <c r="J1396" s="29" t="s">
        <v>55</v>
      </c>
      <c r="K1396" s="30" t="s">
        <v>23</v>
      </c>
      <c r="L1396" s="31" t="str">
        <f>IFERROR(__xludf.DUMMYFUNCTION("IF(OR(E1396="""",K1396=""""),"""",IFERROR(IF(K1396="""","""",query('tbl user'!$A$2:$D10975,""SELECT A WHERE D = '""&amp;K1396&amp;""'"")),""USER TIDAK DIKETAHUI""))"),"#REF!")</f>
        <v>#REF!</v>
      </c>
    </row>
    <row r="1397">
      <c r="A1397" s="21">
        <f t="shared" si="1"/>
        <v>0</v>
      </c>
      <c r="B1397" s="32" t="s">
        <v>662</v>
      </c>
      <c r="C1397" s="23" t="s">
        <v>234</v>
      </c>
      <c r="D1397" s="23" t="s">
        <v>21</v>
      </c>
      <c r="E1397" s="24">
        <v>45416.0</v>
      </c>
      <c r="F1397" s="25">
        <v>0.2791666666666667</v>
      </c>
      <c r="G1397" s="25">
        <v>0.7215277777777778</v>
      </c>
      <c r="H1397" s="27">
        <f t="shared" si="2"/>
        <v>0.4423611111</v>
      </c>
      <c r="I1397" s="28">
        <v>5.0</v>
      </c>
      <c r="J1397" s="29" t="s">
        <v>55</v>
      </c>
      <c r="K1397" s="30" t="s">
        <v>23</v>
      </c>
      <c r="L1397" s="31" t="str">
        <f>IFERROR(__xludf.DUMMYFUNCTION("IF(OR(E1397="""",K1397=""""),"""",IFERROR(IF(K1397="""","""",query('tbl user'!$A$2:$D10975,""SELECT A WHERE D = '""&amp;K1397&amp;""'"")),""USER TIDAK DIKETAHUI""))"),"#REF!")</f>
        <v>#REF!</v>
      </c>
    </row>
    <row r="1398">
      <c r="A1398" s="21">
        <f t="shared" si="1"/>
        <v>0</v>
      </c>
      <c r="B1398" s="32" t="s">
        <v>43</v>
      </c>
      <c r="C1398" s="23" t="s">
        <v>44</v>
      </c>
      <c r="D1398" s="23" t="s">
        <v>21</v>
      </c>
      <c r="E1398" s="24">
        <v>45416.0</v>
      </c>
      <c r="F1398" s="25">
        <v>0.2965277777777778</v>
      </c>
      <c r="G1398" s="25">
        <v>0.7506944444444444</v>
      </c>
      <c r="H1398" s="27">
        <f t="shared" si="2"/>
        <v>0.4541666667</v>
      </c>
      <c r="I1398" s="28">
        <v>6.0</v>
      </c>
      <c r="J1398" s="29" t="s">
        <v>55</v>
      </c>
      <c r="K1398" s="30" t="s">
        <v>23</v>
      </c>
      <c r="L1398" s="31" t="str">
        <f>IFERROR(__xludf.DUMMYFUNCTION("IF(OR(E1398="""",K1398=""""),"""",IFERROR(IF(K1398="""","""",query('tbl user'!$A$2:$D10975,""SELECT A WHERE D = '""&amp;K1398&amp;""'"")),""USER TIDAK DIKETAHUI""))"),"#REF!")</f>
        <v>#REF!</v>
      </c>
    </row>
    <row r="1399">
      <c r="A1399" s="21">
        <f t="shared" si="1"/>
        <v>0</v>
      </c>
      <c r="B1399" s="32" t="s">
        <v>253</v>
      </c>
      <c r="C1399" s="23" t="s">
        <v>102</v>
      </c>
      <c r="D1399" s="23" t="s">
        <v>21</v>
      </c>
      <c r="E1399" s="24">
        <v>45416.0</v>
      </c>
      <c r="F1399" s="25">
        <v>0.28125</v>
      </c>
      <c r="G1399" s="25">
        <v>0.7444444444444445</v>
      </c>
      <c r="H1399" s="27">
        <f t="shared" si="2"/>
        <v>0.4631944444</v>
      </c>
      <c r="I1399" s="28">
        <v>6.0</v>
      </c>
      <c r="J1399" s="29" t="s">
        <v>55</v>
      </c>
      <c r="K1399" s="30" t="s">
        <v>23</v>
      </c>
      <c r="L1399" s="31" t="str">
        <f>IFERROR(__xludf.DUMMYFUNCTION("IF(OR(E1399="""",K1399=""""),"""",IFERROR(IF(K1399="""","""",query('tbl user'!$A$2:$D10975,""SELECT A WHERE D = '""&amp;K1399&amp;""'"")),""USER TIDAK DIKETAHUI""))"),"#REF!")</f>
        <v>#REF!</v>
      </c>
    </row>
    <row r="1400">
      <c r="A1400" s="21">
        <f t="shared" si="1"/>
        <v>0</v>
      </c>
      <c r="B1400" s="32" t="s">
        <v>593</v>
      </c>
      <c r="C1400" s="23" t="s">
        <v>236</v>
      </c>
      <c r="D1400" s="23" t="s">
        <v>21</v>
      </c>
      <c r="E1400" s="24">
        <v>45416.0</v>
      </c>
      <c r="F1400" s="25">
        <v>0.22708333333333333</v>
      </c>
      <c r="G1400" s="25">
        <v>0.7451388888888889</v>
      </c>
      <c r="H1400" s="27">
        <f t="shared" si="2"/>
        <v>0.5180555556</v>
      </c>
      <c r="I1400" s="28">
        <v>6.0</v>
      </c>
      <c r="J1400" s="29" t="s">
        <v>55</v>
      </c>
      <c r="K1400" s="30" t="s">
        <v>23</v>
      </c>
      <c r="L1400" s="31" t="str">
        <f>IFERROR(__xludf.DUMMYFUNCTION("IF(OR(E1400="""",K1400=""""),"""",IFERROR(IF(K1400="""","""",query('tbl user'!$A$2:$D10975,""SELECT A WHERE D = '""&amp;K1400&amp;""'"")),""USER TIDAK DIKETAHUI""))"),"#REF!")</f>
        <v>#REF!</v>
      </c>
    </row>
    <row r="1401">
      <c r="A1401" s="21">
        <f t="shared" si="1"/>
        <v>0</v>
      </c>
      <c r="B1401" s="32" t="s">
        <v>258</v>
      </c>
      <c r="C1401" s="23" t="s">
        <v>259</v>
      </c>
      <c r="D1401" s="23" t="s">
        <v>21</v>
      </c>
      <c r="E1401" s="24">
        <v>45416.0</v>
      </c>
      <c r="F1401" s="25">
        <v>0.2604166666666667</v>
      </c>
      <c r="G1401" s="25">
        <v>0.7152777777777778</v>
      </c>
      <c r="H1401" s="27">
        <f t="shared" si="2"/>
        <v>0.4548611111</v>
      </c>
      <c r="I1401" s="28">
        <v>6.0</v>
      </c>
      <c r="J1401" s="29" t="s">
        <v>55</v>
      </c>
      <c r="K1401" s="30" t="s">
        <v>23</v>
      </c>
      <c r="L1401" s="31" t="str">
        <f>IFERROR(__xludf.DUMMYFUNCTION("IF(OR(E1401="""",K1401=""""),"""",IFERROR(IF(K1401="""","""",query('tbl user'!$A$2:$D10975,""SELECT A WHERE D = '""&amp;K1401&amp;""'"")),""USER TIDAK DIKETAHUI""))"),"#REF!")</f>
        <v>#REF!</v>
      </c>
    </row>
    <row r="1402">
      <c r="A1402" s="21">
        <f t="shared" si="1"/>
        <v>0</v>
      </c>
      <c r="B1402" s="32" t="s">
        <v>289</v>
      </c>
      <c r="C1402" s="23" t="s">
        <v>290</v>
      </c>
      <c r="D1402" s="23" t="s">
        <v>21</v>
      </c>
      <c r="E1402" s="24">
        <v>45416.0</v>
      </c>
      <c r="F1402" s="25">
        <v>0.3159722222222222</v>
      </c>
      <c r="G1402" s="25">
        <v>0.4395833333333333</v>
      </c>
      <c r="H1402" s="27">
        <f t="shared" si="2"/>
        <v>0.1236111111</v>
      </c>
      <c r="I1402" s="28">
        <v>1.0</v>
      </c>
      <c r="J1402" s="29" t="s">
        <v>769</v>
      </c>
      <c r="K1402" s="30" t="s">
        <v>23</v>
      </c>
      <c r="L1402" s="31" t="str">
        <f>IFERROR(__xludf.DUMMYFUNCTION("IF(OR(E1402="""",K1402=""""),"""",IFERROR(IF(K1402="""","""",query('tbl user'!$A$2:$D10975,""SELECT A WHERE D = '""&amp;K1402&amp;""'"")),""USER TIDAK DIKETAHUI""))"),"#REF!")</f>
        <v>#REF!</v>
      </c>
    </row>
    <row r="1403">
      <c r="A1403" s="21">
        <f t="shared" si="1"/>
        <v>0</v>
      </c>
      <c r="B1403" s="32" t="s">
        <v>101</v>
      </c>
      <c r="C1403" s="23" t="s">
        <v>285</v>
      </c>
      <c r="D1403" s="23" t="s">
        <v>21</v>
      </c>
      <c r="E1403" s="24">
        <v>45416.0</v>
      </c>
      <c r="F1403" s="25">
        <v>0.3194444444444444</v>
      </c>
      <c r="G1403" s="25">
        <v>0.4527777777777778</v>
      </c>
      <c r="H1403" s="27">
        <f t="shared" si="2"/>
        <v>0.1333333333</v>
      </c>
      <c r="I1403" s="28">
        <v>1.0</v>
      </c>
      <c r="J1403" s="29" t="s">
        <v>770</v>
      </c>
      <c r="K1403" s="30" t="s">
        <v>23</v>
      </c>
      <c r="L1403" s="31" t="str">
        <f>IFERROR(__xludf.DUMMYFUNCTION("IF(OR(E1403="""",K1403=""""),"""",IFERROR(IF(K1403="""","""",query('tbl user'!$A$2:$D10975,""SELECT A WHERE D = '""&amp;K1403&amp;""'"")),""USER TIDAK DIKETAHUI""))"),"#REF!")</f>
        <v>#REF!</v>
      </c>
    </row>
    <row r="1404">
      <c r="A1404" s="21">
        <f t="shared" si="1"/>
        <v>0</v>
      </c>
      <c r="B1404" s="32" t="s">
        <v>37</v>
      </c>
      <c r="C1404" s="23" t="s">
        <v>38</v>
      </c>
      <c r="D1404" s="23" t="s">
        <v>21</v>
      </c>
      <c r="E1404" s="24">
        <v>45416.0</v>
      </c>
      <c r="F1404" s="25">
        <v>0.30972222222222223</v>
      </c>
      <c r="G1404" s="25">
        <v>0.7027777777777777</v>
      </c>
      <c r="H1404" s="27">
        <f t="shared" si="2"/>
        <v>0.3930555556</v>
      </c>
      <c r="I1404" s="28">
        <v>3.0</v>
      </c>
      <c r="J1404" s="29" t="s">
        <v>771</v>
      </c>
      <c r="K1404" s="30" t="s">
        <v>23</v>
      </c>
      <c r="L1404" s="31" t="str">
        <f>IFERROR(__xludf.DUMMYFUNCTION("IF(OR(E1404="""",K1404=""""),"""",IFERROR(IF(K1404="""","""",query('tbl user'!$A$2:$D10975,""SELECT A WHERE D = '""&amp;K1404&amp;""'"")),""USER TIDAK DIKETAHUI""))"),"#REF!")</f>
        <v>#REF!</v>
      </c>
    </row>
    <row r="1405">
      <c r="A1405" s="21">
        <f t="shared" si="1"/>
        <v>0</v>
      </c>
      <c r="B1405" s="32" t="s">
        <v>250</v>
      </c>
      <c r="C1405" s="23" t="s">
        <v>38</v>
      </c>
      <c r="D1405" s="23" t="s">
        <v>21</v>
      </c>
      <c r="E1405" s="24">
        <v>45416.0</v>
      </c>
      <c r="F1405" s="25">
        <v>0.30972222222222223</v>
      </c>
      <c r="G1405" s="25">
        <v>0.7027777777777777</v>
      </c>
      <c r="H1405" s="27">
        <f t="shared" si="2"/>
        <v>0.3930555556</v>
      </c>
      <c r="I1405" s="28">
        <v>3.0</v>
      </c>
      <c r="J1405" s="29" t="s">
        <v>771</v>
      </c>
      <c r="K1405" s="30" t="s">
        <v>23</v>
      </c>
      <c r="L1405" s="31" t="str">
        <f>IFERROR(__xludf.DUMMYFUNCTION("IF(OR(E1405="""",K1405=""""),"""",IFERROR(IF(K1405="""","""",query('tbl user'!$A$2:$D10975,""SELECT A WHERE D = '""&amp;K1405&amp;""'"")),""USER TIDAK DIKETAHUI""))"),"#REF!")</f>
        <v>#REF!</v>
      </c>
    </row>
    <row r="1406">
      <c r="A1406" s="21">
        <f t="shared" si="1"/>
        <v>0</v>
      </c>
      <c r="B1406" s="32" t="s">
        <v>281</v>
      </c>
      <c r="C1406" s="23" t="s">
        <v>282</v>
      </c>
      <c r="D1406" s="23" t="s">
        <v>21</v>
      </c>
      <c r="E1406" s="24">
        <v>45416.0</v>
      </c>
      <c r="F1406" s="25">
        <v>0.2951388888888889</v>
      </c>
      <c r="G1406" s="25">
        <v>0.625</v>
      </c>
      <c r="H1406" s="27">
        <f t="shared" si="2"/>
        <v>0.3298611111</v>
      </c>
      <c r="I1406" s="28">
        <v>3.0</v>
      </c>
      <c r="J1406" s="29" t="s">
        <v>771</v>
      </c>
      <c r="K1406" s="30" t="s">
        <v>23</v>
      </c>
      <c r="L1406" s="31" t="str">
        <f>IFERROR(__xludf.DUMMYFUNCTION("IF(OR(E1406="""",K1406=""""),"""",IFERROR(IF(K1406="""","""",query('tbl user'!$A$2:$D10975,""SELECT A WHERE D = '""&amp;K1406&amp;""'"")),""USER TIDAK DIKETAHUI""))"),"#REF!")</f>
        <v>#REF!</v>
      </c>
    </row>
    <row r="1407">
      <c r="A1407" s="21">
        <f t="shared" si="1"/>
        <v>0</v>
      </c>
      <c r="B1407" s="32" t="s">
        <v>51</v>
      </c>
      <c r="C1407" s="23" t="s">
        <v>27</v>
      </c>
      <c r="D1407" s="23" t="s">
        <v>21</v>
      </c>
      <c r="E1407" s="24">
        <v>45416.0</v>
      </c>
      <c r="F1407" s="25">
        <v>0.3020833333333333</v>
      </c>
      <c r="G1407" s="25">
        <v>0.6381944444444444</v>
      </c>
      <c r="H1407" s="27">
        <f t="shared" si="2"/>
        <v>0.3361111111</v>
      </c>
      <c r="I1407" s="28">
        <v>3.0</v>
      </c>
      <c r="J1407" s="29" t="s">
        <v>771</v>
      </c>
      <c r="K1407" s="30" t="s">
        <v>23</v>
      </c>
      <c r="L1407" s="31" t="str">
        <f>IFERROR(__xludf.DUMMYFUNCTION("IF(OR(E1407="""",K1407=""""),"""",IFERROR(IF(K1407="""","""",query('tbl user'!$A$2:$D10975,""SELECT A WHERE D = '""&amp;K1407&amp;""'"")),""USER TIDAK DIKETAHUI""))"),"#REF!")</f>
        <v>#REF!</v>
      </c>
    </row>
    <row r="1408">
      <c r="A1408" s="21">
        <f t="shared" si="1"/>
        <v>0</v>
      </c>
      <c r="B1408" s="32" t="s">
        <v>110</v>
      </c>
      <c r="C1408" s="23" t="s">
        <v>287</v>
      </c>
      <c r="D1408" s="23" t="s">
        <v>21</v>
      </c>
      <c r="E1408" s="24">
        <v>45416.0</v>
      </c>
      <c r="F1408" s="25">
        <v>0.30625</v>
      </c>
      <c r="G1408" s="25">
        <v>0.6076388888888888</v>
      </c>
      <c r="H1408" s="27">
        <f t="shared" si="2"/>
        <v>0.3013888889</v>
      </c>
      <c r="I1408" s="28">
        <v>3.0</v>
      </c>
      <c r="J1408" s="29" t="s">
        <v>771</v>
      </c>
      <c r="K1408" s="30" t="s">
        <v>23</v>
      </c>
      <c r="L1408" s="31" t="str">
        <f>IFERROR(__xludf.DUMMYFUNCTION("IF(OR(E1408="""",K1408=""""),"""",IFERROR(IF(K1408="""","""",query('tbl user'!$A$2:$D10975,""SELECT A WHERE D = '""&amp;K1408&amp;""'"")),""USER TIDAK DIKETAHUI""))"),"#REF!")</f>
        <v>#REF!</v>
      </c>
    </row>
    <row r="1409">
      <c r="A1409" s="21">
        <f t="shared" si="1"/>
        <v>0</v>
      </c>
      <c r="B1409" s="32" t="s">
        <v>61</v>
      </c>
      <c r="C1409" s="23" t="s">
        <v>62</v>
      </c>
      <c r="D1409" s="23" t="s">
        <v>21</v>
      </c>
      <c r="E1409" s="24">
        <v>45416.0</v>
      </c>
      <c r="F1409" s="25">
        <v>0.28194444444444444</v>
      </c>
      <c r="G1409" s="25">
        <v>0.7145833333333333</v>
      </c>
      <c r="H1409" s="27">
        <f t="shared" si="2"/>
        <v>0.4326388889</v>
      </c>
      <c r="I1409" s="28">
        <v>4.0</v>
      </c>
      <c r="J1409" s="29" t="s">
        <v>55</v>
      </c>
      <c r="K1409" s="30" t="s">
        <v>23</v>
      </c>
      <c r="L1409" s="31" t="str">
        <f>IFERROR(__xludf.DUMMYFUNCTION("IF(OR(E1409="""",K1409=""""),"""",IFERROR(IF(K1409="""","""",query('tbl user'!$A$2:$D10975,""SELECT A WHERE D = '""&amp;K1409&amp;""'"")),""USER TIDAK DIKETAHUI""))"),"#REF!")</f>
        <v>#REF!</v>
      </c>
    </row>
    <row r="1410">
      <c r="A1410" s="21">
        <f t="shared" si="1"/>
        <v>0</v>
      </c>
      <c r="B1410" s="32" t="s">
        <v>325</v>
      </c>
      <c r="C1410" s="23" t="s">
        <v>326</v>
      </c>
      <c r="D1410" s="23" t="s">
        <v>21</v>
      </c>
      <c r="E1410" s="24">
        <v>45416.0</v>
      </c>
      <c r="F1410" s="25">
        <v>0.28680555555555554</v>
      </c>
      <c r="G1410" s="25">
        <v>0.3993055555555556</v>
      </c>
      <c r="H1410" s="27">
        <f t="shared" si="2"/>
        <v>0.1125</v>
      </c>
      <c r="I1410" s="28">
        <v>1.0</v>
      </c>
      <c r="J1410" s="29" t="s">
        <v>772</v>
      </c>
      <c r="K1410" s="30" t="s">
        <v>23</v>
      </c>
      <c r="L1410" s="31" t="str">
        <f>IFERROR(__xludf.DUMMYFUNCTION("IF(OR(E1410="""",K1410=""""),"""",IFERROR(IF(K1410="""","""",query('tbl user'!$A$2:$D10975,""SELECT A WHERE D = '""&amp;K1410&amp;""'"")),""USER TIDAK DIKETAHUI""))"),"#REF!")</f>
        <v>#REF!</v>
      </c>
    </row>
    <row r="1411">
      <c r="A1411" s="21">
        <f t="shared" si="1"/>
        <v>0</v>
      </c>
      <c r="B1411" s="32" t="s">
        <v>716</v>
      </c>
      <c r="C1411" s="23" t="s">
        <v>316</v>
      </c>
      <c r="D1411" s="23" t="s">
        <v>21</v>
      </c>
      <c r="E1411" s="24">
        <v>45416.0</v>
      </c>
      <c r="F1411" s="25">
        <v>0.28541666666666665</v>
      </c>
      <c r="G1411" s="25">
        <v>0.5784722222222223</v>
      </c>
      <c r="H1411" s="27">
        <f t="shared" si="2"/>
        <v>0.2930555556</v>
      </c>
      <c r="I1411" s="28">
        <v>3.0</v>
      </c>
      <c r="J1411" s="29" t="s">
        <v>773</v>
      </c>
      <c r="K1411" s="30" t="s">
        <v>23</v>
      </c>
      <c r="L1411" s="31" t="str">
        <f>IFERROR(__xludf.DUMMYFUNCTION("IF(OR(E1411="""",K1411=""""),"""",IFERROR(IF(K1411="""","""",query('tbl user'!$A$2:$D10975,""SELECT A WHERE D = '""&amp;K1411&amp;""'"")),""USER TIDAK DIKETAHUI""))"),"#REF!")</f>
        <v>#REF!</v>
      </c>
    </row>
    <row r="1412">
      <c r="A1412" s="21">
        <f t="shared" si="1"/>
        <v>0</v>
      </c>
      <c r="B1412" s="32" t="s">
        <v>139</v>
      </c>
      <c r="C1412" s="23" t="s">
        <v>329</v>
      </c>
      <c r="D1412" s="23" t="s">
        <v>21</v>
      </c>
      <c r="E1412" s="24">
        <v>45416.0</v>
      </c>
      <c r="F1412" s="25">
        <v>0.3159722222222222</v>
      </c>
      <c r="G1412" s="33">
        <v>0.5923611111111111</v>
      </c>
      <c r="H1412" s="27">
        <f t="shared" si="2"/>
        <v>0.2763888889</v>
      </c>
      <c r="I1412" s="28">
        <v>3.0</v>
      </c>
      <c r="J1412" s="29" t="s">
        <v>237</v>
      </c>
      <c r="K1412" s="30" t="s">
        <v>23</v>
      </c>
      <c r="L1412" s="31" t="str">
        <f>IFERROR(__xludf.DUMMYFUNCTION("IF(OR(E1412="""",K1412=""""),"""",IFERROR(IF(K1412="""","""",query('tbl user'!$A$2:$D10975,""SELECT A WHERE D = '""&amp;K1412&amp;""'"")),""USER TIDAK DIKETAHUI""))"),"#REF!")</f>
        <v>#REF!</v>
      </c>
    </row>
    <row r="1413">
      <c r="A1413" s="21">
        <f t="shared" si="1"/>
        <v>0</v>
      </c>
      <c r="B1413" s="32" t="s">
        <v>333</v>
      </c>
      <c r="C1413" s="23" t="s">
        <v>334</v>
      </c>
      <c r="D1413" s="23" t="s">
        <v>21</v>
      </c>
      <c r="E1413" s="24">
        <v>45416.0</v>
      </c>
      <c r="F1413" s="25">
        <v>0.2916666666666667</v>
      </c>
      <c r="G1413" s="25">
        <v>0.7006944444444444</v>
      </c>
      <c r="H1413" s="27">
        <f t="shared" si="2"/>
        <v>0.4090277778</v>
      </c>
      <c r="I1413" s="28">
        <v>5.0</v>
      </c>
      <c r="J1413" s="29" t="s">
        <v>55</v>
      </c>
      <c r="K1413" s="30" t="s">
        <v>23</v>
      </c>
      <c r="L1413" s="31" t="str">
        <f>IFERROR(__xludf.DUMMYFUNCTION("IF(OR(E1413="""",K1413=""""),"""",IFERROR(IF(K1413="""","""",query('tbl user'!$A$2:$D10975,""SELECT A WHERE D = '""&amp;K1413&amp;""'"")),""USER TIDAK DIKETAHUI""))"),"#REF!")</f>
        <v>#REF!</v>
      </c>
    </row>
    <row r="1414">
      <c r="A1414" s="21">
        <f t="shared" si="1"/>
        <v>0</v>
      </c>
      <c r="B1414" s="32" t="s">
        <v>335</v>
      </c>
      <c r="C1414" s="23" t="s">
        <v>336</v>
      </c>
      <c r="D1414" s="23" t="s">
        <v>21</v>
      </c>
      <c r="E1414" s="24">
        <v>45416.0</v>
      </c>
      <c r="F1414" s="25">
        <v>0.29583333333333334</v>
      </c>
      <c r="G1414" s="25">
        <v>0.6847222222222222</v>
      </c>
      <c r="H1414" s="27">
        <f t="shared" si="2"/>
        <v>0.3888888889</v>
      </c>
      <c r="I1414" s="28">
        <v>5.0</v>
      </c>
      <c r="J1414" s="29" t="s">
        <v>55</v>
      </c>
      <c r="K1414" s="30" t="s">
        <v>23</v>
      </c>
      <c r="L1414" s="31" t="str">
        <f>IFERROR(__xludf.DUMMYFUNCTION("IF(OR(E1414="""",K1414=""""),"""",IFERROR(IF(K1414="""","""",query('tbl user'!$A$2:$D10975,""SELECT A WHERE D = '""&amp;K1414&amp;""'"")),""USER TIDAK DIKETAHUI""))"),"#REF!")</f>
        <v>#REF!</v>
      </c>
    </row>
    <row r="1415">
      <c r="A1415" s="21">
        <f t="shared" si="1"/>
        <v>0</v>
      </c>
      <c r="B1415" s="32" t="s">
        <v>87</v>
      </c>
      <c r="C1415" s="23" t="s">
        <v>88</v>
      </c>
      <c r="D1415" s="23" t="s">
        <v>21</v>
      </c>
      <c r="E1415" s="24">
        <v>45416.0</v>
      </c>
      <c r="F1415" s="25">
        <v>0.3125</v>
      </c>
      <c r="G1415" s="25">
        <v>0.6729166666666667</v>
      </c>
      <c r="H1415" s="27">
        <f t="shared" si="2"/>
        <v>0.3604166667</v>
      </c>
      <c r="I1415" s="28">
        <v>5.0</v>
      </c>
      <c r="J1415" s="29" t="s">
        <v>55</v>
      </c>
      <c r="K1415" s="30" t="s">
        <v>23</v>
      </c>
      <c r="L1415" s="31" t="str">
        <f>IFERROR(__xludf.DUMMYFUNCTION("IF(OR(E1415="""",K1415=""""),"""",IFERROR(IF(K1415="""","""",query('tbl user'!$A$2:$D10975,""SELECT A WHERE D = '""&amp;K1415&amp;""'"")),""USER TIDAK DIKETAHUI""))"),"#REF!")</f>
        <v>#REF!</v>
      </c>
    </row>
    <row r="1416">
      <c r="A1416" s="21">
        <f t="shared" si="1"/>
        <v>0</v>
      </c>
      <c r="B1416" s="32" t="s">
        <v>53</v>
      </c>
      <c r="C1416" s="23" t="s">
        <v>54</v>
      </c>
      <c r="D1416" s="23" t="s">
        <v>21</v>
      </c>
      <c r="E1416" s="24">
        <v>45416.0</v>
      </c>
      <c r="F1416" s="25">
        <v>0.26319444444444445</v>
      </c>
      <c r="G1416" s="25">
        <v>0.6645833333333333</v>
      </c>
      <c r="H1416" s="27">
        <f t="shared" si="2"/>
        <v>0.4013888889</v>
      </c>
      <c r="I1416" s="28">
        <v>5.0</v>
      </c>
      <c r="J1416" s="29" t="s">
        <v>55</v>
      </c>
      <c r="K1416" s="30" t="s">
        <v>23</v>
      </c>
      <c r="L1416" s="31" t="str">
        <f>IFERROR(__xludf.DUMMYFUNCTION("IF(OR(E1416="""",K1416=""""),"""",IFERROR(IF(K1416="""","""",query('tbl user'!$A$2:$D10975,""SELECT A WHERE D = '""&amp;K1416&amp;""'"")),""USER TIDAK DIKETAHUI""))"),"#REF!")</f>
        <v>#REF!</v>
      </c>
    </row>
    <row r="1417">
      <c r="A1417" s="21">
        <f t="shared" si="1"/>
        <v>0</v>
      </c>
      <c r="B1417" s="32" t="s">
        <v>131</v>
      </c>
      <c r="C1417" s="23" t="s">
        <v>339</v>
      </c>
      <c r="D1417" s="23" t="s">
        <v>21</v>
      </c>
      <c r="E1417" s="24">
        <v>45416.0</v>
      </c>
      <c r="F1417" s="25">
        <v>0.29305555555555557</v>
      </c>
      <c r="G1417" s="25">
        <v>0.7388888888888889</v>
      </c>
      <c r="H1417" s="27">
        <f t="shared" si="2"/>
        <v>0.4458333333</v>
      </c>
      <c r="I1417" s="28">
        <v>6.0</v>
      </c>
      <c r="J1417" s="29" t="s">
        <v>55</v>
      </c>
      <c r="K1417" s="30" t="s">
        <v>23</v>
      </c>
      <c r="L1417" s="31" t="str">
        <f>IFERROR(__xludf.DUMMYFUNCTION("IF(OR(E1417="""",K1417=""""),"""",IFERROR(IF(K1417="""","""",query('tbl user'!$A$2:$D10975,""SELECT A WHERE D = '""&amp;K1417&amp;""'"")),""USER TIDAK DIKETAHUI""))"),"#REF!")</f>
        <v>#REF!</v>
      </c>
    </row>
    <row r="1418">
      <c r="A1418" s="21">
        <f t="shared" si="1"/>
        <v>0</v>
      </c>
      <c r="B1418" s="32" t="s">
        <v>219</v>
      </c>
      <c r="C1418" s="23" t="s">
        <v>340</v>
      </c>
      <c r="D1418" s="23" t="s">
        <v>21</v>
      </c>
      <c r="E1418" s="24">
        <v>45416.0</v>
      </c>
      <c r="F1418" s="25">
        <v>0.3145833333333333</v>
      </c>
      <c r="G1418" s="25">
        <v>0.7166666666666667</v>
      </c>
      <c r="H1418" s="27">
        <f t="shared" si="2"/>
        <v>0.4020833333</v>
      </c>
      <c r="I1418" s="28">
        <v>6.0</v>
      </c>
      <c r="J1418" s="29" t="s">
        <v>55</v>
      </c>
      <c r="K1418" s="30" t="s">
        <v>23</v>
      </c>
      <c r="L1418" s="31" t="str">
        <f>IFERROR(__xludf.DUMMYFUNCTION("IF(OR(E1418="""",K1418=""""),"""",IFERROR(IF(K1418="""","""",query('tbl user'!$A$2:$D10975,""SELECT A WHERE D = '""&amp;K1418&amp;""'"")),""USER TIDAK DIKETAHUI""))"),"#REF!")</f>
        <v>#REF!</v>
      </c>
    </row>
    <row r="1419">
      <c r="A1419" s="21">
        <f t="shared" si="1"/>
        <v>0</v>
      </c>
      <c r="B1419" s="32" t="s">
        <v>319</v>
      </c>
      <c r="C1419" s="23" t="s">
        <v>320</v>
      </c>
      <c r="D1419" s="23" t="s">
        <v>21</v>
      </c>
      <c r="E1419" s="24">
        <v>45416.0</v>
      </c>
      <c r="F1419" s="25">
        <v>0.22708333333333333</v>
      </c>
      <c r="G1419" s="25">
        <v>0.7069444444444445</v>
      </c>
      <c r="H1419" s="27">
        <f t="shared" si="2"/>
        <v>0.4798611111</v>
      </c>
      <c r="I1419" s="28">
        <v>6.0</v>
      </c>
      <c r="J1419" s="29" t="s">
        <v>55</v>
      </c>
      <c r="K1419" s="30" t="s">
        <v>23</v>
      </c>
      <c r="L1419" s="31" t="str">
        <f>IFERROR(__xludf.DUMMYFUNCTION("IF(OR(E1419="""",K1419=""""),"""",IFERROR(IF(K1419="""","""",query('tbl user'!$A$2:$D10975,""SELECT A WHERE D = '""&amp;K1419&amp;""'"")),""USER TIDAK DIKETAHUI""))"),"#REF!")</f>
        <v>#REF!</v>
      </c>
    </row>
    <row r="1420">
      <c r="A1420" s="21">
        <f t="shared" si="1"/>
        <v>0</v>
      </c>
      <c r="B1420" s="32" t="s">
        <v>577</v>
      </c>
      <c r="C1420" s="23" t="s">
        <v>330</v>
      </c>
      <c r="D1420" s="23" t="s">
        <v>21</v>
      </c>
      <c r="E1420" s="24">
        <v>45416.0</v>
      </c>
      <c r="F1420" s="25">
        <v>0.25833333333333336</v>
      </c>
      <c r="G1420" s="25">
        <v>0.7388888888888889</v>
      </c>
      <c r="H1420" s="27">
        <f t="shared" si="2"/>
        <v>0.4805555556</v>
      </c>
      <c r="I1420" s="28">
        <v>6.0</v>
      </c>
      <c r="J1420" s="29" t="s">
        <v>55</v>
      </c>
      <c r="K1420" s="30" t="s">
        <v>23</v>
      </c>
      <c r="L1420" s="31" t="str">
        <f>IFERROR(__xludf.DUMMYFUNCTION("IF(OR(E1420="""",K1420=""""),"""",IFERROR(IF(K1420="""","""",query('tbl user'!$A$2:$D10975,""SELECT A WHERE D = '""&amp;K1420&amp;""'"")),""USER TIDAK DIKETAHUI""))"),"#REF!")</f>
        <v>#REF!</v>
      </c>
    </row>
    <row r="1421">
      <c r="A1421" s="21">
        <f t="shared" si="1"/>
        <v>0</v>
      </c>
      <c r="B1421" s="32" t="s">
        <v>337</v>
      </c>
      <c r="C1421" s="23" t="s">
        <v>338</v>
      </c>
      <c r="D1421" s="23" t="s">
        <v>21</v>
      </c>
      <c r="E1421" s="24">
        <v>45416.0</v>
      </c>
      <c r="F1421" s="25">
        <v>0.2847222222222222</v>
      </c>
      <c r="G1421" s="25">
        <v>0.7340277777777777</v>
      </c>
      <c r="H1421" s="27">
        <f t="shared" si="2"/>
        <v>0.4493055556</v>
      </c>
      <c r="I1421" s="28">
        <v>6.0</v>
      </c>
      <c r="J1421" s="29" t="s">
        <v>55</v>
      </c>
      <c r="K1421" s="30" t="s">
        <v>23</v>
      </c>
      <c r="L1421" s="31" t="str">
        <f>IFERROR(__xludf.DUMMYFUNCTION("IF(OR(E1421="""",K1421=""""),"""",IFERROR(IF(K1421="""","""",query('tbl user'!$A$2:$D10975,""SELECT A WHERE D = '""&amp;K1421&amp;""'"")),""USER TIDAK DIKETAHUI""))"),"#REF!")</f>
        <v>#REF!</v>
      </c>
    </row>
    <row r="1422">
      <c r="A1422" s="21">
        <f t="shared" si="1"/>
        <v>0</v>
      </c>
      <c r="B1422" s="32" t="s">
        <v>601</v>
      </c>
      <c r="C1422" s="23" t="s">
        <v>323</v>
      </c>
      <c r="D1422" s="23" t="s">
        <v>21</v>
      </c>
      <c r="E1422" s="24">
        <v>45416.0</v>
      </c>
      <c r="F1422" s="25">
        <v>0.2673611111111111</v>
      </c>
      <c r="G1422" s="25">
        <v>0.7472222222222222</v>
      </c>
      <c r="H1422" s="27">
        <f t="shared" si="2"/>
        <v>0.4798611111</v>
      </c>
      <c r="I1422" s="28">
        <v>6.0</v>
      </c>
      <c r="J1422" s="29" t="s">
        <v>55</v>
      </c>
      <c r="K1422" s="30" t="s">
        <v>23</v>
      </c>
      <c r="L1422" s="31" t="str">
        <f>IFERROR(__xludf.DUMMYFUNCTION("IF(OR(E1422="""",K1422=""""),"""",IFERROR(IF(K1422="""","""",query('tbl user'!$A$2:$D10975,""SELECT A WHERE D = '""&amp;K1422&amp;""'"")),""USER TIDAK DIKETAHUI""))"),"#REF!")</f>
        <v>#REF!</v>
      </c>
    </row>
    <row r="1423">
      <c r="A1423" s="21">
        <f t="shared" si="1"/>
        <v>0</v>
      </c>
      <c r="B1423" s="32" t="s">
        <v>331</v>
      </c>
      <c r="C1423" s="23" t="s">
        <v>332</v>
      </c>
      <c r="D1423" s="23" t="s">
        <v>21</v>
      </c>
      <c r="E1423" s="24">
        <v>45416.0</v>
      </c>
      <c r="F1423" s="25">
        <v>0.20902777777777778</v>
      </c>
      <c r="G1423" s="25">
        <v>0.75625</v>
      </c>
      <c r="H1423" s="27">
        <f t="shared" si="2"/>
        <v>0.5472222222</v>
      </c>
      <c r="I1423" s="28">
        <v>7.0</v>
      </c>
      <c r="J1423" s="29" t="s">
        <v>55</v>
      </c>
      <c r="K1423" s="30" t="s">
        <v>23</v>
      </c>
      <c r="L1423" s="31" t="str">
        <f>IFERROR(__xludf.DUMMYFUNCTION("IF(OR(E1423="""",K1423=""""),"""",IFERROR(IF(K1423="""","""",query('tbl user'!$A$2:$D10975,""SELECT A WHERE D = '""&amp;K1423&amp;""'"")),""USER TIDAK DIKETAHUI""))"),"#REF!")</f>
        <v>#REF!</v>
      </c>
    </row>
    <row r="1424">
      <c r="A1424" s="21">
        <f t="shared" si="1"/>
        <v>0</v>
      </c>
      <c r="B1424" s="32" t="s">
        <v>95</v>
      </c>
      <c r="C1424" s="23" t="s">
        <v>93</v>
      </c>
      <c r="D1424" s="23" t="s">
        <v>58</v>
      </c>
      <c r="E1424" s="24">
        <v>45417.0</v>
      </c>
      <c r="F1424" s="25">
        <v>0.2923611111111111</v>
      </c>
      <c r="G1424" s="25">
        <v>0.42916666666666664</v>
      </c>
      <c r="H1424" s="27">
        <f t="shared" si="2"/>
        <v>0.1368055556</v>
      </c>
      <c r="I1424" s="28">
        <v>1.0</v>
      </c>
      <c r="J1424" s="29" t="s">
        <v>774</v>
      </c>
      <c r="K1424" s="30" t="s">
        <v>23</v>
      </c>
      <c r="L1424" s="31" t="str">
        <f>IFERROR(__xludf.DUMMYFUNCTION("IF(OR(E1424="""",K1424=""""),"""",IFERROR(IF(K1424="""","""",query('tbl user'!$A$2:$D10975,""SELECT A WHERE D = '""&amp;K1424&amp;""'"")),""USER TIDAK DIKETAHUI""))"),"#REF!")</f>
        <v>#REF!</v>
      </c>
    </row>
    <row r="1425">
      <c r="A1425" s="21">
        <f t="shared" si="1"/>
        <v>0</v>
      </c>
      <c r="B1425" s="32" t="s">
        <v>187</v>
      </c>
      <c r="C1425" s="23" t="s">
        <v>188</v>
      </c>
      <c r="D1425" s="23" t="s">
        <v>58</v>
      </c>
      <c r="E1425" s="24">
        <v>45417.0</v>
      </c>
      <c r="F1425" s="25">
        <v>0.23472222222222222</v>
      </c>
      <c r="G1425" s="25">
        <v>0.49722222222222223</v>
      </c>
      <c r="H1425" s="27">
        <f t="shared" si="2"/>
        <v>0.2625</v>
      </c>
      <c r="I1425" s="28">
        <v>2.0</v>
      </c>
      <c r="J1425" s="29" t="s">
        <v>775</v>
      </c>
      <c r="K1425" s="30" t="s">
        <v>23</v>
      </c>
      <c r="L1425" s="31" t="str">
        <f>IFERROR(__xludf.DUMMYFUNCTION("IF(OR(E1425="""",K1425=""""),"""",IFERROR(IF(K1425="""","""",query('tbl user'!$A$2:$D10975,""SELECT A WHERE D = '""&amp;K1425&amp;""'"")),""USER TIDAK DIKETAHUI""))"),"#REF!")</f>
        <v>#REF!</v>
      </c>
    </row>
    <row r="1426">
      <c r="A1426" s="21">
        <f t="shared" si="1"/>
        <v>0</v>
      </c>
      <c r="B1426" s="32" t="s">
        <v>84</v>
      </c>
      <c r="C1426" s="23" t="s">
        <v>85</v>
      </c>
      <c r="D1426" s="23" t="s">
        <v>58</v>
      </c>
      <c r="E1426" s="24">
        <v>45417.0</v>
      </c>
      <c r="F1426" s="25">
        <v>0.2659722222222222</v>
      </c>
      <c r="G1426" s="25">
        <v>0.5763888888888888</v>
      </c>
      <c r="H1426" s="27">
        <f t="shared" si="2"/>
        <v>0.3104166667</v>
      </c>
      <c r="I1426" s="28">
        <v>2.0</v>
      </c>
      <c r="J1426" s="29" t="s">
        <v>776</v>
      </c>
      <c r="K1426" s="30" t="s">
        <v>23</v>
      </c>
      <c r="L1426" s="31" t="str">
        <f>IFERROR(__xludf.DUMMYFUNCTION("IF(OR(E1426="""",K1426=""""),"""",IFERROR(IF(K1426="""","""",query('tbl user'!$A$2:$D10975,""SELECT A WHERE D = '""&amp;K1426&amp;""'"")),""USER TIDAK DIKETAHUI""))"),"#REF!")</f>
        <v>#REF!</v>
      </c>
    </row>
    <row r="1427">
      <c r="A1427" s="21">
        <f t="shared" si="1"/>
        <v>0</v>
      </c>
      <c r="B1427" s="32" t="s">
        <v>167</v>
      </c>
      <c r="C1427" s="23" t="s">
        <v>168</v>
      </c>
      <c r="D1427" s="23" t="s">
        <v>58</v>
      </c>
      <c r="E1427" s="24">
        <v>45417.0</v>
      </c>
      <c r="F1427" s="25">
        <v>0.2986111111111111</v>
      </c>
      <c r="G1427" s="25">
        <v>0.6444444444444445</v>
      </c>
      <c r="H1427" s="27">
        <f t="shared" si="2"/>
        <v>0.3458333333</v>
      </c>
      <c r="I1427" s="28">
        <v>3.0</v>
      </c>
      <c r="J1427" s="29" t="s">
        <v>309</v>
      </c>
      <c r="K1427" s="30" t="s">
        <v>23</v>
      </c>
      <c r="L1427" s="31" t="str">
        <f>IFERROR(__xludf.DUMMYFUNCTION("IF(OR(E1427="""",K1427=""""),"""",IFERROR(IF(K1427="""","""",query('tbl user'!$A$2:$D10975,""SELECT A WHERE D = '""&amp;K1427&amp;""'"")),""USER TIDAK DIKETAHUI""))"),"#REF!")</f>
        <v>#REF!</v>
      </c>
    </row>
    <row r="1428">
      <c r="A1428" s="21">
        <f t="shared" si="1"/>
        <v>0</v>
      </c>
      <c r="B1428" s="32" t="s">
        <v>127</v>
      </c>
      <c r="C1428" s="23" t="s">
        <v>176</v>
      </c>
      <c r="D1428" s="23" t="s">
        <v>58</v>
      </c>
      <c r="E1428" s="24">
        <v>45417.0</v>
      </c>
      <c r="F1428" s="25">
        <v>0.29375</v>
      </c>
      <c r="G1428" s="25">
        <v>0.6319444444444444</v>
      </c>
      <c r="H1428" s="27">
        <f t="shared" si="2"/>
        <v>0.3381944444</v>
      </c>
      <c r="I1428" s="28">
        <v>3.0</v>
      </c>
      <c r="J1428" s="29" t="s">
        <v>777</v>
      </c>
      <c r="K1428" s="30" t="s">
        <v>23</v>
      </c>
      <c r="L1428" s="31" t="str">
        <f>IFERROR(__xludf.DUMMYFUNCTION("IF(OR(E1428="""",K1428=""""),"""",IFERROR(IF(K1428="""","""",query('tbl user'!$A$2:$D10975,""SELECT A WHERE D = '""&amp;K1428&amp;""'"")),""USER TIDAK DIKETAHUI""))"),"#REF!")</f>
        <v>#REF!</v>
      </c>
    </row>
    <row r="1429">
      <c r="A1429" s="21">
        <f t="shared" si="1"/>
        <v>0</v>
      </c>
      <c r="B1429" s="32" t="s">
        <v>220</v>
      </c>
      <c r="C1429" s="23" t="s">
        <v>82</v>
      </c>
      <c r="D1429" s="23" t="s">
        <v>58</v>
      </c>
      <c r="E1429" s="24">
        <v>45417.0</v>
      </c>
      <c r="F1429" s="25">
        <v>0.26319444444444445</v>
      </c>
      <c r="G1429" s="25">
        <v>0.6277777777777778</v>
      </c>
      <c r="H1429" s="27">
        <f t="shared" si="2"/>
        <v>0.3645833333</v>
      </c>
      <c r="I1429" s="28">
        <v>3.0</v>
      </c>
      <c r="J1429" s="29" t="s">
        <v>778</v>
      </c>
      <c r="K1429" s="30" t="s">
        <v>23</v>
      </c>
      <c r="L1429" s="31" t="str">
        <f>IFERROR(__xludf.DUMMYFUNCTION("IF(OR(E1429="""",K1429=""""),"""",IFERROR(IF(K1429="""","""",query('tbl user'!$A$2:$D10975,""SELECT A WHERE D = '""&amp;K1429&amp;""'"")),""USER TIDAK DIKETAHUI""))"),"#REF!")</f>
        <v>#REF!</v>
      </c>
    </row>
    <row r="1430">
      <c r="A1430" s="21">
        <f t="shared" si="1"/>
        <v>0</v>
      </c>
      <c r="B1430" s="32" t="s">
        <v>189</v>
      </c>
      <c r="C1430" s="23" t="s">
        <v>190</v>
      </c>
      <c r="D1430" s="23" t="s">
        <v>58</v>
      </c>
      <c r="E1430" s="24">
        <v>45417.0</v>
      </c>
      <c r="F1430" s="25">
        <v>0.2826388888888889</v>
      </c>
      <c r="G1430" s="25">
        <v>0.6083333333333333</v>
      </c>
      <c r="H1430" s="27">
        <f t="shared" si="2"/>
        <v>0.3256944444</v>
      </c>
      <c r="I1430" s="28">
        <v>3.0</v>
      </c>
      <c r="J1430" s="29" t="s">
        <v>779</v>
      </c>
      <c r="K1430" s="30" t="s">
        <v>23</v>
      </c>
      <c r="L1430" s="31" t="str">
        <f>IFERROR(__xludf.DUMMYFUNCTION("IF(OR(E1430="""",K1430=""""),"""",IFERROR(IF(K1430="""","""",query('tbl user'!$A$2:$D10975,""SELECT A WHERE D = '""&amp;K1430&amp;""'"")),""USER TIDAK DIKETAHUI""))"),"#REF!")</f>
        <v>#REF!</v>
      </c>
    </row>
    <row r="1431">
      <c r="A1431" s="21">
        <f t="shared" si="1"/>
        <v>0</v>
      </c>
      <c r="B1431" s="32" t="s">
        <v>104</v>
      </c>
      <c r="C1431" s="23" t="s">
        <v>105</v>
      </c>
      <c r="D1431" s="23" t="s">
        <v>58</v>
      </c>
      <c r="E1431" s="24">
        <v>45417.0</v>
      </c>
      <c r="F1431" s="25">
        <v>0.24791666666666667</v>
      </c>
      <c r="G1431" s="25">
        <v>0.6263888888888889</v>
      </c>
      <c r="H1431" s="27">
        <f t="shared" si="2"/>
        <v>0.3784722222</v>
      </c>
      <c r="I1431" s="28">
        <v>3.0</v>
      </c>
      <c r="J1431" s="29" t="s">
        <v>780</v>
      </c>
      <c r="K1431" s="30" t="s">
        <v>23</v>
      </c>
      <c r="L1431" s="31" t="str">
        <f>IFERROR(__xludf.DUMMYFUNCTION("IF(OR(E1431="""",K1431=""""),"""",IFERROR(IF(K1431="""","""",query('tbl user'!$A$2:$D10975,""SELECT A WHERE D = '""&amp;K1431&amp;""'"")),""USER TIDAK DIKETAHUI""))"),"#REF!")</f>
        <v>#REF!</v>
      </c>
    </row>
    <row r="1432">
      <c r="A1432" s="21">
        <f t="shared" si="1"/>
        <v>0</v>
      </c>
      <c r="B1432" s="32" t="s">
        <v>202</v>
      </c>
      <c r="C1432" s="23" t="s">
        <v>203</v>
      </c>
      <c r="D1432" s="23" t="s">
        <v>58</v>
      </c>
      <c r="E1432" s="24">
        <v>45417.0</v>
      </c>
      <c r="F1432" s="25">
        <v>0.25277777777777777</v>
      </c>
      <c r="G1432" s="25">
        <v>0.6076388888888888</v>
      </c>
      <c r="H1432" s="27">
        <f t="shared" si="2"/>
        <v>0.3548611111</v>
      </c>
      <c r="I1432" s="28">
        <v>3.0</v>
      </c>
      <c r="J1432" s="29" t="s">
        <v>781</v>
      </c>
      <c r="K1432" s="30" t="s">
        <v>23</v>
      </c>
      <c r="L1432" s="31" t="str">
        <f>IFERROR(__xludf.DUMMYFUNCTION("IF(OR(E1432="""",K1432=""""),"""",IFERROR(IF(K1432="""","""",query('tbl user'!$A$2:$D10975,""SELECT A WHERE D = '""&amp;K1432&amp;""'"")),""USER TIDAK DIKETAHUI""))"),"#REF!")</f>
        <v>#REF!</v>
      </c>
    </row>
    <row r="1433">
      <c r="A1433" s="21">
        <f t="shared" si="1"/>
        <v>0</v>
      </c>
      <c r="B1433" s="32" t="s">
        <v>297</v>
      </c>
      <c r="C1433" s="23" t="s">
        <v>348</v>
      </c>
      <c r="D1433" s="23" t="s">
        <v>58</v>
      </c>
      <c r="E1433" s="24">
        <v>45417.0</v>
      </c>
      <c r="F1433" s="25">
        <v>0.24166666666666667</v>
      </c>
      <c r="G1433" s="25">
        <v>0.5805555555555556</v>
      </c>
      <c r="H1433" s="27">
        <f t="shared" si="2"/>
        <v>0.3388888889</v>
      </c>
      <c r="I1433" s="28">
        <v>3.0</v>
      </c>
      <c r="J1433" s="29" t="s">
        <v>782</v>
      </c>
      <c r="K1433" s="30" t="s">
        <v>23</v>
      </c>
      <c r="L1433" s="31" t="str">
        <f>IFERROR(__xludf.DUMMYFUNCTION("IF(OR(E1433="""",K1433=""""),"""",IFERROR(IF(K1433="""","""",query('tbl user'!$A$2:$D10975,""SELECT A WHERE D = '""&amp;K1433&amp;""'"")),""USER TIDAK DIKETAHUI""))"),"#REF!")</f>
        <v>#REF!</v>
      </c>
    </row>
    <row r="1434">
      <c r="A1434" s="21">
        <f t="shared" si="1"/>
        <v>0</v>
      </c>
      <c r="B1434" s="32" t="s">
        <v>67</v>
      </c>
      <c r="C1434" s="23" t="s">
        <v>68</v>
      </c>
      <c r="D1434" s="23" t="s">
        <v>58</v>
      </c>
      <c r="E1434" s="24">
        <v>45417.0</v>
      </c>
      <c r="F1434" s="25">
        <v>0.24097222222222223</v>
      </c>
      <c r="G1434" s="25">
        <v>0.71875</v>
      </c>
      <c r="H1434" s="27">
        <f t="shared" si="2"/>
        <v>0.4777777778</v>
      </c>
      <c r="I1434" s="28">
        <v>4.0</v>
      </c>
      <c r="J1434" s="29" t="s">
        <v>55</v>
      </c>
      <c r="K1434" s="30" t="s">
        <v>23</v>
      </c>
      <c r="L1434" s="31" t="str">
        <f>IFERROR(__xludf.DUMMYFUNCTION("IF(OR(E1434="""",K1434=""""),"""",IFERROR(IF(K1434="""","""",query('tbl user'!$A$2:$D10975,""SELECT A WHERE D = '""&amp;K1434&amp;""'"")),""USER TIDAK DIKETAHUI""))"),"#REF!")</f>
        <v>#REF!</v>
      </c>
    </row>
    <row r="1435">
      <c r="A1435" s="21">
        <f t="shared" si="1"/>
        <v>0</v>
      </c>
      <c r="B1435" s="32" t="s">
        <v>180</v>
      </c>
      <c r="C1435" s="23" t="s">
        <v>181</v>
      </c>
      <c r="D1435" s="23" t="s">
        <v>58</v>
      </c>
      <c r="E1435" s="24">
        <v>45417.0</v>
      </c>
      <c r="F1435" s="25">
        <v>0.2465277777777778</v>
      </c>
      <c r="G1435" s="25">
        <v>0.6798611111111111</v>
      </c>
      <c r="H1435" s="27">
        <f t="shared" si="2"/>
        <v>0.4333333333</v>
      </c>
      <c r="I1435" s="28">
        <v>4.0</v>
      </c>
      <c r="J1435" s="29" t="s">
        <v>55</v>
      </c>
      <c r="K1435" s="30" t="s">
        <v>23</v>
      </c>
      <c r="L1435" s="31" t="str">
        <f>IFERROR(__xludf.DUMMYFUNCTION("IF(OR(E1435="""",K1435=""""),"""",IFERROR(IF(K1435="""","""",query('tbl user'!$A$2:$D10975,""SELECT A WHERE D = '""&amp;K1435&amp;""'"")),""USER TIDAK DIKETAHUI""))"),"#REF!")</f>
        <v>#REF!</v>
      </c>
    </row>
    <row r="1436">
      <c r="A1436" s="21">
        <f t="shared" si="1"/>
        <v>0</v>
      </c>
      <c r="B1436" s="32" t="s">
        <v>182</v>
      </c>
      <c r="C1436" s="23" t="s">
        <v>183</v>
      </c>
      <c r="D1436" s="23" t="s">
        <v>58</v>
      </c>
      <c r="E1436" s="24">
        <v>45417.0</v>
      </c>
      <c r="F1436" s="25">
        <v>0.22361111111111112</v>
      </c>
      <c r="G1436" s="25">
        <v>0.6270833333333333</v>
      </c>
      <c r="H1436" s="27">
        <f t="shared" si="2"/>
        <v>0.4034722222</v>
      </c>
      <c r="I1436" s="28">
        <v>4.0</v>
      </c>
      <c r="J1436" s="29" t="s">
        <v>55</v>
      </c>
      <c r="K1436" s="30" t="s">
        <v>23</v>
      </c>
      <c r="L1436" s="31" t="str">
        <f>IFERROR(__xludf.DUMMYFUNCTION("IF(OR(E1436="""",K1436=""""),"""",IFERROR(IF(K1436="""","""",query('tbl user'!$A$2:$D10975,""SELECT A WHERE D = '""&amp;K1436&amp;""'"")),""USER TIDAK DIKETAHUI""))"),"#REF!")</f>
        <v>#REF!</v>
      </c>
    </row>
    <row r="1437">
      <c r="A1437" s="21">
        <f t="shared" si="1"/>
        <v>0</v>
      </c>
      <c r="B1437" s="32" t="s">
        <v>184</v>
      </c>
      <c r="C1437" s="23" t="s">
        <v>185</v>
      </c>
      <c r="D1437" s="23" t="s">
        <v>58</v>
      </c>
      <c r="E1437" s="24">
        <v>45417.0</v>
      </c>
      <c r="F1437" s="25">
        <v>0.24583333333333332</v>
      </c>
      <c r="G1437" s="25">
        <v>0.6472222222222223</v>
      </c>
      <c r="H1437" s="27">
        <f t="shared" si="2"/>
        <v>0.4013888889</v>
      </c>
      <c r="I1437" s="28">
        <v>4.0</v>
      </c>
      <c r="J1437" s="29" t="s">
        <v>55</v>
      </c>
      <c r="K1437" s="30" t="s">
        <v>23</v>
      </c>
      <c r="L1437" s="31" t="str">
        <f>IFERROR(__xludf.DUMMYFUNCTION("IF(OR(E1437="""",K1437=""""),"""",IFERROR(IF(K1437="""","""",query('tbl user'!$A$2:$D10975,""SELECT A WHERE D = '""&amp;K1437&amp;""'"")),""USER TIDAK DIKETAHUI""))"),"#REF!")</f>
        <v>#REF!</v>
      </c>
    </row>
    <row r="1438">
      <c r="A1438" s="21">
        <f t="shared" si="1"/>
        <v>0</v>
      </c>
      <c r="B1438" s="32" t="s">
        <v>191</v>
      </c>
      <c r="C1438" s="23" t="s">
        <v>192</v>
      </c>
      <c r="D1438" s="23" t="s">
        <v>58</v>
      </c>
      <c r="E1438" s="24">
        <v>45417.0</v>
      </c>
      <c r="F1438" s="25">
        <v>0.25833333333333336</v>
      </c>
      <c r="G1438" s="25">
        <v>0.7013888888888888</v>
      </c>
      <c r="H1438" s="27">
        <f t="shared" si="2"/>
        <v>0.4430555556</v>
      </c>
      <c r="I1438" s="28">
        <v>4.0</v>
      </c>
      <c r="J1438" s="29" t="s">
        <v>55</v>
      </c>
      <c r="K1438" s="30" t="s">
        <v>23</v>
      </c>
      <c r="L1438" s="31" t="str">
        <f>IFERROR(__xludf.DUMMYFUNCTION("IF(OR(E1438="""",K1438=""""),"""",IFERROR(IF(K1438="""","""",query('tbl user'!$A$2:$D10975,""SELECT A WHERE D = '""&amp;K1438&amp;""'"")),""USER TIDAK DIKETAHUI""))"),"#REF!")</f>
        <v>#REF!</v>
      </c>
    </row>
    <row r="1439">
      <c r="A1439" s="21">
        <f t="shared" si="1"/>
        <v>0</v>
      </c>
      <c r="B1439" s="32" t="s">
        <v>194</v>
      </c>
      <c r="C1439" s="23" t="s">
        <v>195</v>
      </c>
      <c r="D1439" s="23" t="s">
        <v>58</v>
      </c>
      <c r="E1439" s="24">
        <v>45417.0</v>
      </c>
      <c r="F1439" s="25">
        <v>0.22916666666666666</v>
      </c>
      <c r="G1439" s="25">
        <v>0.6291666666666667</v>
      </c>
      <c r="H1439" s="27">
        <f t="shared" si="2"/>
        <v>0.4</v>
      </c>
      <c r="I1439" s="28">
        <v>4.0</v>
      </c>
      <c r="J1439" s="29" t="s">
        <v>55</v>
      </c>
      <c r="K1439" s="30" t="s">
        <v>23</v>
      </c>
      <c r="L1439" s="31" t="str">
        <f>IFERROR(__xludf.DUMMYFUNCTION("IF(OR(E1439="""",K1439=""""),"""",IFERROR(IF(K1439="""","""",query('tbl user'!$A$2:$D10975,""SELECT A WHERE D = '""&amp;K1439&amp;""'"")),""USER TIDAK DIKETAHUI""))"),"#REF!")</f>
        <v>#REF!</v>
      </c>
    </row>
    <row r="1440">
      <c r="A1440" s="21">
        <f t="shared" si="1"/>
        <v>0</v>
      </c>
      <c r="B1440" s="32" t="s">
        <v>205</v>
      </c>
      <c r="C1440" s="23" t="s">
        <v>206</v>
      </c>
      <c r="D1440" s="23" t="s">
        <v>58</v>
      </c>
      <c r="E1440" s="24">
        <v>45417.0</v>
      </c>
      <c r="F1440" s="25">
        <v>0.22847222222222222</v>
      </c>
      <c r="G1440" s="25">
        <v>0.6645833333333333</v>
      </c>
      <c r="H1440" s="27">
        <f t="shared" si="2"/>
        <v>0.4361111111</v>
      </c>
      <c r="I1440" s="28">
        <v>4.0</v>
      </c>
      <c r="J1440" s="29" t="s">
        <v>55</v>
      </c>
      <c r="K1440" s="30" t="s">
        <v>23</v>
      </c>
      <c r="L1440" s="31" t="str">
        <f>IFERROR(__xludf.DUMMYFUNCTION("IF(OR(E1440="""",K1440=""""),"""",IFERROR(IF(K1440="""","""",query('tbl user'!$A$2:$D10975,""SELECT A WHERE D = '""&amp;K1440&amp;""'"")),""USER TIDAK DIKETAHUI""))"),"#REF!")</f>
        <v>#REF!</v>
      </c>
    </row>
    <row r="1441">
      <c r="A1441" s="21">
        <f t="shared" si="1"/>
        <v>0</v>
      </c>
      <c r="B1441" s="32" t="s">
        <v>224</v>
      </c>
      <c r="C1441" s="23" t="s">
        <v>208</v>
      </c>
      <c r="D1441" s="23" t="s">
        <v>58</v>
      </c>
      <c r="E1441" s="24">
        <v>45417.0</v>
      </c>
      <c r="F1441" s="25">
        <v>0.2520833333333333</v>
      </c>
      <c r="G1441" s="25">
        <v>0.6756944444444445</v>
      </c>
      <c r="H1441" s="27">
        <f t="shared" si="2"/>
        <v>0.4236111111</v>
      </c>
      <c r="I1441" s="28">
        <v>4.0</v>
      </c>
      <c r="J1441" s="29" t="s">
        <v>55</v>
      </c>
      <c r="K1441" s="30" t="s">
        <v>23</v>
      </c>
      <c r="L1441" s="31" t="str">
        <f>IFERROR(__xludf.DUMMYFUNCTION("IF(OR(E1441="""",K1441=""""),"""",IFERROR(IF(K1441="""","""",query('tbl user'!$A$2:$D10975,""SELECT A WHERE D = '""&amp;K1441&amp;""'"")),""USER TIDAK DIKETAHUI""))"),"#REF!")</f>
        <v>#REF!</v>
      </c>
    </row>
    <row r="1442">
      <c r="A1442" s="21">
        <f t="shared" si="1"/>
        <v>0</v>
      </c>
      <c r="B1442" s="32" t="s">
        <v>200</v>
      </c>
      <c r="C1442" s="23" t="s">
        <v>201</v>
      </c>
      <c r="D1442" s="23" t="s">
        <v>58</v>
      </c>
      <c r="E1442" s="24">
        <v>45417.0</v>
      </c>
      <c r="F1442" s="25">
        <v>0.20902777777777778</v>
      </c>
      <c r="G1442" s="25">
        <v>0.7208333333333333</v>
      </c>
      <c r="H1442" s="27">
        <f t="shared" si="2"/>
        <v>0.5118055556</v>
      </c>
      <c r="I1442" s="28">
        <v>5.0</v>
      </c>
      <c r="J1442" s="29" t="s">
        <v>55</v>
      </c>
      <c r="K1442" s="30" t="s">
        <v>23</v>
      </c>
      <c r="L1442" s="31" t="str">
        <f>IFERROR(__xludf.DUMMYFUNCTION("IF(OR(E1442="""",K1442=""""),"""",IFERROR(IF(K1442="""","""",query('tbl user'!$A$2:$D10975,""SELECT A WHERE D = '""&amp;K1442&amp;""'"")),""USER TIDAK DIKETAHUI""))"),"#REF!")</f>
        <v>#REF!</v>
      </c>
    </row>
    <row r="1443">
      <c r="A1443" s="21">
        <f t="shared" si="1"/>
        <v>0</v>
      </c>
      <c r="B1443" s="32" t="s">
        <v>246</v>
      </c>
      <c r="C1443" s="23" t="s">
        <v>99</v>
      </c>
      <c r="D1443" s="23" t="s">
        <v>21</v>
      </c>
      <c r="E1443" s="24">
        <v>45417.0</v>
      </c>
      <c r="F1443" s="25">
        <v>0.2652777777777778</v>
      </c>
      <c r="G1443" s="25">
        <v>0.6576388888888889</v>
      </c>
      <c r="H1443" s="27">
        <f t="shared" si="2"/>
        <v>0.3923611111</v>
      </c>
      <c r="I1443" s="28">
        <v>2.0</v>
      </c>
      <c r="J1443" s="29" t="s">
        <v>783</v>
      </c>
      <c r="K1443" s="30" t="s">
        <v>23</v>
      </c>
      <c r="L1443" s="31" t="str">
        <f>IFERROR(__xludf.DUMMYFUNCTION("IF(OR(E1443="""",K1443=""""),"""",IFERROR(IF(K1443="""","""",query('tbl user'!$A$2:$D10975,""SELECT A WHERE D = '""&amp;K1443&amp;""'"")),""USER TIDAK DIKETAHUI""))"),"#REF!")</f>
        <v>#REF!</v>
      </c>
    </row>
    <row r="1444">
      <c r="A1444" s="21">
        <f t="shared" si="1"/>
        <v>0</v>
      </c>
      <c r="B1444" s="32" t="s">
        <v>24</v>
      </c>
      <c r="C1444" s="23" t="s">
        <v>25</v>
      </c>
      <c r="D1444" s="23" t="s">
        <v>21</v>
      </c>
      <c r="E1444" s="24">
        <v>45417.0</v>
      </c>
      <c r="F1444" s="25">
        <v>0.29444444444444445</v>
      </c>
      <c r="G1444" s="25">
        <v>0.5</v>
      </c>
      <c r="H1444" s="27">
        <f t="shared" si="2"/>
        <v>0.2055555556</v>
      </c>
      <c r="I1444" s="28">
        <v>2.0</v>
      </c>
      <c r="J1444" s="29" t="s">
        <v>784</v>
      </c>
      <c r="K1444" s="30" t="s">
        <v>23</v>
      </c>
      <c r="L1444" s="31" t="str">
        <f>IFERROR(__xludf.DUMMYFUNCTION("IF(OR(E1444="""",K1444=""""),"""",IFERROR(IF(K1444="""","""",query('tbl user'!$A$2:$D10975,""SELECT A WHERE D = '""&amp;K1444&amp;""'"")),""USER TIDAK DIKETAHUI""))"),"#REF!")</f>
        <v>#REF!</v>
      </c>
    </row>
    <row r="1445">
      <c r="A1445" s="21">
        <f t="shared" si="1"/>
        <v>0</v>
      </c>
      <c r="B1445" s="32" t="s">
        <v>253</v>
      </c>
      <c r="C1445" s="23" t="s">
        <v>102</v>
      </c>
      <c r="D1445" s="23" t="s">
        <v>21</v>
      </c>
      <c r="E1445" s="24">
        <v>45417.0</v>
      </c>
      <c r="F1445" s="25">
        <v>0.2708333333333333</v>
      </c>
      <c r="G1445" s="25">
        <v>0.5770833333333333</v>
      </c>
      <c r="H1445" s="27">
        <f t="shared" si="2"/>
        <v>0.30625</v>
      </c>
      <c r="I1445" s="28">
        <v>3.0</v>
      </c>
      <c r="J1445" s="29" t="s">
        <v>785</v>
      </c>
      <c r="K1445" s="30" t="s">
        <v>23</v>
      </c>
      <c r="L1445" s="31" t="str">
        <f>IFERROR(__xludf.DUMMYFUNCTION("IF(OR(E1445="""",K1445=""""),"""",IFERROR(IF(K1445="""","""",query('tbl user'!$A$2:$D10975,""SELECT A WHERE D = '""&amp;K1445&amp;""'"")),""USER TIDAK DIKETAHUI""))"),"#REF!")</f>
        <v>#REF!</v>
      </c>
    </row>
    <row r="1446">
      <c r="A1446" s="21">
        <f t="shared" si="1"/>
        <v>0</v>
      </c>
      <c r="B1446" s="32" t="s">
        <v>209</v>
      </c>
      <c r="C1446" s="23" t="s">
        <v>234</v>
      </c>
      <c r="D1446" s="23" t="s">
        <v>21</v>
      </c>
      <c r="E1446" s="24">
        <v>45417.0</v>
      </c>
      <c r="F1446" s="25">
        <v>0.2625</v>
      </c>
      <c r="G1446" s="25">
        <v>0.7138888888888889</v>
      </c>
      <c r="H1446" s="27">
        <f t="shared" si="2"/>
        <v>0.4513888889</v>
      </c>
      <c r="I1446" s="28">
        <v>3.0</v>
      </c>
      <c r="J1446" s="29" t="s">
        <v>786</v>
      </c>
      <c r="K1446" s="30" t="s">
        <v>23</v>
      </c>
      <c r="L1446" s="31" t="str">
        <f>IFERROR(__xludf.DUMMYFUNCTION("IF(OR(E1446="""",K1446=""""),"""",IFERROR(IF(K1446="""","""",query('tbl user'!$A$2:$D10975,""SELECT A WHERE D = '""&amp;K1446&amp;""'"")),""USER TIDAK DIKETAHUI""))"),"#REF!")</f>
        <v>#REF!</v>
      </c>
    </row>
    <row r="1447">
      <c r="A1447" s="21">
        <f t="shared" si="1"/>
        <v>0</v>
      </c>
      <c r="B1447" s="32" t="s">
        <v>153</v>
      </c>
      <c r="C1447" s="23" t="s">
        <v>259</v>
      </c>
      <c r="D1447" s="23" t="s">
        <v>21</v>
      </c>
      <c r="E1447" s="24">
        <v>45417.0</v>
      </c>
      <c r="F1447" s="25">
        <v>0.2638888888888889</v>
      </c>
      <c r="G1447" s="25">
        <v>0.7076388888888889</v>
      </c>
      <c r="H1447" s="27">
        <f t="shared" si="2"/>
        <v>0.44375</v>
      </c>
      <c r="I1447" s="28">
        <v>3.0</v>
      </c>
      <c r="J1447" s="29" t="s">
        <v>787</v>
      </c>
      <c r="K1447" s="30" t="s">
        <v>23</v>
      </c>
      <c r="L1447" s="31" t="str">
        <f>IFERROR(__xludf.DUMMYFUNCTION("IF(OR(E1447="""",K1447=""""),"""",IFERROR(IF(K1447="""","""",query('tbl user'!$A$2:$D10975,""SELECT A WHERE D = '""&amp;K1447&amp;""'"")),""USER TIDAK DIKETAHUI""))"),"#REF!")</f>
        <v>#REF!</v>
      </c>
    </row>
    <row r="1448">
      <c r="A1448" s="21">
        <f t="shared" si="1"/>
        <v>0</v>
      </c>
      <c r="B1448" s="32" t="s">
        <v>225</v>
      </c>
      <c r="C1448" s="23" t="s">
        <v>239</v>
      </c>
      <c r="D1448" s="23" t="s">
        <v>21</v>
      </c>
      <c r="E1448" s="24">
        <v>45417.0</v>
      </c>
      <c r="F1448" s="25">
        <v>0.27291666666666664</v>
      </c>
      <c r="G1448" s="25">
        <v>0.6291666666666667</v>
      </c>
      <c r="H1448" s="27">
        <f t="shared" si="2"/>
        <v>0.35625</v>
      </c>
      <c r="I1448" s="28">
        <v>4.0</v>
      </c>
      <c r="J1448" s="29" t="s">
        <v>788</v>
      </c>
      <c r="K1448" s="30" t="s">
        <v>23</v>
      </c>
      <c r="L1448" s="31" t="str">
        <f>IFERROR(__xludf.DUMMYFUNCTION("IF(OR(E1448="""",K1448=""""),"""",IFERROR(IF(K1448="""","""",query('tbl user'!$A$2:$D10975,""SELECT A WHERE D = '""&amp;K1448&amp;""'"")),""USER TIDAK DIKETAHUI""))"),"#REF!")</f>
        <v>#REF!</v>
      </c>
    </row>
    <row r="1449">
      <c r="A1449" s="21">
        <f t="shared" si="1"/>
        <v>0</v>
      </c>
      <c r="B1449" s="32" t="s">
        <v>34</v>
      </c>
      <c r="C1449" s="23" t="s">
        <v>35</v>
      </c>
      <c r="D1449" s="23" t="s">
        <v>21</v>
      </c>
      <c r="E1449" s="24">
        <v>45417.0</v>
      </c>
      <c r="F1449" s="25">
        <v>0.2986111111111111</v>
      </c>
      <c r="G1449" s="25">
        <v>0.7194444444444444</v>
      </c>
      <c r="H1449" s="27">
        <f t="shared" si="2"/>
        <v>0.4208333333</v>
      </c>
      <c r="I1449" s="28">
        <v>5.0</v>
      </c>
      <c r="J1449" s="29" t="s">
        <v>55</v>
      </c>
      <c r="K1449" s="30" t="s">
        <v>23</v>
      </c>
      <c r="L1449" s="31" t="str">
        <f>IFERROR(__xludf.DUMMYFUNCTION("IF(OR(E1449="""",K1449=""""),"""",IFERROR(IF(K1449="""","""",query('tbl user'!$A$2:$D10975,""SELECT A WHERE D = '""&amp;K1449&amp;""'"")),""USER TIDAK DIKETAHUI""))"),"#REF!")</f>
        <v>#REF!</v>
      </c>
    </row>
    <row r="1450">
      <c r="A1450" s="21">
        <f t="shared" si="1"/>
        <v>0</v>
      </c>
      <c r="B1450" s="32" t="s">
        <v>243</v>
      </c>
      <c r="C1450" s="23" t="s">
        <v>244</v>
      </c>
      <c r="D1450" s="23" t="s">
        <v>21</v>
      </c>
      <c r="E1450" s="24">
        <v>45417.0</v>
      </c>
      <c r="F1450" s="25">
        <v>0.2923611111111111</v>
      </c>
      <c r="G1450" s="25">
        <v>0.7347222222222223</v>
      </c>
      <c r="H1450" s="27">
        <f t="shared" si="2"/>
        <v>0.4423611111</v>
      </c>
      <c r="I1450" s="28">
        <v>5.0</v>
      </c>
      <c r="J1450" s="29" t="s">
        <v>55</v>
      </c>
      <c r="K1450" s="30" t="s">
        <v>23</v>
      </c>
      <c r="L1450" s="31" t="str">
        <f>IFERROR(__xludf.DUMMYFUNCTION("IF(OR(E1450="""",K1450=""""),"""",IFERROR(IF(K1450="""","""",query('tbl user'!$A$2:$D10975,""SELECT A WHERE D = '""&amp;K1450&amp;""'"")),""USER TIDAK DIKETAHUI""))"),"#REF!")</f>
        <v>#REF!</v>
      </c>
    </row>
    <row r="1451">
      <c r="A1451" s="21">
        <f t="shared" si="1"/>
        <v>0</v>
      </c>
      <c r="B1451" s="32" t="s">
        <v>305</v>
      </c>
      <c r="C1451" s="23" t="s">
        <v>251</v>
      </c>
      <c r="D1451" s="23" t="s">
        <v>21</v>
      </c>
      <c r="E1451" s="24">
        <v>45417.0</v>
      </c>
      <c r="F1451" s="25">
        <v>0.24166666666666667</v>
      </c>
      <c r="G1451" s="25">
        <v>0.6666666666666666</v>
      </c>
      <c r="H1451" s="27">
        <f t="shared" si="2"/>
        <v>0.425</v>
      </c>
      <c r="I1451" s="28">
        <v>5.0</v>
      </c>
      <c r="J1451" s="29" t="s">
        <v>55</v>
      </c>
      <c r="K1451" s="30" t="s">
        <v>23</v>
      </c>
      <c r="L1451" s="31" t="str">
        <f>IFERROR(__xludf.DUMMYFUNCTION("IF(OR(E1451="""",K1451=""""),"""",IFERROR(IF(K1451="""","""",query('tbl user'!$A$2:$D10975,""SELECT A WHERE D = '""&amp;K1451&amp;""'"")),""USER TIDAK DIKETAHUI""))"),"#REF!")</f>
        <v>#REF!</v>
      </c>
    </row>
    <row r="1452">
      <c r="A1452" s="21">
        <f t="shared" si="1"/>
        <v>0</v>
      </c>
      <c r="B1452" s="32" t="s">
        <v>255</v>
      </c>
      <c r="C1452" s="23" t="s">
        <v>256</v>
      </c>
      <c r="D1452" s="23" t="s">
        <v>21</v>
      </c>
      <c r="E1452" s="24">
        <v>45417.0</v>
      </c>
      <c r="F1452" s="25">
        <v>0.2659722222222222</v>
      </c>
      <c r="G1452" s="25">
        <v>0.6923611111111111</v>
      </c>
      <c r="H1452" s="27">
        <f t="shared" si="2"/>
        <v>0.4263888889</v>
      </c>
      <c r="I1452" s="28">
        <v>5.0</v>
      </c>
      <c r="J1452" s="29" t="s">
        <v>55</v>
      </c>
      <c r="K1452" s="30" t="s">
        <v>23</v>
      </c>
      <c r="L1452" s="31" t="str">
        <f>IFERROR(__xludf.DUMMYFUNCTION("IF(OR(E1452="""",K1452=""""),"""",IFERROR(IF(K1452="""","""",query('tbl user'!$A$2:$D10975,""SELECT A WHERE D = '""&amp;K1452&amp;""'"")),""USER TIDAK DIKETAHUI""))"),"#REF!")</f>
        <v>#REF!</v>
      </c>
    </row>
    <row r="1453">
      <c r="A1453" s="21">
        <f t="shared" si="1"/>
        <v>0</v>
      </c>
      <c r="B1453" s="32" t="s">
        <v>81</v>
      </c>
      <c r="C1453" s="23" t="s">
        <v>261</v>
      </c>
      <c r="D1453" s="23" t="s">
        <v>21</v>
      </c>
      <c r="E1453" s="24">
        <v>45417.0</v>
      </c>
      <c r="F1453" s="25">
        <v>0.23958333333333334</v>
      </c>
      <c r="G1453" s="25">
        <v>0.6736111111111112</v>
      </c>
      <c r="H1453" s="27">
        <f t="shared" si="2"/>
        <v>0.4340277778</v>
      </c>
      <c r="I1453" s="28">
        <v>5.0</v>
      </c>
      <c r="J1453" s="29" t="s">
        <v>55</v>
      </c>
      <c r="K1453" s="30" t="s">
        <v>23</v>
      </c>
      <c r="L1453" s="31" t="str">
        <f>IFERROR(__xludf.DUMMYFUNCTION("IF(OR(E1453="""",K1453=""""),"""",IFERROR(IF(K1453="""","""",query('tbl user'!$A$2:$D10975,""SELECT A WHERE D = '""&amp;K1453&amp;""'"")),""USER TIDAK DIKETAHUI""))"),"#REF!")</f>
        <v>#REF!</v>
      </c>
    </row>
    <row r="1454">
      <c r="A1454" s="21">
        <f t="shared" si="1"/>
        <v>0</v>
      </c>
      <c r="B1454" s="32" t="s">
        <v>593</v>
      </c>
      <c r="C1454" s="23" t="s">
        <v>236</v>
      </c>
      <c r="D1454" s="23" t="s">
        <v>21</v>
      </c>
      <c r="E1454" s="24">
        <v>45417.0</v>
      </c>
      <c r="F1454" s="25">
        <v>0.23333333333333334</v>
      </c>
      <c r="G1454" s="25">
        <v>0.7534722222222222</v>
      </c>
      <c r="H1454" s="27">
        <f t="shared" si="2"/>
        <v>0.5201388889</v>
      </c>
      <c r="I1454" s="28">
        <v>6.0</v>
      </c>
      <c r="J1454" s="29" t="s">
        <v>55</v>
      </c>
      <c r="K1454" s="30" t="s">
        <v>23</v>
      </c>
      <c r="L1454" s="31" t="str">
        <f>IFERROR(__xludf.DUMMYFUNCTION("IF(OR(E1454="""",K1454=""""),"""",IFERROR(IF(K1454="""","""",query('tbl user'!$A$2:$D10975,""SELECT A WHERE D = '""&amp;K1454&amp;""'"")),""USER TIDAK DIKETAHUI""))"),"#REF!")</f>
        <v>#REF!</v>
      </c>
    </row>
    <row r="1455">
      <c r="A1455" s="21">
        <f t="shared" si="1"/>
        <v>0</v>
      </c>
      <c r="B1455" s="32" t="s">
        <v>110</v>
      </c>
      <c r="C1455" s="23" t="s">
        <v>27</v>
      </c>
      <c r="D1455" s="23" t="s">
        <v>21</v>
      </c>
      <c r="E1455" s="24">
        <v>45417.0</v>
      </c>
      <c r="F1455" s="25">
        <v>0.2847222222222222</v>
      </c>
      <c r="G1455" s="25">
        <v>0.41388888888888886</v>
      </c>
      <c r="H1455" s="27">
        <f t="shared" si="2"/>
        <v>0.1291666667</v>
      </c>
      <c r="I1455" s="28">
        <v>1.0</v>
      </c>
      <c r="J1455" s="29" t="s">
        <v>789</v>
      </c>
      <c r="K1455" s="30" t="s">
        <v>23</v>
      </c>
      <c r="L1455" s="31" t="str">
        <f>IFERROR(__xludf.DUMMYFUNCTION("IF(OR(E1455="""",K1455=""""),"""",IFERROR(IF(K1455="""","""",query('tbl user'!$A$2:$D10975,""SELECT A WHERE D = '""&amp;K1455&amp;""'"")),""USER TIDAK DIKETAHUI""))"),"#REF!")</f>
        <v>#REF!</v>
      </c>
    </row>
    <row r="1456">
      <c r="A1456" s="21">
        <f t="shared" si="1"/>
        <v>0</v>
      </c>
      <c r="B1456" s="32" t="s">
        <v>286</v>
      </c>
      <c r="C1456" s="23" t="s">
        <v>287</v>
      </c>
      <c r="D1456" s="23" t="s">
        <v>21</v>
      </c>
      <c r="E1456" s="24">
        <v>45417.0</v>
      </c>
      <c r="F1456" s="25">
        <v>0.2590277777777778</v>
      </c>
      <c r="G1456" s="25">
        <v>0.38472222222222224</v>
      </c>
      <c r="H1456" s="27">
        <f t="shared" si="2"/>
        <v>0.1256944444</v>
      </c>
      <c r="I1456" s="28">
        <v>1.0</v>
      </c>
      <c r="J1456" s="29" t="s">
        <v>790</v>
      </c>
      <c r="K1456" s="30" t="s">
        <v>23</v>
      </c>
      <c r="L1456" s="31" t="str">
        <f>IFERROR(__xludf.DUMMYFUNCTION("IF(OR(E1456="""",K1456=""""),"""",IFERROR(IF(K1456="""","""",query('tbl user'!$A$2:$D10975,""SELECT A WHERE D = '""&amp;K1456&amp;""'"")),""USER TIDAK DIKETAHUI""))"),"#REF!")</f>
        <v>#REF!</v>
      </c>
    </row>
    <row r="1457">
      <c r="A1457" s="21">
        <f t="shared" si="1"/>
        <v>0</v>
      </c>
      <c r="B1457" s="32" t="s">
        <v>61</v>
      </c>
      <c r="C1457" s="23" t="s">
        <v>62</v>
      </c>
      <c r="D1457" s="23" t="s">
        <v>21</v>
      </c>
      <c r="E1457" s="24">
        <v>45417.0</v>
      </c>
      <c r="F1457" s="25">
        <v>0.24722222222222223</v>
      </c>
      <c r="G1457" s="25">
        <v>0.6152777777777778</v>
      </c>
      <c r="H1457" s="27">
        <f t="shared" si="2"/>
        <v>0.3680555556</v>
      </c>
      <c r="I1457" s="28">
        <v>3.0</v>
      </c>
      <c r="J1457" s="29" t="s">
        <v>791</v>
      </c>
      <c r="K1457" s="30" t="s">
        <v>23</v>
      </c>
      <c r="L1457" s="31" t="str">
        <f>IFERROR(__xludf.DUMMYFUNCTION("IF(OR(E1457="""",K1457=""""),"""",IFERROR(IF(K1457="""","""",query('tbl user'!$A$2:$D10975,""SELECT A WHERE D = '""&amp;K1457&amp;""'"")),""USER TIDAK DIKETAHUI""))"),"#REF!")</f>
        <v>#REF!</v>
      </c>
    </row>
    <row r="1458">
      <c r="A1458" s="21">
        <f t="shared" si="1"/>
        <v>0</v>
      </c>
      <c r="B1458" s="32" t="s">
        <v>64</v>
      </c>
      <c r="C1458" s="23" t="s">
        <v>65</v>
      </c>
      <c r="D1458" s="23" t="s">
        <v>21</v>
      </c>
      <c r="E1458" s="24">
        <v>45417.0</v>
      </c>
      <c r="F1458" s="25">
        <v>0.3229166666666667</v>
      </c>
      <c r="G1458" s="25">
        <v>0.6756944444444445</v>
      </c>
      <c r="H1458" s="27">
        <f t="shared" si="2"/>
        <v>0.3527777778</v>
      </c>
      <c r="I1458" s="28">
        <v>3.0</v>
      </c>
      <c r="J1458" s="29" t="s">
        <v>792</v>
      </c>
      <c r="K1458" s="30" t="s">
        <v>23</v>
      </c>
      <c r="L1458" s="31" t="str">
        <f>IFERROR(__xludf.DUMMYFUNCTION("IF(OR(E1458="""",K1458=""""),"""",IFERROR(IF(K1458="""","""",query('tbl user'!$A$2:$D10975,""SELECT A WHERE D = '""&amp;K1458&amp;""'"")),""USER TIDAK DIKETAHUI""))"),"#REF!")</f>
        <v>#REF!</v>
      </c>
    </row>
    <row r="1459">
      <c r="A1459" s="21">
        <f t="shared" si="1"/>
        <v>0</v>
      </c>
      <c r="B1459" s="32" t="s">
        <v>159</v>
      </c>
      <c r="C1459" s="23" t="s">
        <v>38</v>
      </c>
      <c r="D1459" s="23" t="s">
        <v>21</v>
      </c>
      <c r="E1459" s="24">
        <v>45417.0</v>
      </c>
      <c r="F1459" s="25">
        <v>0.2923611111111111</v>
      </c>
      <c r="G1459" s="25">
        <v>0.7347222222222223</v>
      </c>
      <c r="H1459" s="27">
        <f t="shared" si="2"/>
        <v>0.4423611111</v>
      </c>
      <c r="I1459" s="28">
        <v>4.0</v>
      </c>
      <c r="J1459" s="29" t="s">
        <v>55</v>
      </c>
      <c r="K1459" s="30" t="s">
        <v>23</v>
      </c>
      <c r="L1459" s="31" t="str">
        <f>IFERROR(__xludf.DUMMYFUNCTION("IF(OR(E1459="""",K1459=""""),"""",IFERROR(IF(K1459="""","""",query('tbl user'!$A$2:$D10975,""SELECT A WHERE D = '""&amp;K1459&amp;""'"")),""USER TIDAK DIKETAHUI""))"),"#REF!")</f>
        <v>#REF!</v>
      </c>
    </row>
    <row r="1460">
      <c r="A1460" s="21">
        <f t="shared" si="1"/>
        <v>0</v>
      </c>
      <c r="B1460" s="32" t="s">
        <v>281</v>
      </c>
      <c r="C1460" s="23" t="s">
        <v>282</v>
      </c>
      <c r="D1460" s="23" t="s">
        <v>21</v>
      </c>
      <c r="E1460" s="24">
        <v>45417.0</v>
      </c>
      <c r="F1460" s="25">
        <v>0.26319444444444445</v>
      </c>
      <c r="G1460" s="25">
        <v>0.6826388888888889</v>
      </c>
      <c r="H1460" s="27">
        <f t="shared" si="2"/>
        <v>0.4194444444</v>
      </c>
      <c r="I1460" s="28">
        <v>4.0</v>
      </c>
      <c r="J1460" s="29" t="s">
        <v>55</v>
      </c>
      <c r="K1460" s="30" t="s">
        <v>23</v>
      </c>
      <c r="L1460" s="31" t="str">
        <f>IFERROR(__xludf.DUMMYFUNCTION("IF(OR(E1460="""",K1460=""""),"""",IFERROR(IF(K1460="""","""",query('tbl user'!$A$2:$D10975,""SELECT A WHERE D = '""&amp;K1460&amp;""'"")),""USER TIDAK DIKETAHUI""))"),"#REF!")</f>
        <v>#REF!</v>
      </c>
    </row>
    <row r="1461">
      <c r="A1461" s="21">
        <f t="shared" si="1"/>
        <v>0</v>
      </c>
      <c r="B1461" s="32" t="s">
        <v>289</v>
      </c>
      <c r="C1461" s="23" t="s">
        <v>290</v>
      </c>
      <c r="D1461" s="23" t="s">
        <v>21</v>
      </c>
      <c r="E1461" s="24">
        <v>45417.0</v>
      </c>
      <c r="F1461" s="25">
        <v>0.2902777777777778</v>
      </c>
      <c r="G1461" s="25">
        <v>0.7229166666666667</v>
      </c>
      <c r="H1461" s="27">
        <f t="shared" si="2"/>
        <v>0.4326388889</v>
      </c>
      <c r="I1461" s="28">
        <v>4.0</v>
      </c>
      <c r="J1461" s="29" t="s">
        <v>55</v>
      </c>
      <c r="K1461" s="30" t="s">
        <v>23</v>
      </c>
      <c r="L1461" s="31" t="str">
        <f>IFERROR(__xludf.DUMMYFUNCTION("IF(OR(E1461="""",K1461=""""),"""",IFERROR(IF(K1461="""","""",query('tbl user'!$A$2:$D10975,""SELECT A WHERE D = '""&amp;K1461&amp;""'"")),""USER TIDAK DIKETAHUI""))"),"#REF!")</f>
        <v>#REF!</v>
      </c>
    </row>
    <row r="1462">
      <c r="A1462" s="21">
        <f t="shared" si="1"/>
        <v>0</v>
      </c>
      <c r="B1462" s="32" t="s">
        <v>229</v>
      </c>
      <c r="C1462" s="23" t="s">
        <v>334</v>
      </c>
      <c r="D1462" s="23" t="s">
        <v>21</v>
      </c>
      <c r="E1462" s="24">
        <v>45417.0</v>
      </c>
      <c r="F1462" s="25">
        <v>0.3125</v>
      </c>
      <c r="G1462" s="25">
        <v>0.44375</v>
      </c>
      <c r="H1462" s="27">
        <f t="shared" si="2"/>
        <v>0.13125</v>
      </c>
      <c r="I1462" s="28">
        <v>1.0</v>
      </c>
      <c r="J1462" s="29" t="s">
        <v>793</v>
      </c>
      <c r="K1462" s="30" t="s">
        <v>23</v>
      </c>
      <c r="L1462" s="31" t="str">
        <f>IFERROR(__xludf.DUMMYFUNCTION("IF(OR(E1462="""",K1462=""""),"""",IFERROR(IF(K1462="""","""",query('tbl user'!$A$2:$D10975,""SELECT A WHERE D = '""&amp;K1462&amp;""'"")),""USER TIDAK DIKETAHUI""))"),"#REF!")</f>
        <v>#REF!</v>
      </c>
    </row>
    <row r="1463">
      <c r="A1463" s="21">
        <f t="shared" si="1"/>
        <v>0</v>
      </c>
      <c r="B1463" s="32" t="s">
        <v>331</v>
      </c>
      <c r="C1463" s="23" t="s">
        <v>332</v>
      </c>
      <c r="D1463" s="23" t="s">
        <v>21</v>
      </c>
      <c r="E1463" s="24">
        <v>45417.0</v>
      </c>
      <c r="F1463" s="25">
        <v>0.21041666666666667</v>
      </c>
      <c r="G1463" s="25">
        <v>0.6631944444444444</v>
      </c>
      <c r="H1463" s="27">
        <f t="shared" si="2"/>
        <v>0.4527777778</v>
      </c>
      <c r="I1463" s="28">
        <v>3.0</v>
      </c>
      <c r="J1463" s="29" t="s">
        <v>794</v>
      </c>
      <c r="K1463" s="30" t="s">
        <v>23</v>
      </c>
      <c r="L1463" s="31" t="str">
        <f>IFERROR(__xludf.DUMMYFUNCTION("IF(OR(E1463="""",K1463=""""),"""",IFERROR(IF(K1463="""","""",query('tbl user'!$A$2:$D10975,""SELECT A WHERE D = '""&amp;K1463&amp;""'"")),""USER TIDAK DIKETAHUI""))"),"#REF!")</f>
        <v>#REF!</v>
      </c>
    </row>
    <row r="1464">
      <c r="A1464" s="21">
        <f t="shared" si="1"/>
        <v>0</v>
      </c>
      <c r="B1464" s="32" t="s">
        <v>325</v>
      </c>
      <c r="C1464" s="23" t="s">
        <v>326</v>
      </c>
      <c r="D1464" s="23" t="s">
        <v>21</v>
      </c>
      <c r="E1464" s="24">
        <v>45417.0</v>
      </c>
      <c r="F1464" s="25">
        <v>0.24027777777777778</v>
      </c>
      <c r="G1464" s="25">
        <v>0.49722222222222223</v>
      </c>
      <c r="H1464" s="27">
        <f t="shared" si="2"/>
        <v>0.2569444444</v>
      </c>
      <c r="I1464" s="28">
        <v>3.0</v>
      </c>
      <c r="J1464" s="29" t="s">
        <v>795</v>
      </c>
      <c r="K1464" s="30" t="s">
        <v>23</v>
      </c>
      <c r="L1464" s="31" t="str">
        <f>IFERROR(__xludf.DUMMYFUNCTION("IF(OR(E1464="""",K1464=""""),"""",IFERROR(IF(K1464="""","""",query('tbl user'!$A$2:$D10975,""SELECT A WHERE D = '""&amp;K1464&amp;""'"")),""USER TIDAK DIKETAHUI""))"),"#REF!")</f>
        <v>#REF!</v>
      </c>
    </row>
    <row r="1465">
      <c r="A1465" s="21">
        <f t="shared" si="1"/>
        <v>0</v>
      </c>
      <c r="B1465" s="32" t="s">
        <v>101</v>
      </c>
      <c r="C1465" s="23" t="s">
        <v>336</v>
      </c>
      <c r="D1465" s="23" t="s">
        <v>21</v>
      </c>
      <c r="E1465" s="24">
        <v>45417.0</v>
      </c>
      <c r="F1465" s="25">
        <v>0.3736111111111111</v>
      </c>
      <c r="G1465" s="25">
        <v>0.73125</v>
      </c>
      <c r="H1465" s="27">
        <f t="shared" si="2"/>
        <v>0.3576388889</v>
      </c>
      <c r="I1465" s="28">
        <v>4.0</v>
      </c>
      <c r="J1465" s="29" t="s">
        <v>796</v>
      </c>
      <c r="K1465" s="30" t="s">
        <v>23</v>
      </c>
      <c r="L1465" s="31" t="str">
        <f>IFERROR(__xludf.DUMMYFUNCTION("IF(OR(E1465="""",K1465=""""),"""",IFERROR(IF(K1465="""","""",query('tbl user'!$A$2:$D10975,""SELECT A WHERE D = '""&amp;K1465&amp;""'"")),""USER TIDAK DIKETAHUI""))"),"#REF!")</f>
        <v>#REF!</v>
      </c>
    </row>
    <row r="1466">
      <c r="A1466" s="21">
        <f t="shared" si="1"/>
        <v>0</v>
      </c>
      <c r="B1466" s="32" t="s">
        <v>53</v>
      </c>
      <c r="C1466" s="23" t="s">
        <v>54</v>
      </c>
      <c r="D1466" s="23" t="s">
        <v>21</v>
      </c>
      <c r="E1466" s="24">
        <v>45417.0</v>
      </c>
      <c r="F1466" s="25">
        <v>0.2375</v>
      </c>
      <c r="G1466" s="25">
        <v>0.5798611111111112</v>
      </c>
      <c r="H1466" s="27">
        <f t="shared" si="2"/>
        <v>0.3423611111</v>
      </c>
      <c r="I1466" s="28">
        <v>4.0</v>
      </c>
      <c r="J1466" s="29" t="s">
        <v>393</v>
      </c>
      <c r="K1466" s="30" t="s">
        <v>23</v>
      </c>
      <c r="L1466" s="31" t="str">
        <f>IFERROR(__xludf.DUMMYFUNCTION("IF(OR(E1466="""",K1466=""""),"""",IFERROR(IF(K1466="""","""",query('tbl user'!$A$2:$D10975,""SELECT A WHERE D = '""&amp;K1466&amp;""'"")),""USER TIDAK DIKETAHUI""))"),"#REF!")</f>
        <v>#REF!</v>
      </c>
    </row>
    <row r="1467">
      <c r="A1467" s="21">
        <f t="shared" si="1"/>
        <v>0</v>
      </c>
      <c r="B1467" s="32" t="s">
        <v>131</v>
      </c>
      <c r="C1467" s="23" t="s">
        <v>339</v>
      </c>
      <c r="D1467" s="23" t="s">
        <v>21</v>
      </c>
      <c r="E1467" s="24">
        <v>45417.0</v>
      </c>
      <c r="F1467" s="25">
        <v>0.2763888888888889</v>
      </c>
      <c r="G1467" s="25">
        <v>0.6763888888888889</v>
      </c>
      <c r="H1467" s="27">
        <f t="shared" si="2"/>
        <v>0.4</v>
      </c>
      <c r="I1467" s="28">
        <v>5.0</v>
      </c>
      <c r="J1467" s="29" t="s">
        <v>55</v>
      </c>
      <c r="K1467" s="30" t="s">
        <v>23</v>
      </c>
      <c r="L1467" s="31" t="str">
        <f>IFERROR(__xludf.DUMMYFUNCTION("IF(OR(E1467="""",K1467=""""),"""",IFERROR(IF(K1467="""","""",query('tbl user'!$A$2:$D10975,""SELECT A WHERE D = '""&amp;K1467&amp;""'"")),""USER TIDAK DIKETAHUI""))"),"#REF!")</f>
        <v>#REF!</v>
      </c>
    </row>
    <row r="1468">
      <c r="A1468" s="21">
        <f t="shared" si="1"/>
        <v>0</v>
      </c>
      <c r="B1468" s="32" t="s">
        <v>87</v>
      </c>
      <c r="C1468" s="23" t="s">
        <v>88</v>
      </c>
      <c r="D1468" s="23" t="s">
        <v>21</v>
      </c>
      <c r="E1468" s="24">
        <v>45417.0</v>
      </c>
      <c r="F1468" s="25">
        <v>0.24305555555555555</v>
      </c>
      <c r="G1468" s="25">
        <v>0.6659722222222222</v>
      </c>
      <c r="H1468" s="27">
        <f t="shared" si="2"/>
        <v>0.4229166667</v>
      </c>
      <c r="I1468" s="28">
        <v>5.0</v>
      </c>
      <c r="J1468" s="29" t="s">
        <v>55</v>
      </c>
      <c r="K1468" s="30" t="s">
        <v>23</v>
      </c>
      <c r="L1468" s="31" t="str">
        <f>IFERROR(__xludf.DUMMYFUNCTION("IF(OR(E1468="""",K1468=""""),"""",IFERROR(IF(K1468="""","""",query('tbl user'!$A$2:$D10975,""SELECT A WHERE D = '""&amp;K1468&amp;""'"")),""USER TIDAK DIKETAHUI""))"),"#REF!")</f>
        <v>#REF!</v>
      </c>
    </row>
    <row r="1469">
      <c r="A1469" s="21">
        <f t="shared" si="1"/>
        <v>0</v>
      </c>
      <c r="B1469" s="32" t="s">
        <v>319</v>
      </c>
      <c r="C1469" s="23" t="s">
        <v>320</v>
      </c>
      <c r="D1469" s="23" t="s">
        <v>21</v>
      </c>
      <c r="E1469" s="24">
        <v>45417.0</v>
      </c>
      <c r="F1469" s="25">
        <v>0.2534722222222222</v>
      </c>
      <c r="G1469" s="25">
        <v>0.6569444444444444</v>
      </c>
      <c r="H1469" s="27">
        <f t="shared" si="2"/>
        <v>0.4034722222</v>
      </c>
      <c r="I1469" s="28">
        <v>5.0</v>
      </c>
      <c r="J1469" s="29" t="s">
        <v>55</v>
      </c>
      <c r="K1469" s="30" t="s">
        <v>23</v>
      </c>
      <c r="L1469" s="31" t="str">
        <f>IFERROR(__xludf.DUMMYFUNCTION("IF(OR(E1469="""",K1469=""""),"""",IFERROR(IF(K1469="""","""",query('tbl user'!$A$2:$D10975,""SELECT A WHERE D = '""&amp;K1469&amp;""'"")),""USER TIDAK DIKETAHUI""))"),"#REF!")</f>
        <v>#REF!</v>
      </c>
    </row>
    <row r="1470">
      <c r="A1470" s="21">
        <f t="shared" si="1"/>
        <v>0</v>
      </c>
      <c r="B1470" s="32" t="s">
        <v>577</v>
      </c>
      <c r="C1470" s="23" t="s">
        <v>330</v>
      </c>
      <c r="D1470" s="23" t="s">
        <v>21</v>
      </c>
      <c r="E1470" s="24">
        <v>45417.0</v>
      </c>
      <c r="F1470" s="25">
        <v>0.2590277777777778</v>
      </c>
      <c r="G1470" s="25">
        <v>0.7006944444444444</v>
      </c>
      <c r="H1470" s="27">
        <f t="shared" si="2"/>
        <v>0.4416666667</v>
      </c>
      <c r="I1470" s="28">
        <v>5.0</v>
      </c>
      <c r="J1470" s="29" t="s">
        <v>55</v>
      </c>
      <c r="K1470" s="30" t="s">
        <v>23</v>
      </c>
      <c r="L1470" s="31" t="str">
        <f>IFERROR(__xludf.DUMMYFUNCTION("IF(OR(E1470="""",K1470=""""),"""",IFERROR(IF(K1470="""","""",query('tbl user'!$A$2:$D10975,""SELECT A WHERE D = '""&amp;K1470&amp;""'"")),""USER TIDAK DIKETAHUI""))"),"#REF!")</f>
        <v>#REF!</v>
      </c>
    </row>
    <row r="1471">
      <c r="A1471" s="21">
        <f t="shared" si="1"/>
        <v>0</v>
      </c>
      <c r="B1471" s="32" t="s">
        <v>337</v>
      </c>
      <c r="C1471" s="23" t="s">
        <v>338</v>
      </c>
      <c r="D1471" s="23" t="s">
        <v>21</v>
      </c>
      <c r="E1471" s="24">
        <v>45417.0</v>
      </c>
      <c r="F1471" s="25">
        <v>0.2826388888888889</v>
      </c>
      <c r="G1471" s="25">
        <v>0.7208333333333333</v>
      </c>
      <c r="H1471" s="27">
        <f t="shared" si="2"/>
        <v>0.4381944444</v>
      </c>
      <c r="I1471" s="28">
        <v>5.0</v>
      </c>
      <c r="J1471" s="29" t="s">
        <v>55</v>
      </c>
      <c r="K1471" s="30" t="s">
        <v>23</v>
      </c>
      <c r="L1471" s="31" t="str">
        <f>IFERROR(__xludf.DUMMYFUNCTION("IF(OR(E1471="""",K1471=""""),"""",IFERROR(IF(K1471="""","""",query('tbl user'!$A$2:$D10975,""SELECT A WHERE D = '""&amp;K1471&amp;""'"")),""USER TIDAK DIKETAHUI""))"),"#REF!")</f>
        <v>#REF!</v>
      </c>
    </row>
    <row r="1472">
      <c r="A1472" s="21">
        <f t="shared" si="1"/>
        <v>0</v>
      </c>
      <c r="B1472" s="32" t="s">
        <v>601</v>
      </c>
      <c r="C1472" s="23" t="s">
        <v>323</v>
      </c>
      <c r="D1472" s="23" t="s">
        <v>21</v>
      </c>
      <c r="E1472" s="24">
        <v>45417.0</v>
      </c>
      <c r="F1472" s="25">
        <v>0.25833333333333336</v>
      </c>
      <c r="G1472" s="25">
        <v>0.7222222222222222</v>
      </c>
      <c r="H1472" s="27">
        <f t="shared" si="2"/>
        <v>0.4638888889</v>
      </c>
      <c r="I1472" s="28">
        <v>5.0</v>
      </c>
      <c r="J1472" s="29" t="s">
        <v>55</v>
      </c>
      <c r="K1472" s="30" t="s">
        <v>23</v>
      </c>
      <c r="L1472" s="31" t="str">
        <f>IFERROR(__xludf.DUMMYFUNCTION("IF(OR(E1472="""",K1472=""""),"""",IFERROR(IF(K1472="""","""",query('tbl user'!$A$2:$D10975,""SELECT A WHERE D = '""&amp;K1472&amp;""'"")),""USER TIDAK DIKETAHUI""))"),"#REF!")</f>
        <v>#REF!</v>
      </c>
    </row>
    <row r="1473">
      <c r="A1473" s="21">
        <f t="shared" si="1"/>
        <v>0</v>
      </c>
      <c r="B1473" s="32" t="s">
        <v>716</v>
      </c>
      <c r="C1473" s="23" t="s">
        <v>316</v>
      </c>
      <c r="D1473" s="23" t="s">
        <v>21</v>
      </c>
      <c r="E1473" s="24">
        <v>45417.0</v>
      </c>
      <c r="F1473" s="25">
        <v>0.2743055555555556</v>
      </c>
      <c r="G1473" s="25">
        <v>0.7555555555555555</v>
      </c>
      <c r="H1473" s="27">
        <f t="shared" si="2"/>
        <v>0.48125</v>
      </c>
      <c r="I1473" s="28">
        <v>6.0</v>
      </c>
      <c r="J1473" s="29" t="s">
        <v>55</v>
      </c>
      <c r="K1473" s="30" t="s">
        <v>23</v>
      </c>
      <c r="L1473" s="31" t="str">
        <f>IFERROR(__xludf.DUMMYFUNCTION("IF(OR(E1473="""",K1473=""""),"""",IFERROR(IF(K1473="""","""",query('tbl user'!$A$2:$D10975,""SELECT A WHERE D = '""&amp;K1473&amp;""'"")),""USER TIDAK DIKETAHUI""))"),"#REF!")</f>
        <v>#REF!</v>
      </c>
    </row>
    <row r="1474">
      <c r="A1474" s="21">
        <f t="shared" si="1"/>
        <v>0</v>
      </c>
      <c r="B1474" s="32" t="s">
        <v>167</v>
      </c>
      <c r="C1474" s="23" t="s">
        <v>168</v>
      </c>
      <c r="D1474" s="23" t="s">
        <v>58</v>
      </c>
      <c r="E1474" s="24">
        <v>45418.0</v>
      </c>
      <c r="F1474" s="25">
        <v>0.3020833333333333</v>
      </c>
      <c r="G1474" s="25">
        <v>0.4326388888888889</v>
      </c>
      <c r="H1474" s="27">
        <f t="shared" si="2"/>
        <v>0.1305555556</v>
      </c>
      <c r="I1474" s="28">
        <v>1.0</v>
      </c>
      <c r="J1474" s="29" t="s">
        <v>797</v>
      </c>
      <c r="K1474" s="30" t="s">
        <v>23</v>
      </c>
      <c r="L1474" s="31" t="str">
        <f>IFERROR(__xludf.DUMMYFUNCTION("IF(OR(E1474="""",K1474=""""),"""",IFERROR(IF(K1474="""","""",query('tbl user'!$A$2:$D10975,""SELECT A WHERE D = '""&amp;K1474&amp;""'"")),""USER TIDAK DIKETAHUI""))"),"#REF!")</f>
        <v>#REF!</v>
      </c>
    </row>
    <row r="1475">
      <c r="A1475" s="21">
        <f t="shared" si="1"/>
        <v>0</v>
      </c>
      <c r="B1475" s="32" t="s">
        <v>127</v>
      </c>
      <c r="C1475" s="23" t="s">
        <v>176</v>
      </c>
      <c r="D1475" s="23" t="s">
        <v>58</v>
      </c>
      <c r="E1475" s="24">
        <v>45418.0</v>
      </c>
      <c r="F1475" s="25">
        <v>0.28958333333333336</v>
      </c>
      <c r="G1475" s="25">
        <v>0.5798611111111112</v>
      </c>
      <c r="H1475" s="27">
        <f t="shared" si="2"/>
        <v>0.2902777778</v>
      </c>
      <c r="I1475" s="28">
        <v>2.0</v>
      </c>
      <c r="J1475" s="29" t="s">
        <v>798</v>
      </c>
      <c r="K1475" s="30" t="s">
        <v>23</v>
      </c>
      <c r="L1475" s="31" t="str">
        <f>IFERROR(__xludf.DUMMYFUNCTION("IF(OR(E1475="""",K1475=""""),"""",IFERROR(IF(K1475="""","""",query('tbl user'!$A$2:$D10975,""SELECT A WHERE D = '""&amp;K1475&amp;""'"")),""USER TIDAK DIKETAHUI""))"),"#REF!")</f>
        <v>#REF!</v>
      </c>
    </row>
    <row r="1476">
      <c r="A1476" s="21">
        <f t="shared" si="1"/>
        <v>0</v>
      </c>
      <c r="B1476" s="32" t="s">
        <v>187</v>
      </c>
      <c r="C1476" s="23" t="s">
        <v>188</v>
      </c>
      <c r="D1476" s="23" t="s">
        <v>58</v>
      </c>
      <c r="E1476" s="24">
        <v>45418.0</v>
      </c>
      <c r="F1476" s="25">
        <v>0.2673611111111111</v>
      </c>
      <c r="G1476" s="25">
        <v>0.49444444444444446</v>
      </c>
      <c r="H1476" s="27">
        <f t="shared" si="2"/>
        <v>0.2270833333</v>
      </c>
      <c r="I1476" s="28">
        <v>2.0</v>
      </c>
      <c r="J1476" s="29" t="s">
        <v>799</v>
      </c>
      <c r="K1476" s="30" t="s">
        <v>23</v>
      </c>
      <c r="L1476" s="31" t="str">
        <f>IFERROR(__xludf.DUMMYFUNCTION("IF(OR(E1476="""",K1476=""""),"""",IFERROR(IF(K1476="""","""",query('tbl user'!$A$2:$D10975,""SELECT A WHERE D = '""&amp;K1476&amp;""'"")),""USER TIDAK DIKETAHUI""))"),"#REF!")</f>
        <v>#REF!</v>
      </c>
    </row>
    <row r="1477">
      <c r="A1477" s="21">
        <f t="shared" si="1"/>
        <v>0</v>
      </c>
      <c r="B1477" s="32" t="s">
        <v>202</v>
      </c>
      <c r="C1477" s="23" t="s">
        <v>203</v>
      </c>
      <c r="D1477" s="23" t="s">
        <v>58</v>
      </c>
      <c r="E1477" s="24">
        <v>45418.0</v>
      </c>
      <c r="F1477" s="25">
        <v>0.27152777777777776</v>
      </c>
      <c r="G1477" s="25">
        <v>0.5256944444444445</v>
      </c>
      <c r="H1477" s="27">
        <f t="shared" si="2"/>
        <v>0.2541666667</v>
      </c>
      <c r="I1477" s="28">
        <v>2.0</v>
      </c>
      <c r="J1477" s="29" t="s">
        <v>800</v>
      </c>
      <c r="K1477" s="30" t="s">
        <v>23</v>
      </c>
      <c r="L1477" s="31" t="str">
        <f>IFERROR(__xludf.DUMMYFUNCTION("IF(OR(E1477="""",K1477=""""),"""",IFERROR(IF(K1477="""","""",query('tbl user'!$A$2:$D10975,""SELECT A WHERE D = '""&amp;K1477&amp;""'"")),""USER TIDAK DIKETAHUI""))"),"#REF!")</f>
        <v>#REF!</v>
      </c>
    </row>
    <row r="1478">
      <c r="A1478" s="21">
        <f t="shared" si="1"/>
        <v>0</v>
      </c>
      <c r="B1478" s="32" t="s">
        <v>293</v>
      </c>
      <c r="C1478" s="23" t="s">
        <v>211</v>
      </c>
      <c r="D1478" s="23" t="s">
        <v>58</v>
      </c>
      <c r="E1478" s="24">
        <v>45418.0</v>
      </c>
      <c r="F1478" s="25">
        <v>0.26805555555555555</v>
      </c>
      <c r="G1478" s="25">
        <v>0.6069444444444444</v>
      </c>
      <c r="H1478" s="27">
        <f t="shared" si="2"/>
        <v>0.3388888889</v>
      </c>
      <c r="I1478" s="28">
        <v>3.0</v>
      </c>
      <c r="J1478" s="29" t="s">
        <v>801</v>
      </c>
      <c r="K1478" s="30" t="s">
        <v>23</v>
      </c>
      <c r="L1478" s="31" t="str">
        <f>IFERROR(__xludf.DUMMYFUNCTION("IF(OR(E1478="""",K1478=""""),"""",IFERROR(IF(K1478="""","""",query('tbl user'!$A$2:$D10975,""SELECT A WHERE D = '""&amp;K1478&amp;""'"")),""USER TIDAK DIKETAHUI""))"),"#REF!")</f>
        <v>#REF!</v>
      </c>
    </row>
    <row r="1479">
      <c r="A1479" s="21">
        <f t="shared" si="1"/>
        <v>0</v>
      </c>
      <c r="B1479" s="32" t="s">
        <v>214</v>
      </c>
      <c r="C1479" s="23" t="s">
        <v>170</v>
      </c>
      <c r="D1479" s="23" t="s">
        <v>58</v>
      </c>
      <c r="E1479" s="24">
        <v>45418.0</v>
      </c>
      <c r="F1479" s="25">
        <v>0.32013888888888886</v>
      </c>
      <c r="G1479" s="25">
        <v>0.6625</v>
      </c>
      <c r="H1479" s="27">
        <f t="shared" si="2"/>
        <v>0.3423611111</v>
      </c>
      <c r="I1479" s="28">
        <v>3.0</v>
      </c>
      <c r="J1479" s="29" t="s">
        <v>802</v>
      </c>
      <c r="K1479" s="30" t="s">
        <v>23</v>
      </c>
      <c r="L1479" s="31" t="str">
        <f>IFERROR(__xludf.DUMMYFUNCTION("IF(OR(E1479="""",K1479=""""),"""",IFERROR(IF(K1479="""","""",query('tbl user'!$A$2:$D10975,""SELECT A WHERE D = '""&amp;K1479&amp;""'"")),""USER TIDAK DIKETAHUI""))"),"#REF!")</f>
        <v>#REF!</v>
      </c>
    </row>
    <row r="1480">
      <c r="A1480" s="21">
        <f t="shared" si="1"/>
        <v>0</v>
      </c>
      <c r="B1480" s="32" t="s">
        <v>178</v>
      </c>
      <c r="C1480" s="23" t="s">
        <v>82</v>
      </c>
      <c r="D1480" s="23" t="s">
        <v>58</v>
      </c>
      <c r="E1480" s="24">
        <v>45418.0</v>
      </c>
      <c r="F1480" s="25">
        <v>0.2701388888888889</v>
      </c>
      <c r="G1480" s="25">
        <v>0.6118055555555556</v>
      </c>
      <c r="H1480" s="27">
        <f t="shared" si="2"/>
        <v>0.3416666667</v>
      </c>
      <c r="I1480" s="28">
        <v>3.0</v>
      </c>
      <c r="J1480" s="29" t="s">
        <v>803</v>
      </c>
      <c r="K1480" s="30" t="s">
        <v>23</v>
      </c>
      <c r="L1480" s="31" t="str">
        <f>IFERROR(__xludf.DUMMYFUNCTION("IF(OR(E1480="""",K1480=""""),"""",IFERROR(IF(K1480="""","""",query('tbl user'!$A$2:$D10975,""SELECT A WHERE D = '""&amp;K1480&amp;""'"")),""USER TIDAK DIKETAHUI""))"),"#REF!")</f>
        <v>#REF!</v>
      </c>
    </row>
    <row r="1481">
      <c r="A1481" s="21">
        <f t="shared" si="1"/>
        <v>0</v>
      </c>
      <c r="B1481" s="32" t="s">
        <v>200</v>
      </c>
      <c r="C1481" s="23" t="s">
        <v>201</v>
      </c>
      <c r="D1481" s="23" t="s">
        <v>58</v>
      </c>
      <c r="E1481" s="24">
        <v>45418.0</v>
      </c>
      <c r="F1481" s="25">
        <v>0.27291666666666664</v>
      </c>
      <c r="G1481" s="25">
        <v>0.6326388888888889</v>
      </c>
      <c r="H1481" s="27">
        <f t="shared" si="2"/>
        <v>0.3597222222</v>
      </c>
      <c r="I1481" s="28">
        <v>3.0</v>
      </c>
      <c r="J1481" s="29" t="s">
        <v>804</v>
      </c>
      <c r="K1481" s="30" t="s">
        <v>23</v>
      </c>
      <c r="L1481" s="31" t="str">
        <f>IFERROR(__xludf.DUMMYFUNCTION("IF(OR(E1481="""",K1481=""""),"""",IFERROR(IF(K1481="""","""",query('tbl user'!$A$2:$D10975,""SELECT A WHERE D = '""&amp;K1481&amp;""'"")),""USER TIDAK DIKETAHUI""))"),"#REF!")</f>
        <v>#REF!</v>
      </c>
    </row>
    <row r="1482">
      <c r="A1482" s="21">
        <f t="shared" si="1"/>
        <v>0</v>
      </c>
      <c r="B1482" s="32" t="s">
        <v>104</v>
      </c>
      <c r="C1482" s="23" t="s">
        <v>105</v>
      </c>
      <c r="D1482" s="23" t="s">
        <v>58</v>
      </c>
      <c r="E1482" s="24">
        <v>45418.0</v>
      </c>
      <c r="F1482" s="25">
        <v>0.26944444444444443</v>
      </c>
      <c r="G1482" s="25">
        <v>0.6618055555555555</v>
      </c>
      <c r="H1482" s="27">
        <f t="shared" si="2"/>
        <v>0.3923611111</v>
      </c>
      <c r="I1482" s="28">
        <v>3.0</v>
      </c>
      <c r="J1482" s="29" t="s">
        <v>805</v>
      </c>
      <c r="K1482" s="30" t="s">
        <v>23</v>
      </c>
      <c r="L1482" s="31" t="str">
        <f>IFERROR(__xludf.DUMMYFUNCTION("IF(OR(E1482="""",K1482=""""),"""",IFERROR(IF(K1482="""","""",query('tbl user'!$A$2:$D10975,""SELECT A WHERE D = '""&amp;K1482&amp;""'"")),""USER TIDAK DIKETAHUI""))"),"#REF!")</f>
        <v>#REF!</v>
      </c>
    </row>
    <row r="1483">
      <c r="A1483" s="21">
        <f t="shared" si="1"/>
        <v>0</v>
      </c>
      <c r="B1483" s="32" t="s">
        <v>224</v>
      </c>
      <c r="C1483" s="23" t="s">
        <v>208</v>
      </c>
      <c r="D1483" s="23" t="s">
        <v>58</v>
      </c>
      <c r="E1483" s="24">
        <v>45418.0</v>
      </c>
      <c r="F1483" s="25">
        <v>0.27569444444444446</v>
      </c>
      <c r="G1483" s="25">
        <v>0.6604166666666667</v>
      </c>
      <c r="H1483" s="27">
        <f t="shared" si="2"/>
        <v>0.3847222222</v>
      </c>
      <c r="I1483" s="28">
        <v>3.0</v>
      </c>
      <c r="J1483" s="29" t="s">
        <v>805</v>
      </c>
      <c r="K1483" s="30" t="s">
        <v>23</v>
      </c>
      <c r="L1483" s="31" t="str">
        <f>IFERROR(__xludf.DUMMYFUNCTION("IF(OR(E1483="""",K1483=""""),"""",IFERROR(IF(K1483="""","""",query('tbl user'!$A$2:$D10975,""SELECT A WHERE D = '""&amp;K1483&amp;""'"")),""USER TIDAK DIKETAHUI""))"),"#REF!")</f>
        <v>#REF!</v>
      </c>
    </row>
    <row r="1484">
      <c r="A1484" s="21">
        <f t="shared" si="1"/>
        <v>0</v>
      </c>
      <c r="B1484" s="32" t="s">
        <v>67</v>
      </c>
      <c r="C1484" s="23" t="s">
        <v>68</v>
      </c>
      <c r="D1484" s="23" t="s">
        <v>58</v>
      </c>
      <c r="E1484" s="24">
        <v>45418.0</v>
      </c>
      <c r="F1484" s="25">
        <v>0.2659722222222222</v>
      </c>
      <c r="G1484" s="25">
        <v>0.7020833333333333</v>
      </c>
      <c r="H1484" s="27">
        <f t="shared" si="2"/>
        <v>0.4361111111</v>
      </c>
      <c r="I1484" s="28">
        <v>4.0</v>
      </c>
      <c r="J1484" s="29" t="s">
        <v>55</v>
      </c>
      <c r="K1484" s="30" t="s">
        <v>23</v>
      </c>
      <c r="L1484" s="31" t="str">
        <f>IFERROR(__xludf.DUMMYFUNCTION("IF(OR(E1484="""",K1484=""""),"""",IFERROR(IF(K1484="""","""",query('tbl user'!$A$2:$D10975,""SELECT A WHERE D = '""&amp;K1484&amp;""'"")),""USER TIDAK DIKETAHUI""))"),"#REF!")</f>
        <v>#REF!</v>
      </c>
    </row>
    <row r="1485">
      <c r="A1485" s="21">
        <f t="shared" si="1"/>
        <v>0</v>
      </c>
      <c r="B1485" s="32" t="s">
        <v>180</v>
      </c>
      <c r="C1485" s="23" t="s">
        <v>181</v>
      </c>
      <c r="D1485" s="23" t="s">
        <v>58</v>
      </c>
      <c r="E1485" s="24">
        <v>45418.0</v>
      </c>
      <c r="F1485" s="25">
        <v>0.2638888888888889</v>
      </c>
      <c r="G1485" s="25">
        <v>0.6784722222222223</v>
      </c>
      <c r="H1485" s="27">
        <f t="shared" si="2"/>
        <v>0.4145833333</v>
      </c>
      <c r="I1485" s="28">
        <v>4.0</v>
      </c>
      <c r="J1485" s="29" t="s">
        <v>55</v>
      </c>
      <c r="K1485" s="30" t="s">
        <v>23</v>
      </c>
      <c r="L1485" s="31" t="str">
        <f>IFERROR(__xludf.DUMMYFUNCTION("IF(OR(E1485="""",K1485=""""),"""",IFERROR(IF(K1485="""","""",query('tbl user'!$A$2:$D10975,""SELECT A WHERE D = '""&amp;K1485&amp;""'"")),""USER TIDAK DIKETAHUI""))"),"#REF!")</f>
        <v>#REF!</v>
      </c>
    </row>
    <row r="1486">
      <c r="A1486" s="21">
        <f t="shared" si="1"/>
        <v>0</v>
      </c>
      <c r="B1486" s="32" t="s">
        <v>182</v>
      </c>
      <c r="C1486" s="23" t="s">
        <v>183</v>
      </c>
      <c r="D1486" s="23" t="s">
        <v>58</v>
      </c>
      <c r="E1486" s="24">
        <v>45418.0</v>
      </c>
      <c r="F1486" s="25">
        <v>0.26875</v>
      </c>
      <c r="G1486" s="25">
        <v>0.6854166666666667</v>
      </c>
      <c r="H1486" s="27">
        <f t="shared" si="2"/>
        <v>0.4166666667</v>
      </c>
      <c r="I1486" s="28">
        <v>4.0</v>
      </c>
      <c r="J1486" s="29" t="s">
        <v>55</v>
      </c>
      <c r="K1486" s="30" t="s">
        <v>23</v>
      </c>
      <c r="L1486" s="31" t="str">
        <f>IFERROR(__xludf.DUMMYFUNCTION("IF(OR(E1486="""",K1486=""""),"""",IFERROR(IF(K1486="""","""",query('tbl user'!$A$2:$D10975,""SELECT A WHERE D = '""&amp;K1486&amp;""'"")),""USER TIDAK DIKETAHUI""))"),"#REF!")</f>
        <v>#REF!</v>
      </c>
    </row>
    <row r="1487">
      <c r="A1487" s="21">
        <f t="shared" si="1"/>
        <v>0</v>
      </c>
      <c r="B1487" s="32" t="s">
        <v>184</v>
      </c>
      <c r="C1487" s="23" t="s">
        <v>185</v>
      </c>
      <c r="D1487" s="23" t="s">
        <v>58</v>
      </c>
      <c r="E1487" s="24">
        <v>45418.0</v>
      </c>
      <c r="F1487" s="25">
        <v>0.26805555555555555</v>
      </c>
      <c r="G1487" s="25">
        <v>0.6993055555555555</v>
      </c>
      <c r="H1487" s="27">
        <f t="shared" si="2"/>
        <v>0.43125</v>
      </c>
      <c r="I1487" s="28">
        <v>4.0</v>
      </c>
      <c r="J1487" s="29" t="s">
        <v>55</v>
      </c>
      <c r="K1487" s="30" t="s">
        <v>23</v>
      </c>
      <c r="L1487" s="31" t="str">
        <f>IFERROR(__xludf.DUMMYFUNCTION("IF(OR(E1487="""",K1487=""""),"""",IFERROR(IF(K1487="""","""",query('tbl user'!$A$2:$D10975,""SELECT A WHERE D = '""&amp;K1487&amp;""'"")),""USER TIDAK DIKETAHUI""))"),"#REF!")</f>
        <v>#REF!</v>
      </c>
    </row>
    <row r="1488">
      <c r="A1488" s="21">
        <f t="shared" si="1"/>
        <v>0</v>
      </c>
      <c r="B1488" s="32" t="s">
        <v>191</v>
      </c>
      <c r="C1488" s="23" t="s">
        <v>192</v>
      </c>
      <c r="D1488" s="23" t="s">
        <v>58</v>
      </c>
      <c r="E1488" s="24">
        <v>45418.0</v>
      </c>
      <c r="F1488" s="25">
        <v>0.27569444444444446</v>
      </c>
      <c r="G1488" s="25">
        <v>0.71875</v>
      </c>
      <c r="H1488" s="27">
        <f t="shared" si="2"/>
        <v>0.4430555556</v>
      </c>
      <c r="I1488" s="28">
        <v>4.0</v>
      </c>
      <c r="J1488" s="29" t="s">
        <v>55</v>
      </c>
      <c r="K1488" s="30" t="s">
        <v>23</v>
      </c>
      <c r="L1488" s="31" t="str">
        <f>IFERROR(__xludf.DUMMYFUNCTION("IF(OR(E1488="""",K1488=""""),"""",IFERROR(IF(K1488="""","""",query('tbl user'!$A$2:$D10975,""SELECT A WHERE D = '""&amp;K1488&amp;""'"")),""USER TIDAK DIKETAHUI""))"),"#REF!")</f>
        <v>#REF!</v>
      </c>
    </row>
    <row r="1489">
      <c r="A1489" s="21">
        <f t="shared" si="1"/>
        <v>0</v>
      </c>
      <c r="B1489" s="32" t="s">
        <v>194</v>
      </c>
      <c r="C1489" s="23" t="s">
        <v>195</v>
      </c>
      <c r="D1489" s="23" t="s">
        <v>58</v>
      </c>
      <c r="E1489" s="24">
        <v>45418.0</v>
      </c>
      <c r="F1489" s="25">
        <v>0.2638888888888889</v>
      </c>
      <c r="G1489" s="25">
        <v>0.65</v>
      </c>
      <c r="H1489" s="27">
        <f t="shared" si="2"/>
        <v>0.3861111111</v>
      </c>
      <c r="I1489" s="28">
        <v>4.0</v>
      </c>
      <c r="J1489" s="29" t="s">
        <v>55</v>
      </c>
      <c r="K1489" s="30" t="s">
        <v>23</v>
      </c>
      <c r="L1489" s="31" t="str">
        <f>IFERROR(__xludf.DUMMYFUNCTION("IF(OR(E1489="""",K1489=""""),"""",IFERROR(IF(K1489="""","""",query('tbl user'!$A$2:$D10975,""SELECT A WHERE D = '""&amp;K1489&amp;""'"")),""USER TIDAK DIKETAHUI""))"),"#REF!")</f>
        <v>#REF!</v>
      </c>
    </row>
    <row r="1490">
      <c r="A1490" s="21">
        <f t="shared" si="1"/>
        <v>0</v>
      </c>
      <c r="B1490" s="32" t="s">
        <v>216</v>
      </c>
      <c r="C1490" s="23" t="s">
        <v>198</v>
      </c>
      <c r="D1490" s="23" t="s">
        <v>58</v>
      </c>
      <c r="E1490" s="24">
        <v>45418.0</v>
      </c>
      <c r="F1490" s="25">
        <v>0.2673611111111111</v>
      </c>
      <c r="G1490" s="25">
        <v>0.7027777777777777</v>
      </c>
      <c r="H1490" s="27">
        <f t="shared" si="2"/>
        <v>0.4354166667</v>
      </c>
      <c r="I1490" s="28">
        <v>4.0</v>
      </c>
      <c r="J1490" s="29" t="s">
        <v>55</v>
      </c>
      <c r="K1490" s="30" t="s">
        <v>23</v>
      </c>
      <c r="L1490" s="31" t="str">
        <f>IFERROR(__xludf.DUMMYFUNCTION("IF(OR(E1490="""",K1490=""""),"""",IFERROR(IF(K1490="""","""",query('tbl user'!$A$2:$D10975,""SELECT A WHERE D = '""&amp;K1490&amp;""'"")),""USER TIDAK DIKETAHUI""))"),"#REF!")</f>
        <v>#REF!</v>
      </c>
    </row>
    <row r="1491">
      <c r="A1491" s="21">
        <f t="shared" si="1"/>
        <v>0</v>
      </c>
      <c r="B1491" s="32" t="s">
        <v>297</v>
      </c>
      <c r="C1491" s="23" t="s">
        <v>348</v>
      </c>
      <c r="D1491" s="23" t="s">
        <v>58</v>
      </c>
      <c r="E1491" s="24">
        <v>45418.0</v>
      </c>
      <c r="F1491" s="25">
        <v>0.2638888888888889</v>
      </c>
      <c r="G1491" s="25">
        <v>0.6506944444444445</v>
      </c>
      <c r="H1491" s="27">
        <f t="shared" si="2"/>
        <v>0.3868055556</v>
      </c>
      <c r="I1491" s="28">
        <v>4.0</v>
      </c>
      <c r="J1491" s="29" t="s">
        <v>55</v>
      </c>
      <c r="K1491" s="30" t="s">
        <v>23</v>
      </c>
      <c r="L1491" s="31" t="str">
        <f>IFERROR(__xludf.DUMMYFUNCTION("IF(OR(E1491="""",K1491=""""),"""",IFERROR(IF(K1491="""","""",query('tbl user'!$A$2:$D10975,""SELECT A WHERE D = '""&amp;K1491&amp;""'"")),""USER TIDAK DIKETAHUI""))"),"#REF!")</f>
        <v>#REF!</v>
      </c>
    </row>
    <row r="1492">
      <c r="A1492" s="21">
        <f t="shared" si="1"/>
        <v>0</v>
      </c>
      <c r="B1492" s="32" t="s">
        <v>205</v>
      </c>
      <c r="C1492" s="23" t="s">
        <v>206</v>
      </c>
      <c r="D1492" s="23" t="s">
        <v>58</v>
      </c>
      <c r="E1492" s="24">
        <v>45418.0</v>
      </c>
      <c r="F1492" s="25">
        <v>0.26458333333333334</v>
      </c>
      <c r="G1492" s="25">
        <v>0.6965277777777777</v>
      </c>
      <c r="H1492" s="27">
        <f t="shared" si="2"/>
        <v>0.4319444444</v>
      </c>
      <c r="I1492" s="28">
        <v>4.0</v>
      </c>
      <c r="J1492" s="29" t="s">
        <v>55</v>
      </c>
      <c r="K1492" s="30" t="s">
        <v>23</v>
      </c>
      <c r="L1492" s="31" t="str">
        <f>IFERROR(__xludf.DUMMYFUNCTION("IF(OR(E1492="""",K1492=""""),"""",IFERROR(IF(K1492="""","""",query('tbl user'!$A$2:$D10975,""SELECT A WHERE D = '""&amp;K1492&amp;""'"")),""USER TIDAK DIKETAHUI""))"),"#REF!")</f>
        <v>#REF!</v>
      </c>
    </row>
    <row r="1493">
      <c r="A1493" s="21">
        <f t="shared" si="1"/>
        <v>0</v>
      </c>
      <c r="B1493" s="32" t="s">
        <v>225</v>
      </c>
      <c r="C1493" s="23" t="s">
        <v>239</v>
      </c>
      <c r="D1493" s="23" t="s">
        <v>21</v>
      </c>
      <c r="E1493" s="24">
        <v>45418.0</v>
      </c>
      <c r="F1493" s="25">
        <v>0.2826388888888889</v>
      </c>
      <c r="G1493" s="25">
        <v>0.4173611111111111</v>
      </c>
      <c r="H1493" s="27">
        <f t="shared" si="2"/>
        <v>0.1347222222</v>
      </c>
      <c r="I1493" s="28">
        <v>1.0</v>
      </c>
      <c r="J1493" s="29" t="s">
        <v>806</v>
      </c>
      <c r="K1493" s="30" t="s">
        <v>23</v>
      </c>
      <c r="L1493" s="31" t="str">
        <f>IFERROR(__xludf.DUMMYFUNCTION("IF(OR(E1493="""",K1493=""""),"""",IFERROR(IF(K1493="""","""",query('tbl user'!$A$2:$D10975,""SELECT A WHERE D = '""&amp;K1493&amp;""'"")),""USER TIDAK DIKETAHUI""))"),"#REF!")</f>
        <v>#REF!</v>
      </c>
    </row>
    <row r="1494">
      <c r="A1494" s="21">
        <f t="shared" si="1"/>
        <v>0</v>
      </c>
      <c r="B1494" s="32" t="s">
        <v>243</v>
      </c>
      <c r="C1494" s="23" t="s">
        <v>244</v>
      </c>
      <c r="D1494" s="23" t="s">
        <v>21</v>
      </c>
      <c r="E1494" s="24">
        <v>45418.0</v>
      </c>
      <c r="F1494" s="25">
        <v>0.2923611111111111</v>
      </c>
      <c r="G1494" s="25">
        <v>0.7</v>
      </c>
      <c r="H1494" s="27">
        <f t="shared" si="2"/>
        <v>0.4076388889</v>
      </c>
      <c r="I1494" s="28">
        <v>4.0</v>
      </c>
      <c r="J1494" s="29" t="s">
        <v>807</v>
      </c>
      <c r="K1494" s="30" t="s">
        <v>23</v>
      </c>
      <c r="L1494" s="31" t="str">
        <f>IFERROR(__xludf.DUMMYFUNCTION("IF(OR(E1494="""",K1494=""""),"""",IFERROR(IF(K1494="""","""",query('tbl user'!$A$2:$D10975,""SELECT A WHERE D = '""&amp;K1494&amp;""'"")),""USER TIDAK DIKETAHUI""))"),"#REF!")</f>
        <v>#REF!</v>
      </c>
    </row>
    <row r="1495">
      <c r="A1495" s="21">
        <f t="shared" si="1"/>
        <v>0</v>
      </c>
      <c r="B1495" s="32" t="s">
        <v>253</v>
      </c>
      <c r="C1495" s="23" t="s">
        <v>102</v>
      </c>
      <c r="D1495" s="23" t="s">
        <v>21</v>
      </c>
      <c r="E1495" s="24">
        <v>45418.0</v>
      </c>
      <c r="F1495" s="25">
        <v>0.27361111111111114</v>
      </c>
      <c r="G1495" s="25">
        <v>0.7256944444444444</v>
      </c>
      <c r="H1495" s="27">
        <f t="shared" si="2"/>
        <v>0.4520833333</v>
      </c>
      <c r="I1495" s="28">
        <v>4.0</v>
      </c>
      <c r="J1495" s="29" t="s">
        <v>808</v>
      </c>
      <c r="K1495" s="30" t="s">
        <v>23</v>
      </c>
      <c r="L1495" s="31" t="str">
        <f>IFERROR(__xludf.DUMMYFUNCTION("IF(OR(E1495="""",K1495=""""),"""",IFERROR(IF(K1495="""","""",query('tbl user'!$A$2:$D10975,""SELECT A WHERE D = '""&amp;K1495&amp;""'"")),""USER TIDAK DIKETAHUI""))"),"#REF!")</f>
        <v>#REF!</v>
      </c>
    </row>
    <row r="1496">
      <c r="A1496" s="21">
        <f t="shared" si="1"/>
        <v>0</v>
      </c>
      <c r="B1496" s="32" t="s">
        <v>153</v>
      </c>
      <c r="C1496" s="23" t="s">
        <v>234</v>
      </c>
      <c r="D1496" s="23" t="s">
        <v>21</v>
      </c>
      <c r="E1496" s="24">
        <v>45418.0</v>
      </c>
      <c r="F1496" s="25">
        <v>0.3159722222222222</v>
      </c>
      <c r="G1496" s="25">
        <v>0.6909722222222222</v>
      </c>
      <c r="H1496" s="27">
        <f t="shared" si="2"/>
        <v>0.375</v>
      </c>
      <c r="I1496" s="28">
        <v>4.0</v>
      </c>
      <c r="J1496" s="29" t="s">
        <v>418</v>
      </c>
      <c r="K1496" s="30" t="s">
        <v>23</v>
      </c>
      <c r="L1496" s="31" t="str">
        <f>IFERROR(__xludf.DUMMYFUNCTION("IF(OR(E1496="""",K1496=""""),"""",IFERROR(IF(K1496="""","""",query('tbl user'!$A$2:$D10975,""SELECT A WHERE D = '""&amp;K1496&amp;""'"")),""USER TIDAK DIKETAHUI""))"),"#REF!")</f>
        <v>#REF!</v>
      </c>
    </row>
    <row r="1497">
      <c r="A1497" s="21">
        <f t="shared" si="1"/>
        <v>0</v>
      </c>
      <c r="B1497" s="32" t="s">
        <v>81</v>
      </c>
      <c r="C1497" s="23" t="s">
        <v>261</v>
      </c>
      <c r="D1497" s="23" t="s">
        <v>21</v>
      </c>
      <c r="E1497" s="24">
        <v>45418.0</v>
      </c>
      <c r="F1497" s="25">
        <v>0.2763888888888889</v>
      </c>
      <c r="G1497" s="25">
        <v>0.65625</v>
      </c>
      <c r="H1497" s="27">
        <f t="shared" si="2"/>
        <v>0.3798611111</v>
      </c>
      <c r="I1497" s="28">
        <v>4.0</v>
      </c>
      <c r="J1497" s="29" t="s">
        <v>809</v>
      </c>
      <c r="K1497" s="30" t="s">
        <v>23</v>
      </c>
      <c r="L1497" s="31" t="str">
        <f>IFERROR(__xludf.DUMMYFUNCTION("IF(OR(E1497="""",K1497=""""),"""",IFERROR(IF(K1497="""","""",query('tbl user'!$A$2:$D10975,""SELECT A WHERE D = '""&amp;K1497&amp;""'"")),""USER TIDAK DIKETAHUI""))"),"#REF!")</f>
        <v>#REF!</v>
      </c>
    </row>
    <row r="1498">
      <c r="A1498" s="21">
        <f t="shared" si="1"/>
        <v>0</v>
      </c>
      <c r="B1498" s="32" t="s">
        <v>34</v>
      </c>
      <c r="C1498" s="23" t="s">
        <v>35</v>
      </c>
      <c r="D1498" s="23" t="s">
        <v>21</v>
      </c>
      <c r="E1498" s="24">
        <v>45418.0</v>
      </c>
      <c r="F1498" s="25">
        <v>0.2902777777777778</v>
      </c>
      <c r="G1498" s="25">
        <v>0.7291666666666666</v>
      </c>
      <c r="H1498" s="27">
        <f t="shared" si="2"/>
        <v>0.4388888889</v>
      </c>
      <c r="I1498" s="28">
        <v>5.0</v>
      </c>
      <c r="J1498" s="29" t="s">
        <v>55</v>
      </c>
      <c r="K1498" s="30" t="s">
        <v>23</v>
      </c>
      <c r="L1498" s="31" t="str">
        <f>IFERROR(__xludf.DUMMYFUNCTION("IF(OR(E1498="""",K1498=""""),"""",IFERROR(IF(K1498="""","""",query('tbl user'!$A$2:$D10975,""SELECT A WHERE D = '""&amp;K1498&amp;""'"")),""USER TIDAK DIKETAHUI""))"),"#REF!")</f>
        <v>#REF!</v>
      </c>
    </row>
    <row r="1499">
      <c r="A1499" s="21">
        <f t="shared" si="1"/>
        <v>0</v>
      </c>
      <c r="B1499" s="32" t="s">
        <v>24</v>
      </c>
      <c r="C1499" s="23" t="s">
        <v>25</v>
      </c>
      <c r="D1499" s="23" t="s">
        <v>21</v>
      </c>
      <c r="E1499" s="24">
        <v>45418.0</v>
      </c>
      <c r="F1499" s="25">
        <v>0.26805555555555555</v>
      </c>
      <c r="G1499" s="25">
        <v>0.6555555555555556</v>
      </c>
      <c r="H1499" s="27">
        <f t="shared" si="2"/>
        <v>0.3875</v>
      </c>
      <c r="I1499" s="28">
        <v>5.0</v>
      </c>
      <c r="J1499" s="29" t="s">
        <v>55</v>
      </c>
      <c r="K1499" s="30" t="s">
        <v>23</v>
      </c>
      <c r="L1499" s="31" t="str">
        <f>IFERROR(__xludf.DUMMYFUNCTION("IF(OR(E1499="""",K1499=""""),"""",IFERROR(IF(K1499="""","""",query('tbl user'!$A$2:$D10975,""SELECT A WHERE D = '""&amp;K1499&amp;""'"")),""USER TIDAK DIKETAHUI""))"),"#REF!")</f>
        <v>#REF!</v>
      </c>
    </row>
    <row r="1500">
      <c r="A1500" s="21">
        <f t="shared" si="1"/>
        <v>0</v>
      </c>
      <c r="B1500" s="32" t="s">
        <v>305</v>
      </c>
      <c r="C1500" s="23" t="s">
        <v>251</v>
      </c>
      <c r="D1500" s="23" t="s">
        <v>21</v>
      </c>
      <c r="E1500" s="24">
        <v>45418.0</v>
      </c>
      <c r="F1500" s="25">
        <v>0.26180555555555557</v>
      </c>
      <c r="G1500" s="25">
        <v>0.7</v>
      </c>
      <c r="H1500" s="27">
        <f t="shared" si="2"/>
        <v>0.4381944444</v>
      </c>
      <c r="I1500" s="28">
        <v>5.0</v>
      </c>
      <c r="J1500" s="29" t="s">
        <v>55</v>
      </c>
      <c r="K1500" s="30" t="s">
        <v>23</v>
      </c>
      <c r="L1500" s="31" t="str">
        <f>IFERROR(__xludf.DUMMYFUNCTION("IF(OR(E1500="""",K1500=""""),"""",IFERROR(IF(K1500="""","""",query('tbl user'!$A$2:$D10975,""SELECT A WHERE D = '""&amp;K1500&amp;""'"")),""USER TIDAK DIKETAHUI""))"),"#REF!")</f>
        <v>#REF!</v>
      </c>
    </row>
    <row r="1501">
      <c r="A1501" s="21">
        <f t="shared" si="1"/>
        <v>0</v>
      </c>
      <c r="B1501" s="32" t="s">
        <v>43</v>
      </c>
      <c r="C1501" s="23" t="s">
        <v>44</v>
      </c>
      <c r="D1501" s="23" t="s">
        <v>21</v>
      </c>
      <c r="E1501" s="24">
        <v>45418.0</v>
      </c>
      <c r="F1501" s="25">
        <v>0.2638888888888889</v>
      </c>
      <c r="G1501" s="25">
        <v>0.7166666666666667</v>
      </c>
      <c r="H1501" s="27">
        <f t="shared" si="2"/>
        <v>0.4527777778</v>
      </c>
      <c r="I1501" s="28">
        <v>5.0</v>
      </c>
      <c r="J1501" s="29" t="s">
        <v>55</v>
      </c>
      <c r="K1501" s="30" t="s">
        <v>23</v>
      </c>
      <c r="L1501" s="31" t="str">
        <f>IFERROR(__xludf.DUMMYFUNCTION("IF(OR(E1501="""",K1501=""""),"""",IFERROR(IF(K1501="""","""",query('tbl user'!$A$2:$D10975,""SELECT A WHERE D = '""&amp;K1501&amp;""'"")),""USER TIDAK DIKETAHUI""))"),"#REF!")</f>
        <v>#REF!</v>
      </c>
    </row>
    <row r="1502">
      <c r="A1502" s="21">
        <f t="shared" si="1"/>
        <v>0</v>
      </c>
      <c r="B1502" s="32" t="s">
        <v>255</v>
      </c>
      <c r="C1502" s="23" t="s">
        <v>256</v>
      </c>
      <c r="D1502" s="23" t="s">
        <v>21</v>
      </c>
      <c r="E1502" s="24">
        <v>45418.0</v>
      </c>
      <c r="F1502" s="25">
        <v>0.26944444444444443</v>
      </c>
      <c r="G1502" s="25">
        <v>0.7284722222222222</v>
      </c>
      <c r="H1502" s="27">
        <f t="shared" si="2"/>
        <v>0.4590277778</v>
      </c>
      <c r="I1502" s="28">
        <v>5.0</v>
      </c>
      <c r="J1502" s="29" t="s">
        <v>55</v>
      </c>
      <c r="K1502" s="30" t="s">
        <v>23</v>
      </c>
      <c r="L1502" s="31" t="str">
        <f>IFERROR(__xludf.DUMMYFUNCTION("IF(OR(E1502="""",K1502=""""),"""",IFERROR(IF(K1502="""","""",query('tbl user'!$A$2:$D10975,""SELECT A WHERE D = '""&amp;K1502&amp;""'"")),""USER TIDAK DIKETAHUI""))"),"#REF!")</f>
        <v>#REF!</v>
      </c>
    </row>
    <row r="1503">
      <c r="A1503" s="21">
        <f t="shared" si="1"/>
        <v>0</v>
      </c>
      <c r="B1503" s="32" t="s">
        <v>258</v>
      </c>
      <c r="C1503" s="23" t="s">
        <v>259</v>
      </c>
      <c r="D1503" s="23" t="s">
        <v>21</v>
      </c>
      <c r="E1503" s="24">
        <v>45418.0</v>
      </c>
      <c r="F1503" s="25">
        <v>0.2743055555555556</v>
      </c>
      <c r="G1503" s="25">
        <v>0.7104166666666667</v>
      </c>
      <c r="H1503" s="27">
        <f t="shared" si="2"/>
        <v>0.4361111111</v>
      </c>
      <c r="I1503" s="28">
        <v>5.0</v>
      </c>
      <c r="J1503" s="29" t="s">
        <v>55</v>
      </c>
      <c r="K1503" s="30" t="s">
        <v>23</v>
      </c>
      <c r="L1503" s="31" t="str">
        <f>IFERROR(__xludf.DUMMYFUNCTION("IF(OR(E1503="""",K1503=""""),"""",IFERROR(IF(K1503="""","""",query('tbl user'!$A$2:$D10975,""SELECT A WHERE D = '""&amp;K1503&amp;""'"")),""USER TIDAK DIKETAHUI""))"),"#REF!")</f>
        <v>#REF!</v>
      </c>
    </row>
    <row r="1504">
      <c r="A1504" s="21" t="str">
        <f t="shared" si="1"/>
        <v/>
      </c>
      <c r="B1504" s="35"/>
      <c r="C1504" s="23" t="s">
        <v>27</v>
      </c>
      <c r="D1504" s="23" t="s">
        <v>21</v>
      </c>
      <c r="E1504" s="24">
        <v>45418.0</v>
      </c>
      <c r="F1504" s="25">
        <v>0.26944444444444443</v>
      </c>
      <c r="G1504" s="25">
        <v>0.30486111111111114</v>
      </c>
      <c r="H1504" s="27">
        <f t="shared" si="2"/>
        <v>0.03541666667</v>
      </c>
      <c r="I1504" s="28">
        <v>0.0</v>
      </c>
      <c r="J1504" s="29" t="s">
        <v>810</v>
      </c>
      <c r="K1504" s="30" t="s">
        <v>23</v>
      </c>
      <c r="L1504" s="31" t="str">
        <f>IFERROR(__xludf.DUMMYFUNCTION("IF(OR(E1504="""",K1504=""""),"""",IFERROR(IF(K1504="""","""",query('tbl user'!$A$2:$D10975,""SELECT A WHERE D = '""&amp;K1504&amp;""'"")),""USER TIDAK DIKETAHUI""))"),"#REF!")</f>
        <v>#REF!</v>
      </c>
    </row>
    <row r="1505">
      <c r="A1505" s="21">
        <f t="shared" si="1"/>
        <v>0</v>
      </c>
      <c r="B1505" s="32" t="s">
        <v>289</v>
      </c>
      <c r="C1505" s="23" t="s">
        <v>290</v>
      </c>
      <c r="D1505" s="23" t="s">
        <v>21</v>
      </c>
      <c r="E1505" s="24">
        <v>45418.0</v>
      </c>
      <c r="F1505" s="25">
        <v>0.3055555555555556</v>
      </c>
      <c r="G1505" s="25">
        <v>0.49166666666666664</v>
      </c>
      <c r="H1505" s="27">
        <f t="shared" si="2"/>
        <v>0.1861111111</v>
      </c>
      <c r="I1505" s="28">
        <v>2.0</v>
      </c>
      <c r="J1505" s="29" t="s">
        <v>299</v>
      </c>
      <c r="K1505" s="30" t="s">
        <v>23</v>
      </c>
      <c r="L1505" s="31" t="str">
        <f>IFERROR(__xludf.DUMMYFUNCTION("IF(OR(E1505="""",K1505=""""),"""",IFERROR(IF(K1505="""","""",query('tbl user'!$A$2:$D10975,""SELECT A WHERE D = '""&amp;K1505&amp;""'"")),""USER TIDAK DIKETAHUI""))"),"#REF!")</f>
        <v>#REF!</v>
      </c>
    </row>
    <row r="1506">
      <c r="A1506" s="21">
        <f t="shared" si="1"/>
        <v>0</v>
      </c>
      <c r="B1506" s="32" t="s">
        <v>64</v>
      </c>
      <c r="C1506" s="23" t="s">
        <v>65</v>
      </c>
      <c r="D1506" s="23" t="s">
        <v>21</v>
      </c>
      <c r="E1506" s="24">
        <v>45418.0</v>
      </c>
      <c r="F1506" s="25">
        <v>0.3090277777777778</v>
      </c>
      <c r="G1506" s="25">
        <v>0.6486111111111111</v>
      </c>
      <c r="H1506" s="27">
        <f t="shared" si="2"/>
        <v>0.3395833333</v>
      </c>
      <c r="I1506" s="28">
        <v>3.0</v>
      </c>
      <c r="J1506" s="29" t="s">
        <v>811</v>
      </c>
      <c r="K1506" s="30" t="s">
        <v>23</v>
      </c>
      <c r="L1506" s="31" t="str">
        <f>IFERROR(__xludf.DUMMYFUNCTION("IF(OR(E1506="""",K1506=""""),"""",IFERROR(IF(K1506="""","""",query('tbl user'!$A$2:$D10975,""SELECT A WHERE D = '""&amp;K1506&amp;""'"")),""USER TIDAK DIKETAHUI""))"),"#REF!")</f>
        <v>#REF!</v>
      </c>
    </row>
    <row r="1507">
      <c r="A1507" s="21">
        <f t="shared" si="1"/>
        <v>0</v>
      </c>
      <c r="B1507" s="32" t="s">
        <v>101</v>
      </c>
      <c r="C1507" s="23" t="s">
        <v>285</v>
      </c>
      <c r="D1507" s="23" t="s">
        <v>21</v>
      </c>
      <c r="E1507" s="24">
        <v>45418.0</v>
      </c>
      <c r="F1507" s="25">
        <v>0.30694444444444446</v>
      </c>
      <c r="G1507" s="25">
        <v>0.6472222222222223</v>
      </c>
      <c r="H1507" s="27">
        <f t="shared" si="2"/>
        <v>0.3402777778</v>
      </c>
      <c r="I1507" s="28">
        <v>3.0</v>
      </c>
      <c r="J1507" s="29" t="s">
        <v>812</v>
      </c>
      <c r="K1507" s="30" t="s">
        <v>23</v>
      </c>
      <c r="L1507" s="31" t="str">
        <f>IFERROR(__xludf.DUMMYFUNCTION("IF(OR(E1507="""",K1507=""""),"""",IFERROR(IF(K1507="""","""",query('tbl user'!$A$2:$D10975,""SELECT A WHERE D = '""&amp;K1507&amp;""'"")),""USER TIDAK DIKETAHUI""))"),"#REF!")</f>
        <v>#REF!</v>
      </c>
    </row>
    <row r="1508">
      <c r="A1508" s="21">
        <f t="shared" si="1"/>
        <v>0</v>
      </c>
      <c r="B1508" s="32" t="s">
        <v>286</v>
      </c>
      <c r="C1508" s="23" t="s">
        <v>287</v>
      </c>
      <c r="D1508" s="23" t="s">
        <v>21</v>
      </c>
      <c r="E1508" s="24">
        <v>45418.0</v>
      </c>
      <c r="F1508" s="25">
        <v>0.30277777777777776</v>
      </c>
      <c r="G1508" s="25">
        <v>0.6090277777777777</v>
      </c>
      <c r="H1508" s="27">
        <f t="shared" si="2"/>
        <v>0.30625</v>
      </c>
      <c r="I1508" s="28">
        <v>3.0</v>
      </c>
      <c r="J1508" s="29" t="s">
        <v>813</v>
      </c>
      <c r="K1508" s="30" t="s">
        <v>23</v>
      </c>
      <c r="L1508" s="31" t="str">
        <f>IFERROR(__xludf.DUMMYFUNCTION("IF(OR(E1508="""",K1508=""""),"""",IFERROR(IF(K1508="""","""",query('tbl user'!$A$2:$D10975,""SELECT A WHERE D = '""&amp;K1508&amp;""'"")),""USER TIDAK DIKETAHUI""))"),"#REF!")</f>
        <v>#REF!</v>
      </c>
    </row>
    <row r="1509">
      <c r="A1509" s="21">
        <f t="shared" si="1"/>
        <v>0</v>
      </c>
      <c r="B1509" s="32" t="s">
        <v>37</v>
      </c>
      <c r="C1509" s="23" t="s">
        <v>38</v>
      </c>
      <c r="D1509" s="23" t="s">
        <v>21</v>
      </c>
      <c r="E1509" s="24">
        <v>45418.0</v>
      </c>
      <c r="F1509" s="25">
        <v>0.28194444444444444</v>
      </c>
      <c r="G1509" s="25">
        <v>0.6993055555555555</v>
      </c>
      <c r="H1509" s="27">
        <f t="shared" si="2"/>
        <v>0.4173611111</v>
      </c>
      <c r="I1509" s="28">
        <v>4.0</v>
      </c>
      <c r="J1509" s="29" t="s">
        <v>55</v>
      </c>
      <c r="K1509" s="30" t="s">
        <v>23</v>
      </c>
      <c r="L1509" s="31" t="str">
        <f>IFERROR(__xludf.DUMMYFUNCTION("IF(OR(E1509="""",K1509=""""),"""",IFERROR(IF(K1509="""","""",query('tbl user'!$A$2:$D10975,""SELECT A WHERE D = '""&amp;K1509&amp;""'"")),""USER TIDAK DIKETAHUI""))"),"#REF!")</f>
        <v>#REF!</v>
      </c>
    </row>
    <row r="1510">
      <c r="A1510" s="21">
        <f t="shared" si="1"/>
        <v>0</v>
      </c>
      <c r="B1510" s="32" t="s">
        <v>61</v>
      </c>
      <c r="C1510" s="23" t="s">
        <v>62</v>
      </c>
      <c r="D1510" s="23" t="s">
        <v>21</v>
      </c>
      <c r="E1510" s="24">
        <v>45418.0</v>
      </c>
      <c r="F1510" s="25">
        <v>0.27708333333333335</v>
      </c>
      <c r="G1510" s="25">
        <v>0.6965277777777777</v>
      </c>
      <c r="H1510" s="27">
        <f t="shared" si="2"/>
        <v>0.4194444444</v>
      </c>
      <c r="I1510" s="28">
        <v>4.0</v>
      </c>
      <c r="J1510" s="29" t="s">
        <v>55</v>
      </c>
      <c r="K1510" s="30" t="s">
        <v>23</v>
      </c>
      <c r="L1510" s="31" t="str">
        <f>IFERROR(__xludf.DUMMYFUNCTION("IF(OR(E1510="""",K1510=""""),"""",IFERROR(IF(K1510="""","""",query('tbl user'!$A$2:$D10975,""SELECT A WHERE D = '""&amp;K1510&amp;""'"")),""USER TIDAK DIKETAHUI""))"),"#REF!")</f>
        <v>#REF!</v>
      </c>
    </row>
    <row r="1511">
      <c r="A1511" s="21">
        <f t="shared" si="1"/>
        <v>0</v>
      </c>
      <c r="B1511" s="32" t="s">
        <v>281</v>
      </c>
      <c r="C1511" s="23" t="s">
        <v>282</v>
      </c>
      <c r="D1511" s="23" t="s">
        <v>21</v>
      </c>
      <c r="E1511" s="24">
        <v>45418.0</v>
      </c>
      <c r="F1511" s="25">
        <v>0.27361111111111114</v>
      </c>
      <c r="G1511" s="25">
        <v>0.6763888888888889</v>
      </c>
      <c r="H1511" s="27">
        <f t="shared" si="2"/>
        <v>0.4027777778</v>
      </c>
      <c r="I1511" s="28">
        <v>4.0</v>
      </c>
      <c r="J1511" s="29" t="s">
        <v>55</v>
      </c>
      <c r="K1511" s="30" t="s">
        <v>23</v>
      </c>
      <c r="L1511" s="31" t="str">
        <f>IFERROR(__xludf.DUMMYFUNCTION("IF(OR(E1511="""",K1511=""""),"""",IFERROR(IF(K1511="""","""",query('tbl user'!$A$2:$D10975,""SELECT A WHERE D = '""&amp;K1511&amp;""'"")),""USER TIDAK DIKETAHUI""))"),"#REF!")</f>
        <v>#REF!</v>
      </c>
    </row>
    <row r="1512">
      <c r="A1512" s="21">
        <f t="shared" si="1"/>
        <v>0</v>
      </c>
      <c r="B1512" s="32" t="s">
        <v>716</v>
      </c>
      <c r="C1512" s="23" t="s">
        <v>316</v>
      </c>
      <c r="D1512" s="23" t="s">
        <v>21</v>
      </c>
      <c r="E1512" s="24">
        <v>45418.0</v>
      </c>
      <c r="F1512" s="25">
        <v>0.275</v>
      </c>
      <c r="G1512" s="25">
        <v>0.4201388888888889</v>
      </c>
      <c r="H1512" s="27">
        <f t="shared" si="2"/>
        <v>0.1451388889</v>
      </c>
      <c r="I1512" s="28">
        <v>1.0</v>
      </c>
      <c r="J1512" s="29" t="s">
        <v>814</v>
      </c>
      <c r="K1512" s="30" t="s">
        <v>23</v>
      </c>
      <c r="L1512" s="31" t="str">
        <f>IFERROR(__xludf.DUMMYFUNCTION("IF(OR(E1512="""",K1512=""""),"""",IFERROR(IF(K1512="""","""",query('tbl user'!$A$2:$D10975,""SELECT A WHERE D = '""&amp;K1512&amp;""'"")),""USER TIDAK DIKETAHUI""))"),"#REF!")</f>
        <v>#REF!</v>
      </c>
    </row>
    <row r="1513">
      <c r="A1513" s="21">
        <f t="shared" si="1"/>
        <v>0</v>
      </c>
      <c r="B1513" s="32" t="s">
        <v>131</v>
      </c>
      <c r="C1513" s="23" t="s">
        <v>339</v>
      </c>
      <c r="D1513" s="23" t="s">
        <v>21</v>
      </c>
      <c r="E1513" s="24">
        <v>45418.0</v>
      </c>
      <c r="F1513" s="25">
        <v>0.2798611111111111</v>
      </c>
      <c r="G1513" s="25">
        <v>0.5798611111111112</v>
      </c>
      <c r="H1513" s="27">
        <f t="shared" si="2"/>
        <v>0.3</v>
      </c>
      <c r="I1513" s="28">
        <v>3.0</v>
      </c>
      <c r="J1513" s="29" t="s">
        <v>815</v>
      </c>
      <c r="K1513" s="30" t="s">
        <v>23</v>
      </c>
      <c r="L1513" s="31" t="str">
        <f>IFERROR(__xludf.DUMMYFUNCTION("IF(OR(E1513="""",K1513=""""),"""",IFERROR(IF(K1513="""","""",query('tbl user'!$A$2:$D10975,""SELECT A WHERE D = '""&amp;K1513&amp;""'"")),""USER TIDAK DIKETAHUI""))"),"#REF!")</f>
        <v>#REF!</v>
      </c>
    </row>
    <row r="1514">
      <c r="A1514" s="21">
        <f t="shared" si="1"/>
        <v>0</v>
      </c>
      <c r="B1514" s="32" t="s">
        <v>219</v>
      </c>
      <c r="C1514" s="23" t="s">
        <v>340</v>
      </c>
      <c r="D1514" s="23" t="s">
        <v>21</v>
      </c>
      <c r="E1514" s="24">
        <v>45418.0</v>
      </c>
      <c r="F1514" s="25">
        <v>0.26666666666666666</v>
      </c>
      <c r="G1514" s="25">
        <v>0.5520833333333334</v>
      </c>
      <c r="H1514" s="27">
        <f t="shared" si="2"/>
        <v>0.2854166667</v>
      </c>
      <c r="I1514" s="28">
        <v>3.0</v>
      </c>
      <c r="J1514" s="29" t="s">
        <v>816</v>
      </c>
      <c r="K1514" s="30" t="s">
        <v>23</v>
      </c>
      <c r="L1514" s="31" t="str">
        <f>IFERROR(__xludf.DUMMYFUNCTION("IF(OR(E1514="""",K1514=""""),"""",IFERROR(IF(K1514="""","""",query('tbl user'!$A$2:$D10975,""SELECT A WHERE D = '""&amp;K1514&amp;""'"")),""USER TIDAK DIKETAHUI""))"),"#REF!")</f>
        <v>#REF!</v>
      </c>
    </row>
    <row r="1515">
      <c r="A1515" s="21">
        <f t="shared" si="1"/>
        <v>0</v>
      </c>
      <c r="B1515" s="32" t="s">
        <v>335</v>
      </c>
      <c r="C1515" s="23" t="s">
        <v>336</v>
      </c>
      <c r="D1515" s="23" t="s">
        <v>21</v>
      </c>
      <c r="E1515" s="24">
        <v>45418.0</v>
      </c>
      <c r="F1515" s="25">
        <v>0.29097222222222224</v>
      </c>
      <c r="G1515" s="25">
        <v>0.6486111111111111</v>
      </c>
      <c r="H1515" s="27">
        <f t="shared" si="2"/>
        <v>0.3576388889</v>
      </c>
      <c r="I1515" s="28">
        <v>4.0</v>
      </c>
      <c r="J1515" s="29" t="s">
        <v>817</v>
      </c>
      <c r="K1515" s="30" t="s">
        <v>23</v>
      </c>
      <c r="L1515" s="31" t="str">
        <f>IFERROR(__xludf.DUMMYFUNCTION("IF(OR(E1515="""",K1515=""""),"""",IFERROR(IF(K1515="""","""",query('tbl user'!$A$2:$D10975,""SELECT A WHERE D = '""&amp;K1515&amp;""'"")),""USER TIDAK DIKETAHUI""))"),"#REF!")</f>
        <v>#REF!</v>
      </c>
    </row>
    <row r="1516">
      <c r="A1516" s="21">
        <f t="shared" si="1"/>
        <v>0</v>
      </c>
      <c r="B1516" s="32" t="s">
        <v>325</v>
      </c>
      <c r="C1516" s="23" t="s">
        <v>326</v>
      </c>
      <c r="D1516" s="23" t="s">
        <v>21</v>
      </c>
      <c r="E1516" s="24">
        <v>45418.0</v>
      </c>
      <c r="F1516" s="25">
        <v>0.2611111111111111</v>
      </c>
      <c r="G1516" s="25">
        <v>0.5791666666666667</v>
      </c>
      <c r="H1516" s="27">
        <f t="shared" si="2"/>
        <v>0.3180555556</v>
      </c>
      <c r="I1516" s="28">
        <v>4.0</v>
      </c>
      <c r="J1516" s="29" t="s">
        <v>818</v>
      </c>
      <c r="K1516" s="30" t="s">
        <v>23</v>
      </c>
      <c r="L1516" s="31" t="str">
        <f>IFERROR(__xludf.DUMMYFUNCTION("IF(OR(E1516="""",K1516=""""),"""",IFERROR(IF(K1516="""","""",query('tbl user'!$A$2:$D10975,""SELECT A WHERE D = '""&amp;K1516&amp;""'"")),""USER TIDAK DIKETAHUI""))"),"#REF!")</f>
        <v>#REF!</v>
      </c>
    </row>
    <row r="1517">
      <c r="A1517" s="21">
        <f t="shared" si="1"/>
        <v>0</v>
      </c>
      <c r="B1517" s="32" t="s">
        <v>601</v>
      </c>
      <c r="C1517" s="23" t="s">
        <v>323</v>
      </c>
      <c r="D1517" s="23" t="s">
        <v>21</v>
      </c>
      <c r="E1517" s="24">
        <v>45418.0</v>
      </c>
      <c r="F1517" s="25">
        <v>0.2791666666666667</v>
      </c>
      <c r="G1517" s="25">
        <v>0.6479166666666667</v>
      </c>
      <c r="H1517" s="27">
        <f t="shared" si="2"/>
        <v>0.36875</v>
      </c>
      <c r="I1517" s="28">
        <v>4.0</v>
      </c>
      <c r="J1517" s="29" t="s">
        <v>819</v>
      </c>
      <c r="K1517" s="30" t="s">
        <v>23</v>
      </c>
      <c r="L1517" s="31" t="str">
        <f>IFERROR(__xludf.DUMMYFUNCTION("IF(OR(E1517="""",K1517=""""),"""",IFERROR(IF(K1517="""","""",query('tbl user'!$A$2:$D10975,""SELECT A WHERE D = '""&amp;K1517&amp;""'"")),""USER TIDAK DIKETAHUI""))"),"#REF!")</f>
        <v>#REF!</v>
      </c>
    </row>
    <row r="1518">
      <c r="A1518" s="21">
        <f t="shared" si="1"/>
        <v>0</v>
      </c>
      <c r="B1518" s="32" t="s">
        <v>87</v>
      </c>
      <c r="C1518" s="23" t="s">
        <v>88</v>
      </c>
      <c r="D1518" s="23" t="s">
        <v>21</v>
      </c>
      <c r="E1518" s="24">
        <v>45418.0</v>
      </c>
      <c r="F1518" s="25">
        <v>0.2659722222222222</v>
      </c>
      <c r="G1518" s="25">
        <v>0.6555555555555556</v>
      </c>
      <c r="H1518" s="27">
        <f t="shared" si="2"/>
        <v>0.3895833333</v>
      </c>
      <c r="I1518" s="28">
        <v>5.0</v>
      </c>
      <c r="J1518" s="29" t="s">
        <v>55</v>
      </c>
      <c r="K1518" s="30" t="s">
        <v>23</v>
      </c>
      <c r="L1518" s="31" t="str">
        <f>IFERROR(__xludf.DUMMYFUNCTION("IF(OR(E1518="""",K1518=""""),"""",IFERROR(IF(K1518="""","""",query('tbl user'!$A$2:$D10975,""SELECT A WHERE D = '""&amp;K1518&amp;""'"")),""USER TIDAK DIKETAHUI""))"),"#REF!")</f>
        <v>#REF!</v>
      </c>
    </row>
    <row r="1519">
      <c r="A1519" s="21">
        <f t="shared" si="1"/>
        <v>0</v>
      </c>
      <c r="B1519" s="32" t="s">
        <v>53</v>
      </c>
      <c r="C1519" s="23" t="s">
        <v>54</v>
      </c>
      <c r="D1519" s="23" t="s">
        <v>21</v>
      </c>
      <c r="E1519" s="24">
        <v>45418.0</v>
      </c>
      <c r="F1519" s="25">
        <v>0.26944444444444443</v>
      </c>
      <c r="G1519" s="25">
        <v>0.7194444444444444</v>
      </c>
      <c r="H1519" s="27">
        <f t="shared" si="2"/>
        <v>0.45</v>
      </c>
      <c r="I1519" s="28">
        <v>5.0</v>
      </c>
      <c r="J1519" s="29" t="s">
        <v>55</v>
      </c>
      <c r="K1519" s="30" t="s">
        <v>23</v>
      </c>
      <c r="L1519" s="31" t="str">
        <f>IFERROR(__xludf.DUMMYFUNCTION("IF(OR(E1519="""",K1519=""""),"""",IFERROR(IF(K1519="""","""",query('tbl user'!$A$2:$D10975,""SELECT A WHERE D = '""&amp;K1519&amp;""'"")),""USER TIDAK DIKETAHUI""))"),"#REF!")</f>
        <v>#REF!</v>
      </c>
    </row>
    <row r="1520">
      <c r="A1520" s="21">
        <f t="shared" si="1"/>
        <v>0</v>
      </c>
      <c r="B1520" s="32" t="s">
        <v>577</v>
      </c>
      <c r="C1520" s="23" t="s">
        <v>330</v>
      </c>
      <c r="D1520" s="23" t="s">
        <v>21</v>
      </c>
      <c r="E1520" s="24">
        <v>45418.0</v>
      </c>
      <c r="F1520" s="25">
        <v>0.26875</v>
      </c>
      <c r="G1520" s="25">
        <v>0.70625</v>
      </c>
      <c r="H1520" s="27">
        <f t="shared" si="2"/>
        <v>0.4375</v>
      </c>
      <c r="I1520" s="28">
        <v>5.0</v>
      </c>
      <c r="J1520" s="29" t="s">
        <v>55</v>
      </c>
      <c r="K1520" s="30" t="s">
        <v>23</v>
      </c>
      <c r="L1520" s="31" t="str">
        <f>IFERROR(__xludf.DUMMYFUNCTION("IF(OR(E1520="""",K1520=""""),"""",IFERROR(IF(K1520="""","""",query('tbl user'!$A$2:$D10975,""SELECT A WHERE D = '""&amp;K1520&amp;""'"")),""USER TIDAK DIKETAHUI""))"),"#REF!")</f>
        <v>#REF!</v>
      </c>
    </row>
    <row r="1521">
      <c r="A1521" s="21">
        <f t="shared" si="1"/>
        <v>0</v>
      </c>
      <c r="B1521" s="32" t="s">
        <v>337</v>
      </c>
      <c r="C1521" s="23" t="s">
        <v>338</v>
      </c>
      <c r="D1521" s="23" t="s">
        <v>21</v>
      </c>
      <c r="E1521" s="24">
        <v>45418.0</v>
      </c>
      <c r="F1521" s="25">
        <v>0.2625</v>
      </c>
      <c r="G1521" s="25">
        <v>0.6430555555555556</v>
      </c>
      <c r="H1521" s="27">
        <f t="shared" si="2"/>
        <v>0.3805555556</v>
      </c>
      <c r="I1521" s="28">
        <v>5.0</v>
      </c>
      <c r="J1521" s="29" t="s">
        <v>55</v>
      </c>
      <c r="K1521" s="30" t="s">
        <v>23</v>
      </c>
      <c r="L1521" s="31" t="str">
        <f>IFERROR(__xludf.DUMMYFUNCTION("IF(OR(E1521="""",K1521=""""),"""",IFERROR(IF(K1521="""","""",query('tbl user'!$A$2:$D10975,""SELECT A WHERE D = '""&amp;K1521&amp;""'"")),""USER TIDAK DIKETAHUI""))"),"#REF!")</f>
        <v>#REF!</v>
      </c>
    </row>
    <row r="1522">
      <c r="A1522" s="21">
        <f t="shared" si="1"/>
        <v>0</v>
      </c>
      <c r="B1522" s="32" t="s">
        <v>331</v>
      </c>
      <c r="C1522" s="23" t="s">
        <v>332</v>
      </c>
      <c r="D1522" s="23" t="s">
        <v>21</v>
      </c>
      <c r="E1522" s="24">
        <v>45418.0</v>
      </c>
      <c r="F1522" s="25">
        <v>0.26180555555555557</v>
      </c>
      <c r="G1522" s="25">
        <v>0.7118055555555556</v>
      </c>
      <c r="H1522" s="27">
        <f t="shared" si="2"/>
        <v>0.45</v>
      </c>
      <c r="I1522" s="28">
        <v>6.0</v>
      </c>
      <c r="J1522" s="29" t="s">
        <v>55</v>
      </c>
      <c r="K1522" s="30" t="s">
        <v>23</v>
      </c>
      <c r="L1522" s="31" t="str">
        <f>IFERROR(__xludf.DUMMYFUNCTION("IF(OR(E1522="""",K1522=""""),"""",IFERROR(IF(K1522="""","""",query('tbl user'!$A$2:$D10975,""SELECT A WHERE D = '""&amp;K1522&amp;""'"")),""USER TIDAK DIKETAHUI""))"),"#REF!")</f>
        <v>#REF!</v>
      </c>
    </row>
    <row r="1523">
      <c r="A1523" s="21">
        <f t="shared" si="1"/>
        <v>0</v>
      </c>
      <c r="B1523" s="32" t="s">
        <v>319</v>
      </c>
      <c r="C1523" s="23" t="s">
        <v>320</v>
      </c>
      <c r="D1523" s="23" t="s">
        <v>21</v>
      </c>
      <c r="E1523" s="24">
        <v>45418.0</v>
      </c>
      <c r="F1523" s="25">
        <v>0.26319444444444445</v>
      </c>
      <c r="G1523" s="25">
        <v>0.7208333333333333</v>
      </c>
      <c r="H1523" s="27">
        <f t="shared" si="2"/>
        <v>0.4576388889</v>
      </c>
      <c r="I1523" s="28">
        <v>6.0</v>
      </c>
      <c r="J1523" s="29" t="s">
        <v>55</v>
      </c>
      <c r="K1523" s="30" t="s">
        <v>23</v>
      </c>
      <c r="L1523" s="31" t="str">
        <f>IFERROR(__xludf.DUMMYFUNCTION("IF(OR(E1523="""",K1523=""""),"""",IFERROR(IF(K1523="""","""",query('tbl user'!$A$2:$D10975,""SELECT A WHERE D = '""&amp;K1523&amp;""'"")),""USER TIDAK DIKETAHUI""))"),"#REF!")</f>
        <v>#REF!</v>
      </c>
    </row>
    <row r="1524">
      <c r="A1524" s="21">
        <f t="shared" si="1"/>
        <v>0</v>
      </c>
      <c r="B1524" s="32" t="s">
        <v>115</v>
      </c>
      <c r="C1524" s="23" t="s">
        <v>116</v>
      </c>
      <c r="D1524" s="23" t="s">
        <v>32</v>
      </c>
      <c r="E1524" s="24">
        <v>45418.0</v>
      </c>
      <c r="F1524" s="25">
        <v>0.2826388888888889</v>
      </c>
      <c r="G1524" s="25">
        <v>0.46319444444444446</v>
      </c>
      <c r="H1524" s="27">
        <f t="shared" si="2"/>
        <v>0.1805555556</v>
      </c>
      <c r="I1524" s="28">
        <v>1.0</v>
      </c>
      <c r="J1524" s="29" t="s">
        <v>820</v>
      </c>
      <c r="K1524" s="30" t="s">
        <v>23</v>
      </c>
      <c r="L1524" s="31" t="str">
        <f>IFERROR(__xludf.DUMMYFUNCTION("IF(OR(E1524="""",K1524=""""),"""",IFERROR(IF(K1524="""","""",query('tbl user'!$A$2:$D10975,""SELECT A WHERE D = '""&amp;K1524&amp;""'"")),""USER TIDAK DIKETAHUI""))"),"#REF!")</f>
        <v>#REF!</v>
      </c>
    </row>
    <row r="1525">
      <c r="A1525" s="21">
        <f t="shared" si="1"/>
        <v>0</v>
      </c>
      <c r="B1525" s="32" t="s">
        <v>30</v>
      </c>
      <c r="C1525" s="23" t="s">
        <v>31</v>
      </c>
      <c r="D1525" s="23" t="s">
        <v>32</v>
      </c>
      <c r="E1525" s="24">
        <v>45418.0</v>
      </c>
      <c r="F1525" s="25">
        <v>0.48819444444444443</v>
      </c>
      <c r="G1525" s="25">
        <v>0.6993055555555555</v>
      </c>
      <c r="H1525" s="27">
        <f t="shared" si="2"/>
        <v>0.2111111111</v>
      </c>
      <c r="I1525" s="28">
        <v>2.0</v>
      </c>
      <c r="J1525" s="29" t="s">
        <v>821</v>
      </c>
      <c r="K1525" s="30" t="s">
        <v>23</v>
      </c>
      <c r="L1525" s="31" t="str">
        <f>IFERROR(__xludf.DUMMYFUNCTION("IF(OR(E1525="""",K1525=""""),"""",IFERROR(IF(K1525="""","""",query('tbl user'!$A$2:$D10975,""SELECT A WHERE D = '""&amp;K1525&amp;""'"")),""USER TIDAK DIKETAHUI""))"),"#REF!")</f>
        <v>#REF!</v>
      </c>
    </row>
    <row r="1526">
      <c r="A1526" s="21">
        <f t="shared" si="1"/>
        <v>0</v>
      </c>
      <c r="B1526" s="32" t="s">
        <v>263</v>
      </c>
      <c r="C1526" s="23" t="s">
        <v>264</v>
      </c>
      <c r="D1526" s="23" t="s">
        <v>32</v>
      </c>
      <c r="E1526" s="24">
        <v>45418.0</v>
      </c>
      <c r="F1526" s="25">
        <v>0.2652777777777778</v>
      </c>
      <c r="G1526" s="25">
        <v>0.6986111111111111</v>
      </c>
      <c r="H1526" s="27">
        <f t="shared" si="2"/>
        <v>0.4333333333</v>
      </c>
      <c r="I1526" s="28">
        <v>3.0</v>
      </c>
      <c r="J1526" s="29" t="s">
        <v>822</v>
      </c>
      <c r="K1526" s="30" t="s">
        <v>23</v>
      </c>
      <c r="L1526" s="31" t="str">
        <f>IFERROR(__xludf.DUMMYFUNCTION("IF(OR(E1526="""",K1526=""""),"""",IFERROR(IF(K1526="""","""",query('tbl user'!$A$2:$D10975,""SELECT A WHERE D = '""&amp;K1526&amp;""'"")),""USER TIDAK DIKETAHUI""))"),"#REF!")</f>
        <v>#REF!</v>
      </c>
    </row>
    <row r="1527">
      <c r="A1527" s="21">
        <f t="shared" si="1"/>
        <v>0</v>
      </c>
      <c r="B1527" s="32" t="s">
        <v>72</v>
      </c>
      <c r="C1527" s="23" t="s">
        <v>73</v>
      </c>
      <c r="D1527" s="23" t="s">
        <v>32</v>
      </c>
      <c r="E1527" s="24">
        <v>45418.0</v>
      </c>
      <c r="F1527" s="25">
        <v>0.2743055555555556</v>
      </c>
      <c r="G1527" s="25">
        <v>0.6986111111111111</v>
      </c>
      <c r="H1527" s="27">
        <f t="shared" si="2"/>
        <v>0.4243055556</v>
      </c>
      <c r="I1527" s="28">
        <v>3.0</v>
      </c>
      <c r="J1527" s="29" t="s">
        <v>823</v>
      </c>
      <c r="K1527" s="30" t="s">
        <v>23</v>
      </c>
      <c r="L1527" s="31" t="str">
        <f>IFERROR(__xludf.DUMMYFUNCTION("IF(OR(E1527="""",K1527=""""),"""",IFERROR(IF(K1527="""","""",query('tbl user'!$A$2:$D10975,""SELECT A WHERE D = '""&amp;K1527&amp;""'"")),""USER TIDAK DIKETAHUI""))"),"#REF!")</f>
        <v>#REF!</v>
      </c>
    </row>
    <row r="1528">
      <c r="A1528" s="21">
        <f t="shared" si="1"/>
        <v>0</v>
      </c>
      <c r="B1528" s="32" t="s">
        <v>113</v>
      </c>
      <c r="C1528" s="23" t="s">
        <v>114</v>
      </c>
      <c r="D1528" s="23" t="s">
        <v>32</v>
      </c>
      <c r="E1528" s="24">
        <v>45418.0</v>
      </c>
      <c r="F1528" s="25">
        <v>0.26319444444444445</v>
      </c>
      <c r="G1528" s="25">
        <v>0.7368055555555556</v>
      </c>
      <c r="H1528" s="27">
        <f t="shared" si="2"/>
        <v>0.4736111111</v>
      </c>
      <c r="I1528" s="28">
        <v>4.0</v>
      </c>
      <c r="J1528" s="29" t="s">
        <v>55</v>
      </c>
      <c r="K1528" s="30" t="s">
        <v>23</v>
      </c>
      <c r="L1528" s="31" t="str">
        <f>IFERROR(__xludf.DUMMYFUNCTION("IF(OR(E1528="""",K1528=""""),"""",IFERROR(IF(K1528="""","""",query('tbl user'!$A$2:$D10975,""SELECT A WHERE D = '""&amp;K1528&amp;""'"")),""USER TIDAK DIKETAHUI""))"),"#REF!")</f>
        <v>#REF!</v>
      </c>
    </row>
    <row r="1529">
      <c r="A1529" s="21">
        <f t="shared" si="1"/>
        <v>0</v>
      </c>
      <c r="B1529" s="32" t="s">
        <v>46</v>
      </c>
      <c r="C1529" s="23" t="s">
        <v>47</v>
      </c>
      <c r="D1529" s="23" t="s">
        <v>32</v>
      </c>
      <c r="E1529" s="24">
        <v>45418.0</v>
      </c>
      <c r="F1529" s="25">
        <v>0.25833333333333336</v>
      </c>
      <c r="G1529" s="25">
        <v>0.74375</v>
      </c>
      <c r="H1529" s="27">
        <f t="shared" si="2"/>
        <v>0.4854166667</v>
      </c>
      <c r="I1529" s="28">
        <v>4.0</v>
      </c>
      <c r="J1529" s="29" t="s">
        <v>55</v>
      </c>
      <c r="K1529" s="30" t="s">
        <v>23</v>
      </c>
      <c r="L1529" s="31" t="str">
        <f>IFERROR(__xludf.DUMMYFUNCTION("IF(OR(E1529="""",K1529=""""),"""",IFERROR(IF(K1529="""","""",query('tbl user'!$A$2:$D10975,""SELECT A WHERE D = '""&amp;K1529&amp;""'"")),""USER TIDAK DIKETAHUI""))"),"#REF!")</f>
        <v>#REF!</v>
      </c>
    </row>
    <row r="1530">
      <c r="A1530" s="21">
        <f t="shared" si="1"/>
        <v>0</v>
      </c>
      <c r="B1530" s="32" t="s">
        <v>118</v>
      </c>
      <c r="C1530" s="23" t="s">
        <v>119</v>
      </c>
      <c r="D1530" s="23" t="s">
        <v>32</v>
      </c>
      <c r="E1530" s="24">
        <v>45418.0</v>
      </c>
      <c r="F1530" s="25">
        <v>0.26458333333333334</v>
      </c>
      <c r="G1530" s="25">
        <v>0.7333333333333333</v>
      </c>
      <c r="H1530" s="27">
        <f t="shared" si="2"/>
        <v>0.46875</v>
      </c>
      <c r="I1530" s="28">
        <v>4.0</v>
      </c>
      <c r="J1530" s="29" t="s">
        <v>55</v>
      </c>
      <c r="K1530" s="30" t="s">
        <v>23</v>
      </c>
      <c r="L1530" s="31" t="str">
        <f>IFERROR(__xludf.DUMMYFUNCTION("IF(OR(E1530="""",K1530=""""),"""",IFERROR(IF(K1530="""","""",query('tbl user'!$A$2:$D10975,""SELECT A WHERE D = '""&amp;K1530&amp;""'"")),""USER TIDAK DIKETAHUI""))"),"#REF!")</f>
        <v>#REF!</v>
      </c>
    </row>
    <row r="1531">
      <c r="A1531" s="21">
        <f t="shared" si="1"/>
        <v>0</v>
      </c>
      <c r="B1531" s="32" t="s">
        <v>75</v>
      </c>
      <c r="C1531" s="23" t="s">
        <v>76</v>
      </c>
      <c r="D1531" s="23" t="s">
        <v>32</v>
      </c>
      <c r="E1531" s="24">
        <v>45418.0</v>
      </c>
      <c r="F1531" s="25">
        <v>0.2673611111111111</v>
      </c>
      <c r="G1531" s="25">
        <v>0.6819444444444445</v>
      </c>
      <c r="H1531" s="27">
        <f t="shared" si="2"/>
        <v>0.4145833333</v>
      </c>
      <c r="I1531" s="28">
        <v>4.0</v>
      </c>
      <c r="J1531" s="29" t="s">
        <v>55</v>
      </c>
      <c r="K1531" s="30" t="s">
        <v>23</v>
      </c>
      <c r="L1531" s="31" t="str">
        <f>IFERROR(__xludf.DUMMYFUNCTION("IF(OR(E1531="""",K1531=""""),"""",IFERROR(IF(K1531="""","""",query('tbl user'!$A$2:$D10975,""SELECT A WHERE D = '""&amp;K1531&amp;""'"")),""USER TIDAK DIKETAHUI""))"),"#REF!")</f>
        <v>#REF!</v>
      </c>
    </row>
    <row r="1532">
      <c r="A1532" s="21">
        <f t="shared" si="1"/>
        <v>0</v>
      </c>
      <c r="B1532" s="32" t="s">
        <v>123</v>
      </c>
      <c r="C1532" s="23" t="s">
        <v>124</v>
      </c>
      <c r="D1532" s="23" t="s">
        <v>32</v>
      </c>
      <c r="E1532" s="24">
        <v>45418.0</v>
      </c>
      <c r="F1532" s="25">
        <v>0.2708333333333333</v>
      </c>
      <c r="G1532" s="25">
        <v>0.6826388888888889</v>
      </c>
      <c r="H1532" s="27">
        <f t="shared" si="2"/>
        <v>0.4118055556</v>
      </c>
      <c r="I1532" s="28">
        <v>4.0</v>
      </c>
      <c r="J1532" s="29" t="s">
        <v>55</v>
      </c>
      <c r="K1532" s="30" t="s">
        <v>23</v>
      </c>
      <c r="L1532" s="31" t="str">
        <f>IFERROR(__xludf.DUMMYFUNCTION("IF(OR(E1532="""",K1532=""""),"""",IFERROR(IF(K1532="""","""",query('tbl user'!$A$2:$D10975,""SELECT A WHERE D = '""&amp;K1532&amp;""'"")),""USER TIDAK DIKETAHUI""))"),"#REF!")</f>
        <v>#REF!</v>
      </c>
    </row>
    <row r="1533">
      <c r="A1533" s="21">
        <f t="shared" si="1"/>
        <v>0</v>
      </c>
      <c r="B1533" s="32" t="s">
        <v>276</v>
      </c>
      <c r="C1533" s="23" t="s">
        <v>132</v>
      </c>
      <c r="D1533" s="23" t="s">
        <v>32</v>
      </c>
      <c r="E1533" s="24">
        <v>45418.0</v>
      </c>
      <c r="F1533" s="25">
        <v>0.29097222222222224</v>
      </c>
      <c r="G1533" s="25">
        <v>0.6972222222222222</v>
      </c>
      <c r="H1533" s="27">
        <f t="shared" si="2"/>
        <v>0.40625</v>
      </c>
      <c r="I1533" s="28">
        <v>4.0</v>
      </c>
      <c r="J1533" s="29" t="s">
        <v>55</v>
      </c>
      <c r="K1533" s="30" t="s">
        <v>23</v>
      </c>
      <c r="L1533" s="31" t="str">
        <f>IFERROR(__xludf.DUMMYFUNCTION("IF(OR(E1533="""",K1533=""""),"""",IFERROR(IF(K1533="""","""",query('tbl user'!$A$2:$D10975,""SELECT A WHERE D = '""&amp;K1533&amp;""'"")),""USER TIDAK DIKETAHUI""))"),"#REF!")</f>
        <v>#REF!</v>
      </c>
    </row>
    <row r="1534">
      <c r="A1534" s="21">
        <f t="shared" si="1"/>
        <v>0</v>
      </c>
      <c r="B1534" s="32" t="s">
        <v>125</v>
      </c>
      <c r="C1534" s="23" t="s">
        <v>126</v>
      </c>
      <c r="D1534" s="23" t="s">
        <v>32</v>
      </c>
      <c r="E1534" s="24">
        <v>45418.0</v>
      </c>
      <c r="F1534" s="25">
        <v>0.2722222222222222</v>
      </c>
      <c r="G1534" s="25">
        <v>0.7208333333333333</v>
      </c>
      <c r="H1534" s="27">
        <f t="shared" si="2"/>
        <v>0.4486111111</v>
      </c>
      <c r="I1534" s="28">
        <v>5.0</v>
      </c>
      <c r="J1534" s="29" t="s">
        <v>55</v>
      </c>
      <c r="K1534" s="30" t="s">
        <v>23</v>
      </c>
      <c r="L1534" s="31" t="str">
        <f>IFERROR(__xludf.DUMMYFUNCTION("IF(OR(E1534="""",K1534=""""),"""",IFERROR(IF(K1534="""","""",query('tbl user'!$A$2:$D10975,""SELECT A WHERE D = '""&amp;K1534&amp;""'"")),""USER TIDAK DIKETAHUI""))"),"#REF!")</f>
        <v>#REF!</v>
      </c>
    </row>
    <row r="1535">
      <c r="A1535" s="21">
        <f t="shared" si="1"/>
        <v>0</v>
      </c>
      <c r="B1535" s="32" t="s">
        <v>178</v>
      </c>
      <c r="C1535" s="23" t="s">
        <v>82</v>
      </c>
      <c r="D1535" s="23" t="s">
        <v>58</v>
      </c>
      <c r="E1535" s="24">
        <v>45419.0</v>
      </c>
      <c r="F1535" s="25">
        <v>0.33402777777777776</v>
      </c>
      <c r="G1535" s="25">
        <v>0.4423611111111111</v>
      </c>
      <c r="H1535" s="27">
        <f t="shared" si="2"/>
        <v>0.1083333333</v>
      </c>
      <c r="I1535" s="28">
        <v>1.0</v>
      </c>
      <c r="J1535" s="29" t="s">
        <v>824</v>
      </c>
      <c r="K1535" s="30" t="s">
        <v>23</v>
      </c>
      <c r="L1535" s="31" t="str">
        <f>IFERROR(__xludf.DUMMYFUNCTION("IF(OR(E1535="""",K1535=""""),"""",IFERROR(IF(K1535="""","""",query('tbl user'!$A$2:$D10975,""SELECT A WHERE D = '""&amp;K1535&amp;""'"")),""USER TIDAK DIKETAHUI""))"),"#REF!")</f>
        <v>#REF!</v>
      </c>
    </row>
    <row r="1536">
      <c r="A1536" s="21">
        <f t="shared" si="1"/>
        <v>0</v>
      </c>
      <c r="B1536" s="32" t="s">
        <v>104</v>
      </c>
      <c r="C1536" s="23" t="s">
        <v>105</v>
      </c>
      <c r="D1536" s="23" t="s">
        <v>58</v>
      </c>
      <c r="E1536" s="24">
        <v>45419.0</v>
      </c>
      <c r="F1536" s="25">
        <v>0.24513888888888888</v>
      </c>
      <c r="G1536" s="25">
        <v>0.71875</v>
      </c>
      <c r="H1536" s="27">
        <f t="shared" si="2"/>
        <v>0.4736111111</v>
      </c>
      <c r="I1536" s="28">
        <v>2.0</v>
      </c>
      <c r="J1536" s="29" t="s">
        <v>825</v>
      </c>
      <c r="K1536" s="30" t="s">
        <v>23</v>
      </c>
      <c r="L1536" s="31" t="str">
        <f>IFERROR(__xludf.DUMMYFUNCTION("IF(OR(E1536="""",K1536=""""),"""",IFERROR(IF(K1536="""","""",query('tbl user'!$A$2:$D10975,""SELECT A WHERE D = '""&amp;K1536&amp;""'"")),""USER TIDAK DIKETAHUI""))"),"#REF!")</f>
        <v>#REF!</v>
      </c>
    </row>
    <row r="1537">
      <c r="A1537" s="21">
        <f t="shared" si="1"/>
        <v>0</v>
      </c>
      <c r="B1537" s="32" t="s">
        <v>293</v>
      </c>
      <c r="C1537" s="23" t="s">
        <v>211</v>
      </c>
      <c r="D1537" s="23" t="s">
        <v>58</v>
      </c>
      <c r="E1537" s="24">
        <v>45419.0</v>
      </c>
      <c r="F1537" s="25">
        <v>0.2604166666666667</v>
      </c>
      <c r="G1537" s="25">
        <v>0.6986111111111111</v>
      </c>
      <c r="H1537" s="27">
        <f t="shared" si="2"/>
        <v>0.4381944444</v>
      </c>
      <c r="I1537" s="28">
        <v>3.0</v>
      </c>
      <c r="J1537" s="29" t="s">
        <v>826</v>
      </c>
      <c r="K1537" s="30" t="s">
        <v>23</v>
      </c>
      <c r="L1537" s="31" t="str">
        <f>IFERROR(__xludf.DUMMYFUNCTION("IF(OR(E1537="""",K1537=""""),"""",IFERROR(IF(K1537="""","""",query('tbl user'!$A$2:$D10975,""SELECT A WHERE D = '""&amp;K1537&amp;""'"")),""USER TIDAK DIKETAHUI""))"),"#REF!")</f>
        <v>#REF!</v>
      </c>
    </row>
    <row r="1538">
      <c r="A1538" s="21">
        <f t="shared" si="1"/>
        <v>0</v>
      </c>
      <c r="B1538" s="32" t="s">
        <v>167</v>
      </c>
      <c r="C1538" s="23" t="s">
        <v>168</v>
      </c>
      <c r="D1538" s="23" t="s">
        <v>58</v>
      </c>
      <c r="E1538" s="24">
        <v>45419.0</v>
      </c>
      <c r="F1538" s="25">
        <v>0.2326388888888889</v>
      </c>
      <c r="G1538" s="25">
        <v>0.5875</v>
      </c>
      <c r="H1538" s="27">
        <f t="shared" si="2"/>
        <v>0.3548611111</v>
      </c>
      <c r="I1538" s="28">
        <v>3.0</v>
      </c>
      <c r="J1538" s="29" t="s">
        <v>827</v>
      </c>
      <c r="K1538" s="30" t="s">
        <v>23</v>
      </c>
      <c r="L1538" s="31" t="str">
        <f>IFERROR(__xludf.DUMMYFUNCTION("IF(OR(E1538="""",K1538=""""),"""",IFERROR(IF(K1538="""","""",query('tbl user'!$A$2:$D10975,""SELECT A WHERE D = '""&amp;K1538&amp;""'"")),""USER TIDAK DIKETAHUI""))"),"#REF!")</f>
        <v>#REF!</v>
      </c>
    </row>
    <row r="1539">
      <c r="A1539" s="21">
        <f t="shared" si="1"/>
        <v>0</v>
      </c>
      <c r="B1539" s="32" t="s">
        <v>214</v>
      </c>
      <c r="C1539" s="23" t="s">
        <v>170</v>
      </c>
      <c r="D1539" s="23" t="s">
        <v>58</v>
      </c>
      <c r="E1539" s="24">
        <v>45419.0</v>
      </c>
      <c r="F1539" s="25">
        <v>0.28541666666666665</v>
      </c>
      <c r="G1539" s="25">
        <v>0.6395833333333333</v>
      </c>
      <c r="H1539" s="27">
        <f t="shared" si="2"/>
        <v>0.3541666667</v>
      </c>
      <c r="I1539" s="28">
        <v>3.0</v>
      </c>
      <c r="J1539" s="29" t="s">
        <v>828</v>
      </c>
      <c r="K1539" s="30" t="s">
        <v>23</v>
      </c>
      <c r="L1539" s="31" t="str">
        <f>IFERROR(__xludf.DUMMYFUNCTION("IF(OR(E1539="""",K1539=""""),"""",IFERROR(IF(K1539="""","""",query('tbl user'!$A$2:$D10975,""SELECT A WHERE D = '""&amp;K1539&amp;""'"")),""USER TIDAK DIKETAHUI""))"),"#REF!")</f>
        <v>#REF!</v>
      </c>
    </row>
    <row r="1540">
      <c r="A1540" s="21">
        <f t="shared" si="1"/>
        <v>0</v>
      </c>
      <c r="B1540" s="32" t="s">
        <v>215</v>
      </c>
      <c r="C1540" s="23" t="s">
        <v>176</v>
      </c>
      <c r="D1540" s="23" t="s">
        <v>58</v>
      </c>
      <c r="E1540" s="24">
        <v>45419.0</v>
      </c>
      <c r="F1540" s="25">
        <v>0.2652777777777778</v>
      </c>
      <c r="G1540" s="25">
        <v>0.6326388888888889</v>
      </c>
      <c r="H1540" s="27">
        <f t="shared" si="2"/>
        <v>0.3673611111</v>
      </c>
      <c r="I1540" s="28">
        <v>3.0</v>
      </c>
      <c r="J1540" s="29" t="s">
        <v>829</v>
      </c>
      <c r="K1540" s="30" t="s">
        <v>23</v>
      </c>
      <c r="L1540" s="31" t="str">
        <f>IFERROR(__xludf.DUMMYFUNCTION("IF(OR(E1540="""",K1540=""""),"""",IFERROR(IF(K1540="""","""",query('tbl user'!$A$2:$D10975,""SELECT A WHERE D = '""&amp;K1540&amp;""'"")),""USER TIDAK DIKETAHUI""))"),"#REF!")</f>
        <v>#REF!</v>
      </c>
    </row>
    <row r="1541">
      <c r="A1541" s="21">
        <f t="shared" si="1"/>
        <v>0</v>
      </c>
      <c r="B1541" s="32" t="s">
        <v>297</v>
      </c>
      <c r="C1541" s="23" t="s">
        <v>348</v>
      </c>
      <c r="D1541" s="23" t="s">
        <v>58</v>
      </c>
      <c r="E1541" s="24">
        <v>45419.0</v>
      </c>
      <c r="F1541" s="25">
        <v>0.25555555555555554</v>
      </c>
      <c r="G1541" s="25">
        <v>0.5881944444444445</v>
      </c>
      <c r="H1541" s="27">
        <f t="shared" si="2"/>
        <v>0.3326388889</v>
      </c>
      <c r="I1541" s="28">
        <v>3.0</v>
      </c>
      <c r="J1541" s="29" t="s">
        <v>830</v>
      </c>
      <c r="K1541" s="30" t="s">
        <v>23</v>
      </c>
      <c r="L1541" s="31" t="str">
        <f>IFERROR(__xludf.DUMMYFUNCTION("IF(OR(E1541="""",K1541=""""),"""",IFERROR(IF(K1541="""","""",query('tbl user'!$A$2:$D10975,""SELECT A WHERE D = '""&amp;K1541&amp;""'"")),""USER TIDAK DIKETAHUI""))"),"#REF!")</f>
        <v>#REF!</v>
      </c>
    </row>
    <row r="1542">
      <c r="A1542" s="21">
        <f t="shared" si="1"/>
        <v>0</v>
      </c>
      <c r="B1542" s="32" t="s">
        <v>205</v>
      </c>
      <c r="C1542" s="23" t="s">
        <v>206</v>
      </c>
      <c r="D1542" s="23" t="s">
        <v>58</v>
      </c>
      <c r="E1542" s="24">
        <v>45419.0</v>
      </c>
      <c r="F1542" s="25">
        <v>0.2534722222222222</v>
      </c>
      <c r="G1542" s="25">
        <v>0.6465277777777778</v>
      </c>
      <c r="H1542" s="27">
        <f t="shared" si="2"/>
        <v>0.3930555556</v>
      </c>
      <c r="I1542" s="28">
        <v>3.0</v>
      </c>
      <c r="J1542" s="29" t="s">
        <v>831</v>
      </c>
      <c r="K1542" s="30" t="s">
        <v>23</v>
      </c>
      <c r="L1542" s="31" t="str">
        <f>IFERROR(__xludf.DUMMYFUNCTION("IF(OR(E1542="""",K1542=""""),"""",IFERROR(IF(K1542="""","""",query('tbl user'!$A$2:$D10975,""SELECT A WHERE D = '""&amp;K1542&amp;""'"")),""USER TIDAK DIKETAHUI""))"),"#REF!")</f>
        <v>#REF!</v>
      </c>
    </row>
    <row r="1543">
      <c r="A1543" s="21">
        <f t="shared" si="1"/>
        <v>0</v>
      </c>
      <c r="B1543" s="32" t="s">
        <v>67</v>
      </c>
      <c r="C1543" s="23" t="s">
        <v>68</v>
      </c>
      <c r="D1543" s="23" t="s">
        <v>58</v>
      </c>
      <c r="E1543" s="24">
        <v>45419.0</v>
      </c>
      <c r="F1543" s="25">
        <v>0.2652777777777778</v>
      </c>
      <c r="G1543" s="25">
        <v>0.7180555555555556</v>
      </c>
      <c r="H1543" s="27">
        <f t="shared" si="2"/>
        <v>0.4527777778</v>
      </c>
      <c r="I1543" s="28">
        <v>4.0</v>
      </c>
      <c r="J1543" s="29" t="s">
        <v>55</v>
      </c>
      <c r="K1543" s="30" t="s">
        <v>23</v>
      </c>
      <c r="L1543" s="31" t="str">
        <f>IFERROR(__xludf.DUMMYFUNCTION("IF(OR(E1543="""",K1543=""""),"""",IFERROR(IF(K1543="""","""",query('tbl user'!$A$2:$D10975,""SELECT A WHERE D = '""&amp;K1543&amp;""'"")),""USER TIDAK DIKETAHUI""))"),"#REF!")</f>
        <v>#REF!</v>
      </c>
    </row>
    <row r="1544">
      <c r="A1544" s="21">
        <f t="shared" si="1"/>
        <v>0</v>
      </c>
      <c r="B1544" s="32" t="s">
        <v>95</v>
      </c>
      <c r="C1544" s="23" t="s">
        <v>93</v>
      </c>
      <c r="D1544" s="23" t="s">
        <v>58</v>
      </c>
      <c r="E1544" s="24">
        <v>45419.0</v>
      </c>
      <c r="F1544" s="25">
        <v>0.24722222222222223</v>
      </c>
      <c r="G1544" s="25">
        <v>0.64375</v>
      </c>
      <c r="H1544" s="27">
        <f t="shared" si="2"/>
        <v>0.3965277778</v>
      </c>
      <c r="I1544" s="28">
        <v>4.0</v>
      </c>
      <c r="J1544" s="29" t="s">
        <v>55</v>
      </c>
      <c r="K1544" s="30" t="s">
        <v>23</v>
      </c>
      <c r="L1544" s="31" t="str">
        <f>IFERROR(__xludf.DUMMYFUNCTION("IF(OR(E1544="""",K1544=""""),"""",IFERROR(IF(K1544="""","""",query('tbl user'!$A$2:$D10975,""SELECT A WHERE D = '""&amp;K1544&amp;""'"")),""USER TIDAK DIKETAHUI""))"),"#REF!")</f>
        <v>#REF!</v>
      </c>
    </row>
    <row r="1545">
      <c r="A1545" s="21">
        <f t="shared" si="1"/>
        <v>0</v>
      </c>
      <c r="B1545" s="32" t="s">
        <v>56</v>
      </c>
      <c r="C1545" s="23" t="s">
        <v>57</v>
      </c>
      <c r="D1545" s="23" t="s">
        <v>58</v>
      </c>
      <c r="E1545" s="24">
        <v>45419.0</v>
      </c>
      <c r="F1545" s="25">
        <v>0.2659722222222222</v>
      </c>
      <c r="G1545" s="25">
        <v>0.7104166666666667</v>
      </c>
      <c r="H1545" s="27">
        <f t="shared" si="2"/>
        <v>0.4444444444</v>
      </c>
      <c r="I1545" s="28">
        <v>4.0</v>
      </c>
      <c r="J1545" s="29" t="s">
        <v>55</v>
      </c>
      <c r="K1545" s="30" t="s">
        <v>23</v>
      </c>
      <c r="L1545" s="31" t="str">
        <f>IFERROR(__xludf.DUMMYFUNCTION("IF(OR(E1545="""",K1545=""""),"""",IFERROR(IF(K1545="""","""",query('tbl user'!$A$2:$D10975,""SELECT A WHERE D = '""&amp;K1545&amp;""'"")),""USER TIDAK DIKETAHUI""))"),"#REF!")</f>
        <v>#REF!</v>
      </c>
    </row>
    <row r="1546">
      <c r="A1546" s="21">
        <f t="shared" si="1"/>
        <v>0</v>
      </c>
      <c r="B1546" s="32" t="s">
        <v>180</v>
      </c>
      <c r="C1546" s="23" t="s">
        <v>181</v>
      </c>
      <c r="D1546" s="23" t="s">
        <v>58</v>
      </c>
      <c r="E1546" s="24">
        <v>45419.0</v>
      </c>
      <c r="F1546" s="25">
        <v>0.2388888888888889</v>
      </c>
      <c r="G1546" s="25">
        <v>0.6819444444444445</v>
      </c>
      <c r="H1546" s="27">
        <f t="shared" si="2"/>
        <v>0.4430555556</v>
      </c>
      <c r="I1546" s="28">
        <v>4.0</v>
      </c>
      <c r="J1546" s="29" t="s">
        <v>55</v>
      </c>
      <c r="K1546" s="30" t="s">
        <v>23</v>
      </c>
      <c r="L1546" s="31" t="str">
        <f>IFERROR(__xludf.DUMMYFUNCTION("IF(OR(E1546="""",K1546=""""),"""",IFERROR(IF(K1546="""","""",query('tbl user'!$A$2:$D10975,""SELECT A WHERE D = '""&amp;K1546&amp;""'"")),""USER TIDAK DIKETAHUI""))"),"#REF!")</f>
        <v>#REF!</v>
      </c>
    </row>
    <row r="1547">
      <c r="A1547" s="21">
        <f t="shared" si="1"/>
        <v>0</v>
      </c>
      <c r="B1547" s="32" t="s">
        <v>184</v>
      </c>
      <c r="C1547" s="23" t="s">
        <v>185</v>
      </c>
      <c r="D1547" s="23" t="s">
        <v>58</v>
      </c>
      <c r="E1547" s="24">
        <v>45419.0</v>
      </c>
      <c r="F1547" s="25">
        <v>0.24513888888888888</v>
      </c>
      <c r="G1547" s="25">
        <v>0.6479166666666667</v>
      </c>
      <c r="H1547" s="27">
        <f t="shared" si="2"/>
        <v>0.4027777778</v>
      </c>
      <c r="I1547" s="28">
        <v>4.0</v>
      </c>
      <c r="J1547" s="29" t="s">
        <v>55</v>
      </c>
      <c r="K1547" s="30" t="s">
        <v>23</v>
      </c>
      <c r="L1547" s="31" t="str">
        <f>IFERROR(__xludf.DUMMYFUNCTION("IF(OR(E1547="""",K1547=""""),"""",IFERROR(IF(K1547="""","""",query('tbl user'!$A$2:$D10975,""SELECT A WHERE D = '""&amp;K1547&amp;""'"")),""USER TIDAK DIKETAHUI""))"),"#REF!")</f>
        <v>#REF!</v>
      </c>
    </row>
    <row r="1548">
      <c r="A1548" s="21">
        <f t="shared" si="1"/>
        <v>0</v>
      </c>
      <c r="B1548" s="32" t="s">
        <v>187</v>
      </c>
      <c r="C1548" s="23" t="s">
        <v>188</v>
      </c>
      <c r="D1548" s="23" t="s">
        <v>58</v>
      </c>
      <c r="E1548" s="24">
        <v>45419.0</v>
      </c>
      <c r="F1548" s="25">
        <v>0.23541666666666666</v>
      </c>
      <c r="G1548" s="25">
        <v>0.7229166666666667</v>
      </c>
      <c r="H1548" s="27">
        <f t="shared" si="2"/>
        <v>0.4875</v>
      </c>
      <c r="I1548" s="28">
        <v>4.0</v>
      </c>
      <c r="J1548" s="29" t="s">
        <v>55</v>
      </c>
      <c r="K1548" s="30" t="s">
        <v>23</v>
      </c>
      <c r="L1548" s="31" t="str">
        <f>IFERROR(__xludf.DUMMYFUNCTION("IF(OR(E1548="""",K1548=""""),"""",IFERROR(IF(K1548="""","""",query('tbl user'!$A$2:$D10975,""SELECT A WHERE D = '""&amp;K1548&amp;""'"")),""USER TIDAK DIKETAHUI""))"),"#REF!")</f>
        <v>#REF!</v>
      </c>
    </row>
    <row r="1549">
      <c r="A1549" s="21">
        <f t="shared" si="1"/>
        <v>0</v>
      </c>
      <c r="B1549" s="32" t="s">
        <v>189</v>
      </c>
      <c r="C1549" s="23" t="s">
        <v>190</v>
      </c>
      <c r="D1549" s="23" t="s">
        <v>58</v>
      </c>
      <c r="E1549" s="24">
        <v>45419.0</v>
      </c>
      <c r="F1549" s="25">
        <v>0.25972222222222224</v>
      </c>
      <c r="G1549" s="25">
        <v>0.70625</v>
      </c>
      <c r="H1549" s="27">
        <f t="shared" si="2"/>
        <v>0.4465277778</v>
      </c>
      <c r="I1549" s="28">
        <v>4.0</v>
      </c>
      <c r="J1549" s="29" t="s">
        <v>55</v>
      </c>
      <c r="K1549" s="30" t="s">
        <v>23</v>
      </c>
      <c r="L1549" s="31" t="str">
        <f>IFERROR(__xludf.DUMMYFUNCTION("IF(OR(E1549="""",K1549=""""),"""",IFERROR(IF(K1549="""","""",query('tbl user'!$A$2:$D10975,""SELECT A WHERE D = '""&amp;K1549&amp;""'"")),""USER TIDAK DIKETAHUI""))"),"#REF!")</f>
        <v>#REF!</v>
      </c>
    </row>
    <row r="1550">
      <c r="A1550" s="21">
        <f t="shared" si="1"/>
        <v>0</v>
      </c>
      <c r="B1550" s="32" t="s">
        <v>191</v>
      </c>
      <c r="C1550" s="23" t="s">
        <v>192</v>
      </c>
      <c r="D1550" s="23" t="s">
        <v>58</v>
      </c>
      <c r="E1550" s="24">
        <v>45419.0</v>
      </c>
      <c r="F1550" s="25">
        <v>0.2659722222222222</v>
      </c>
      <c r="G1550" s="25">
        <v>0.6625</v>
      </c>
      <c r="H1550" s="27">
        <f t="shared" si="2"/>
        <v>0.3965277778</v>
      </c>
      <c r="I1550" s="28">
        <v>4.0</v>
      </c>
      <c r="J1550" s="29" t="s">
        <v>55</v>
      </c>
      <c r="K1550" s="30" t="s">
        <v>23</v>
      </c>
      <c r="L1550" s="31" t="str">
        <f>IFERROR(__xludf.DUMMYFUNCTION("IF(OR(E1550="""",K1550=""""),"""",IFERROR(IF(K1550="""","""",query('tbl user'!$A$2:$D10975,""SELECT A WHERE D = '""&amp;K1550&amp;""'"")),""USER TIDAK DIKETAHUI""))"),"#REF!")</f>
        <v>#REF!</v>
      </c>
    </row>
    <row r="1551">
      <c r="A1551" s="21">
        <f t="shared" si="1"/>
        <v>0</v>
      </c>
      <c r="B1551" s="32" t="s">
        <v>216</v>
      </c>
      <c r="C1551" s="23" t="s">
        <v>198</v>
      </c>
      <c r="D1551" s="23" t="s">
        <v>58</v>
      </c>
      <c r="E1551" s="24">
        <v>45419.0</v>
      </c>
      <c r="F1551" s="25">
        <v>0.21875</v>
      </c>
      <c r="G1551" s="25">
        <v>0.6534722222222222</v>
      </c>
      <c r="H1551" s="27">
        <f t="shared" si="2"/>
        <v>0.4347222222</v>
      </c>
      <c r="I1551" s="28">
        <v>4.0</v>
      </c>
      <c r="J1551" s="29" t="s">
        <v>55</v>
      </c>
      <c r="K1551" s="30" t="s">
        <v>23</v>
      </c>
      <c r="L1551" s="31" t="str">
        <f>IFERROR(__xludf.DUMMYFUNCTION("IF(OR(E1551="""",K1551=""""),"""",IFERROR(IF(K1551="""","""",query('tbl user'!$A$2:$D10975,""SELECT A WHERE D = '""&amp;K1551&amp;""'"")),""USER TIDAK DIKETAHUI""))"),"#REF!")</f>
        <v>#REF!</v>
      </c>
    </row>
    <row r="1552">
      <c r="A1552" s="21">
        <f t="shared" si="1"/>
        <v>0</v>
      </c>
      <c r="B1552" s="32" t="s">
        <v>202</v>
      </c>
      <c r="C1552" s="23" t="s">
        <v>203</v>
      </c>
      <c r="D1552" s="23" t="s">
        <v>58</v>
      </c>
      <c r="E1552" s="24">
        <v>45419.0</v>
      </c>
      <c r="F1552" s="25">
        <v>0.2513888888888889</v>
      </c>
      <c r="G1552" s="25">
        <v>0.66875</v>
      </c>
      <c r="H1552" s="27">
        <f t="shared" si="2"/>
        <v>0.4173611111</v>
      </c>
      <c r="I1552" s="28">
        <v>4.0</v>
      </c>
      <c r="J1552" s="29" t="s">
        <v>55</v>
      </c>
      <c r="K1552" s="30" t="s">
        <v>23</v>
      </c>
      <c r="L1552" s="31" t="str">
        <f>IFERROR(__xludf.DUMMYFUNCTION("IF(OR(E1552="""",K1552=""""),"""",IFERROR(IF(K1552="""","""",query('tbl user'!$A$2:$D10975,""SELECT A WHERE D = '""&amp;K1552&amp;""'"")),""USER TIDAK DIKETAHUI""))"),"#REF!")</f>
        <v>#REF!</v>
      </c>
    </row>
    <row r="1553">
      <c r="A1553" s="21">
        <f t="shared" si="1"/>
        <v>0</v>
      </c>
      <c r="B1553" s="32" t="s">
        <v>224</v>
      </c>
      <c r="C1553" s="23" t="s">
        <v>208</v>
      </c>
      <c r="D1553" s="23" t="s">
        <v>58</v>
      </c>
      <c r="E1553" s="24">
        <v>45419.0</v>
      </c>
      <c r="F1553" s="25">
        <v>0.23541666666666666</v>
      </c>
      <c r="G1553" s="25">
        <v>0.6583333333333333</v>
      </c>
      <c r="H1553" s="27">
        <f t="shared" si="2"/>
        <v>0.4229166667</v>
      </c>
      <c r="I1553" s="28">
        <v>4.0</v>
      </c>
      <c r="J1553" s="29" t="s">
        <v>55</v>
      </c>
      <c r="K1553" s="30" t="s">
        <v>23</v>
      </c>
      <c r="L1553" s="31" t="str">
        <f>IFERROR(__xludf.DUMMYFUNCTION("IF(OR(E1553="""",K1553=""""),"""",IFERROR(IF(K1553="""","""",query('tbl user'!$A$2:$D10975,""SELECT A WHERE D = '""&amp;K1553&amp;""'"")),""USER TIDAK DIKETAHUI""))"),"#REF!")</f>
        <v>#REF!</v>
      </c>
    </row>
    <row r="1554">
      <c r="A1554" s="21">
        <f t="shared" si="1"/>
        <v>0</v>
      </c>
      <c r="B1554" s="32" t="s">
        <v>182</v>
      </c>
      <c r="C1554" s="23" t="s">
        <v>183</v>
      </c>
      <c r="D1554" s="23" t="s">
        <v>58</v>
      </c>
      <c r="E1554" s="24">
        <v>45419.0</v>
      </c>
      <c r="F1554" s="25">
        <v>0.23472222222222222</v>
      </c>
      <c r="G1554" s="25">
        <v>0.6923611111111111</v>
      </c>
      <c r="H1554" s="27">
        <f t="shared" si="2"/>
        <v>0.4576388889</v>
      </c>
      <c r="I1554" s="28">
        <v>5.0</v>
      </c>
      <c r="J1554" s="29" t="s">
        <v>55</v>
      </c>
      <c r="K1554" s="30" t="s">
        <v>23</v>
      </c>
      <c r="L1554" s="31" t="str">
        <f>IFERROR(__xludf.DUMMYFUNCTION("IF(OR(E1554="""",K1554=""""),"""",IFERROR(IF(K1554="""","""",query('tbl user'!$A$2:$D10975,""SELECT A WHERE D = '""&amp;K1554&amp;""'"")),""USER TIDAK DIKETAHUI""))"),"#REF!")</f>
        <v>#REF!</v>
      </c>
    </row>
    <row r="1555">
      <c r="A1555" s="21">
        <f t="shared" si="1"/>
        <v>0</v>
      </c>
      <c r="B1555" s="32" t="s">
        <v>194</v>
      </c>
      <c r="C1555" s="23" t="s">
        <v>195</v>
      </c>
      <c r="D1555" s="23" t="s">
        <v>58</v>
      </c>
      <c r="E1555" s="24">
        <v>45419.0</v>
      </c>
      <c r="F1555" s="25">
        <v>0.22291666666666668</v>
      </c>
      <c r="G1555" s="25">
        <v>0.675</v>
      </c>
      <c r="H1555" s="27">
        <f t="shared" si="2"/>
        <v>0.4520833333</v>
      </c>
      <c r="I1555" s="28">
        <v>5.0</v>
      </c>
      <c r="J1555" s="29" t="s">
        <v>55</v>
      </c>
      <c r="K1555" s="30" t="s">
        <v>23</v>
      </c>
      <c r="L1555" s="31" t="str">
        <f>IFERROR(__xludf.DUMMYFUNCTION("IF(OR(E1555="""",K1555=""""),"""",IFERROR(IF(K1555="""","""",query('tbl user'!$A$2:$D10975,""SELECT A WHERE D = '""&amp;K1555&amp;""'"")),""USER TIDAK DIKETAHUI""))"),"#REF!")</f>
        <v>#REF!</v>
      </c>
    </row>
    <row r="1556">
      <c r="A1556" s="21">
        <f t="shared" si="1"/>
        <v>0</v>
      </c>
      <c r="B1556" s="32" t="s">
        <v>200</v>
      </c>
      <c r="C1556" s="23" t="s">
        <v>201</v>
      </c>
      <c r="D1556" s="23" t="s">
        <v>58</v>
      </c>
      <c r="E1556" s="24">
        <v>45419.0</v>
      </c>
      <c r="F1556" s="25">
        <v>0.2013888888888889</v>
      </c>
      <c r="G1556" s="25">
        <v>0.6979166666666666</v>
      </c>
      <c r="H1556" s="27">
        <f t="shared" si="2"/>
        <v>0.4965277778</v>
      </c>
      <c r="I1556" s="28">
        <v>5.0</v>
      </c>
      <c r="J1556" s="29" t="s">
        <v>55</v>
      </c>
      <c r="K1556" s="30" t="s">
        <v>23</v>
      </c>
      <c r="L1556" s="31" t="str">
        <f>IFERROR(__xludf.DUMMYFUNCTION("IF(OR(E1556="""",K1556=""""),"""",IFERROR(IF(K1556="""","""",query('tbl user'!$A$2:$D10975,""SELECT A WHERE D = '""&amp;K1556&amp;""'"")),""USER TIDAK DIKETAHUI""))"),"#REF!")</f>
        <v>#REF!</v>
      </c>
    </row>
    <row r="1557">
      <c r="A1557" s="21">
        <f t="shared" si="1"/>
        <v>0</v>
      </c>
      <c r="B1557" s="32" t="s">
        <v>34</v>
      </c>
      <c r="C1557" s="23" t="s">
        <v>35</v>
      </c>
      <c r="D1557" s="23" t="s">
        <v>21</v>
      </c>
      <c r="E1557" s="24">
        <v>45419.0</v>
      </c>
      <c r="F1557" s="25">
        <v>0.36736111111111114</v>
      </c>
      <c r="G1557" s="25">
        <v>0.49444444444444446</v>
      </c>
      <c r="H1557" s="27">
        <f t="shared" si="2"/>
        <v>0.1270833333</v>
      </c>
      <c r="I1557" s="28">
        <v>1.0</v>
      </c>
      <c r="J1557" s="29" t="s">
        <v>832</v>
      </c>
      <c r="K1557" s="30" t="s">
        <v>23</v>
      </c>
      <c r="L1557" s="31" t="str">
        <f>IFERROR(__xludf.DUMMYFUNCTION("IF(OR(E1557="""",K1557=""""),"""",IFERROR(IF(K1557="""","""",query('tbl user'!$A$2:$D10975,""SELECT A WHERE D = '""&amp;K1557&amp;""'"")),""USER TIDAK DIKETAHUI""))"),"#REF!")</f>
        <v>#REF!</v>
      </c>
    </row>
    <row r="1558">
      <c r="A1558" s="21">
        <f t="shared" si="1"/>
        <v>0</v>
      </c>
      <c r="B1558" s="32" t="s">
        <v>220</v>
      </c>
      <c r="C1558" s="23" t="s">
        <v>234</v>
      </c>
      <c r="D1558" s="23" t="s">
        <v>21</v>
      </c>
      <c r="E1558" s="24">
        <v>45419.0</v>
      </c>
      <c r="F1558" s="25">
        <v>0.26319444444444445</v>
      </c>
      <c r="G1558" s="25">
        <v>0.6159722222222223</v>
      </c>
      <c r="H1558" s="27">
        <f t="shared" si="2"/>
        <v>0.3527777778</v>
      </c>
      <c r="I1558" s="28">
        <v>3.0</v>
      </c>
      <c r="J1558" s="29" t="s">
        <v>833</v>
      </c>
      <c r="K1558" s="30" t="s">
        <v>23</v>
      </c>
      <c r="L1558" s="31" t="str">
        <f>IFERROR(__xludf.DUMMYFUNCTION("IF(OR(E1558="""",K1558=""""),"""",IFERROR(IF(K1558="""","""",query('tbl user'!$A$2:$D10975,""SELECT A WHERE D = '""&amp;K1558&amp;""'"")),""USER TIDAK DIKETAHUI""))"),"#REF!")</f>
        <v>#REF!</v>
      </c>
    </row>
    <row r="1559">
      <c r="A1559" s="21">
        <f t="shared" si="1"/>
        <v>0</v>
      </c>
      <c r="B1559" s="32" t="s">
        <v>243</v>
      </c>
      <c r="C1559" s="23" t="s">
        <v>244</v>
      </c>
      <c r="D1559" s="23" t="s">
        <v>21</v>
      </c>
      <c r="E1559" s="24">
        <v>45419.0</v>
      </c>
      <c r="F1559" s="25">
        <v>0.2923611111111111</v>
      </c>
      <c r="G1559" s="25">
        <v>0.7097222222222223</v>
      </c>
      <c r="H1559" s="27">
        <f t="shared" si="2"/>
        <v>0.4173611111</v>
      </c>
      <c r="I1559" s="28">
        <v>4.0</v>
      </c>
      <c r="J1559" s="29" t="s">
        <v>834</v>
      </c>
      <c r="K1559" s="30" t="s">
        <v>23</v>
      </c>
      <c r="L1559" s="31" t="str">
        <f>IFERROR(__xludf.DUMMYFUNCTION("IF(OR(E1559="""",K1559=""""),"""",IFERROR(IF(K1559="""","""",query('tbl user'!$A$2:$D10975,""SELECT A WHERE D = '""&amp;K1559&amp;""'"")),""USER TIDAK DIKETAHUI""))"),"#REF!")</f>
        <v>#REF!</v>
      </c>
    </row>
    <row r="1560">
      <c r="A1560" s="21">
        <f t="shared" si="1"/>
        <v>0</v>
      </c>
      <c r="B1560" s="32" t="s">
        <v>153</v>
      </c>
      <c r="C1560" s="23" t="s">
        <v>239</v>
      </c>
      <c r="D1560" s="23" t="s">
        <v>21</v>
      </c>
      <c r="E1560" s="24">
        <v>45419.0</v>
      </c>
      <c r="F1560" s="25">
        <v>0.25416666666666665</v>
      </c>
      <c r="G1560" s="25">
        <v>0.7152777777777778</v>
      </c>
      <c r="H1560" s="27">
        <f t="shared" si="2"/>
        <v>0.4611111111</v>
      </c>
      <c r="I1560" s="28">
        <v>5.0</v>
      </c>
      <c r="J1560" s="29" t="s">
        <v>55</v>
      </c>
      <c r="K1560" s="30" t="s">
        <v>23</v>
      </c>
      <c r="L1560" s="31" t="str">
        <f>IFERROR(__xludf.DUMMYFUNCTION("IF(OR(E1560="""",K1560=""""),"""",IFERROR(IF(K1560="""","""",query('tbl user'!$A$2:$D10975,""SELECT A WHERE D = '""&amp;K1560&amp;""'"")),""USER TIDAK DIKETAHUI""))"),"#REF!")</f>
        <v>#REF!</v>
      </c>
    </row>
    <row r="1561">
      <c r="A1561" s="21">
        <f t="shared" si="1"/>
        <v>0</v>
      </c>
      <c r="B1561" s="32" t="s">
        <v>24</v>
      </c>
      <c r="C1561" s="23" t="s">
        <v>25</v>
      </c>
      <c r="D1561" s="23" t="s">
        <v>21</v>
      </c>
      <c r="E1561" s="24">
        <v>45419.0</v>
      </c>
      <c r="F1561" s="25">
        <v>0.21388888888888888</v>
      </c>
      <c r="G1561" s="25">
        <v>0.6847222222222222</v>
      </c>
      <c r="H1561" s="27">
        <f t="shared" si="2"/>
        <v>0.4708333333</v>
      </c>
      <c r="I1561" s="28">
        <v>5.0</v>
      </c>
      <c r="J1561" s="29" t="s">
        <v>55</v>
      </c>
      <c r="K1561" s="30" t="s">
        <v>23</v>
      </c>
      <c r="L1561" s="31" t="str">
        <f>IFERROR(__xludf.DUMMYFUNCTION("IF(OR(E1561="""",K1561=""""),"""",IFERROR(IF(K1561="""","""",query('tbl user'!$A$2:$D10975,""SELECT A WHERE D = '""&amp;K1561&amp;""'"")),""USER TIDAK DIKETAHUI""))"),"#REF!")</f>
        <v>#REF!</v>
      </c>
    </row>
    <row r="1562">
      <c r="A1562" s="21">
        <f t="shared" si="1"/>
        <v>0</v>
      </c>
      <c r="B1562" s="32" t="s">
        <v>305</v>
      </c>
      <c r="C1562" s="23" t="s">
        <v>251</v>
      </c>
      <c r="D1562" s="23" t="s">
        <v>21</v>
      </c>
      <c r="E1562" s="24">
        <v>45419.0</v>
      </c>
      <c r="F1562" s="25">
        <v>0.20277777777777778</v>
      </c>
      <c r="G1562" s="25">
        <v>0.6951388888888889</v>
      </c>
      <c r="H1562" s="27">
        <f t="shared" si="2"/>
        <v>0.4923611111</v>
      </c>
      <c r="I1562" s="28">
        <v>5.0</v>
      </c>
      <c r="J1562" s="29" t="s">
        <v>55</v>
      </c>
      <c r="K1562" s="30" t="s">
        <v>23</v>
      </c>
      <c r="L1562" s="31" t="str">
        <f>IFERROR(__xludf.DUMMYFUNCTION("IF(OR(E1562="""",K1562=""""),"""",IFERROR(IF(K1562="""","""",query('tbl user'!$A$2:$D10975,""SELECT A WHERE D = '""&amp;K1562&amp;""'"")),""USER TIDAK DIKETAHUI""))"),"#REF!")</f>
        <v>#REF!</v>
      </c>
    </row>
    <row r="1563">
      <c r="A1563" s="21">
        <f t="shared" si="1"/>
        <v>0</v>
      </c>
      <c r="B1563" s="32" t="s">
        <v>253</v>
      </c>
      <c r="C1563" s="23" t="s">
        <v>102</v>
      </c>
      <c r="D1563" s="23" t="s">
        <v>21</v>
      </c>
      <c r="E1563" s="24">
        <v>45419.0</v>
      </c>
      <c r="F1563" s="25">
        <v>0.2520833333333333</v>
      </c>
      <c r="G1563" s="25">
        <v>0.7361111111111112</v>
      </c>
      <c r="H1563" s="27">
        <f t="shared" si="2"/>
        <v>0.4840277778</v>
      </c>
      <c r="I1563" s="28">
        <v>5.0</v>
      </c>
      <c r="J1563" s="29" t="s">
        <v>55</v>
      </c>
      <c r="K1563" s="30" t="s">
        <v>23</v>
      </c>
      <c r="L1563" s="31" t="str">
        <f>IFERROR(__xludf.DUMMYFUNCTION("IF(OR(E1563="""",K1563=""""),"""",IFERROR(IF(K1563="""","""",query('tbl user'!$A$2:$D10975,""SELECT A WHERE D = '""&amp;K1563&amp;""'"")),""USER TIDAK DIKETAHUI""))"),"#REF!")</f>
        <v>#REF!</v>
      </c>
    </row>
    <row r="1564">
      <c r="A1564" s="21">
        <f t="shared" si="1"/>
        <v>0</v>
      </c>
      <c r="B1564" s="32" t="s">
        <v>593</v>
      </c>
      <c r="C1564" s="23" t="s">
        <v>236</v>
      </c>
      <c r="D1564" s="23" t="s">
        <v>21</v>
      </c>
      <c r="E1564" s="24">
        <v>45419.0</v>
      </c>
      <c r="F1564" s="25">
        <v>0.21666666666666667</v>
      </c>
      <c r="G1564" s="25">
        <v>0.7506944444444444</v>
      </c>
      <c r="H1564" s="27">
        <f t="shared" si="2"/>
        <v>0.5340277778</v>
      </c>
      <c r="I1564" s="28">
        <v>5.0</v>
      </c>
      <c r="J1564" s="29" t="s">
        <v>55</v>
      </c>
      <c r="K1564" s="30" t="s">
        <v>23</v>
      </c>
      <c r="L1564" s="31" t="str">
        <f>IFERROR(__xludf.DUMMYFUNCTION("IF(OR(E1564="""",K1564=""""),"""",IFERROR(IF(K1564="""","""",query('tbl user'!$A$2:$D10975,""SELECT A WHERE D = '""&amp;K1564&amp;""'"")),""USER TIDAK DIKETAHUI""))"),"#REF!")</f>
        <v>#REF!</v>
      </c>
    </row>
    <row r="1565">
      <c r="A1565" s="21">
        <f t="shared" si="1"/>
        <v>0</v>
      </c>
      <c r="B1565" s="32" t="s">
        <v>209</v>
      </c>
      <c r="C1565" s="23" t="s">
        <v>259</v>
      </c>
      <c r="D1565" s="23" t="s">
        <v>21</v>
      </c>
      <c r="E1565" s="24">
        <v>45419.0</v>
      </c>
      <c r="F1565" s="25">
        <v>0.25416666666666665</v>
      </c>
      <c r="G1565" s="25">
        <v>0.7</v>
      </c>
      <c r="H1565" s="27">
        <f t="shared" si="2"/>
        <v>0.4458333333</v>
      </c>
      <c r="I1565" s="28">
        <v>5.0</v>
      </c>
      <c r="J1565" s="29" t="s">
        <v>55</v>
      </c>
      <c r="K1565" s="30" t="s">
        <v>23</v>
      </c>
      <c r="L1565" s="31" t="str">
        <f>IFERROR(__xludf.DUMMYFUNCTION("IF(OR(E1565="""",K1565=""""),"""",IFERROR(IF(K1565="""","""",query('tbl user'!$A$2:$D10975,""SELECT A WHERE D = '""&amp;K1565&amp;""'"")),""USER TIDAK DIKETAHUI""))"),"#REF!")</f>
        <v>#REF!</v>
      </c>
    </row>
    <row r="1566">
      <c r="A1566" s="21">
        <f t="shared" si="1"/>
        <v>0</v>
      </c>
      <c r="B1566" s="32" t="s">
        <v>81</v>
      </c>
      <c r="C1566" s="23" t="s">
        <v>261</v>
      </c>
      <c r="D1566" s="23" t="s">
        <v>21</v>
      </c>
      <c r="E1566" s="24">
        <v>45419.0</v>
      </c>
      <c r="F1566" s="25">
        <v>0.2611111111111111</v>
      </c>
      <c r="G1566" s="25">
        <v>0.7708333333333334</v>
      </c>
      <c r="H1566" s="27">
        <f t="shared" si="2"/>
        <v>0.5097222222</v>
      </c>
      <c r="I1566" s="28">
        <v>5.0</v>
      </c>
      <c r="J1566" s="29" t="s">
        <v>55</v>
      </c>
      <c r="K1566" s="30" t="s">
        <v>23</v>
      </c>
      <c r="L1566" s="31" t="str">
        <f>IFERROR(__xludf.DUMMYFUNCTION("IF(OR(E1566="""",K1566=""""),"""",IFERROR(IF(K1566="""","""",query('tbl user'!$A$2:$D10975,""SELECT A WHERE D = '""&amp;K1566&amp;""'"")),""USER TIDAK DIKETAHUI""))"),"#REF!")</f>
        <v>#REF!</v>
      </c>
    </row>
    <row r="1567">
      <c r="A1567" s="21">
        <f t="shared" si="1"/>
        <v>0</v>
      </c>
      <c r="B1567" s="32" t="s">
        <v>43</v>
      </c>
      <c r="C1567" s="23" t="s">
        <v>44</v>
      </c>
      <c r="D1567" s="23" t="s">
        <v>21</v>
      </c>
      <c r="E1567" s="24">
        <v>45419.0</v>
      </c>
      <c r="F1567" s="25">
        <v>0.2916666666666667</v>
      </c>
      <c r="G1567" s="25">
        <v>0.7381944444444445</v>
      </c>
      <c r="H1567" s="27">
        <f t="shared" si="2"/>
        <v>0.4465277778</v>
      </c>
      <c r="I1567" s="28">
        <v>6.0</v>
      </c>
      <c r="J1567" s="29" t="s">
        <v>55</v>
      </c>
      <c r="K1567" s="30" t="s">
        <v>23</v>
      </c>
      <c r="L1567" s="31" t="str">
        <f>IFERROR(__xludf.DUMMYFUNCTION("IF(OR(E1567="""",K1567=""""),"""",IFERROR(IF(K1567="""","""",query('tbl user'!$A$2:$D10975,""SELECT A WHERE D = '""&amp;K1567&amp;""'"")),""USER TIDAK DIKETAHUI""))"),"#REF!")</f>
        <v>#REF!</v>
      </c>
    </row>
    <row r="1568">
      <c r="A1568" s="21">
        <f t="shared" si="1"/>
        <v>0</v>
      </c>
      <c r="B1568" s="32" t="s">
        <v>255</v>
      </c>
      <c r="C1568" s="23" t="s">
        <v>256</v>
      </c>
      <c r="D1568" s="23" t="s">
        <v>21</v>
      </c>
      <c r="E1568" s="24">
        <v>45419.0</v>
      </c>
      <c r="F1568" s="25">
        <v>0.24027777777777778</v>
      </c>
      <c r="G1568" s="25">
        <v>0.7638888888888888</v>
      </c>
      <c r="H1568" s="27">
        <f t="shared" si="2"/>
        <v>0.5236111111</v>
      </c>
      <c r="I1568" s="28">
        <v>6.0</v>
      </c>
      <c r="J1568" s="29" t="s">
        <v>55</v>
      </c>
      <c r="K1568" s="30" t="s">
        <v>23</v>
      </c>
      <c r="L1568" s="31" t="str">
        <f>IFERROR(__xludf.DUMMYFUNCTION("IF(OR(E1568="""",K1568=""""),"""",IFERROR(IF(K1568="""","""",query('tbl user'!$A$2:$D10975,""SELECT A WHERE D = '""&amp;K1568&amp;""'"")),""USER TIDAK DIKETAHUI""))"),"#REF!")</f>
        <v>#REF!</v>
      </c>
    </row>
    <row r="1569">
      <c r="A1569" s="21">
        <f t="shared" si="1"/>
        <v>0</v>
      </c>
      <c r="B1569" s="32" t="s">
        <v>281</v>
      </c>
      <c r="C1569" s="23" t="s">
        <v>282</v>
      </c>
      <c r="D1569" s="23" t="s">
        <v>21</v>
      </c>
      <c r="E1569" s="24">
        <v>45419.0</v>
      </c>
      <c r="F1569" s="25">
        <v>0.2638888888888889</v>
      </c>
      <c r="G1569" s="25">
        <v>0.5006944444444444</v>
      </c>
      <c r="H1569" s="27">
        <f t="shared" si="2"/>
        <v>0.2368055556</v>
      </c>
      <c r="I1569" s="28">
        <v>2.0</v>
      </c>
      <c r="J1569" s="29" t="s">
        <v>835</v>
      </c>
      <c r="K1569" s="30" t="s">
        <v>23</v>
      </c>
      <c r="L1569" s="31" t="str">
        <f>IFERROR(__xludf.DUMMYFUNCTION("IF(OR(E1569="""",K1569=""""),"""",IFERROR(IF(K1569="""","""",query('tbl user'!$A$2:$D10975,""SELECT A WHERE D = '""&amp;K1569&amp;""'"")),""USER TIDAK DIKETAHUI""))"),"#REF!")</f>
        <v>#REF!</v>
      </c>
    </row>
    <row r="1570">
      <c r="A1570" s="21">
        <f t="shared" si="1"/>
        <v>0</v>
      </c>
      <c r="B1570" s="32" t="s">
        <v>284</v>
      </c>
      <c r="C1570" s="23" t="s">
        <v>285</v>
      </c>
      <c r="D1570" s="23" t="s">
        <v>21</v>
      </c>
      <c r="E1570" s="24">
        <v>45419.0</v>
      </c>
      <c r="F1570" s="25">
        <v>0.28888888888888886</v>
      </c>
      <c r="G1570" s="25">
        <v>0.6027777777777777</v>
      </c>
      <c r="H1570" s="27">
        <f t="shared" si="2"/>
        <v>0.3138888889</v>
      </c>
      <c r="I1570" s="28">
        <v>3.0</v>
      </c>
      <c r="J1570" s="29" t="s">
        <v>836</v>
      </c>
      <c r="K1570" s="30" t="s">
        <v>23</v>
      </c>
      <c r="L1570" s="31" t="str">
        <f>IFERROR(__xludf.DUMMYFUNCTION("IF(OR(E1570="""",K1570=""""),"""",IFERROR(IF(K1570="""","""",query('tbl user'!$A$2:$D10975,""SELECT A WHERE D = '""&amp;K1570&amp;""'"")),""USER TIDAK DIKETAHUI""))"),"#REF!")</f>
        <v>#REF!</v>
      </c>
    </row>
    <row r="1571">
      <c r="A1571" s="21">
        <f t="shared" si="1"/>
        <v>0</v>
      </c>
      <c r="B1571" s="32" t="s">
        <v>286</v>
      </c>
      <c r="C1571" s="23" t="s">
        <v>287</v>
      </c>
      <c r="D1571" s="23" t="s">
        <v>21</v>
      </c>
      <c r="E1571" s="24">
        <v>45419.0</v>
      </c>
      <c r="F1571" s="25">
        <v>0.3909722222222222</v>
      </c>
      <c r="G1571" s="25">
        <v>0.7083333333333334</v>
      </c>
      <c r="H1571" s="27">
        <f t="shared" si="2"/>
        <v>0.3173611111</v>
      </c>
      <c r="I1571" s="28">
        <v>3.0</v>
      </c>
      <c r="J1571" s="29" t="s">
        <v>837</v>
      </c>
      <c r="K1571" s="30" t="s">
        <v>23</v>
      </c>
      <c r="L1571" s="31" t="str">
        <f>IFERROR(__xludf.DUMMYFUNCTION("IF(OR(E1571="""",K1571=""""),"""",IFERROR(IF(K1571="""","""",query('tbl user'!$A$2:$D10975,""SELECT A WHERE D = '""&amp;K1571&amp;""'"")),""USER TIDAK DIKETAHUI""))"),"#REF!")</f>
        <v>#REF!</v>
      </c>
    </row>
    <row r="1572">
      <c r="A1572" s="21">
        <f t="shared" si="1"/>
        <v>0</v>
      </c>
      <c r="B1572" s="32" t="s">
        <v>37</v>
      </c>
      <c r="C1572" s="23" t="s">
        <v>38</v>
      </c>
      <c r="D1572" s="23" t="s">
        <v>21</v>
      </c>
      <c r="E1572" s="24">
        <v>45419.0</v>
      </c>
      <c r="F1572" s="25">
        <v>0.2701388888888889</v>
      </c>
      <c r="G1572" s="25">
        <v>0.6465277777777778</v>
      </c>
      <c r="H1572" s="27">
        <f t="shared" si="2"/>
        <v>0.3763888889</v>
      </c>
      <c r="I1572" s="28">
        <v>4.0</v>
      </c>
      <c r="J1572" s="29" t="s">
        <v>55</v>
      </c>
      <c r="K1572" s="30" t="s">
        <v>23</v>
      </c>
      <c r="L1572" s="31" t="str">
        <f>IFERROR(__xludf.DUMMYFUNCTION("IF(OR(E1572="""",K1572=""""),"""",IFERROR(IF(K1572="""","""",query('tbl user'!$A$2:$D10975,""SELECT A WHERE D = '""&amp;K1572&amp;""'"")),""USER TIDAK DIKETAHUI""))"),"#REF!")</f>
        <v>#REF!</v>
      </c>
    </row>
    <row r="1573">
      <c r="A1573" s="21">
        <f t="shared" si="1"/>
        <v>0</v>
      </c>
      <c r="B1573" s="32" t="s">
        <v>64</v>
      </c>
      <c r="C1573" s="23" t="s">
        <v>65</v>
      </c>
      <c r="D1573" s="23" t="s">
        <v>21</v>
      </c>
      <c r="E1573" s="24">
        <v>45419.0</v>
      </c>
      <c r="F1573" s="25">
        <v>0.29097222222222224</v>
      </c>
      <c r="G1573" s="25">
        <v>0.6895833333333333</v>
      </c>
      <c r="H1573" s="27">
        <f t="shared" si="2"/>
        <v>0.3986111111</v>
      </c>
      <c r="I1573" s="28">
        <v>4.0</v>
      </c>
      <c r="J1573" s="29" t="s">
        <v>55</v>
      </c>
      <c r="K1573" s="30" t="s">
        <v>23</v>
      </c>
      <c r="L1573" s="31" t="str">
        <f>IFERROR(__xludf.DUMMYFUNCTION("IF(OR(E1573="""",K1573=""""),"""",IFERROR(IF(K1573="""","""",query('tbl user'!$A$2:$D10975,""SELECT A WHERE D = '""&amp;K1573&amp;""'"")),""USER TIDAK DIKETAHUI""))"),"#REF!")</f>
        <v>#REF!</v>
      </c>
    </row>
    <row r="1574">
      <c r="A1574" s="21">
        <f t="shared" si="1"/>
        <v>0</v>
      </c>
      <c r="B1574" s="32" t="s">
        <v>51</v>
      </c>
      <c r="C1574" s="23" t="s">
        <v>27</v>
      </c>
      <c r="D1574" s="23" t="s">
        <v>21</v>
      </c>
      <c r="E1574" s="24">
        <v>45419.0</v>
      </c>
      <c r="F1574" s="25">
        <v>0.28402777777777777</v>
      </c>
      <c r="G1574" s="25">
        <v>0.65</v>
      </c>
      <c r="H1574" s="27">
        <f t="shared" si="2"/>
        <v>0.3659722222</v>
      </c>
      <c r="I1574" s="28">
        <v>4.0</v>
      </c>
      <c r="J1574" s="29" t="s">
        <v>55</v>
      </c>
      <c r="K1574" s="30" t="s">
        <v>23</v>
      </c>
      <c r="L1574" s="31" t="str">
        <f>IFERROR(__xludf.DUMMYFUNCTION("IF(OR(E1574="""",K1574=""""),"""",IFERROR(IF(K1574="""","""",query('tbl user'!$A$2:$D10975,""SELECT A WHERE D = '""&amp;K1574&amp;""'"")),""USER TIDAK DIKETAHUI""))"),"#REF!")</f>
        <v>#REF!</v>
      </c>
    </row>
    <row r="1575">
      <c r="A1575" s="21">
        <f t="shared" si="1"/>
        <v>0</v>
      </c>
      <c r="B1575" s="32" t="s">
        <v>87</v>
      </c>
      <c r="C1575" s="23" t="s">
        <v>88</v>
      </c>
      <c r="D1575" s="23" t="s">
        <v>21</v>
      </c>
      <c r="E1575" s="24">
        <v>45419.0</v>
      </c>
      <c r="F1575" s="25">
        <v>0.25833333333333336</v>
      </c>
      <c r="G1575" s="25">
        <v>0.5902777777777778</v>
      </c>
      <c r="H1575" s="27">
        <f t="shared" si="2"/>
        <v>0.3319444444</v>
      </c>
      <c r="I1575" s="28">
        <v>3.0</v>
      </c>
      <c r="J1575" s="29" t="s">
        <v>838</v>
      </c>
      <c r="K1575" s="30" t="s">
        <v>23</v>
      </c>
      <c r="L1575" s="31" t="str">
        <f>IFERROR(__xludf.DUMMYFUNCTION("IF(OR(E1575="""",K1575=""""),"""",IFERROR(IF(K1575="""","""",query('tbl user'!$A$2:$D10975,""SELECT A WHERE D = '""&amp;K1575&amp;""'"")),""USER TIDAK DIKETAHUI""))"),"#REF!")</f>
        <v>#REF!</v>
      </c>
    </row>
    <row r="1576">
      <c r="A1576" s="21">
        <f t="shared" si="1"/>
        <v>0</v>
      </c>
      <c r="B1576" s="32" t="s">
        <v>601</v>
      </c>
      <c r="C1576" s="23" t="s">
        <v>323</v>
      </c>
      <c r="D1576" s="23" t="s">
        <v>21</v>
      </c>
      <c r="E1576" s="24">
        <v>45419.0</v>
      </c>
      <c r="F1576" s="25">
        <v>0.4340277777777778</v>
      </c>
      <c r="G1576" s="25">
        <v>0.7229166666666667</v>
      </c>
      <c r="H1576" s="27">
        <f t="shared" si="2"/>
        <v>0.2888888889</v>
      </c>
      <c r="I1576" s="28">
        <v>3.0</v>
      </c>
      <c r="J1576" s="29" t="s">
        <v>819</v>
      </c>
      <c r="K1576" s="30" t="s">
        <v>23</v>
      </c>
      <c r="L1576" s="31" t="str">
        <f>IFERROR(__xludf.DUMMYFUNCTION("IF(OR(E1576="""",K1576=""""),"""",IFERROR(IF(K1576="""","""",query('tbl user'!$A$2:$D10975,""SELECT A WHERE D = '""&amp;K1576&amp;""'"")),""USER TIDAK DIKETAHUI""))"),"#REF!")</f>
        <v>#REF!</v>
      </c>
    </row>
    <row r="1577">
      <c r="A1577" s="21">
        <f t="shared" si="1"/>
        <v>0</v>
      </c>
      <c r="B1577" s="32" t="s">
        <v>331</v>
      </c>
      <c r="C1577" s="23" t="s">
        <v>332</v>
      </c>
      <c r="D1577" s="23" t="s">
        <v>21</v>
      </c>
      <c r="E1577" s="24">
        <v>45419.0</v>
      </c>
      <c r="F1577" s="25">
        <v>0.23819444444444443</v>
      </c>
      <c r="G1577" s="25">
        <v>0.5659722222222222</v>
      </c>
      <c r="H1577" s="27">
        <f t="shared" si="2"/>
        <v>0.3277777778</v>
      </c>
      <c r="I1577" s="28">
        <v>4.0</v>
      </c>
      <c r="J1577" s="29" t="s">
        <v>839</v>
      </c>
      <c r="K1577" s="30" t="s">
        <v>23</v>
      </c>
      <c r="L1577" s="31" t="str">
        <f>IFERROR(__xludf.DUMMYFUNCTION("IF(OR(E1577="""",K1577=""""),"""",IFERROR(IF(K1577="""","""",query('tbl user'!$A$2:$D10975,""SELECT A WHERE D = '""&amp;K1577&amp;""'"")),""USER TIDAK DIKETAHUI""))"),"#REF!")</f>
        <v>#REF!</v>
      </c>
    </row>
    <row r="1578">
      <c r="A1578" s="21">
        <f t="shared" si="1"/>
        <v>0</v>
      </c>
      <c r="B1578" s="32" t="s">
        <v>175</v>
      </c>
      <c r="C1578" s="23" t="s">
        <v>338</v>
      </c>
      <c r="D1578" s="23" t="s">
        <v>21</v>
      </c>
      <c r="E1578" s="24">
        <v>45419.0</v>
      </c>
      <c r="F1578" s="25">
        <v>0.3993055555555556</v>
      </c>
      <c r="G1578" s="25">
        <v>0.7493055555555556</v>
      </c>
      <c r="H1578" s="27">
        <f t="shared" si="2"/>
        <v>0.35</v>
      </c>
      <c r="I1578" s="28">
        <v>4.0</v>
      </c>
      <c r="J1578" s="29" t="s">
        <v>840</v>
      </c>
      <c r="K1578" s="30" t="s">
        <v>23</v>
      </c>
      <c r="L1578" s="31" t="str">
        <f>IFERROR(__xludf.DUMMYFUNCTION("IF(OR(E1578="""",K1578=""""),"""",IFERROR(IF(K1578="""","""",query('tbl user'!$A$2:$D10975,""SELECT A WHERE D = '""&amp;K1578&amp;""'"")),""USER TIDAK DIKETAHUI""))"),"#REF!")</f>
        <v>#REF!</v>
      </c>
    </row>
    <row r="1579">
      <c r="A1579" s="21">
        <f t="shared" si="1"/>
        <v>0</v>
      </c>
      <c r="B1579" s="32" t="s">
        <v>333</v>
      </c>
      <c r="C1579" s="23" t="s">
        <v>334</v>
      </c>
      <c r="D1579" s="23" t="s">
        <v>21</v>
      </c>
      <c r="E1579" s="24">
        <v>45419.0</v>
      </c>
      <c r="F1579" s="25">
        <v>0.25625</v>
      </c>
      <c r="G1579" s="25">
        <v>0.7201388888888889</v>
      </c>
      <c r="H1579" s="27">
        <f t="shared" si="2"/>
        <v>0.4638888889</v>
      </c>
      <c r="I1579" s="28">
        <v>5.0</v>
      </c>
      <c r="J1579" s="29" t="s">
        <v>55</v>
      </c>
      <c r="K1579" s="30" t="s">
        <v>23</v>
      </c>
      <c r="L1579" s="31" t="str">
        <f>IFERROR(__xludf.DUMMYFUNCTION("IF(OR(E1579="""",K1579=""""),"""",IFERROR(IF(K1579="""","""",query('tbl user'!$A$2:$D10975,""SELECT A WHERE D = '""&amp;K1579&amp;""'"")),""USER TIDAK DIKETAHUI""))"),"#REF!")</f>
        <v>#REF!</v>
      </c>
    </row>
    <row r="1580">
      <c r="A1580" s="21">
        <f t="shared" si="1"/>
        <v>0</v>
      </c>
      <c r="B1580" s="32" t="s">
        <v>335</v>
      </c>
      <c r="C1580" s="23" t="s">
        <v>336</v>
      </c>
      <c r="D1580" s="23" t="s">
        <v>21</v>
      </c>
      <c r="E1580" s="24">
        <v>45419.0</v>
      </c>
      <c r="F1580" s="25">
        <v>0.29305555555555557</v>
      </c>
      <c r="G1580" s="25">
        <v>0.7097222222222223</v>
      </c>
      <c r="H1580" s="27">
        <f t="shared" si="2"/>
        <v>0.4166666667</v>
      </c>
      <c r="I1580" s="28">
        <v>5.0</v>
      </c>
      <c r="J1580" s="29" t="s">
        <v>55</v>
      </c>
      <c r="K1580" s="30" t="s">
        <v>23</v>
      </c>
      <c r="L1580" s="31" t="str">
        <f>IFERROR(__xludf.DUMMYFUNCTION("IF(OR(E1580="""",K1580=""""),"""",IFERROR(IF(K1580="""","""",query('tbl user'!$A$2:$D10975,""SELECT A WHERE D = '""&amp;K1580&amp;""'"")),""USER TIDAK DIKETAHUI""))"),"#REF!")</f>
        <v>#REF!</v>
      </c>
    </row>
    <row r="1581">
      <c r="A1581" s="21">
        <f t="shared" si="1"/>
        <v>0</v>
      </c>
      <c r="B1581" s="32" t="s">
        <v>716</v>
      </c>
      <c r="C1581" s="23" t="s">
        <v>316</v>
      </c>
      <c r="D1581" s="23" t="s">
        <v>21</v>
      </c>
      <c r="E1581" s="24">
        <v>45419.0</v>
      </c>
      <c r="F1581" s="25">
        <v>0.2638888888888889</v>
      </c>
      <c r="G1581" s="25">
        <v>0.7402777777777778</v>
      </c>
      <c r="H1581" s="27">
        <f t="shared" si="2"/>
        <v>0.4763888889</v>
      </c>
      <c r="I1581" s="28">
        <v>5.0</v>
      </c>
      <c r="J1581" s="29" t="s">
        <v>55</v>
      </c>
      <c r="K1581" s="30" t="s">
        <v>23</v>
      </c>
      <c r="L1581" s="31" t="str">
        <f>IFERROR(__xludf.DUMMYFUNCTION("IF(OR(E1581="""",K1581=""""),"""",IFERROR(IF(K1581="""","""",query('tbl user'!$A$2:$D10975,""SELECT A WHERE D = '""&amp;K1581&amp;""'"")),""USER TIDAK DIKETAHUI""))"),"#REF!")</f>
        <v>#REF!</v>
      </c>
    </row>
    <row r="1582">
      <c r="A1582" s="21">
        <f t="shared" si="1"/>
        <v>0</v>
      </c>
      <c r="B1582" s="32" t="s">
        <v>219</v>
      </c>
      <c r="C1582" s="23" t="s">
        <v>340</v>
      </c>
      <c r="D1582" s="23" t="s">
        <v>21</v>
      </c>
      <c r="E1582" s="24">
        <v>45419.0</v>
      </c>
      <c r="F1582" s="25">
        <v>0.275</v>
      </c>
      <c r="G1582" s="25">
        <v>0.7416666666666667</v>
      </c>
      <c r="H1582" s="27">
        <f t="shared" si="2"/>
        <v>0.4666666667</v>
      </c>
      <c r="I1582" s="28">
        <v>5.0</v>
      </c>
      <c r="J1582" s="29" t="s">
        <v>55</v>
      </c>
      <c r="K1582" s="30" t="s">
        <v>23</v>
      </c>
      <c r="L1582" s="31" t="str">
        <f>IFERROR(__xludf.DUMMYFUNCTION("IF(OR(E1582="""",K1582=""""),"""",IFERROR(IF(K1582="""","""",query('tbl user'!$A$2:$D10975,""SELECT A WHERE D = '""&amp;K1582&amp;""'"")),""USER TIDAK DIKETAHUI""))"),"#REF!")</f>
        <v>#REF!</v>
      </c>
    </row>
    <row r="1583">
      <c r="A1583" s="21">
        <f t="shared" si="1"/>
        <v>0</v>
      </c>
      <c r="B1583" s="32" t="s">
        <v>319</v>
      </c>
      <c r="C1583" s="23" t="s">
        <v>320</v>
      </c>
      <c r="D1583" s="23" t="s">
        <v>21</v>
      </c>
      <c r="E1583" s="24">
        <v>45419.0</v>
      </c>
      <c r="F1583" s="25">
        <v>0.20416666666666666</v>
      </c>
      <c r="G1583" s="25">
        <v>0.6944444444444444</v>
      </c>
      <c r="H1583" s="27">
        <f t="shared" si="2"/>
        <v>0.4902777778</v>
      </c>
      <c r="I1583" s="28">
        <v>5.0</v>
      </c>
      <c r="J1583" s="29" t="s">
        <v>55</v>
      </c>
      <c r="K1583" s="30" t="s">
        <v>23</v>
      </c>
      <c r="L1583" s="31" t="str">
        <f>IFERROR(__xludf.DUMMYFUNCTION("IF(OR(E1583="""",K1583=""""),"""",IFERROR(IF(K1583="""","""",query('tbl user'!$A$2:$D10975,""SELECT A WHERE D = '""&amp;K1583&amp;""'"")),""USER TIDAK DIKETAHUI""))"),"#REF!")</f>
        <v>#REF!</v>
      </c>
    </row>
    <row r="1584">
      <c r="A1584" s="21">
        <f t="shared" si="1"/>
        <v>0</v>
      </c>
      <c r="B1584" s="32" t="s">
        <v>325</v>
      </c>
      <c r="C1584" s="23" t="s">
        <v>326</v>
      </c>
      <c r="D1584" s="23" t="s">
        <v>21</v>
      </c>
      <c r="E1584" s="24">
        <v>45419.0</v>
      </c>
      <c r="F1584" s="25">
        <v>0.26319444444444445</v>
      </c>
      <c r="G1584" s="25">
        <v>0.7125</v>
      </c>
      <c r="H1584" s="27">
        <f t="shared" si="2"/>
        <v>0.4493055556</v>
      </c>
      <c r="I1584" s="28">
        <v>5.0</v>
      </c>
      <c r="J1584" s="29" t="s">
        <v>55</v>
      </c>
      <c r="K1584" s="30" t="s">
        <v>23</v>
      </c>
      <c r="L1584" s="31" t="str">
        <f>IFERROR(__xludf.DUMMYFUNCTION("IF(OR(E1584="""",K1584=""""),"""",IFERROR(IF(K1584="""","""",query('tbl user'!$A$2:$D10975,""SELECT A WHERE D = '""&amp;K1584&amp;""'"")),""USER TIDAK DIKETAHUI""))"),"#REF!")</f>
        <v>#REF!</v>
      </c>
    </row>
    <row r="1585">
      <c r="A1585" s="21">
        <f t="shared" si="1"/>
        <v>0</v>
      </c>
      <c r="B1585" s="32" t="s">
        <v>577</v>
      </c>
      <c r="C1585" s="23" t="s">
        <v>330</v>
      </c>
      <c r="D1585" s="23" t="s">
        <v>21</v>
      </c>
      <c r="E1585" s="24">
        <v>45419.0</v>
      </c>
      <c r="F1585" s="25">
        <v>0.25416666666666665</v>
      </c>
      <c r="G1585" s="25">
        <v>0.6875</v>
      </c>
      <c r="H1585" s="27">
        <f t="shared" si="2"/>
        <v>0.4333333333</v>
      </c>
      <c r="I1585" s="28">
        <v>5.0</v>
      </c>
      <c r="J1585" s="29" t="s">
        <v>55</v>
      </c>
      <c r="K1585" s="30" t="s">
        <v>23</v>
      </c>
      <c r="L1585" s="31" t="str">
        <f>IFERROR(__xludf.DUMMYFUNCTION("IF(OR(E1585="""",K1585=""""),"""",IFERROR(IF(K1585="""","""",query('tbl user'!$A$2:$D10975,""SELECT A WHERE D = '""&amp;K1585&amp;""'"")),""USER TIDAK DIKETAHUI""))"),"#REF!")</f>
        <v>#REF!</v>
      </c>
    </row>
    <row r="1586">
      <c r="A1586" s="21">
        <f t="shared" si="1"/>
        <v>0</v>
      </c>
      <c r="B1586" s="32" t="s">
        <v>53</v>
      </c>
      <c r="C1586" s="23" t="s">
        <v>54</v>
      </c>
      <c r="D1586" s="23" t="s">
        <v>21</v>
      </c>
      <c r="E1586" s="24">
        <v>45419.0</v>
      </c>
      <c r="F1586" s="25">
        <v>0.23194444444444445</v>
      </c>
      <c r="G1586" s="25">
        <v>0.7673611111111112</v>
      </c>
      <c r="H1586" s="27">
        <f t="shared" si="2"/>
        <v>0.5354166667</v>
      </c>
      <c r="I1586" s="28">
        <v>6.0</v>
      </c>
      <c r="J1586" s="29" t="s">
        <v>55</v>
      </c>
      <c r="K1586" s="30" t="s">
        <v>23</v>
      </c>
      <c r="L1586" s="31" t="str">
        <f>IFERROR(__xludf.DUMMYFUNCTION("IF(OR(E1586="""",K1586=""""),"""",IFERROR(IF(K1586="""","""",query('tbl user'!$A$2:$D10975,""SELECT A WHERE D = '""&amp;K1586&amp;""'"")),""USER TIDAK DIKETAHUI""))"),"#REF!")</f>
        <v>#REF!</v>
      </c>
    </row>
    <row r="1587">
      <c r="A1587" s="21">
        <f t="shared" si="1"/>
        <v>0</v>
      </c>
      <c r="B1587" s="32" t="s">
        <v>127</v>
      </c>
      <c r="C1587" s="23" t="s">
        <v>128</v>
      </c>
      <c r="D1587" s="23" t="s">
        <v>32</v>
      </c>
      <c r="E1587" s="24">
        <v>45419.0</v>
      </c>
      <c r="F1587" s="25">
        <v>0.2916666666666667</v>
      </c>
      <c r="G1587" s="25">
        <v>0.7048611111111112</v>
      </c>
      <c r="H1587" s="27">
        <f t="shared" si="2"/>
        <v>0.4131944444</v>
      </c>
      <c r="I1587" s="28">
        <v>1.0</v>
      </c>
      <c r="J1587" s="29" t="s">
        <v>841</v>
      </c>
      <c r="K1587" s="30" t="s">
        <v>23</v>
      </c>
      <c r="L1587" s="31" t="str">
        <f>IFERROR(__xludf.DUMMYFUNCTION("IF(OR(E1587="""",K1587=""""),"""",IFERROR(IF(K1587="""","""",query('tbl user'!$A$2:$D10975,""SELECT A WHERE D = '""&amp;K1587&amp;""'"")),""USER TIDAK DIKETAHUI""))"),"#REF!")</f>
        <v>#REF!</v>
      </c>
    </row>
    <row r="1588">
      <c r="A1588" s="21">
        <f t="shared" si="1"/>
        <v>0</v>
      </c>
      <c r="B1588" s="32" t="s">
        <v>135</v>
      </c>
      <c r="C1588" s="23" t="s">
        <v>136</v>
      </c>
      <c r="D1588" s="23" t="s">
        <v>32</v>
      </c>
      <c r="E1588" s="24">
        <v>45419.0</v>
      </c>
      <c r="F1588" s="25">
        <v>0.2465277777777778</v>
      </c>
      <c r="G1588" s="25">
        <v>0.6402777777777777</v>
      </c>
      <c r="H1588" s="27">
        <f t="shared" si="2"/>
        <v>0.39375</v>
      </c>
      <c r="I1588" s="28">
        <v>1.0</v>
      </c>
      <c r="J1588" s="29" t="s">
        <v>842</v>
      </c>
      <c r="K1588" s="30" t="s">
        <v>23</v>
      </c>
      <c r="L1588" s="31" t="str">
        <f>IFERROR(__xludf.DUMMYFUNCTION("IF(OR(E1588="""",K1588=""""),"""",IFERROR(IF(K1588="""","""",query('tbl user'!$A$2:$D10975,""SELECT A WHERE D = '""&amp;K1588&amp;""'"")),""USER TIDAK DIKETAHUI""))"),"#REF!")</f>
        <v>#REF!</v>
      </c>
    </row>
    <row r="1589">
      <c r="A1589" s="21">
        <f t="shared" si="1"/>
        <v>0</v>
      </c>
      <c r="B1589" s="32" t="s">
        <v>40</v>
      </c>
      <c r="C1589" s="23" t="s">
        <v>41</v>
      </c>
      <c r="D1589" s="23" t="s">
        <v>32</v>
      </c>
      <c r="E1589" s="24">
        <v>45419.0</v>
      </c>
      <c r="F1589" s="25">
        <v>0.2534722222222222</v>
      </c>
      <c r="G1589" s="25">
        <v>0.6395833333333333</v>
      </c>
      <c r="H1589" s="27">
        <f t="shared" si="2"/>
        <v>0.3861111111</v>
      </c>
      <c r="I1589" s="28">
        <v>4.0</v>
      </c>
      <c r="J1589" s="29" t="s">
        <v>55</v>
      </c>
      <c r="K1589" s="30" t="s">
        <v>23</v>
      </c>
      <c r="L1589" s="31" t="str">
        <f>IFERROR(__xludf.DUMMYFUNCTION("IF(OR(E1589="""",K1589=""""),"""",IFERROR(IF(K1589="""","""",query('tbl user'!$A$2:$D10975,""SELECT A WHERE D = '""&amp;K1589&amp;""'"")),""USER TIDAK DIKETAHUI""))"),"#REF!")</f>
        <v>#REF!</v>
      </c>
    </row>
    <row r="1590">
      <c r="A1590" s="21">
        <f t="shared" si="1"/>
        <v>0</v>
      </c>
      <c r="B1590" s="32" t="s">
        <v>137</v>
      </c>
      <c r="C1590" s="23" t="s">
        <v>138</v>
      </c>
      <c r="D1590" s="23" t="s">
        <v>32</v>
      </c>
      <c r="E1590" s="24">
        <v>45419.0</v>
      </c>
      <c r="F1590" s="25">
        <v>0.27708333333333335</v>
      </c>
      <c r="G1590" s="25">
        <v>0.6756944444444445</v>
      </c>
      <c r="H1590" s="27">
        <f t="shared" si="2"/>
        <v>0.3986111111</v>
      </c>
      <c r="I1590" s="28">
        <v>4.0</v>
      </c>
      <c r="J1590" s="29" t="s">
        <v>55</v>
      </c>
      <c r="K1590" s="30" t="s">
        <v>23</v>
      </c>
      <c r="L1590" s="31" t="str">
        <f>IFERROR(__xludf.DUMMYFUNCTION("IF(OR(E1590="""",K1590=""""),"""",IFERROR(IF(K1590="""","""",query('tbl user'!$A$2:$D10975,""SELECT A WHERE D = '""&amp;K1590&amp;""'"")),""USER TIDAK DIKETAHUI""))"),"#REF!")</f>
        <v>#REF!</v>
      </c>
    </row>
    <row r="1591">
      <c r="A1591" s="21">
        <f t="shared" si="1"/>
        <v>0</v>
      </c>
      <c r="B1591" s="32" t="s">
        <v>133</v>
      </c>
      <c r="C1591" s="23" t="s">
        <v>134</v>
      </c>
      <c r="D1591" s="23" t="s">
        <v>32</v>
      </c>
      <c r="E1591" s="24">
        <v>45419.0</v>
      </c>
      <c r="F1591" s="25">
        <v>0.23958333333333334</v>
      </c>
      <c r="G1591" s="25">
        <v>0.725</v>
      </c>
      <c r="H1591" s="27">
        <f t="shared" si="2"/>
        <v>0.4854166667</v>
      </c>
      <c r="I1591" s="28">
        <v>5.0</v>
      </c>
      <c r="J1591" s="29" t="s">
        <v>55</v>
      </c>
      <c r="K1591" s="30" t="s">
        <v>23</v>
      </c>
      <c r="L1591" s="31" t="str">
        <f>IFERROR(__xludf.DUMMYFUNCTION("IF(OR(E1591="""",K1591=""""),"""",IFERROR(IF(K1591="""","""",query('tbl user'!$A$2:$D10975,""SELECT A WHERE D = '""&amp;K1591&amp;""'"")),""USER TIDAK DIKETAHUI""))"),"#REF!")</f>
        <v>#REF!</v>
      </c>
    </row>
    <row r="1592">
      <c r="A1592" s="21">
        <f t="shared" si="1"/>
        <v>0</v>
      </c>
      <c r="B1592" s="32" t="s">
        <v>30</v>
      </c>
      <c r="C1592" s="23" t="s">
        <v>31</v>
      </c>
      <c r="D1592" s="23" t="s">
        <v>32</v>
      </c>
      <c r="E1592" s="24">
        <v>45419.0</v>
      </c>
      <c r="F1592" s="25">
        <v>0.22847222222222222</v>
      </c>
      <c r="G1592" s="25">
        <v>0.71875</v>
      </c>
      <c r="H1592" s="27">
        <f t="shared" si="2"/>
        <v>0.4902777778</v>
      </c>
      <c r="I1592" s="28">
        <v>5.0</v>
      </c>
      <c r="J1592" s="29" t="s">
        <v>55</v>
      </c>
      <c r="K1592" s="30" t="s">
        <v>23</v>
      </c>
      <c r="L1592" s="31" t="str">
        <f>IFERROR(__xludf.DUMMYFUNCTION("IF(OR(E1592="""",K1592=""""),"""",IFERROR(IF(K1592="""","""",query('tbl user'!$A$2:$D10975,""SELECT A WHERE D = '""&amp;K1592&amp;""'"")),""USER TIDAK DIKETAHUI""))"),"#REF!")</f>
        <v>#REF!</v>
      </c>
    </row>
    <row r="1593">
      <c r="A1593" s="21">
        <f t="shared" si="1"/>
        <v>0</v>
      </c>
      <c r="B1593" s="32" t="s">
        <v>139</v>
      </c>
      <c r="C1593" s="23" t="s">
        <v>96</v>
      </c>
      <c r="D1593" s="23" t="s">
        <v>32</v>
      </c>
      <c r="E1593" s="24">
        <v>45419.0</v>
      </c>
      <c r="F1593" s="25">
        <v>0.25277777777777777</v>
      </c>
      <c r="G1593" s="25">
        <v>0.7243055555555555</v>
      </c>
      <c r="H1593" s="27">
        <f t="shared" si="2"/>
        <v>0.4715277778</v>
      </c>
      <c r="I1593" s="28">
        <v>5.0</v>
      </c>
      <c r="J1593" s="29" t="s">
        <v>55</v>
      </c>
      <c r="K1593" s="30" t="s">
        <v>23</v>
      </c>
      <c r="L1593" s="31" t="str">
        <f>IFERROR(__xludf.DUMMYFUNCTION("IF(OR(E1593="""",K1593=""""),"""",IFERROR(IF(K1593="""","""",query('tbl user'!$A$2:$D10975,""SELECT A WHERE D = '""&amp;K1593&amp;""'"")),""USER TIDAK DIKETAHUI""))"),"#REF!")</f>
        <v>#REF!</v>
      </c>
    </row>
    <row r="1594">
      <c r="A1594" s="21">
        <f t="shared" si="1"/>
        <v>0</v>
      </c>
      <c r="B1594" s="32" t="s">
        <v>267</v>
      </c>
      <c r="C1594" s="23" t="s">
        <v>268</v>
      </c>
      <c r="D1594" s="23" t="s">
        <v>32</v>
      </c>
      <c r="E1594" s="24">
        <v>45419.0</v>
      </c>
      <c r="F1594" s="25">
        <v>0.2708333333333333</v>
      </c>
      <c r="G1594" s="25">
        <v>0.7347222222222223</v>
      </c>
      <c r="H1594" s="27">
        <f t="shared" si="2"/>
        <v>0.4638888889</v>
      </c>
      <c r="I1594" s="28">
        <v>5.0</v>
      </c>
      <c r="J1594" s="29" t="s">
        <v>55</v>
      </c>
      <c r="K1594" s="30" t="s">
        <v>23</v>
      </c>
      <c r="L1594" s="31" t="str">
        <f>IFERROR(__xludf.DUMMYFUNCTION("IF(OR(E1594="""",K1594=""""),"""",IFERROR(IF(K1594="""","""",query('tbl user'!$A$2:$D10975,""SELECT A WHERE D = '""&amp;K1594&amp;""'"")),""USER TIDAK DIKETAHUI""))"),"#REF!")</f>
        <v>#REF!</v>
      </c>
    </row>
    <row r="1595">
      <c r="A1595" s="21">
        <f t="shared" si="1"/>
        <v>0</v>
      </c>
      <c r="B1595" s="32" t="s">
        <v>269</v>
      </c>
      <c r="C1595" s="23" t="s">
        <v>270</v>
      </c>
      <c r="D1595" s="23" t="s">
        <v>32</v>
      </c>
      <c r="E1595" s="24">
        <v>45419.0</v>
      </c>
      <c r="F1595" s="25">
        <v>0.25833333333333336</v>
      </c>
      <c r="G1595" s="25">
        <v>0.7340277777777777</v>
      </c>
      <c r="H1595" s="27">
        <f t="shared" si="2"/>
        <v>0.4756944444</v>
      </c>
      <c r="I1595" s="28">
        <v>5.0</v>
      </c>
      <c r="J1595" s="29" t="s">
        <v>55</v>
      </c>
      <c r="K1595" s="30" t="s">
        <v>23</v>
      </c>
      <c r="L1595" s="31" t="str">
        <f>IFERROR(__xludf.DUMMYFUNCTION("IF(OR(E1595="""",K1595=""""),"""",IFERROR(IF(K1595="""","""",query('tbl user'!$A$2:$D10975,""SELECT A WHERE D = '""&amp;K1595&amp;""'"")),""USER TIDAK DIKETAHUI""))"),"#REF!")</f>
        <v>#REF!</v>
      </c>
    </row>
    <row r="1596">
      <c r="A1596" s="21">
        <f t="shared" si="1"/>
        <v>0</v>
      </c>
      <c r="B1596" s="32" t="s">
        <v>277</v>
      </c>
      <c r="C1596" s="23" t="s">
        <v>278</v>
      </c>
      <c r="D1596" s="23" t="s">
        <v>32</v>
      </c>
      <c r="E1596" s="24">
        <v>45419.0</v>
      </c>
      <c r="F1596" s="25">
        <v>0.23541666666666666</v>
      </c>
      <c r="G1596" s="25">
        <v>0.7020833333333333</v>
      </c>
      <c r="H1596" s="27">
        <f t="shared" si="2"/>
        <v>0.4666666667</v>
      </c>
      <c r="I1596" s="28">
        <v>5.0</v>
      </c>
      <c r="J1596" s="29" t="s">
        <v>55</v>
      </c>
      <c r="K1596" s="30" t="s">
        <v>23</v>
      </c>
      <c r="L1596" s="31" t="str">
        <f>IFERROR(__xludf.DUMMYFUNCTION("IF(OR(E1596="""",K1596=""""),"""",IFERROR(IF(K1596="""","""",query('tbl user'!$A$2:$D10975,""SELECT A WHERE D = '""&amp;K1596&amp;""'"")),""USER TIDAK DIKETAHUI""))"),"#REF!")</f>
        <v>#REF!</v>
      </c>
    </row>
    <row r="1597">
      <c r="A1597" s="21">
        <f t="shared" si="1"/>
        <v>0</v>
      </c>
      <c r="B1597" s="32" t="s">
        <v>312</v>
      </c>
      <c r="C1597" s="23" t="s">
        <v>313</v>
      </c>
      <c r="D1597" s="23" t="s">
        <v>32</v>
      </c>
      <c r="E1597" s="24">
        <v>45419.0</v>
      </c>
      <c r="F1597" s="25">
        <v>0.23055555555555557</v>
      </c>
      <c r="G1597" s="25">
        <v>0.6895833333333333</v>
      </c>
      <c r="H1597" s="27">
        <f t="shared" si="2"/>
        <v>0.4590277778</v>
      </c>
      <c r="I1597" s="28">
        <v>5.0</v>
      </c>
      <c r="J1597" s="29" t="s">
        <v>55</v>
      </c>
      <c r="K1597" s="30" t="s">
        <v>23</v>
      </c>
      <c r="L1597" s="31" t="str">
        <f>IFERROR(__xludf.DUMMYFUNCTION("IF(OR(E1597="""",K1597=""""),"""",IFERROR(IF(K1597="""","""",query('tbl user'!$A$2:$D10975,""SELECT A WHERE D = '""&amp;K1597&amp;""'"")),""USER TIDAK DIKETAHUI""))"),"#REF!")</f>
        <v>#REF!</v>
      </c>
    </row>
    <row r="1598">
      <c r="A1598" s="21">
        <f t="shared" si="1"/>
        <v>0</v>
      </c>
      <c r="B1598" s="32" t="s">
        <v>293</v>
      </c>
      <c r="C1598" s="23" t="s">
        <v>211</v>
      </c>
      <c r="D1598" s="23" t="s">
        <v>58</v>
      </c>
      <c r="E1598" s="24">
        <v>45420.0</v>
      </c>
      <c r="F1598" s="25">
        <v>0.26875</v>
      </c>
      <c r="G1598" s="25">
        <v>0.45069444444444445</v>
      </c>
      <c r="H1598" s="27">
        <f t="shared" si="2"/>
        <v>0.1819444444</v>
      </c>
      <c r="I1598" s="28">
        <v>1.0</v>
      </c>
      <c r="J1598" s="29" t="s">
        <v>843</v>
      </c>
      <c r="K1598" s="30" t="s">
        <v>23</v>
      </c>
      <c r="L1598" s="31" t="str">
        <f>IFERROR(__xludf.DUMMYFUNCTION("IF(OR(E1598="""",K1598=""""),"""",IFERROR(IF(K1598="""","""",query('tbl user'!$A$2:$D10975,""SELECT A WHERE D = '""&amp;K1598&amp;""'"")),""USER TIDAK DIKETAHUI""))"),"#REF!")</f>
        <v>#REF!</v>
      </c>
    </row>
    <row r="1599">
      <c r="A1599" s="21">
        <f t="shared" si="1"/>
        <v>0</v>
      </c>
      <c r="B1599" s="32" t="s">
        <v>202</v>
      </c>
      <c r="C1599" s="23" t="s">
        <v>203</v>
      </c>
      <c r="D1599" s="23" t="s">
        <v>58</v>
      </c>
      <c r="E1599" s="24">
        <v>45420.0</v>
      </c>
      <c r="F1599" s="25">
        <v>0.25</v>
      </c>
      <c r="G1599" s="25">
        <v>0.375</v>
      </c>
      <c r="H1599" s="27">
        <f t="shared" si="2"/>
        <v>0.125</v>
      </c>
      <c r="I1599" s="28">
        <v>1.0</v>
      </c>
      <c r="J1599" s="29" t="s">
        <v>844</v>
      </c>
      <c r="K1599" s="30" t="s">
        <v>23</v>
      </c>
      <c r="L1599" s="31" t="str">
        <f>IFERROR(__xludf.DUMMYFUNCTION("IF(OR(E1599="""",K1599=""""),"""",IFERROR(IF(K1599="""","""",query('tbl user'!$A$2:$D10975,""SELECT A WHERE D = '""&amp;K1599&amp;""'"")),""USER TIDAK DIKETAHUI""))"),"#REF!")</f>
        <v>#REF!</v>
      </c>
    </row>
    <row r="1600">
      <c r="A1600" s="21">
        <f t="shared" si="1"/>
        <v>0</v>
      </c>
      <c r="B1600" s="32" t="s">
        <v>67</v>
      </c>
      <c r="C1600" s="23" t="s">
        <v>68</v>
      </c>
      <c r="D1600" s="23" t="s">
        <v>58</v>
      </c>
      <c r="E1600" s="24">
        <v>45420.0</v>
      </c>
      <c r="F1600" s="25">
        <v>0.3416666666666667</v>
      </c>
      <c r="G1600" s="25">
        <v>0.5729166666666666</v>
      </c>
      <c r="H1600" s="27">
        <f t="shared" si="2"/>
        <v>0.23125</v>
      </c>
      <c r="I1600" s="28">
        <v>2.0</v>
      </c>
      <c r="J1600" s="29" t="s">
        <v>845</v>
      </c>
      <c r="K1600" s="30" t="s">
        <v>23</v>
      </c>
      <c r="L1600" s="31" t="str">
        <f>IFERROR(__xludf.DUMMYFUNCTION("IF(OR(E1600="""",K1600=""""),"""",IFERROR(IF(K1600="""","""",query('tbl user'!$A$2:$D10975,""SELECT A WHERE D = '""&amp;K1600&amp;""'"")),""USER TIDAK DIKETAHUI""))"),"#REF!")</f>
        <v>#REF!</v>
      </c>
    </row>
    <row r="1601">
      <c r="A1601" s="21">
        <f t="shared" si="1"/>
        <v>0</v>
      </c>
      <c r="B1601" s="32" t="s">
        <v>214</v>
      </c>
      <c r="C1601" s="23" t="s">
        <v>170</v>
      </c>
      <c r="D1601" s="23" t="s">
        <v>58</v>
      </c>
      <c r="E1601" s="24">
        <v>45420.0</v>
      </c>
      <c r="F1601" s="25">
        <v>0.2951388888888889</v>
      </c>
      <c r="G1601" s="25">
        <v>0.65</v>
      </c>
      <c r="H1601" s="27">
        <f t="shared" si="2"/>
        <v>0.3548611111</v>
      </c>
      <c r="I1601" s="28">
        <v>3.0</v>
      </c>
      <c r="J1601" s="29" t="s">
        <v>846</v>
      </c>
      <c r="K1601" s="30" t="s">
        <v>23</v>
      </c>
      <c r="L1601" s="31" t="str">
        <f>IFERROR(__xludf.DUMMYFUNCTION("IF(OR(E1601="""",K1601=""""),"""",IFERROR(IF(K1601="""","""",query('tbl user'!$A$2:$D10975,""SELECT A WHERE D = '""&amp;K1601&amp;""'"")),""USER TIDAK DIKETAHUI""))"),"#REF!")</f>
        <v>#REF!</v>
      </c>
    </row>
    <row r="1602">
      <c r="A1602" s="21">
        <f t="shared" si="1"/>
        <v>0</v>
      </c>
      <c r="B1602" s="32" t="s">
        <v>216</v>
      </c>
      <c r="C1602" s="23" t="s">
        <v>198</v>
      </c>
      <c r="D1602" s="23" t="s">
        <v>58</v>
      </c>
      <c r="E1602" s="24">
        <v>45420.0</v>
      </c>
      <c r="F1602" s="25">
        <v>0.29097222222222224</v>
      </c>
      <c r="G1602" s="25">
        <v>0.6368055555555555</v>
      </c>
      <c r="H1602" s="27">
        <f t="shared" si="2"/>
        <v>0.3458333333</v>
      </c>
      <c r="I1602" s="28">
        <v>3.0</v>
      </c>
      <c r="J1602" s="29" t="s">
        <v>847</v>
      </c>
      <c r="K1602" s="30" t="s">
        <v>23</v>
      </c>
      <c r="L1602" s="31" t="str">
        <f>IFERROR(__xludf.DUMMYFUNCTION("IF(OR(E1602="""",K1602=""""),"""",IFERROR(IF(K1602="""","""",query('tbl user'!$A$2:$D10975,""SELECT A WHERE D = '""&amp;K1602&amp;""'"")),""USER TIDAK DIKETAHUI""))"),"#REF!")</f>
        <v>#REF!</v>
      </c>
    </row>
    <row r="1603">
      <c r="A1603" s="21">
        <f t="shared" si="1"/>
        <v>0</v>
      </c>
      <c r="B1603" s="32" t="s">
        <v>297</v>
      </c>
      <c r="C1603" s="23" t="s">
        <v>348</v>
      </c>
      <c r="D1603" s="23" t="s">
        <v>58</v>
      </c>
      <c r="E1603" s="24">
        <v>45420.0</v>
      </c>
      <c r="F1603" s="25">
        <v>0.25555555555555554</v>
      </c>
      <c r="G1603" s="25">
        <v>0.6506944444444445</v>
      </c>
      <c r="H1603" s="27">
        <f t="shared" si="2"/>
        <v>0.3951388889</v>
      </c>
      <c r="I1603" s="28">
        <v>3.0</v>
      </c>
      <c r="J1603" s="29" t="s">
        <v>844</v>
      </c>
      <c r="K1603" s="30" t="s">
        <v>23</v>
      </c>
      <c r="L1603" s="31" t="str">
        <f>IFERROR(__xludf.DUMMYFUNCTION("IF(OR(E1603="""",K1603=""""),"""",IFERROR(IF(K1603="""","""",query('tbl user'!$A$2:$D10975,""SELECT A WHERE D = '""&amp;K1603&amp;""'"")),""USER TIDAK DIKETAHUI""))"),"#REF!")</f>
        <v>#REF!</v>
      </c>
    </row>
    <row r="1604">
      <c r="A1604" s="21">
        <f t="shared" si="1"/>
        <v>0</v>
      </c>
      <c r="B1604" s="32" t="s">
        <v>167</v>
      </c>
      <c r="C1604" s="23" t="s">
        <v>168</v>
      </c>
      <c r="D1604" s="23" t="s">
        <v>58</v>
      </c>
      <c r="E1604" s="24">
        <v>45420.0</v>
      </c>
      <c r="F1604" s="25">
        <v>0.26666666666666666</v>
      </c>
      <c r="G1604" s="33">
        <v>0.6840277777777778</v>
      </c>
      <c r="H1604" s="27">
        <f t="shared" si="2"/>
        <v>0.4173611111</v>
      </c>
      <c r="I1604" s="28">
        <v>4.0</v>
      </c>
      <c r="J1604" s="29" t="s">
        <v>55</v>
      </c>
      <c r="K1604" s="30" t="s">
        <v>23</v>
      </c>
      <c r="L1604" s="31" t="str">
        <f>IFERROR(__xludf.DUMMYFUNCTION("IF(OR(E1604="""",K1604=""""),"""",IFERROR(IF(K1604="""","""",query('tbl user'!$A$2:$D10975,""SELECT A WHERE D = '""&amp;K1604&amp;""'"")),""USER TIDAK DIKETAHUI""))"),"#REF!")</f>
        <v>#REF!</v>
      </c>
    </row>
    <row r="1605">
      <c r="A1605" s="21">
        <f t="shared" si="1"/>
        <v>0</v>
      </c>
      <c r="B1605" s="32" t="s">
        <v>95</v>
      </c>
      <c r="C1605" s="23" t="s">
        <v>93</v>
      </c>
      <c r="D1605" s="23" t="s">
        <v>58</v>
      </c>
      <c r="E1605" s="24">
        <v>45420.0</v>
      </c>
      <c r="F1605" s="25">
        <v>0.2513888888888889</v>
      </c>
      <c r="G1605" s="25">
        <v>0.65</v>
      </c>
      <c r="H1605" s="27">
        <f t="shared" si="2"/>
        <v>0.3986111111</v>
      </c>
      <c r="I1605" s="28">
        <v>4.0</v>
      </c>
      <c r="J1605" s="29" t="s">
        <v>55</v>
      </c>
      <c r="K1605" s="30" t="s">
        <v>23</v>
      </c>
      <c r="L1605" s="31" t="str">
        <f>IFERROR(__xludf.DUMMYFUNCTION("IF(OR(E1605="""",K1605=""""),"""",IFERROR(IF(K1605="""","""",query('tbl user'!$A$2:$D10975,""SELECT A WHERE D = '""&amp;K1605&amp;""'"")),""USER TIDAK DIKETAHUI""))"),"#REF!")</f>
        <v>#REF!</v>
      </c>
    </row>
    <row r="1606">
      <c r="A1606" s="21">
        <f t="shared" si="1"/>
        <v>0</v>
      </c>
      <c r="B1606" s="32" t="s">
        <v>215</v>
      </c>
      <c r="C1606" s="23" t="s">
        <v>176</v>
      </c>
      <c r="D1606" s="23" t="s">
        <v>58</v>
      </c>
      <c r="E1606" s="24">
        <v>45420.0</v>
      </c>
      <c r="F1606" s="25">
        <v>0.2708333333333333</v>
      </c>
      <c r="G1606" s="25">
        <v>0.6763888888888889</v>
      </c>
      <c r="H1606" s="27">
        <f t="shared" si="2"/>
        <v>0.4055555556</v>
      </c>
      <c r="I1606" s="28">
        <v>4.0</v>
      </c>
      <c r="J1606" s="29" t="s">
        <v>55</v>
      </c>
      <c r="K1606" s="30" t="s">
        <v>23</v>
      </c>
      <c r="L1606" s="31" t="str">
        <f>IFERROR(__xludf.DUMMYFUNCTION("IF(OR(E1606="""",K1606=""""),"""",IFERROR(IF(K1606="""","""",query('tbl user'!$A$2:$D10975,""SELECT A WHERE D = '""&amp;K1606&amp;""'"")),""USER TIDAK DIKETAHUI""))"),"#REF!")</f>
        <v>#REF!</v>
      </c>
    </row>
    <row r="1607">
      <c r="A1607" s="21">
        <f t="shared" si="1"/>
        <v>0</v>
      </c>
      <c r="B1607" s="32" t="s">
        <v>56</v>
      </c>
      <c r="C1607" s="23" t="s">
        <v>57</v>
      </c>
      <c r="D1607" s="23" t="s">
        <v>58</v>
      </c>
      <c r="E1607" s="24">
        <v>45420.0</v>
      </c>
      <c r="F1607" s="25">
        <v>0.2659722222222222</v>
      </c>
      <c r="G1607" s="25">
        <v>0.675</v>
      </c>
      <c r="H1607" s="27">
        <f t="shared" si="2"/>
        <v>0.4090277778</v>
      </c>
      <c r="I1607" s="28">
        <v>4.0</v>
      </c>
      <c r="J1607" s="29" t="s">
        <v>55</v>
      </c>
      <c r="K1607" s="30" t="s">
        <v>23</v>
      </c>
      <c r="L1607" s="31" t="str">
        <f>IFERROR(__xludf.DUMMYFUNCTION("IF(OR(E1607="""",K1607=""""),"""",IFERROR(IF(K1607="""","""",query('tbl user'!$A$2:$D10975,""SELECT A WHERE D = '""&amp;K1607&amp;""'"")),""USER TIDAK DIKETAHUI""))"),"#REF!")</f>
        <v>#REF!</v>
      </c>
    </row>
    <row r="1608">
      <c r="A1608" s="21">
        <f t="shared" si="1"/>
        <v>0</v>
      </c>
      <c r="B1608" s="32" t="s">
        <v>178</v>
      </c>
      <c r="C1608" s="23" t="s">
        <v>82</v>
      </c>
      <c r="D1608" s="23" t="s">
        <v>58</v>
      </c>
      <c r="E1608" s="24">
        <v>45420.0</v>
      </c>
      <c r="F1608" s="25">
        <v>0.26458333333333334</v>
      </c>
      <c r="G1608" s="25">
        <v>0.6715277777777777</v>
      </c>
      <c r="H1608" s="27">
        <f t="shared" si="2"/>
        <v>0.4069444444</v>
      </c>
      <c r="I1608" s="28">
        <v>4.0</v>
      </c>
      <c r="J1608" s="29" t="s">
        <v>55</v>
      </c>
      <c r="K1608" s="30" t="s">
        <v>23</v>
      </c>
      <c r="L1608" s="31" t="str">
        <f>IFERROR(__xludf.DUMMYFUNCTION("IF(OR(E1608="""",K1608=""""),"""",IFERROR(IF(K1608="""","""",query('tbl user'!$A$2:$D10975,""SELECT A WHERE D = '""&amp;K1608&amp;""'"")),""USER TIDAK DIKETAHUI""))"),"#REF!")</f>
        <v>#REF!</v>
      </c>
    </row>
    <row r="1609">
      <c r="A1609" s="21">
        <f t="shared" si="1"/>
        <v>0</v>
      </c>
      <c r="B1609" s="32" t="s">
        <v>180</v>
      </c>
      <c r="C1609" s="23" t="s">
        <v>181</v>
      </c>
      <c r="D1609" s="23" t="s">
        <v>58</v>
      </c>
      <c r="E1609" s="24">
        <v>45420.0</v>
      </c>
      <c r="F1609" s="25">
        <v>0.23541666666666666</v>
      </c>
      <c r="G1609" s="25">
        <v>0.6611111111111111</v>
      </c>
      <c r="H1609" s="27">
        <f t="shared" si="2"/>
        <v>0.4256944444</v>
      </c>
      <c r="I1609" s="28">
        <v>4.0</v>
      </c>
      <c r="J1609" s="29" t="s">
        <v>55</v>
      </c>
      <c r="K1609" s="30" t="s">
        <v>23</v>
      </c>
      <c r="L1609" s="31" t="str">
        <f>IFERROR(__xludf.DUMMYFUNCTION("IF(OR(E1609="""",K1609=""""),"""",IFERROR(IF(K1609="""","""",query('tbl user'!$A$2:$D10975,""SELECT A WHERE D = '""&amp;K1609&amp;""'"")),""USER TIDAK DIKETAHUI""))"),"#REF!")</f>
        <v>#REF!</v>
      </c>
    </row>
    <row r="1610">
      <c r="A1610" s="21">
        <f t="shared" si="1"/>
        <v>0</v>
      </c>
      <c r="B1610" s="32" t="s">
        <v>184</v>
      </c>
      <c r="C1610" s="23" t="s">
        <v>185</v>
      </c>
      <c r="D1610" s="23" t="s">
        <v>58</v>
      </c>
      <c r="E1610" s="24">
        <v>45420.0</v>
      </c>
      <c r="F1610" s="25">
        <v>0.26180555555555557</v>
      </c>
      <c r="G1610" s="25">
        <v>0.6513888888888889</v>
      </c>
      <c r="H1610" s="27">
        <f t="shared" si="2"/>
        <v>0.3895833333</v>
      </c>
      <c r="I1610" s="28">
        <v>4.0</v>
      </c>
      <c r="J1610" s="29" t="s">
        <v>55</v>
      </c>
      <c r="K1610" s="30" t="s">
        <v>23</v>
      </c>
      <c r="L1610" s="31" t="str">
        <f>IFERROR(__xludf.DUMMYFUNCTION("IF(OR(E1610="""",K1610=""""),"""",IFERROR(IF(K1610="""","""",query('tbl user'!$A$2:$D10975,""SELECT A WHERE D = '""&amp;K1610&amp;""'"")),""USER TIDAK DIKETAHUI""))"),"#REF!")</f>
        <v>#REF!</v>
      </c>
    </row>
    <row r="1611">
      <c r="A1611" s="21">
        <f t="shared" si="1"/>
        <v>0</v>
      </c>
      <c r="B1611" s="32" t="s">
        <v>187</v>
      </c>
      <c r="C1611" s="23" t="s">
        <v>188</v>
      </c>
      <c r="D1611" s="23" t="s">
        <v>58</v>
      </c>
      <c r="E1611" s="24">
        <v>45420.0</v>
      </c>
      <c r="F1611" s="25">
        <v>0.2388888888888889</v>
      </c>
      <c r="G1611" s="25">
        <v>0.6861111111111111</v>
      </c>
      <c r="H1611" s="27">
        <f t="shared" si="2"/>
        <v>0.4472222222</v>
      </c>
      <c r="I1611" s="28">
        <v>4.0</v>
      </c>
      <c r="J1611" s="29" t="s">
        <v>55</v>
      </c>
      <c r="K1611" s="30" t="s">
        <v>23</v>
      </c>
      <c r="L1611" s="31" t="str">
        <f>IFERROR(__xludf.DUMMYFUNCTION("IF(OR(E1611="""",K1611=""""),"""",IFERROR(IF(K1611="""","""",query('tbl user'!$A$2:$D10975,""SELECT A WHERE D = '""&amp;K1611&amp;""'"")),""USER TIDAK DIKETAHUI""))"),"#REF!")</f>
        <v>#REF!</v>
      </c>
    </row>
    <row r="1612">
      <c r="A1612" s="21">
        <f t="shared" si="1"/>
        <v>0</v>
      </c>
      <c r="B1612" s="32" t="s">
        <v>189</v>
      </c>
      <c r="C1612" s="23" t="s">
        <v>190</v>
      </c>
      <c r="D1612" s="23" t="s">
        <v>58</v>
      </c>
      <c r="E1612" s="24">
        <v>45420.0</v>
      </c>
      <c r="F1612" s="25">
        <v>0.2798611111111111</v>
      </c>
      <c r="G1612" s="25">
        <v>0.7027777777777777</v>
      </c>
      <c r="H1612" s="27">
        <f t="shared" si="2"/>
        <v>0.4229166667</v>
      </c>
      <c r="I1612" s="28">
        <v>4.0</v>
      </c>
      <c r="J1612" s="29" t="s">
        <v>55</v>
      </c>
      <c r="K1612" s="30" t="s">
        <v>23</v>
      </c>
      <c r="L1612" s="31" t="str">
        <f>IFERROR(__xludf.DUMMYFUNCTION("IF(OR(E1612="""",K1612=""""),"""",IFERROR(IF(K1612="""","""",query('tbl user'!$A$2:$D10975,""SELECT A WHERE D = '""&amp;K1612&amp;""'"")),""USER TIDAK DIKETAHUI""))"),"#REF!")</f>
        <v>#REF!</v>
      </c>
    </row>
    <row r="1613">
      <c r="A1613" s="21">
        <f t="shared" si="1"/>
        <v>0</v>
      </c>
      <c r="B1613" s="32" t="s">
        <v>200</v>
      </c>
      <c r="C1613" s="23" t="s">
        <v>201</v>
      </c>
      <c r="D1613" s="23" t="s">
        <v>58</v>
      </c>
      <c r="E1613" s="24">
        <v>45420.0</v>
      </c>
      <c r="F1613" s="25">
        <v>0.20902777777777778</v>
      </c>
      <c r="G1613" s="25">
        <v>0.6604166666666667</v>
      </c>
      <c r="H1613" s="27">
        <f t="shared" si="2"/>
        <v>0.4513888889</v>
      </c>
      <c r="I1613" s="28">
        <v>4.0</v>
      </c>
      <c r="J1613" s="29" t="s">
        <v>55</v>
      </c>
      <c r="K1613" s="30" t="s">
        <v>23</v>
      </c>
      <c r="L1613" s="31" t="str">
        <f>IFERROR(__xludf.DUMMYFUNCTION("IF(OR(E1613="""",K1613=""""),"""",IFERROR(IF(K1613="""","""",query('tbl user'!$A$2:$D10975,""SELECT A WHERE D = '""&amp;K1613&amp;""'"")),""USER TIDAK DIKETAHUI""))"),"#REF!")</f>
        <v>#REF!</v>
      </c>
    </row>
    <row r="1614">
      <c r="A1614" s="21">
        <f t="shared" si="1"/>
        <v>0</v>
      </c>
      <c r="B1614" s="32" t="s">
        <v>30</v>
      </c>
      <c r="C1614" s="23" t="s">
        <v>105</v>
      </c>
      <c r="D1614" s="23" t="s">
        <v>58</v>
      </c>
      <c r="E1614" s="24">
        <v>45420.0</v>
      </c>
      <c r="F1614" s="25">
        <v>0.26319444444444445</v>
      </c>
      <c r="G1614" s="25">
        <v>0.6833333333333333</v>
      </c>
      <c r="H1614" s="27">
        <f t="shared" si="2"/>
        <v>0.4201388889</v>
      </c>
      <c r="I1614" s="28">
        <v>4.0</v>
      </c>
      <c r="J1614" s="29" t="s">
        <v>55</v>
      </c>
      <c r="K1614" s="30" t="s">
        <v>23</v>
      </c>
      <c r="L1614" s="31" t="str">
        <f>IFERROR(__xludf.DUMMYFUNCTION("IF(OR(E1614="""",K1614=""""),"""",IFERROR(IF(K1614="""","""",query('tbl user'!$A$2:$D10975,""SELECT A WHERE D = '""&amp;K1614&amp;""'"")),""USER TIDAK DIKETAHUI""))"),"#REF!")</f>
        <v>#REF!</v>
      </c>
    </row>
    <row r="1615">
      <c r="A1615" s="21">
        <f t="shared" si="1"/>
        <v>0</v>
      </c>
      <c r="B1615" s="32" t="s">
        <v>205</v>
      </c>
      <c r="C1615" s="23" t="s">
        <v>206</v>
      </c>
      <c r="D1615" s="23" t="s">
        <v>58</v>
      </c>
      <c r="E1615" s="24">
        <v>45420.0</v>
      </c>
      <c r="F1615" s="25">
        <v>0.23472222222222222</v>
      </c>
      <c r="G1615" s="25">
        <v>0.6673611111111111</v>
      </c>
      <c r="H1615" s="27">
        <f t="shared" si="2"/>
        <v>0.4326388889</v>
      </c>
      <c r="I1615" s="28">
        <v>4.0</v>
      </c>
      <c r="J1615" s="29" t="s">
        <v>55</v>
      </c>
      <c r="K1615" s="30" t="s">
        <v>23</v>
      </c>
      <c r="L1615" s="31" t="str">
        <f>IFERROR(__xludf.DUMMYFUNCTION("IF(OR(E1615="""",K1615=""""),"""",IFERROR(IF(K1615="""","""",query('tbl user'!$A$2:$D10975,""SELECT A WHERE D = '""&amp;K1615&amp;""'"")),""USER TIDAK DIKETAHUI""))"),"#REF!")</f>
        <v>#REF!</v>
      </c>
    </row>
    <row r="1616">
      <c r="A1616" s="21">
        <f t="shared" si="1"/>
        <v>0</v>
      </c>
      <c r="B1616" s="32" t="s">
        <v>224</v>
      </c>
      <c r="C1616" s="23" t="s">
        <v>208</v>
      </c>
      <c r="D1616" s="23" t="s">
        <v>58</v>
      </c>
      <c r="E1616" s="24">
        <v>45420.0</v>
      </c>
      <c r="F1616" s="25">
        <v>0.23958333333333334</v>
      </c>
      <c r="G1616" s="25">
        <v>0.6625</v>
      </c>
      <c r="H1616" s="27">
        <f t="shared" si="2"/>
        <v>0.4229166667</v>
      </c>
      <c r="I1616" s="28">
        <v>4.0</v>
      </c>
      <c r="J1616" s="29" t="s">
        <v>55</v>
      </c>
      <c r="K1616" s="30" t="s">
        <v>23</v>
      </c>
      <c r="L1616" s="31" t="str">
        <f>IFERROR(__xludf.DUMMYFUNCTION("IF(OR(E1616="""",K1616=""""),"""",IFERROR(IF(K1616="""","""",query('tbl user'!$A$2:$D10975,""SELECT A WHERE D = '""&amp;K1616&amp;""'"")),""USER TIDAK DIKETAHUI""))"),"#REF!")</f>
        <v>#REF!</v>
      </c>
    </row>
    <row r="1617">
      <c r="A1617" s="21">
        <f t="shared" si="1"/>
        <v>0</v>
      </c>
      <c r="B1617" s="32" t="s">
        <v>182</v>
      </c>
      <c r="C1617" s="23" t="s">
        <v>183</v>
      </c>
      <c r="D1617" s="23" t="s">
        <v>58</v>
      </c>
      <c r="E1617" s="24">
        <v>45420.0</v>
      </c>
      <c r="F1617" s="25">
        <v>0.21388888888888888</v>
      </c>
      <c r="G1617" s="25">
        <v>0.6659722222222222</v>
      </c>
      <c r="H1617" s="27">
        <f t="shared" si="2"/>
        <v>0.4520833333</v>
      </c>
      <c r="I1617" s="28">
        <v>5.0</v>
      </c>
      <c r="J1617" s="29" t="s">
        <v>55</v>
      </c>
      <c r="K1617" s="30" t="s">
        <v>23</v>
      </c>
      <c r="L1617" s="31" t="str">
        <f>IFERROR(__xludf.DUMMYFUNCTION("IF(OR(E1617="""",K1617=""""),"""",IFERROR(IF(K1617="""","""",query('tbl user'!$A$2:$D10975,""SELECT A WHERE D = '""&amp;K1617&amp;""'"")),""USER TIDAK DIKETAHUI""))"),"#REF!")</f>
        <v>#REF!</v>
      </c>
    </row>
    <row r="1618">
      <c r="A1618" s="21">
        <f t="shared" si="1"/>
        <v>0</v>
      </c>
      <c r="B1618" s="32" t="s">
        <v>191</v>
      </c>
      <c r="C1618" s="23" t="s">
        <v>192</v>
      </c>
      <c r="D1618" s="23" t="s">
        <v>58</v>
      </c>
      <c r="E1618" s="24">
        <v>45420.0</v>
      </c>
      <c r="F1618" s="25">
        <v>0.25833333333333336</v>
      </c>
      <c r="G1618" s="33">
        <v>0.71875</v>
      </c>
      <c r="H1618" s="27">
        <f t="shared" si="2"/>
        <v>0.4604166667</v>
      </c>
      <c r="I1618" s="28">
        <v>5.0</v>
      </c>
      <c r="J1618" s="29" t="s">
        <v>55</v>
      </c>
      <c r="K1618" s="30" t="s">
        <v>23</v>
      </c>
      <c r="L1618" s="31" t="str">
        <f>IFERROR(__xludf.DUMMYFUNCTION("IF(OR(E1618="""",K1618=""""),"""",IFERROR(IF(K1618="""","""",query('tbl user'!$A$2:$D10975,""SELECT A WHERE D = '""&amp;K1618&amp;""'"")),""USER TIDAK DIKETAHUI""))"),"#REF!")</f>
        <v>#REF!</v>
      </c>
    </row>
    <row r="1619">
      <c r="A1619" s="21">
        <f t="shared" si="1"/>
        <v>0</v>
      </c>
      <c r="B1619" s="32" t="s">
        <v>194</v>
      </c>
      <c r="C1619" s="23" t="s">
        <v>195</v>
      </c>
      <c r="D1619" s="23" t="s">
        <v>58</v>
      </c>
      <c r="E1619" s="24">
        <v>45420.0</v>
      </c>
      <c r="F1619" s="25">
        <v>0.23055555555555557</v>
      </c>
      <c r="G1619" s="25">
        <v>0.6916666666666667</v>
      </c>
      <c r="H1619" s="27">
        <f t="shared" si="2"/>
        <v>0.4611111111</v>
      </c>
      <c r="I1619" s="28">
        <v>5.0</v>
      </c>
      <c r="J1619" s="29" t="s">
        <v>55</v>
      </c>
      <c r="K1619" s="30" t="s">
        <v>23</v>
      </c>
      <c r="L1619" s="31" t="str">
        <f>IFERROR(__xludf.DUMMYFUNCTION("IF(OR(E1619="""",K1619=""""),"""",IFERROR(IF(K1619="""","""",query('tbl user'!$A$2:$D10975,""SELECT A WHERE D = '""&amp;K1619&amp;""'"")),""USER TIDAK DIKETAHUI""))"),"#REF!")</f>
        <v>#REF!</v>
      </c>
    </row>
    <row r="1620">
      <c r="A1620" s="21">
        <f t="shared" si="1"/>
        <v>0</v>
      </c>
      <c r="B1620" s="32" t="s">
        <v>662</v>
      </c>
      <c r="C1620" s="23" t="s">
        <v>234</v>
      </c>
      <c r="D1620" s="23" t="s">
        <v>21</v>
      </c>
      <c r="E1620" s="24">
        <v>45420.0</v>
      </c>
      <c r="F1620" s="25">
        <v>0.2916666666666667</v>
      </c>
      <c r="G1620" s="25">
        <v>0.4354166666666667</v>
      </c>
      <c r="H1620" s="27">
        <f t="shared" si="2"/>
        <v>0.14375</v>
      </c>
      <c r="I1620" s="28">
        <v>1.0</v>
      </c>
      <c r="J1620" s="29" t="s">
        <v>848</v>
      </c>
      <c r="K1620" s="30" t="s">
        <v>23</v>
      </c>
      <c r="L1620" s="31" t="str">
        <f>IFERROR(__xludf.DUMMYFUNCTION("IF(OR(E1620="""",K1620=""""),"""",IFERROR(IF(K1620="""","""",query('tbl user'!$A$2:$D10975,""SELECT A WHERE D = '""&amp;K1620&amp;""'"")),""USER TIDAK DIKETAHUI""))"),"#REF!")</f>
        <v>#REF!</v>
      </c>
    </row>
    <row r="1621">
      <c r="A1621" s="21">
        <f t="shared" si="1"/>
        <v>0</v>
      </c>
      <c r="B1621" s="32" t="s">
        <v>101</v>
      </c>
      <c r="C1621" s="23" t="s">
        <v>44</v>
      </c>
      <c r="D1621" s="23" t="s">
        <v>21</v>
      </c>
      <c r="E1621" s="24">
        <v>45420.0</v>
      </c>
      <c r="F1621" s="25">
        <v>0.29375</v>
      </c>
      <c r="G1621" s="25">
        <v>0.5722222222222222</v>
      </c>
      <c r="H1621" s="27">
        <f t="shared" si="2"/>
        <v>0.2784722222</v>
      </c>
      <c r="I1621" s="28">
        <v>2.0</v>
      </c>
      <c r="J1621" s="29" t="s">
        <v>849</v>
      </c>
      <c r="K1621" s="30" t="s">
        <v>23</v>
      </c>
      <c r="L1621" s="31" t="str">
        <f>IFERROR(__xludf.DUMMYFUNCTION("IF(OR(E1621="""",K1621=""""),"""",IFERROR(IF(K1621="""","""",query('tbl user'!$A$2:$D10975,""SELECT A WHERE D = '""&amp;K1621&amp;""'"")),""USER TIDAK DIKETAHUI""))"),"#REF!")</f>
        <v>#REF!</v>
      </c>
    </row>
    <row r="1622">
      <c r="A1622" s="21">
        <f t="shared" si="1"/>
        <v>0</v>
      </c>
      <c r="B1622" s="32" t="s">
        <v>81</v>
      </c>
      <c r="C1622" s="23" t="s">
        <v>261</v>
      </c>
      <c r="D1622" s="23" t="s">
        <v>21</v>
      </c>
      <c r="E1622" s="24">
        <v>45420.0</v>
      </c>
      <c r="F1622" s="25">
        <v>0.26319444444444445</v>
      </c>
      <c r="G1622" s="25">
        <v>0.5805555555555556</v>
      </c>
      <c r="H1622" s="27">
        <f t="shared" si="2"/>
        <v>0.3173611111</v>
      </c>
      <c r="I1622" s="28">
        <v>3.0</v>
      </c>
      <c r="J1622" s="29" t="s">
        <v>850</v>
      </c>
      <c r="K1622" s="30" t="s">
        <v>23</v>
      </c>
      <c r="L1622" s="31" t="str">
        <f>IFERROR(__xludf.DUMMYFUNCTION("IF(OR(E1622="""",K1622=""""),"""",IFERROR(IF(K1622="""","""",query('tbl user'!$A$2:$D10975,""SELECT A WHERE D = '""&amp;K1622&amp;""'"")),""USER TIDAK DIKETAHUI""))"),"#REF!")</f>
        <v>#REF!</v>
      </c>
    </row>
    <row r="1623">
      <c r="A1623" s="21">
        <f t="shared" si="1"/>
        <v>0</v>
      </c>
      <c r="B1623" s="32" t="s">
        <v>34</v>
      </c>
      <c r="C1623" s="23" t="s">
        <v>35</v>
      </c>
      <c r="D1623" s="23" t="s">
        <v>21</v>
      </c>
      <c r="E1623" s="24">
        <v>45420.0</v>
      </c>
      <c r="F1623" s="25">
        <v>0.29097222222222224</v>
      </c>
      <c r="G1623" s="25">
        <v>0.6944444444444444</v>
      </c>
      <c r="H1623" s="27">
        <f t="shared" si="2"/>
        <v>0.4034722222</v>
      </c>
      <c r="I1623" s="28">
        <v>5.0</v>
      </c>
      <c r="J1623" s="29" t="s">
        <v>55</v>
      </c>
      <c r="K1623" s="30" t="s">
        <v>23</v>
      </c>
      <c r="L1623" s="31" t="str">
        <f>IFERROR(__xludf.DUMMYFUNCTION("IF(OR(E1623="""",K1623=""""),"""",IFERROR(IF(K1623="""","""",query('tbl user'!$A$2:$D10975,""SELECT A WHERE D = '""&amp;K1623&amp;""'"")),""USER TIDAK DIKETAHUI""))"),"#REF!")</f>
        <v>#REF!</v>
      </c>
    </row>
    <row r="1624">
      <c r="A1624" s="21">
        <f t="shared" si="1"/>
        <v>0</v>
      </c>
      <c r="B1624" s="32" t="s">
        <v>172</v>
      </c>
      <c r="C1624" s="23" t="s">
        <v>239</v>
      </c>
      <c r="D1624" s="23" t="s">
        <v>21</v>
      </c>
      <c r="E1624" s="24">
        <v>45420.0</v>
      </c>
      <c r="F1624" s="25">
        <v>0.29097222222222224</v>
      </c>
      <c r="G1624" s="25">
        <v>0.7076388888888889</v>
      </c>
      <c r="H1624" s="27">
        <f t="shared" si="2"/>
        <v>0.4166666667</v>
      </c>
      <c r="I1624" s="28">
        <v>5.0</v>
      </c>
      <c r="J1624" s="29" t="s">
        <v>55</v>
      </c>
      <c r="K1624" s="30" t="s">
        <v>23</v>
      </c>
      <c r="L1624" s="31" t="str">
        <f>IFERROR(__xludf.DUMMYFUNCTION("IF(OR(E1624="""",K1624=""""),"""",IFERROR(IF(K1624="""","""",query('tbl user'!$A$2:$D10975,""SELECT A WHERE D = '""&amp;K1624&amp;""'"")),""USER TIDAK DIKETAHUI""))"),"#REF!")</f>
        <v>#REF!</v>
      </c>
    </row>
    <row r="1625">
      <c r="A1625" s="21">
        <f t="shared" si="1"/>
        <v>0</v>
      </c>
      <c r="B1625" s="32" t="s">
        <v>246</v>
      </c>
      <c r="C1625" s="23" t="s">
        <v>99</v>
      </c>
      <c r="D1625" s="23" t="s">
        <v>21</v>
      </c>
      <c r="E1625" s="24">
        <v>45420.0</v>
      </c>
      <c r="F1625" s="25">
        <v>0.28958333333333336</v>
      </c>
      <c r="G1625" s="25">
        <v>0.7201388888888889</v>
      </c>
      <c r="H1625" s="27">
        <f t="shared" si="2"/>
        <v>0.4305555556</v>
      </c>
      <c r="I1625" s="28">
        <v>5.0</v>
      </c>
      <c r="J1625" s="29" t="s">
        <v>55</v>
      </c>
      <c r="K1625" s="30" t="s">
        <v>23</v>
      </c>
      <c r="L1625" s="31" t="str">
        <f>IFERROR(__xludf.DUMMYFUNCTION("IF(OR(E1625="""",K1625=""""),"""",IFERROR(IF(K1625="""","""",query('tbl user'!$A$2:$D10975,""SELECT A WHERE D = '""&amp;K1625&amp;""'"")),""USER TIDAK DIKETAHUI""))"),"#REF!")</f>
        <v>#REF!</v>
      </c>
    </row>
    <row r="1626">
      <c r="A1626" s="21">
        <f t="shared" si="1"/>
        <v>0</v>
      </c>
      <c r="B1626" s="32" t="s">
        <v>243</v>
      </c>
      <c r="C1626" s="23" t="s">
        <v>244</v>
      </c>
      <c r="D1626" s="23" t="s">
        <v>21</v>
      </c>
      <c r="E1626" s="24">
        <v>45420.0</v>
      </c>
      <c r="F1626" s="25">
        <v>0.28888888888888886</v>
      </c>
      <c r="G1626" s="25">
        <v>0.7229166666666667</v>
      </c>
      <c r="H1626" s="27">
        <f t="shared" si="2"/>
        <v>0.4340277778</v>
      </c>
      <c r="I1626" s="28">
        <v>5.0</v>
      </c>
      <c r="J1626" s="29" t="s">
        <v>55</v>
      </c>
      <c r="K1626" s="30" t="s">
        <v>23</v>
      </c>
      <c r="L1626" s="31" t="str">
        <f>IFERROR(__xludf.DUMMYFUNCTION("IF(OR(E1626="""",K1626=""""),"""",IFERROR(IF(K1626="""","""",query('tbl user'!$A$2:$D10975,""SELECT A WHERE D = '""&amp;K1626&amp;""'"")),""USER TIDAK DIKETAHUI""))"),"#REF!")</f>
        <v>#REF!</v>
      </c>
    </row>
    <row r="1627">
      <c r="A1627" s="21">
        <f t="shared" si="1"/>
        <v>0</v>
      </c>
      <c r="B1627" s="32" t="s">
        <v>24</v>
      </c>
      <c r="C1627" s="23" t="s">
        <v>25</v>
      </c>
      <c r="D1627" s="23" t="s">
        <v>21</v>
      </c>
      <c r="E1627" s="24">
        <v>45420.0</v>
      </c>
      <c r="F1627" s="25">
        <v>0.2222222222222222</v>
      </c>
      <c r="G1627" s="25">
        <v>0.6784722222222223</v>
      </c>
      <c r="H1627" s="27">
        <f t="shared" si="2"/>
        <v>0.45625</v>
      </c>
      <c r="I1627" s="28">
        <v>5.0</v>
      </c>
      <c r="J1627" s="29" t="s">
        <v>55</v>
      </c>
      <c r="K1627" s="30" t="s">
        <v>23</v>
      </c>
      <c r="L1627" s="31" t="str">
        <f>IFERROR(__xludf.DUMMYFUNCTION("IF(OR(E1627="""",K1627=""""),"""",IFERROR(IF(K1627="""","""",query('tbl user'!$A$2:$D10975,""SELECT A WHERE D = '""&amp;K1627&amp;""'"")),""USER TIDAK DIKETAHUI""))"),"#REF!")</f>
        <v>#REF!</v>
      </c>
    </row>
    <row r="1628">
      <c r="A1628" s="21">
        <f t="shared" si="1"/>
        <v>0</v>
      </c>
      <c r="B1628" s="32" t="s">
        <v>305</v>
      </c>
      <c r="C1628" s="23" t="s">
        <v>251</v>
      </c>
      <c r="D1628" s="23" t="s">
        <v>21</v>
      </c>
      <c r="E1628" s="24">
        <v>45420.0</v>
      </c>
      <c r="F1628" s="25">
        <v>0.2125</v>
      </c>
      <c r="G1628" s="25">
        <v>0.6784722222222223</v>
      </c>
      <c r="H1628" s="27">
        <f t="shared" si="2"/>
        <v>0.4659722222</v>
      </c>
      <c r="I1628" s="28">
        <v>5.0</v>
      </c>
      <c r="J1628" s="29" t="s">
        <v>55</v>
      </c>
      <c r="K1628" s="30" t="s">
        <v>23</v>
      </c>
      <c r="L1628" s="31" t="str">
        <f>IFERROR(__xludf.DUMMYFUNCTION("IF(OR(E1628="""",K1628=""""),"""",IFERROR(IF(K1628="""","""",query('tbl user'!$A$2:$D10975,""SELECT A WHERE D = '""&amp;K1628&amp;""'"")),""USER TIDAK DIKETAHUI""))"),"#REF!")</f>
        <v>#REF!</v>
      </c>
    </row>
    <row r="1629">
      <c r="A1629" s="21">
        <f t="shared" si="1"/>
        <v>0</v>
      </c>
      <c r="B1629" s="32" t="s">
        <v>159</v>
      </c>
      <c r="C1629" s="23" t="s">
        <v>306</v>
      </c>
      <c r="D1629" s="23" t="s">
        <v>21</v>
      </c>
      <c r="E1629" s="24">
        <v>45420.0</v>
      </c>
      <c r="F1629" s="25">
        <v>0.24583333333333332</v>
      </c>
      <c r="G1629" s="25">
        <v>0.7145833333333333</v>
      </c>
      <c r="H1629" s="27">
        <f t="shared" si="2"/>
        <v>0.46875</v>
      </c>
      <c r="I1629" s="28">
        <v>5.0</v>
      </c>
      <c r="J1629" s="29" t="s">
        <v>55</v>
      </c>
      <c r="K1629" s="30" t="s">
        <v>23</v>
      </c>
      <c r="L1629" s="31" t="str">
        <f>IFERROR(__xludf.DUMMYFUNCTION("IF(OR(E1629="""",K1629=""""),"""",IFERROR(IF(K1629="""","""",query('tbl user'!$A$2:$D10975,""SELECT A WHERE D = '""&amp;K1629&amp;""'"")),""USER TIDAK DIKETAHUI""))"),"#REF!")</f>
        <v>#REF!</v>
      </c>
    </row>
    <row r="1630">
      <c r="A1630" s="21">
        <f t="shared" si="1"/>
        <v>0</v>
      </c>
      <c r="B1630" s="32" t="s">
        <v>255</v>
      </c>
      <c r="C1630" s="23" t="s">
        <v>256</v>
      </c>
      <c r="D1630" s="23" t="s">
        <v>21</v>
      </c>
      <c r="E1630" s="24">
        <v>45420.0</v>
      </c>
      <c r="F1630" s="25">
        <v>0.2791666666666667</v>
      </c>
      <c r="G1630" s="25">
        <v>0.7409722222222223</v>
      </c>
      <c r="H1630" s="27">
        <f t="shared" si="2"/>
        <v>0.4618055556</v>
      </c>
      <c r="I1630" s="28">
        <v>5.0</v>
      </c>
      <c r="J1630" s="29" t="s">
        <v>55</v>
      </c>
      <c r="K1630" s="30" t="s">
        <v>23</v>
      </c>
      <c r="L1630" s="31" t="str">
        <f>IFERROR(__xludf.DUMMYFUNCTION("IF(OR(E1630="""",K1630=""""),"""",IFERROR(IF(K1630="""","""",query('tbl user'!$A$2:$D10975,""SELECT A WHERE D = '""&amp;K1630&amp;""'"")),""USER TIDAK DIKETAHUI""))"),"#REF!")</f>
        <v>#REF!</v>
      </c>
    </row>
    <row r="1631">
      <c r="A1631" s="21">
        <f t="shared" si="1"/>
        <v>0</v>
      </c>
      <c r="B1631" s="32" t="s">
        <v>593</v>
      </c>
      <c r="C1631" s="23" t="s">
        <v>236</v>
      </c>
      <c r="D1631" s="23" t="s">
        <v>21</v>
      </c>
      <c r="E1631" s="24">
        <v>45420.0</v>
      </c>
      <c r="F1631" s="25">
        <v>0.2263888888888889</v>
      </c>
      <c r="G1631" s="25">
        <v>0.7361111111111112</v>
      </c>
      <c r="H1631" s="27">
        <f t="shared" si="2"/>
        <v>0.5097222222</v>
      </c>
      <c r="I1631" s="28">
        <v>5.0</v>
      </c>
      <c r="J1631" s="29" t="s">
        <v>55</v>
      </c>
      <c r="K1631" s="30" t="s">
        <v>23</v>
      </c>
      <c r="L1631" s="31" t="str">
        <f>IFERROR(__xludf.DUMMYFUNCTION("IF(OR(E1631="""",K1631=""""),"""",IFERROR(IF(K1631="""","""",query('tbl user'!$A$2:$D10975,""SELECT A WHERE D = '""&amp;K1631&amp;""'"")),""USER TIDAK DIKETAHUI""))"),"#REF!")</f>
        <v>#REF!</v>
      </c>
    </row>
    <row r="1632">
      <c r="A1632" s="21">
        <f t="shared" si="1"/>
        <v>0</v>
      </c>
      <c r="B1632" s="32" t="s">
        <v>175</v>
      </c>
      <c r="C1632" s="23" t="s">
        <v>259</v>
      </c>
      <c r="D1632" s="23" t="s">
        <v>21</v>
      </c>
      <c r="E1632" s="24">
        <v>45420.0</v>
      </c>
      <c r="F1632" s="25">
        <v>0.29444444444444445</v>
      </c>
      <c r="G1632" s="25">
        <v>0.7416666666666667</v>
      </c>
      <c r="H1632" s="27">
        <f t="shared" si="2"/>
        <v>0.4472222222</v>
      </c>
      <c r="I1632" s="28">
        <v>5.0</v>
      </c>
      <c r="J1632" s="29" t="s">
        <v>55</v>
      </c>
      <c r="K1632" s="30" t="s">
        <v>23</v>
      </c>
      <c r="L1632" s="31" t="str">
        <f>IFERROR(__xludf.DUMMYFUNCTION("IF(OR(E1632="""",K1632=""""),"""",IFERROR(IF(K1632="""","""",query('tbl user'!$A$2:$D10975,""SELECT A WHERE D = '""&amp;K1632&amp;""'"")),""USER TIDAK DIKETAHUI""))"),"#REF!")</f>
        <v>#REF!</v>
      </c>
    </row>
    <row r="1633">
      <c r="A1633" s="21">
        <f t="shared" si="1"/>
        <v>0</v>
      </c>
      <c r="B1633" s="32" t="s">
        <v>231</v>
      </c>
      <c r="C1633" s="23" t="s">
        <v>232</v>
      </c>
      <c r="D1633" s="23" t="s">
        <v>21</v>
      </c>
      <c r="E1633" s="24">
        <v>45420.0</v>
      </c>
      <c r="F1633" s="25">
        <v>0.28055555555555556</v>
      </c>
      <c r="G1633" s="25">
        <v>0.7381944444444445</v>
      </c>
      <c r="H1633" s="27">
        <f t="shared" si="2"/>
        <v>0.4576388889</v>
      </c>
      <c r="I1633" s="28">
        <v>6.0</v>
      </c>
      <c r="J1633" s="29" t="s">
        <v>55</v>
      </c>
      <c r="K1633" s="30" t="s">
        <v>23</v>
      </c>
      <c r="L1633" s="31" t="str">
        <f>IFERROR(__xludf.DUMMYFUNCTION("IF(OR(E1633="""",K1633=""""),"""",IFERROR(IF(K1633="""","""",query('tbl user'!$A$2:$D10975,""SELECT A WHERE D = '""&amp;K1633&amp;""'"")),""USER TIDAK DIKETAHUI""))"),"#REF!")</f>
        <v>#REF!</v>
      </c>
    </row>
    <row r="1634">
      <c r="A1634" s="21">
        <f t="shared" si="1"/>
        <v>0</v>
      </c>
      <c r="B1634" s="32" t="s">
        <v>253</v>
      </c>
      <c r="C1634" s="23" t="s">
        <v>102</v>
      </c>
      <c r="D1634" s="23" t="s">
        <v>21</v>
      </c>
      <c r="E1634" s="24">
        <v>45420.0</v>
      </c>
      <c r="F1634" s="25">
        <v>0.25555555555555554</v>
      </c>
      <c r="G1634" s="25">
        <v>0.7381944444444445</v>
      </c>
      <c r="H1634" s="27">
        <f t="shared" si="2"/>
        <v>0.4826388889</v>
      </c>
      <c r="I1634" s="28">
        <v>6.0</v>
      </c>
      <c r="J1634" s="29" t="s">
        <v>55</v>
      </c>
      <c r="K1634" s="30" t="s">
        <v>23</v>
      </c>
      <c r="L1634" s="31" t="str">
        <f>IFERROR(__xludf.DUMMYFUNCTION("IF(OR(E1634="""",K1634=""""),"""",IFERROR(IF(K1634="""","""",query('tbl user'!$A$2:$D10975,""SELECT A WHERE D = '""&amp;K1634&amp;""'"")),""USER TIDAK DIKETAHUI""))"),"#REF!")</f>
        <v>#REF!</v>
      </c>
    </row>
    <row r="1635">
      <c r="A1635" s="21">
        <f t="shared" si="1"/>
        <v>0</v>
      </c>
      <c r="B1635" s="32" t="s">
        <v>289</v>
      </c>
      <c r="C1635" s="23" t="s">
        <v>290</v>
      </c>
      <c r="D1635" s="23" t="s">
        <v>21</v>
      </c>
      <c r="E1635" s="24">
        <v>45420.0</v>
      </c>
      <c r="F1635" s="25">
        <v>0.2951388888888889</v>
      </c>
      <c r="G1635" s="25">
        <v>0.6194444444444445</v>
      </c>
      <c r="H1635" s="27">
        <f t="shared" si="2"/>
        <v>0.3243055556</v>
      </c>
      <c r="I1635" s="28">
        <v>3.0</v>
      </c>
      <c r="J1635" s="29" t="s">
        <v>851</v>
      </c>
      <c r="K1635" s="30" t="s">
        <v>23</v>
      </c>
      <c r="L1635" s="31" t="str">
        <f>IFERROR(__xludf.DUMMYFUNCTION("IF(OR(E1635="""",K1635=""""),"""",IFERROR(IF(K1635="""","""",query('tbl user'!$A$2:$D10975,""SELECT A WHERE D = '""&amp;K1635&amp;""'"")),""USER TIDAK DIKETAHUI""))"),"#REF!")</f>
        <v>#REF!</v>
      </c>
    </row>
    <row r="1636">
      <c r="A1636" s="21">
        <f t="shared" si="1"/>
        <v>0</v>
      </c>
      <c r="B1636" s="32" t="s">
        <v>284</v>
      </c>
      <c r="C1636" s="23" t="s">
        <v>285</v>
      </c>
      <c r="D1636" s="23" t="s">
        <v>21</v>
      </c>
      <c r="E1636" s="24">
        <v>45420.0</v>
      </c>
      <c r="F1636" s="25">
        <v>0.2916666666666667</v>
      </c>
      <c r="G1636" s="33">
        <v>0.65</v>
      </c>
      <c r="H1636" s="27">
        <f t="shared" si="2"/>
        <v>0.3583333333</v>
      </c>
      <c r="I1636" s="28">
        <v>3.0</v>
      </c>
      <c r="J1636" s="29" t="s">
        <v>852</v>
      </c>
      <c r="K1636" s="30" t="s">
        <v>23</v>
      </c>
      <c r="L1636" s="31" t="str">
        <f>IFERROR(__xludf.DUMMYFUNCTION("IF(OR(E1636="""",K1636=""""),"""",IFERROR(IF(K1636="""","""",query('tbl user'!$A$2:$D10975,""SELECT A WHERE D = '""&amp;K1636&amp;""'"")),""USER TIDAK DIKETAHUI""))"),"#REF!")</f>
        <v>#REF!</v>
      </c>
    </row>
    <row r="1637">
      <c r="A1637" s="21">
        <f t="shared" si="1"/>
        <v>0</v>
      </c>
      <c r="B1637" s="32" t="s">
        <v>286</v>
      </c>
      <c r="C1637" s="23" t="s">
        <v>287</v>
      </c>
      <c r="D1637" s="23" t="s">
        <v>21</v>
      </c>
      <c r="E1637" s="24">
        <v>45420.0</v>
      </c>
      <c r="F1637" s="25">
        <v>0.36041666666666666</v>
      </c>
      <c r="G1637" s="25">
        <v>0.6659722222222222</v>
      </c>
      <c r="H1637" s="27">
        <f t="shared" si="2"/>
        <v>0.3055555556</v>
      </c>
      <c r="I1637" s="28">
        <v>3.0</v>
      </c>
      <c r="J1637" s="29" t="s">
        <v>853</v>
      </c>
      <c r="K1637" s="30" t="s">
        <v>23</v>
      </c>
      <c r="L1637" s="31" t="str">
        <f>IFERROR(__xludf.DUMMYFUNCTION("IF(OR(E1637="""",K1637=""""),"""",IFERROR(IF(K1637="""","""",query('tbl user'!$A$2:$D10975,""SELECT A WHERE D = '""&amp;K1637&amp;""'"")),""USER TIDAK DIKETAHUI""))"),"#REF!")</f>
        <v>#REF!</v>
      </c>
    </row>
    <row r="1638">
      <c r="A1638" s="21">
        <f t="shared" si="1"/>
        <v>0</v>
      </c>
      <c r="B1638" s="32" t="s">
        <v>37</v>
      </c>
      <c r="C1638" s="23" t="s">
        <v>38</v>
      </c>
      <c r="D1638" s="23" t="s">
        <v>21</v>
      </c>
      <c r="E1638" s="24">
        <v>45420.0</v>
      </c>
      <c r="F1638" s="25">
        <v>0.27361111111111114</v>
      </c>
      <c r="G1638" s="25">
        <v>0.6930555555555555</v>
      </c>
      <c r="H1638" s="27">
        <f t="shared" si="2"/>
        <v>0.4194444444</v>
      </c>
      <c r="I1638" s="28">
        <v>4.0</v>
      </c>
      <c r="J1638" s="29" t="s">
        <v>55</v>
      </c>
      <c r="K1638" s="30" t="s">
        <v>23</v>
      </c>
      <c r="L1638" s="31" t="str">
        <f>IFERROR(__xludf.DUMMYFUNCTION("IF(OR(E1638="""",K1638=""""),"""",IFERROR(IF(K1638="""","""",query('tbl user'!$A$2:$D10975,""SELECT A WHERE D = '""&amp;K1638&amp;""'"")),""USER TIDAK DIKETAHUI""))"),"#REF!")</f>
        <v>#REF!</v>
      </c>
    </row>
    <row r="1639">
      <c r="A1639" s="21">
        <f t="shared" si="1"/>
        <v>0</v>
      </c>
      <c r="B1639" s="32" t="s">
        <v>61</v>
      </c>
      <c r="C1639" s="23" t="s">
        <v>62</v>
      </c>
      <c r="D1639" s="23" t="s">
        <v>21</v>
      </c>
      <c r="E1639" s="24">
        <v>45420.0</v>
      </c>
      <c r="F1639" s="25">
        <v>0.26944444444444443</v>
      </c>
      <c r="G1639" s="25">
        <v>0.6861111111111111</v>
      </c>
      <c r="H1639" s="27">
        <f t="shared" si="2"/>
        <v>0.4166666667</v>
      </c>
      <c r="I1639" s="28">
        <v>4.0</v>
      </c>
      <c r="J1639" s="29" t="s">
        <v>55</v>
      </c>
      <c r="K1639" s="30" t="s">
        <v>23</v>
      </c>
      <c r="L1639" s="31" t="str">
        <f>IFERROR(__xludf.DUMMYFUNCTION("IF(OR(E1639="""",K1639=""""),"""",IFERROR(IF(K1639="""","""",query('tbl user'!$A$2:$D10975,""SELECT A WHERE D = '""&amp;K1639&amp;""'"")),""USER TIDAK DIKETAHUI""))"),"#REF!")</f>
        <v>#REF!</v>
      </c>
    </row>
    <row r="1640">
      <c r="A1640" s="21">
        <f t="shared" si="1"/>
        <v>0</v>
      </c>
      <c r="B1640" s="32" t="s">
        <v>153</v>
      </c>
      <c r="C1640" s="23" t="s">
        <v>282</v>
      </c>
      <c r="D1640" s="23" t="s">
        <v>21</v>
      </c>
      <c r="E1640" s="24">
        <v>45420.0</v>
      </c>
      <c r="F1640" s="25">
        <v>0.2659722222222222</v>
      </c>
      <c r="G1640" s="25">
        <v>0.7152777777777778</v>
      </c>
      <c r="H1640" s="27">
        <f t="shared" si="2"/>
        <v>0.4493055556</v>
      </c>
      <c r="I1640" s="28">
        <v>4.0</v>
      </c>
      <c r="J1640" s="29" t="s">
        <v>55</v>
      </c>
      <c r="K1640" s="30" t="s">
        <v>23</v>
      </c>
      <c r="L1640" s="31" t="str">
        <f>IFERROR(__xludf.DUMMYFUNCTION("IF(OR(E1640="""",K1640=""""),"""",IFERROR(IF(K1640="""","""",query('tbl user'!$A$2:$D10975,""SELECT A WHERE D = '""&amp;K1640&amp;""'"")),""USER TIDAK DIKETAHUI""))"),"#REF!")</f>
        <v>#REF!</v>
      </c>
    </row>
    <row r="1641">
      <c r="A1641" s="21">
        <f t="shared" si="1"/>
        <v>0</v>
      </c>
      <c r="B1641" s="32" t="s">
        <v>64</v>
      </c>
      <c r="C1641" s="23" t="s">
        <v>65</v>
      </c>
      <c r="D1641" s="23" t="s">
        <v>21</v>
      </c>
      <c r="E1641" s="24">
        <v>45420.0</v>
      </c>
      <c r="F1641" s="25">
        <v>0.28680555555555554</v>
      </c>
      <c r="G1641" s="25">
        <v>0.6923611111111111</v>
      </c>
      <c r="H1641" s="27">
        <f t="shared" si="2"/>
        <v>0.4055555556</v>
      </c>
      <c r="I1641" s="28">
        <v>4.0</v>
      </c>
      <c r="J1641" s="29" t="s">
        <v>55</v>
      </c>
      <c r="K1641" s="30" t="s">
        <v>23</v>
      </c>
      <c r="L1641" s="31" t="str">
        <f>IFERROR(__xludf.DUMMYFUNCTION("IF(OR(E1641="""",K1641=""""),"""",IFERROR(IF(K1641="""","""",query('tbl user'!$A$2:$D10975,""SELECT A WHERE D = '""&amp;K1641&amp;""'"")),""USER TIDAK DIKETAHUI""))"),"#REF!")</f>
        <v>#REF!</v>
      </c>
    </row>
    <row r="1642">
      <c r="A1642" s="21">
        <f t="shared" si="1"/>
        <v>0</v>
      </c>
      <c r="B1642" s="32" t="s">
        <v>87</v>
      </c>
      <c r="C1642" s="23" t="s">
        <v>88</v>
      </c>
      <c r="D1642" s="23" t="s">
        <v>21</v>
      </c>
      <c r="E1642" s="24">
        <v>45420.0</v>
      </c>
      <c r="F1642" s="25">
        <v>0.2833333333333333</v>
      </c>
      <c r="G1642" s="25">
        <v>0.4375</v>
      </c>
      <c r="H1642" s="27">
        <f t="shared" si="2"/>
        <v>0.1541666667</v>
      </c>
      <c r="I1642" s="28">
        <v>1.0</v>
      </c>
      <c r="J1642" s="29" t="s">
        <v>854</v>
      </c>
      <c r="K1642" s="30" t="s">
        <v>23</v>
      </c>
      <c r="L1642" s="31" t="str">
        <f>IFERROR(__xludf.DUMMYFUNCTION("IF(OR(E1642="""",K1642=""""),"""",IFERROR(IF(K1642="""","""",query('tbl user'!$A$2:$D10975,""SELECT A WHERE D = '""&amp;K1642&amp;""'"")),""USER TIDAK DIKETAHUI""))"),"#REF!")</f>
        <v>#REF!</v>
      </c>
    </row>
    <row r="1643">
      <c r="A1643" s="21">
        <f t="shared" si="1"/>
        <v>0</v>
      </c>
      <c r="B1643" s="32" t="s">
        <v>716</v>
      </c>
      <c r="C1643" s="23" t="s">
        <v>316</v>
      </c>
      <c r="D1643" s="23" t="s">
        <v>21</v>
      </c>
      <c r="E1643" s="24">
        <v>45420.0</v>
      </c>
      <c r="F1643" s="25">
        <v>0.26666666666666666</v>
      </c>
      <c r="G1643" s="25">
        <v>0.6895833333333333</v>
      </c>
      <c r="H1643" s="27">
        <f t="shared" si="2"/>
        <v>0.4229166667</v>
      </c>
      <c r="I1643" s="28">
        <v>4.0</v>
      </c>
      <c r="J1643" s="29" t="s">
        <v>855</v>
      </c>
      <c r="K1643" s="30" t="s">
        <v>23</v>
      </c>
      <c r="L1643" s="31" t="str">
        <f>IFERROR(__xludf.DUMMYFUNCTION("IF(OR(E1643="""",K1643=""""),"""",IFERROR(IF(K1643="""","""",query('tbl user'!$A$2:$D10975,""SELECT A WHERE D = '""&amp;K1643&amp;""'"")),""USER TIDAK DIKETAHUI""))"),"#REF!")</f>
        <v>#REF!</v>
      </c>
    </row>
    <row r="1644">
      <c r="A1644" s="21">
        <f t="shared" si="1"/>
        <v>0</v>
      </c>
      <c r="B1644" s="32" t="s">
        <v>219</v>
      </c>
      <c r="C1644" s="23" t="s">
        <v>340</v>
      </c>
      <c r="D1644" s="23" t="s">
        <v>21</v>
      </c>
      <c r="E1644" s="24">
        <v>45420.0</v>
      </c>
      <c r="F1644" s="25">
        <v>0.2847222222222222</v>
      </c>
      <c r="G1644" s="25">
        <v>0.6847222222222222</v>
      </c>
      <c r="H1644" s="27">
        <f t="shared" si="2"/>
        <v>0.4</v>
      </c>
      <c r="I1644" s="28">
        <v>4.0</v>
      </c>
      <c r="J1644" s="29" t="s">
        <v>856</v>
      </c>
      <c r="K1644" s="30" t="s">
        <v>23</v>
      </c>
      <c r="L1644" s="31" t="str">
        <f>IFERROR(__xludf.DUMMYFUNCTION("IF(OR(E1644="""",K1644=""""),"""",IFERROR(IF(K1644="""","""",query('tbl user'!$A$2:$D10975,""SELECT A WHERE D = '""&amp;K1644&amp;""'"")),""USER TIDAK DIKETAHUI""))"),"#REF!")</f>
        <v>#REF!</v>
      </c>
    </row>
    <row r="1645">
      <c r="A1645" s="21">
        <f t="shared" si="1"/>
        <v>0</v>
      </c>
      <c r="B1645" s="32" t="s">
        <v>328</v>
      </c>
      <c r="C1645" s="23" t="s">
        <v>329</v>
      </c>
      <c r="D1645" s="23" t="s">
        <v>21</v>
      </c>
      <c r="E1645" s="24">
        <v>45420.0</v>
      </c>
      <c r="F1645" s="25">
        <v>0.26875</v>
      </c>
      <c r="G1645" s="25">
        <v>0.6708333333333333</v>
      </c>
      <c r="H1645" s="27">
        <f t="shared" si="2"/>
        <v>0.4020833333</v>
      </c>
      <c r="I1645" s="28">
        <v>4.0</v>
      </c>
      <c r="J1645" s="29" t="s">
        <v>856</v>
      </c>
      <c r="K1645" s="30" t="s">
        <v>23</v>
      </c>
      <c r="L1645" s="31" t="str">
        <f>IFERROR(__xludf.DUMMYFUNCTION("IF(OR(E1645="""",K1645=""""),"""",IFERROR(IF(K1645="""","""",query('tbl user'!$A$2:$D10975,""SELECT A WHERE D = '""&amp;K1645&amp;""'"")),""USER TIDAK DIKETAHUI""))"),"#REF!")</f>
        <v>#REF!</v>
      </c>
    </row>
    <row r="1646">
      <c r="A1646" s="21">
        <f t="shared" si="1"/>
        <v>0</v>
      </c>
      <c r="B1646" s="32" t="s">
        <v>131</v>
      </c>
      <c r="C1646" s="23" t="s">
        <v>339</v>
      </c>
      <c r="D1646" s="23" t="s">
        <v>21</v>
      </c>
      <c r="E1646" s="24">
        <v>45420.0</v>
      </c>
      <c r="F1646" s="25">
        <v>0.3541666666666667</v>
      </c>
      <c r="G1646" s="25">
        <v>0.6944444444444444</v>
      </c>
      <c r="H1646" s="27">
        <f t="shared" si="2"/>
        <v>0.3402777778</v>
      </c>
      <c r="I1646" s="28">
        <v>5.0</v>
      </c>
      <c r="J1646" s="29" t="s">
        <v>55</v>
      </c>
      <c r="K1646" s="30" t="s">
        <v>23</v>
      </c>
      <c r="L1646" s="31" t="str">
        <f>IFERROR(__xludf.DUMMYFUNCTION("IF(OR(E1646="""",K1646=""""),"""",IFERROR(IF(K1646="""","""",query('tbl user'!$A$2:$D10975,""SELECT A WHERE D = '""&amp;K1646&amp;""'"")),""USER TIDAK DIKETAHUI""))"),"#REF!")</f>
        <v>#REF!</v>
      </c>
    </row>
    <row r="1647">
      <c r="A1647" s="21">
        <f t="shared" si="1"/>
        <v>0</v>
      </c>
      <c r="B1647" s="32" t="s">
        <v>333</v>
      </c>
      <c r="C1647" s="23" t="s">
        <v>334</v>
      </c>
      <c r="D1647" s="23" t="s">
        <v>21</v>
      </c>
      <c r="E1647" s="24">
        <v>45420.0</v>
      </c>
      <c r="F1647" s="25">
        <v>0.26458333333333334</v>
      </c>
      <c r="G1647" s="25">
        <v>0.71875</v>
      </c>
      <c r="H1647" s="27">
        <f t="shared" si="2"/>
        <v>0.4541666667</v>
      </c>
      <c r="I1647" s="28">
        <v>5.0</v>
      </c>
      <c r="J1647" s="29" t="s">
        <v>55</v>
      </c>
      <c r="K1647" s="30" t="s">
        <v>23</v>
      </c>
      <c r="L1647" s="31" t="str">
        <f>IFERROR(__xludf.DUMMYFUNCTION("IF(OR(E1647="""",K1647=""""),"""",IFERROR(IF(K1647="""","""",query('tbl user'!$A$2:$D10975,""SELECT A WHERE D = '""&amp;K1647&amp;""'"")),""USER TIDAK DIKETAHUI""))"),"#REF!")</f>
        <v>#REF!</v>
      </c>
    </row>
    <row r="1648">
      <c r="A1648" s="21">
        <f t="shared" si="1"/>
        <v>0</v>
      </c>
      <c r="B1648" s="32" t="s">
        <v>335</v>
      </c>
      <c r="C1648" s="23" t="s">
        <v>336</v>
      </c>
      <c r="D1648" s="23" t="s">
        <v>21</v>
      </c>
      <c r="E1648" s="24">
        <v>45420.0</v>
      </c>
      <c r="F1648" s="25">
        <v>0.2916666666666667</v>
      </c>
      <c r="G1648" s="25">
        <v>0.6930555555555555</v>
      </c>
      <c r="H1648" s="27">
        <f t="shared" si="2"/>
        <v>0.4013888889</v>
      </c>
      <c r="I1648" s="28">
        <v>5.0</v>
      </c>
      <c r="J1648" s="29" t="s">
        <v>55</v>
      </c>
      <c r="K1648" s="30" t="s">
        <v>23</v>
      </c>
      <c r="L1648" s="31" t="str">
        <f>IFERROR(__xludf.DUMMYFUNCTION("IF(OR(E1648="""",K1648=""""),"""",IFERROR(IF(K1648="""","""",query('tbl user'!$A$2:$D10975,""SELECT A WHERE D = '""&amp;K1648&amp;""'"")),""USER TIDAK DIKETAHUI""))"),"#REF!")</f>
        <v>#REF!</v>
      </c>
    </row>
    <row r="1649">
      <c r="A1649" s="21">
        <f t="shared" si="1"/>
        <v>0</v>
      </c>
      <c r="B1649" s="32" t="s">
        <v>319</v>
      </c>
      <c r="C1649" s="23" t="s">
        <v>320</v>
      </c>
      <c r="D1649" s="23" t="s">
        <v>21</v>
      </c>
      <c r="E1649" s="24">
        <v>45420.0</v>
      </c>
      <c r="F1649" s="25">
        <v>0.2222222222222222</v>
      </c>
      <c r="G1649" s="25">
        <v>0.6736111111111112</v>
      </c>
      <c r="H1649" s="27">
        <f t="shared" si="2"/>
        <v>0.4513888889</v>
      </c>
      <c r="I1649" s="28">
        <v>5.0</v>
      </c>
      <c r="J1649" s="29" t="s">
        <v>55</v>
      </c>
      <c r="K1649" s="30" t="s">
        <v>23</v>
      </c>
      <c r="L1649" s="31" t="str">
        <f>IFERROR(__xludf.DUMMYFUNCTION("IF(OR(E1649="""",K1649=""""),"""",IFERROR(IF(K1649="""","""",query('tbl user'!$A$2:$D10975,""SELECT A WHERE D = '""&amp;K1649&amp;""'"")),""USER TIDAK DIKETAHUI""))"),"#REF!")</f>
        <v>#REF!</v>
      </c>
    </row>
    <row r="1650">
      <c r="A1650" s="21">
        <f t="shared" si="1"/>
        <v>0</v>
      </c>
      <c r="B1650" s="32" t="s">
        <v>577</v>
      </c>
      <c r="C1650" s="23" t="s">
        <v>330</v>
      </c>
      <c r="D1650" s="23" t="s">
        <v>21</v>
      </c>
      <c r="E1650" s="24">
        <v>45420.0</v>
      </c>
      <c r="F1650" s="25">
        <v>0.2611111111111111</v>
      </c>
      <c r="G1650" s="25">
        <v>0.6972222222222222</v>
      </c>
      <c r="H1650" s="27">
        <f t="shared" si="2"/>
        <v>0.4361111111</v>
      </c>
      <c r="I1650" s="28">
        <v>5.0</v>
      </c>
      <c r="J1650" s="29" t="s">
        <v>55</v>
      </c>
      <c r="K1650" s="30" t="s">
        <v>23</v>
      </c>
      <c r="L1650" s="31" t="str">
        <f>IFERROR(__xludf.DUMMYFUNCTION("IF(OR(E1650="""",K1650=""""),"""",IFERROR(IF(K1650="""","""",query('tbl user'!$A$2:$D10975,""SELECT A WHERE D = '""&amp;K1650&amp;""'"")),""USER TIDAK DIKETAHUI""))"),"#REF!")</f>
        <v>#REF!</v>
      </c>
    </row>
    <row r="1651">
      <c r="A1651" s="21">
        <f t="shared" si="1"/>
        <v>0</v>
      </c>
      <c r="B1651" s="32" t="s">
        <v>601</v>
      </c>
      <c r="C1651" s="23" t="s">
        <v>323</v>
      </c>
      <c r="D1651" s="23" t="s">
        <v>21</v>
      </c>
      <c r="E1651" s="24">
        <v>45420.0</v>
      </c>
      <c r="F1651" s="25">
        <v>0.25416666666666665</v>
      </c>
      <c r="G1651" s="25">
        <v>0.6798611111111111</v>
      </c>
      <c r="H1651" s="27">
        <f t="shared" si="2"/>
        <v>0.4256944444</v>
      </c>
      <c r="I1651" s="28">
        <v>5.0</v>
      </c>
      <c r="J1651" s="29" t="s">
        <v>55</v>
      </c>
      <c r="K1651" s="30" t="s">
        <v>23</v>
      </c>
      <c r="L1651" s="31" t="str">
        <f>IFERROR(__xludf.DUMMYFUNCTION("IF(OR(E1651="""",K1651=""""),"""",IFERROR(IF(K1651="""","""",query('tbl user'!$A$2:$D10975,""SELECT A WHERE D = '""&amp;K1651&amp;""'"")),""USER TIDAK DIKETAHUI""))"),"#REF!")</f>
        <v>#REF!</v>
      </c>
    </row>
    <row r="1652">
      <c r="A1652" s="21">
        <f t="shared" si="1"/>
        <v>0</v>
      </c>
      <c r="B1652" s="32" t="s">
        <v>331</v>
      </c>
      <c r="C1652" s="23" t="s">
        <v>332</v>
      </c>
      <c r="D1652" s="23" t="s">
        <v>21</v>
      </c>
      <c r="E1652" s="24">
        <v>45420.0</v>
      </c>
      <c r="F1652" s="25">
        <v>0.20347222222222222</v>
      </c>
      <c r="G1652" s="25">
        <v>0.7076388888888889</v>
      </c>
      <c r="H1652" s="27">
        <f t="shared" si="2"/>
        <v>0.5041666667</v>
      </c>
      <c r="I1652" s="28">
        <v>6.0</v>
      </c>
      <c r="J1652" s="29" t="s">
        <v>55</v>
      </c>
      <c r="K1652" s="30" t="s">
        <v>23</v>
      </c>
      <c r="L1652" s="31" t="str">
        <f>IFERROR(__xludf.DUMMYFUNCTION("IF(OR(E1652="""",K1652=""""),"""",IFERROR(IF(K1652="""","""",query('tbl user'!$A$2:$D10975,""SELECT A WHERE D = '""&amp;K1652&amp;""'"")),""USER TIDAK DIKETAHUI""))"),"#REF!")</f>
        <v>#REF!</v>
      </c>
    </row>
    <row r="1653">
      <c r="A1653" s="21">
        <f t="shared" si="1"/>
        <v>0</v>
      </c>
      <c r="B1653" s="32" t="s">
        <v>325</v>
      </c>
      <c r="C1653" s="23" t="s">
        <v>326</v>
      </c>
      <c r="D1653" s="23" t="s">
        <v>21</v>
      </c>
      <c r="E1653" s="24">
        <v>45420.0</v>
      </c>
      <c r="F1653" s="25">
        <v>0.22152777777777777</v>
      </c>
      <c r="G1653" s="25">
        <v>0.69375</v>
      </c>
      <c r="H1653" s="27">
        <f t="shared" si="2"/>
        <v>0.4722222222</v>
      </c>
      <c r="I1653" s="28">
        <v>6.0</v>
      </c>
      <c r="J1653" s="29" t="s">
        <v>55</v>
      </c>
      <c r="K1653" s="30" t="s">
        <v>23</v>
      </c>
      <c r="L1653" s="31" t="str">
        <f>IFERROR(__xludf.DUMMYFUNCTION("IF(OR(E1653="""",K1653=""""),"""",IFERROR(IF(K1653="""","""",query('tbl user'!$A$2:$D10975,""SELECT A WHERE D = '""&amp;K1653&amp;""'"")),""USER TIDAK DIKETAHUI""))"),"#REF!")</f>
        <v>#REF!</v>
      </c>
    </row>
    <row r="1654">
      <c r="A1654" s="21">
        <f t="shared" si="1"/>
        <v>0</v>
      </c>
      <c r="B1654" s="32" t="s">
        <v>337</v>
      </c>
      <c r="C1654" s="23" t="s">
        <v>338</v>
      </c>
      <c r="D1654" s="23" t="s">
        <v>21</v>
      </c>
      <c r="E1654" s="24">
        <v>45420.0</v>
      </c>
      <c r="F1654" s="25">
        <v>0.28402777777777777</v>
      </c>
      <c r="G1654" s="25">
        <v>0.7465277777777778</v>
      </c>
      <c r="H1654" s="27">
        <f t="shared" si="2"/>
        <v>0.4625</v>
      </c>
      <c r="I1654" s="28">
        <v>6.0</v>
      </c>
      <c r="J1654" s="29" t="s">
        <v>55</v>
      </c>
      <c r="K1654" s="30" t="s">
        <v>23</v>
      </c>
      <c r="L1654" s="31" t="str">
        <f>IFERROR(__xludf.DUMMYFUNCTION("IF(OR(E1654="""",K1654=""""),"""",IFERROR(IF(K1654="""","""",query('tbl user'!$A$2:$D10975,""SELECT A WHERE D = '""&amp;K1654&amp;""'"")),""USER TIDAK DIKETAHUI""))"),"#REF!")</f>
        <v>#REF!</v>
      </c>
    </row>
    <row r="1655">
      <c r="A1655" s="21">
        <f t="shared" si="1"/>
        <v>0</v>
      </c>
      <c r="B1655" s="32" t="s">
        <v>412</v>
      </c>
      <c r="C1655" s="23" t="s">
        <v>413</v>
      </c>
      <c r="D1655" s="23" t="s">
        <v>32</v>
      </c>
      <c r="E1655" s="24">
        <v>45420.0</v>
      </c>
      <c r="F1655" s="25">
        <v>0.2902777777777778</v>
      </c>
      <c r="G1655" s="25">
        <v>0.6861111111111111</v>
      </c>
      <c r="H1655" s="27">
        <f t="shared" si="2"/>
        <v>0.3958333333</v>
      </c>
      <c r="I1655" s="28">
        <v>3.0</v>
      </c>
      <c r="J1655" s="29" t="s">
        <v>726</v>
      </c>
      <c r="K1655" s="30" t="s">
        <v>23</v>
      </c>
      <c r="L1655" s="31" t="str">
        <f>IFERROR(__xludf.DUMMYFUNCTION("IF(OR(E1655="""",K1655=""""),"""",IFERROR(IF(K1655="""","""",query('tbl user'!$A$2:$D10975,""SELECT A WHERE D = '""&amp;K1655&amp;""'"")),""USER TIDAK DIKETAHUI""))"),"#REF!")</f>
        <v>#REF!</v>
      </c>
    </row>
    <row r="1656">
      <c r="A1656" s="21">
        <f t="shared" si="1"/>
        <v>0</v>
      </c>
      <c r="B1656" s="32" t="s">
        <v>127</v>
      </c>
      <c r="C1656" s="23" t="s">
        <v>128</v>
      </c>
      <c r="D1656" s="23" t="s">
        <v>32</v>
      </c>
      <c r="E1656" s="24">
        <v>45420.0</v>
      </c>
      <c r="F1656" s="25">
        <v>0.2923611111111111</v>
      </c>
      <c r="G1656" s="25">
        <v>0.6618055555555555</v>
      </c>
      <c r="H1656" s="27">
        <f t="shared" si="2"/>
        <v>0.3694444444</v>
      </c>
      <c r="I1656" s="28">
        <v>3.0</v>
      </c>
      <c r="J1656" s="29" t="s">
        <v>841</v>
      </c>
      <c r="K1656" s="30" t="s">
        <v>23</v>
      </c>
      <c r="L1656" s="31" t="str">
        <f>IFERROR(__xludf.DUMMYFUNCTION("IF(OR(E1656="""",K1656=""""),"""",IFERROR(IF(K1656="""","""",query('tbl user'!$A$2:$D10975,""SELECT A WHERE D = '""&amp;K1656&amp;""'"")),""USER TIDAK DIKETAHUI""))"),"#REF!")</f>
        <v>#REF!</v>
      </c>
    </row>
    <row r="1657">
      <c r="A1657" s="21">
        <f t="shared" si="1"/>
        <v>0</v>
      </c>
      <c r="B1657" s="32" t="s">
        <v>110</v>
      </c>
      <c r="C1657" s="23" t="s">
        <v>111</v>
      </c>
      <c r="D1657" s="23" t="s">
        <v>32</v>
      </c>
      <c r="E1657" s="24">
        <v>45420.0</v>
      </c>
      <c r="F1657" s="25">
        <v>0.2881944444444444</v>
      </c>
      <c r="G1657" s="33">
        <v>0.6826388888888889</v>
      </c>
      <c r="H1657" s="27">
        <f t="shared" si="2"/>
        <v>0.3944444444</v>
      </c>
      <c r="I1657" s="28">
        <v>4.0</v>
      </c>
      <c r="J1657" s="29" t="s">
        <v>55</v>
      </c>
      <c r="K1657" s="30" t="s">
        <v>23</v>
      </c>
      <c r="L1657" s="31" t="str">
        <f>IFERROR(__xludf.DUMMYFUNCTION("IF(OR(E1657="""",K1657=""""),"""",IFERROR(IF(K1657="""","""",query('tbl user'!$A$2:$D10975,""SELECT A WHERE D = '""&amp;K1657&amp;""'"")),""USER TIDAK DIKETAHUI""))"),"#REF!")</f>
        <v>#REF!</v>
      </c>
    </row>
    <row r="1658">
      <c r="A1658" s="21">
        <f t="shared" si="1"/>
        <v>0</v>
      </c>
      <c r="B1658" s="32" t="s">
        <v>279</v>
      </c>
      <c r="C1658" s="23" t="s">
        <v>280</v>
      </c>
      <c r="D1658" s="23" t="s">
        <v>32</v>
      </c>
      <c r="E1658" s="24">
        <v>45420.0</v>
      </c>
      <c r="F1658" s="25">
        <v>0.2659722222222222</v>
      </c>
      <c r="G1658" s="25">
        <v>0.6652777777777777</v>
      </c>
      <c r="H1658" s="27">
        <f t="shared" si="2"/>
        <v>0.3993055556</v>
      </c>
      <c r="I1658" s="28">
        <v>4.0</v>
      </c>
      <c r="J1658" s="29" t="s">
        <v>55</v>
      </c>
      <c r="K1658" s="30" t="s">
        <v>23</v>
      </c>
      <c r="L1658" s="31" t="str">
        <f>IFERROR(__xludf.DUMMYFUNCTION("IF(OR(E1658="""",K1658=""""),"""",IFERROR(IF(K1658="""","""",query('tbl user'!$A$2:$D10975,""SELECT A WHERE D = '""&amp;K1658&amp;""'"")),""USER TIDAK DIKETAHUI""))"),"#REF!")</f>
        <v>#REF!</v>
      </c>
    </row>
    <row r="1659">
      <c r="A1659" s="21">
        <f t="shared" si="1"/>
        <v>0</v>
      </c>
      <c r="B1659" s="32" t="s">
        <v>141</v>
      </c>
      <c r="C1659" s="23" t="s">
        <v>142</v>
      </c>
      <c r="D1659" s="23" t="s">
        <v>32</v>
      </c>
      <c r="E1659" s="24">
        <v>45420.0</v>
      </c>
      <c r="F1659" s="25">
        <v>0.2743055555555556</v>
      </c>
      <c r="G1659" s="25">
        <v>0.6743055555555556</v>
      </c>
      <c r="H1659" s="27">
        <f t="shared" si="2"/>
        <v>0.4</v>
      </c>
      <c r="I1659" s="28">
        <v>4.0</v>
      </c>
      <c r="J1659" s="29" t="s">
        <v>55</v>
      </c>
      <c r="K1659" s="30" t="s">
        <v>23</v>
      </c>
      <c r="L1659" s="31" t="str">
        <f>IFERROR(__xludf.DUMMYFUNCTION("IF(OR(E1659="""",K1659=""""),"""",IFERROR(IF(K1659="""","""",query('tbl user'!$A$2:$D10975,""SELECT A WHERE D = '""&amp;K1659&amp;""'"")),""USER TIDAK DIKETAHUI""))"),"#REF!")</f>
        <v>#REF!</v>
      </c>
    </row>
    <row r="1660">
      <c r="A1660" s="21">
        <f t="shared" si="1"/>
        <v>0</v>
      </c>
      <c r="B1660" s="32" t="s">
        <v>144</v>
      </c>
      <c r="C1660" s="23" t="s">
        <v>145</v>
      </c>
      <c r="D1660" s="23" t="s">
        <v>32</v>
      </c>
      <c r="E1660" s="24">
        <v>45420.0</v>
      </c>
      <c r="F1660" s="25">
        <v>0.23472222222222222</v>
      </c>
      <c r="G1660" s="25">
        <v>0.6784722222222223</v>
      </c>
      <c r="H1660" s="27">
        <f t="shared" si="2"/>
        <v>0.44375</v>
      </c>
      <c r="I1660" s="28">
        <v>4.0</v>
      </c>
      <c r="J1660" s="29" t="s">
        <v>55</v>
      </c>
      <c r="K1660" s="30" t="s">
        <v>23</v>
      </c>
      <c r="L1660" s="31" t="str">
        <f>IFERROR(__xludf.DUMMYFUNCTION("IF(OR(E1660="""",K1660=""""),"""",IFERROR(IF(K1660="""","""",query('tbl user'!$A$2:$D10975,""SELECT A WHERE D = '""&amp;K1660&amp;""'"")),""USER TIDAK DIKETAHUI""))"),"#REF!")</f>
        <v>#REF!</v>
      </c>
    </row>
    <row r="1661">
      <c r="A1661" s="21">
        <f t="shared" si="1"/>
        <v>0</v>
      </c>
      <c r="B1661" s="32" t="s">
        <v>151</v>
      </c>
      <c r="C1661" s="23" t="s">
        <v>152</v>
      </c>
      <c r="D1661" s="23" t="s">
        <v>32</v>
      </c>
      <c r="E1661" s="24">
        <v>45420.0</v>
      </c>
      <c r="F1661" s="25">
        <v>0.2625</v>
      </c>
      <c r="G1661" s="25">
        <v>0.6819444444444445</v>
      </c>
      <c r="H1661" s="27">
        <f t="shared" si="2"/>
        <v>0.4194444444</v>
      </c>
      <c r="I1661" s="28">
        <v>4.0</v>
      </c>
      <c r="J1661" s="29" t="s">
        <v>55</v>
      </c>
      <c r="K1661" s="30" t="s">
        <v>23</v>
      </c>
      <c r="L1661" s="31" t="str">
        <f>IFERROR(__xludf.DUMMYFUNCTION("IF(OR(E1661="""",K1661=""""),"""",IFERROR(IF(K1661="""","""",query('tbl user'!$A$2:$D10975,""SELECT A WHERE D = '""&amp;K1661&amp;""'"")),""USER TIDAK DIKETAHUI""))"),"#REF!")</f>
        <v>#REF!</v>
      </c>
    </row>
    <row r="1662">
      <c r="A1662" s="21">
        <f t="shared" si="1"/>
        <v>0</v>
      </c>
      <c r="B1662" s="32" t="s">
        <v>250</v>
      </c>
      <c r="C1662" s="23" t="s">
        <v>315</v>
      </c>
      <c r="D1662" s="23" t="s">
        <v>32</v>
      </c>
      <c r="E1662" s="24">
        <v>45420.0</v>
      </c>
      <c r="F1662" s="25">
        <v>0.25416666666666665</v>
      </c>
      <c r="G1662" s="25">
        <v>0.7048611111111112</v>
      </c>
      <c r="H1662" s="27">
        <f t="shared" si="2"/>
        <v>0.4506944444</v>
      </c>
      <c r="I1662" s="28">
        <v>5.0</v>
      </c>
      <c r="J1662" s="29" t="s">
        <v>55</v>
      </c>
      <c r="K1662" s="30" t="s">
        <v>23</v>
      </c>
      <c r="L1662" s="31" t="str">
        <f>IFERROR(__xludf.DUMMYFUNCTION("IF(OR(E1662="""",K1662=""""),"""",IFERROR(IF(K1662="""","""",query('tbl user'!$A$2:$D10975,""SELECT A WHERE D = '""&amp;K1662&amp;""'"")),""USER TIDAK DIKETAHUI""))"),"#REF!")</f>
        <v>#REF!</v>
      </c>
    </row>
    <row r="1663">
      <c r="A1663" s="21">
        <f t="shared" si="1"/>
        <v>0</v>
      </c>
      <c r="B1663" s="32" t="s">
        <v>149</v>
      </c>
      <c r="C1663" s="23" t="s">
        <v>150</v>
      </c>
      <c r="D1663" s="23" t="s">
        <v>32</v>
      </c>
      <c r="E1663" s="24">
        <v>45420.0</v>
      </c>
      <c r="F1663" s="25">
        <v>0.24097222222222223</v>
      </c>
      <c r="G1663" s="25">
        <v>0.6923611111111111</v>
      </c>
      <c r="H1663" s="27">
        <f t="shared" si="2"/>
        <v>0.4513888889</v>
      </c>
      <c r="I1663" s="28">
        <v>5.0</v>
      </c>
      <c r="J1663" s="29" t="s">
        <v>55</v>
      </c>
      <c r="K1663" s="30" t="s">
        <v>23</v>
      </c>
      <c r="L1663" s="31" t="str">
        <f>IFERROR(__xludf.DUMMYFUNCTION("IF(OR(E1663="""",K1663=""""),"""",IFERROR(IF(K1663="""","""",query('tbl user'!$A$2:$D10975,""SELECT A WHERE D = '""&amp;K1663&amp;""'"")),""USER TIDAK DIKETAHUI""))"),"#REF!")</f>
        <v>#REF!</v>
      </c>
    </row>
    <row r="1664">
      <c r="A1664" s="21">
        <f t="shared" si="1"/>
        <v>0</v>
      </c>
      <c r="B1664" s="32" t="s">
        <v>274</v>
      </c>
      <c r="C1664" s="23" t="s">
        <v>275</v>
      </c>
      <c r="D1664" s="23" t="s">
        <v>32</v>
      </c>
      <c r="E1664" s="24">
        <v>45420.0</v>
      </c>
      <c r="F1664" s="25">
        <v>0.2652777777777778</v>
      </c>
      <c r="G1664" s="25">
        <v>0.6888888888888889</v>
      </c>
      <c r="H1664" s="27">
        <f t="shared" si="2"/>
        <v>0.4236111111</v>
      </c>
      <c r="I1664" s="28">
        <v>5.0</v>
      </c>
      <c r="J1664" s="29" t="s">
        <v>55</v>
      </c>
      <c r="K1664" s="30" t="s">
        <v>23</v>
      </c>
      <c r="L1664" s="31" t="str">
        <f>IFERROR(__xludf.DUMMYFUNCTION("IF(OR(E1664="""",K1664=""""),"""",IFERROR(IF(K1664="""","""",query('tbl user'!$A$2:$D10975,""SELECT A WHERE D = '""&amp;K1664&amp;""'"")),""USER TIDAK DIKETAHUI""))"),"#REF!")</f>
        <v>#REF!</v>
      </c>
    </row>
    <row r="1665">
      <c r="A1665" s="21">
        <f t="shared" si="1"/>
        <v>0</v>
      </c>
      <c r="B1665" s="32" t="s">
        <v>214</v>
      </c>
      <c r="C1665" s="23" t="s">
        <v>170</v>
      </c>
      <c r="D1665" s="23" t="s">
        <v>58</v>
      </c>
      <c r="E1665" s="24">
        <v>45421.0</v>
      </c>
      <c r="F1665" s="25">
        <v>0.2986111111111111</v>
      </c>
      <c r="G1665" s="25">
        <v>0.45208333333333334</v>
      </c>
      <c r="H1665" s="27">
        <f t="shared" si="2"/>
        <v>0.1534722222</v>
      </c>
      <c r="I1665" s="28">
        <v>1.0</v>
      </c>
      <c r="J1665" s="29" t="s">
        <v>857</v>
      </c>
      <c r="K1665" s="30" t="s">
        <v>23</v>
      </c>
      <c r="L1665" s="31" t="str">
        <f>IFERROR(__xludf.DUMMYFUNCTION("IF(OR(E1665="""",K1665=""""),"""",IFERROR(IF(K1665="""","""",query('tbl user'!$A$2:$D10975,""SELECT A WHERE D = '""&amp;K1665&amp;""'"")),""USER TIDAK DIKETAHUI""))"),"#REF!")</f>
        <v>#REF!</v>
      </c>
    </row>
    <row r="1666">
      <c r="A1666" s="21">
        <f t="shared" si="1"/>
        <v>0</v>
      </c>
      <c r="B1666" s="32" t="s">
        <v>202</v>
      </c>
      <c r="C1666" s="23" t="s">
        <v>203</v>
      </c>
      <c r="D1666" s="23" t="s">
        <v>58</v>
      </c>
      <c r="E1666" s="24">
        <v>45421.0</v>
      </c>
      <c r="F1666" s="25">
        <v>0.25625</v>
      </c>
      <c r="G1666" s="25">
        <v>0.45</v>
      </c>
      <c r="H1666" s="27">
        <f t="shared" si="2"/>
        <v>0.19375</v>
      </c>
      <c r="I1666" s="28">
        <v>1.0</v>
      </c>
      <c r="J1666" s="29" t="s">
        <v>858</v>
      </c>
      <c r="K1666" s="30" t="s">
        <v>23</v>
      </c>
      <c r="L1666" s="31" t="str">
        <f>IFERROR(__xludf.DUMMYFUNCTION("IF(OR(E1666="""",K1666=""""),"""",IFERROR(IF(K1666="""","""",query('tbl user'!$A$2:$D10975,""SELECT A WHERE D = '""&amp;K1666&amp;""'"")),""USER TIDAK DIKETAHUI""))"),"#REF!")</f>
        <v>#REF!</v>
      </c>
    </row>
    <row r="1667">
      <c r="A1667" s="21">
        <f t="shared" si="1"/>
        <v>0</v>
      </c>
      <c r="B1667" s="32" t="s">
        <v>293</v>
      </c>
      <c r="C1667" s="23" t="s">
        <v>211</v>
      </c>
      <c r="D1667" s="23" t="s">
        <v>58</v>
      </c>
      <c r="E1667" s="24">
        <v>45421.0</v>
      </c>
      <c r="F1667" s="25">
        <v>0.24791666666666667</v>
      </c>
      <c r="G1667" s="25">
        <v>0.5777777777777777</v>
      </c>
      <c r="H1667" s="27">
        <f t="shared" si="2"/>
        <v>0.3298611111</v>
      </c>
      <c r="I1667" s="28">
        <v>2.0</v>
      </c>
      <c r="J1667" s="29" t="s">
        <v>422</v>
      </c>
      <c r="K1667" s="30" t="s">
        <v>23</v>
      </c>
      <c r="L1667" s="31" t="str">
        <f>IFERROR(__xludf.DUMMYFUNCTION("IF(OR(E1667="""",K1667=""""),"""",IFERROR(IF(K1667="""","""",query('tbl user'!$A$2:$D10975,""SELECT A WHERE D = '""&amp;K1667&amp;""'"")),""USER TIDAK DIKETAHUI""))"),"#REF!")</f>
        <v>#REF!</v>
      </c>
    </row>
    <row r="1668">
      <c r="A1668" s="21">
        <f t="shared" si="1"/>
        <v>0</v>
      </c>
      <c r="B1668" s="32" t="s">
        <v>95</v>
      </c>
      <c r="C1668" s="23" t="s">
        <v>93</v>
      </c>
      <c r="D1668" s="23" t="s">
        <v>58</v>
      </c>
      <c r="E1668" s="24">
        <v>45421.0</v>
      </c>
      <c r="F1668" s="25">
        <v>0.26319444444444445</v>
      </c>
      <c r="G1668" s="25">
        <v>0.5791666666666667</v>
      </c>
      <c r="H1668" s="27">
        <f t="shared" si="2"/>
        <v>0.3159722222</v>
      </c>
      <c r="I1668" s="28">
        <v>2.0</v>
      </c>
      <c r="J1668" s="29" t="s">
        <v>859</v>
      </c>
      <c r="K1668" s="30" t="s">
        <v>23</v>
      </c>
      <c r="L1668" s="31" t="str">
        <f>IFERROR(__xludf.DUMMYFUNCTION("IF(OR(E1668="""",K1668=""""),"""",IFERROR(IF(K1668="""","""",query('tbl user'!$A$2:$D10975,""SELECT A WHERE D = '""&amp;K1668&amp;""'"")),""USER TIDAK DIKETAHUI""))"),"#REF!")</f>
        <v>#REF!</v>
      </c>
    </row>
    <row r="1669">
      <c r="A1669" s="21">
        <f t="shared" si="1"/>
        <v>0</v>
      </c>
      <c r="B1669" s="32" t="s">
        <v>189</v>
      </c>
      <c r="C1669" s="23" t="s">
        <v>190</v>
      </c>
      <c r="D1669" s="23" t="s">
        <v>58</v>
      </c>
      <c r="E1669" s="24">
        <v>45421.0</v>
      </c>
      <c r="F1669" s="25">
        <v>0.2791666666666667</v>
      </c>
      <c r="G1669" s="25">
        <v>0.5798611111111112</v>
      </c>
      <c r="H1669" s="27">
        <f t="shared" si="2"/>
        <v>0.3006944444</v>
      </c>
      <c r="I1669" s="28">
        <v>2.0</v>
      </c>
      <c r="J1669" s="29" t="s">
        <v>860</v>
      </c>
      <c r="K1669" s="30" t="s">
        <v>23</v>
      </c>
      <c r="L1669" s="31" t="str">
        <f>IFERROR(__xludf.DUMMYFUNCTION("IF(OR(E1669="""",K1669=""""),"""",IFERROR(IF(K1669="""","""",query('tbl user'!$A$2:$D10975,""SELECT A WHERE D = '""&amp;K1669&amp;""'"")),""USER TIDAK DIKETAHUI""))"),"#REF!")</f>
        <v>#REF!</v>
      </c>
    </row>
    <row r="1670">
      <c r="A1670" s="21">
        <f t="shared" si="1"/>
        <v>0</v>
      </c>
      <c r="B1670" s="32" t="s">
        <v>191</v>
      </c>
      <c r="C1670" s="23" t="s">
        <v>192</v>
      </c>
      <c r="D1670" s="23" t="s">
        <v>58</v>
      </c>
      <c r="E1670" s="24">
        <v>45421.0</v>
      </c>
      <c r="F1670" s="25">
        <v>0.27361111111111114</v>
      </c>
      <c r="G1670" s="25">
        <v>0.5951388888888889</v>
      </c>
      <c r="H1670" s="27">
        <f t="shared" si="2"/>
        <v>0.3215277778</v>
      </c>
      <c r="I1670" s="28">
        <v>2.0</v>
      </c>
      <c r="J1670" s="29" t="s">
        <v>861</v>
      </c>
      <c r="K1670" s="30" t="s">
        <v>23</v>
      </c>
      <c r="L1670" s="31" t="str">
        <f>IFERROR(__xludf.DUMMYFUNCTION("IF(OR(E1670="""",K1670=""""),"""",IFERROR(IF(K1670="""","""",query('tbl user'!$A$2:$D10975,""SELECT A WHERE D = '""&amp;K1670&amp;""'"")),""USER TIDAK DIKETAHUI""))"),"#REF!")</f>
        <v>#REF!</v>
      </c>
    </row>
    <row r="1671">
      <c r="A1671" s="21">
        <f t="shared" si="1"/>
        <v>0</v>
      </c>
      <c r="B1671" s="32" t="s">
        <v>200</v>
      </c>
      <c r="C1671" s="23" t="s">
        <v>201</v>
      </c>
      <c r="D1671" s="23" t="s">
        <v>58</v>
      </c>
      <c r="E1671" s="24">
        <v>45421.0</v>
      </c>
      <c r="F1671" s="25">
        <v>0.20208333333333334</v>
      </c>
      <c r="G1671" s="33">
        <v>0.6458333333333334</v>
      </c>
      <c r="H1671" s="27">
        <f t="shared" si="2"/>
        <v>0.44375</v>
      </c>
      <c r="I1671" s="28">
        <v>2.0</v>
      </c>
      <c r="J1671" s="29" t="s">
        <v>862</v>
      </c>
      <c r="K1671" s="30" t="s">
        <v>23</v>
      </c>
      <c r="L1671" s="31" t="str">
        <f>IFERROR(__xludf.DUMMYFUNCTION("IF(OR(E1671="""",K1671=""""),"""",IFERROR(IF(K1671="""","""",query('tbl user'!$A$2:$D10975,""SELECT A WHERE D = '""&amp;K1671&amp;""'"")),""USER TIDAK DIKETAHUI""))"),"#REF!")</f>
        <v>#REF!</v>
      </c>
    </row>
    <row r="1672">
      <c r="A1672" s="21">
        <f t="shared" si="1"/>
        <v>0</v>
      </c>
      <c r="B1672" s="32" t="s">
        <v>205</v>
      </c>
      <c r="C1672" s="23" t="s">
        <v>206</v>
      </c>
      <c r="D1672" s="23" t="s">
        <v>58</v>
      </c>
      <c r="E1672" s="24">
        <v>45421.0</v>
      </c>
      <c r="F1672" s="25">
        <v>0.2465277777777778</v>
      </c>
      <c r="G1672" s="25">
        <v>0.5784722222222223</v>
      </c>
      <c r="H1672" s="27">
        <f t="shared" si="2"/>
        <v>0.3319444444</v>
      </c>
      <c r="I1672" s="28">
        <v>2.0</v>
      </c>
      <c r="J1672" s="29" t="s">
        <v>619</v>
      </c>
      <c r="K1672" s="30" t="s">
        <v>23</v>
      </c>
      <c r="L1672" s="31" t="str">
        <f>IFERROR(__xludf.DUMMYFUNCTION("IF(OR(E1672="""",K1672=""""),"""",IFERROR(IF(K1672="""","""",query('tbl user'!$A$2:$D10975,""SELECT A WHERE D = '""&amp;K1672&amp;""'"")),""USER TIDAK DIKETAHUI""))"),"#REF!")</f>
        <v>#REF!</v>
      </c>
    </row>
    <row r="1673">
      <c r="A1673" s="21">
        <f t="shared" si="1"/>
        <v>0</v>
      </c>
      <c r="B1673" s="32" t="s">
        <v>67</v>
      </c>
      <c r="C1673" s="23" t="s">
        <v>68</v>
      </c>
      <c r="D1673" s="23" t="s">
        <v>58</v>
      </c>
      <c r="E1673" s="24">
        <v>45421.0</v>
      </c>
      <c r="F1673" s="25">
        <v>0.2722222222222222</v>
      </c>
      <c r="G1673" s="25">
        <v>0.6715277777777777</v>
      </c>
      <c r="H1673" s="27">
        <f t="shared" si="2"/>
        <v>0.3993055556</v>
      </c>
      <c r="I1673" s="28">
        <v>3.0</v>
      </c>
      <c r="J1673" s="29" t="s">
        <v>863</v>
      </c>
      <c r="K1673" s="30" t="s">
        <v>23</v>
      </c>
      <c r="L1673" s="31" t="str">
        <f>IFERROR(__xludf.DUMMYFUNCTION("IF(OR(E1673="""",K1673=""""),"""",IFERROR(IF(K1673="""","""",query('tbl user'!$A$2:$D10975,""SELECT A WHERE D = '""&amp;K1673&amp;""'"")),""USER TIDAK DIKETAHUI""))"),"#REF!")</f>
        <v>#REF!</v>
      </c>
    </row>
    <row r="1674">
      <c r="A1674" s="21">
        <f t="shared" si="1"/>
        <v>0</v>
      </c>
      <c r="B1674" s="32" t="s">
        <v>167</v>
      </c>
      <c r="C1674" s="23" t="s">
        <v>168</v>
      </c>
      <c r="D1674" s="23" t="s">
        <v>58</v>
      </c>
      <c r="E1674" s="24">
        <v>45421.0</v>
      </c>
      <c r="F1674" s="25">
        <v>0.29930555555555555</v>
      </c>
      <c r="G1674" s="25">
        <v>0.6840277777777778</v>
      </c>
      <c r="H1674" s="27">
        <f t="shared" si="2"/>
        <v>0.3847222222</v>
      </c>
      <c r="I1674" s="28">
        <v>3.0</v>
      </c>
      <c r="J1674" s="29" t="s">
        <v>863</v>
      </c>
      <c r="K1674" s="30" t="s">
        <v>23</v>
      </c>
      <c r="L1674" s="31" t="str">
        <f>IFERROR(__xludf.DUMMYFUNCTION("IF(OR(E1674="""",K1674=""""),"""",IFERROR(IF(K1674="""","""",query('tbl user'!$A$2:$D10975,""SELECT A WHERE D = '""&amp;K1674&amp;""'"")),""USER TIDAK DIKETAHUI""))"),"#REF!")</f>
        <v>#REF!</v>
      </c>
    </row>
    <row r="1675">
      <c r="A1675" s="21">
        <f t="shared" si="1"/>
        <v>0</v>
      </c>
      <c r="B1675" s="32" t="s">
        <v>178</v>
      </c>
      <c r="C1675" s="23" t="s">
        <v>82</v>
      </c>
      <c r="D1675" s="23" t="s">
        <v>58</v>
      </c>
      <c r="E1675" s="24">
        <v>45421.0</v>
      </c>
      <c r="F1675" s="25">
        <v>0.26875</v>
      </c>
      <c r="G1675" s="25">
        <v>0.7048611111111112</v>
      </c>
      <c r="H1675" s="27">
        <f t="shared" si="2"/>
        <v>0.4361111111</v>
      </c>
      <c r="I1675" s="28">
        <v>3.0</v>
      </c>
      <c r="J1675" s="29" t="s">
        <v>863</v>
      </c>
      <c r="K1675" s="30" t="s">
        <v>23</v>
      </c>
      <c r="L1675" s="31" t="str">
        <f>IFERROR(__xludf.DUMMYFUNCTION("IF(OR(E1675="""",K1675=""""),"""",IFERROR(IF(K1675="""","""",query('tbl user'!$A$2:$D10975,""SELECT A WHERE D = '""&amp;K1675&amp;""'"")),""USER TIDAK DIKETAHUI""))"),"#REF!")</f>
        <v>#REF!</v>
      </c>
    </row>
    <row r="1676">
      <c r="A1676" s="21">
        <f t="shared" si="1"/>
        <v>0</v>
      </c>
      <c r="B1676" s="32" t="s">
        <v>180</v>
      </c>
      <c r="C1676" s="23" t="s">
        <v>181</v>
      </c>
      <c r="D1676" s="23" t="s">
        <v>58</v>
      </c>
      <c r="E1676" s="24">
        <v>45421.0</v>
      </c>
      <c r="F1676" s="25">
        <v>0.24027777777777778</v>
      </c>
      <c r="G1676" s="25">
        <v>0.6333333333333333</v>
      </c>
      <c r="H1676" s="27">
        <f t="shared" si="2"/>
        <v>0.3930555556</v>
      </c>
      <c r="I1676" s="28">
        <v>3.0</v>
      </c>
      <c r="J1676" s="29" t="s">
        <v>863</v>
      </c>
      <c r="K1676" s="30" t="s">
        <v>23</v>
      </c>
      <c r="L1676" s="31" t="str">
        <f>IFERROR(__xludf.DUMMYFUNCTION("IF(OR(E1676="""",K1676=""""),"""",IFERROR(IF(K1676="""","""",query('tbl user'!$A$2:$D10975,""SELECT A WHERE D = '""&amp;K1676&amp;""'"")),""USER TIDAK DIKETAHUI""))"),"#REF!")</f>
        <v>#REF!</v>
      </c>
    </row>
    <row r="1677">
      <c r="A1677" s="21">
        <f t="shared" si="1"/>
        <v>0</v>
      </c>
      <c r="B1677" s="32" t="s">
        <v>184</v>
      </c>
      <c r="C1677" s="23" t="s">
        <v>185</v>
      </c>
      <c r="D1677" s="23" t="s">
        <v>58</v>
      </c>
      <c r="E1677" s="24">
        <v>45421.0</v>
      </c>
      <c r="F1677" s="25">
        <v>0.2826388888888889</v>
      </c>
      <c r="G1677" s="25">
        <v>0.6576388888888889</v>
      </c>
      <c r="H1677" s="27">
        <f t="shared" si="2"/>
        <v>0.375</v>
      </c>
      <c r="I1677" s="28">
        <v>3.0</v>
      </c>
      <c r="J1677" s="29" t="s">
        <v>863</v>
      </c>
      <c r="K1677" s="30" t="s">
        <v>23</v>
      </c>
      <c r="L1677" s="31" t="str">
        <f>IFERROR(__xludf.DUMMYFUNCTION("IF(OR(E1677="""",K1677=""""),"""",IFERROR(IF(K1677="""","""",query('tbl user'!$A$2:$D10975,""SELECT A WHERE D = '""&amp;K1677&amp;""'"")),""USER TIDAK DIKETAHUI""))"),"#REF!")</f>
        <v>#REF!</v>
      </c>
    </row>
    <row r="1678">
      <c r="A1678" s="21">
        <f t="shared" si="1"/>
        <v>0</v>
      </c>
      <c r="B1678" s="32" t="s">
        <v>194</v>
      </c>
      <c r="C1678" s="23" t="s">
        <v>195</v>
      </c>
      <c r="D1678" s="23" t="s">
        <v>58</v>
      </c>
      <c r="E1678" s="24">
        <v>45421.0</v>
      </c>
      <c r="F1678" s="25">
        <v>0.23472222222222222</v>
      </c>
      <c r="G1678" s="25">
        <v>0.6034722222222222</v>
      </c>
      <c r="H1678" s="27">
        <f t="shared" si="2"/>
        <v>0.36875</v>
      </c>
      <c r="I1678" s="28">
        <v>3.0</v>
      </c>
      <c r="J1678" s="29" t="s">
        <v>864</v>
      </c>
      <c r="K1678" s="30" t="s">
        <v>23</v>
      </c>
      <c r="L1678" s="31" t="str">
        <f>IFERROR(__xludf.DUMMYFUNCTION("IF(OR(E1678="""",K1678=""""),"""",IFERROR(IF(K1678="""","""",query('tbl user'!$A$2:$D10975,""SELECT A WHERE D = '""&amp;K1678&amp;""'"")),""USER TIDAK DIKETAHUI""))"),"#REF!")</f>
        <v>#REF!</v>
      </c>
    </row>
    <row r="1679">
      <c r="A1679" s="21">
        <f t="shared" si="1"/>
        <v>0</v>
      </c>
      <c r="B1679" s="32" t="s">
        <v>216</v>
      </c>
      <c r="C1679" s="23" t="s">
        <v>198</v>
      </c>
      <c r="D1679" s="23" t="s">
        <v>58</v>
      </c>
      <c r="E1679" s="24">
        <v>45421.0</v>
      </c>
      <c r="F1679" s="25">
        <v>0.23680555555555555</v>
      </c>
      <c r="G1679" s="25">
        <v>0.6305555555555555</v>
      </c>
      <c r="H1679" s="27">
        <f t="shared" si="2"/>
        <v>0.39375</v>
      </c>
      <c r="I1679" s="28">
        <v>3.0</v>
      </c>
      <c r="J1679" s="29" t="s">
        <v>863</v>
      </c>
      <c r="K1679" s="30" t="s">
        <v>23</v>
      </c>
      <c r="L1679" s="31" t="str">
        <f>IFERROR(__xludf.DUMMYFUNCTION("IF(OR(E1679="""",K1679=""""),"""",IFERROR(IF(K1679="""","""",query('tbl user'!$A$2:$D10975,""SELECT A WHERE D = '""&amp;K1679&amp;""'"")),""USER TIDAK DIKETAHUI""))"),"#REF!")</f>
        <v>#REF!</v>
      </c>
    </row>
    <row r="1680">
      <c r="A1680" s="21">
        <f t="shared" si="1"/>
        <v>0</v>
      </c>
      <c r="B1680" s="32" t="s">
        <v>30</v>
      </c>
      <c r="C1680" s="23" t="s">
        <v>105</v>
      </c>
      <c r="D1680" s="23" t="s">
        <v>58</v>
      </c>
      <c r="E1680" s="24">
        <v>45421.0</v>
      </c>
      <c r="F1680" s="25">
        <v>0.2263888888888889</v>
      </c>
      <c r="G1680" s="25">
        <v>0.6263888888888889</v>
      </c>
      <c r="H1680" s="27">
        <f t="shared" si="2"/>
        <v>0.4</v>
      </c>
      <c r="I1680" s="28">
        <v>3.0</v>
      </c>
      <c r="J1680" s="29" t="s">
        <v>865</v>
      </c>
      <c r="K1680" s="30" t="s">
        <v>23</v>
      </c>
      <c r="L1680" s="31" t="str">
        <f>IFERROR(__xludf.DUMMYFUNCTION("IF(OR(E1680="""",K1680=""""),"""",IFERROR(IF(K1680="""","""",query('tbl user'!$A$2:$D10975,""SELECT A WHERE D = '""&amp;K1680&amp;""'"")),""USER TIDAK DIKETAHUI""))"),"#REF!")</f>
        <v>#REF!</v>
      </c>
    </row>
    <row r="1681">
      <c r="A1681" s="21">
        <f t="shared" si="1"/>
        <v>0</v>
      </c>
      <c r="B1681" s="32" t="s">
        <v>297</v>
      </c>
      <c r="C1681" s="23" t="s">
        <v>348</v>
      </c>
      <c r="D1681" s="23" t="s">
        <v>58</v>
      </c>
      <c r="E1681" s="24">
        <v>45421.0</v>
      </c>
      <c r="F1681" s="25">
        <v>0.24375</v>
      </c>
      <c r="G1681" s="25">
        <v>0.6375</v>
      </c>
      <c r="H1681" s="27">
        <f t="shared" si="2"/>
        <v>0.39375</v>
      </c>
      <c r="I1681" s="28">
        <v>3.0</v>
      </c>
      <c r="J1681" s="29" t="s">
        <v>863</v>
      </c>
      <c r="K1681" s="30" t="s">
        <v>23</v>
      </c>
      <c r="L1681" s="31" t="str">
        <f>IFERROR(__xludf.DUMMYFUNCTION("IF(OR(E1681="""",K1681=""""),"""",IFERROR(IF(K1681="""","""",query('tbl user'!$A$2:$D10975,""SELECT A WHERE D = '""&amp;K1681&amp;""'"")),""USER TIDAK DIKETAHUI""))"),"#REF!")</f>
        <v>#REF!</v>
      </c>
    </row>
    <row r="1682">
      <c r="A1682" s="21">
        <f t="shared" si="1"/>
        <v>0</v>
      </c>
      <c r="B1682" s="32" t="s">
        <v>182</v>
      </c>
      <c r="C1682" s="23" t="s">
        <v>183</v>
      </c>
      <c r="D1682" s="23" t="s">
        <v>58</v>
      </c>
      <c r="E1682" s="24">
        <v>45421.0</v>
      </c>
      <c r="F1682" s="25">
        <v>0.21666666666666667</v>
      </c>
      <c r="G1682" s="25">
        <v>0.7027777777777777</v>
      </c>
      <c r="H1682" s="27">
        <f t="shared" si="2"/>
        <v>0.4861111111</v>
      </c>
      <c r="I1682" s="28">
        <v>4.0</v>
      </c>
      <c r="J1682" s="29" t="s">
        <v>55</v>
      </c>
      <c r="K1682" s="30" t="s">
        <v>23</v>
      </c>
      <c r="L1682" s="31" t="str">
        <f>IFERROR(__xludf.DUMMYFUNCTION("IF(OR(E1682="""",K1682=""""),"""",IFERROR(IF(K1682="""","""",query('tbl user'!$A$2:$D10975,""SELECT A WHERE D = '""&amp;K1682&amp;""'"")),""USER TIDAK DIKETAHUI""))"),"#REF!")</f>
        <v>#REF!</v>
      </c>
    </row>
    <row r="1683">
      <c r="A1683" s="21">
        <f t="shared" si="1"/>
        <v>0</v>
      </c>
      <c r="B1683" s="32" t="s">
        <v>187</v>
      </c>
      <c r="C1683" s="23" t="s">
        <v>188</v>
      </c>
      <c r="D1683" s="23" t="s">
        <v>58</v>
      </c>
      <c r="E1683" s="24">
        <v>45421.0</v>
      </c>
      <c r="F1683" s="25">
        <v>0.22569444444444445</v>
      </c>
      <c r="G1683" s="25">
        <v>0.7048611111111112</v>
      </c>
      <c r="H1683" s="27">
        <f t="shared" si="2"/>
        <v>0.4791666667</v>
      </c>
      <c r="I1683" s="28">
        <v>4.0</v>
      </c>
      <c r="J1683" s="29" t="s">
        <v>55</v>
      </c>
      <c r="K1683" s="30" t="s">
        <v>23</v>
      </c>
      <c r="L1683" s="31" t="str">
        <f>IFERROR(__xludf.DUMMYFUNCTION("IF(OR(E1683="""",K1683=""""),"""",IFERROR(IF(K1683="""","""",query('tbl user'!$A$2:$D10975,""SELECT A WHERE D = '""&amp;K1683&amp;""'"")),""USER TIDAK DIKETAHUI""))"),"#REF!")</f>
        <v>#REF!</v>
      </c>
    </row>
    <row r="1684">
      <c r="A1684" s="21">
        <f t="shared" si="1"/>
        <v>0</v>
      </c>
      <c r="B1684" s="32" t="s">
        <v>224</v>
      </c>
      <c r="C1684" s="23" t="s">
        <v>208</v>
      </c>
      <c r="D1684" s="23" t="s">
        <v>58</v>
      </c>
      <c r="E1684" s="24">
        <v>45421.0</v>
      </c>
      <c r="F1684" s="25">
        <v>0.23958333333333334</v>
      </c>
      <c r="G1684" s="25">
        <v>0.7215277777777778</v>
      </c>
      <c r="H1684" s="27">
        <f t="shared" si="2"/>
        <v>0.4819444444</v>
      </c>
      <c r="I1684" s="28">
        <v>4.0</v>
      </c>
      <c r="J1684" s="29" t="s">
        <v>55</v>
      </c>
      <c r="K1684" s="30" t="s">
        <v>23</v>
      </c>
      <c r="L1684" s="31" t="str">
        <f>IFERROR(__xludf.DUMMYFUNCTION("IF(OR(E1684="""",K1684=""""),"""",IFERROR(IF(K1684="""","""",query('tbl user'!$A$2:$D10975,""SELECT A WHERE D = '""&amp;K1684&amp;""'"")),""USER TIDAK DIKETAHUI""))"),"#REF!")</f>
        <v>#REF!</v>
      </c>
    </row>
    <row r="1685">
      <c r="A1685" s="21">
        <f t="shared" si="1"/>
        <v>0</v>
      </c>
      <c r="B1685" s="32" t="s">
        <v>593</v>
      </c>
      <c r="C1685" s="23" t="s">
        <v>236</v>
      </c>
      <c r="D1685" s="23" t="s">
        <v>21</v>
      </c>
      <c r="E1685" s="24">
        <v>45421.0</v>
      </c>
      <c r="F1685" s="25">
        <v>0.3020833333333333</v>
      </c>
      <c r="G1685" s="25">
        <v>0.4986111111111111</v>
      </c>
      <c r="H1685" s="27">
        <f t="shared" si="2"/>
        <v>0.1965277778</v>
      </c>
      <c r="I1685" s="28">
        <v>2.0</v>
      </c>
      <c r="J1685" s="29" t="s">
        <v>866</v>
      </c>
      <c r="K1685" s="30" t="s">
        <v>23</v>
      </c>
      <c r="L1685" s="31" t="str">
        <f>IFERROR(__xludf.DUMMYFUNCTION("IF(OR(E1685="""",K1685=""""),"""",IFERROR(IF(K1685="""","""",query('tbl user'!$A$2:$D10975,""SELECT A WHERE D = '""&amp;K1685&amp;""'"")),""USER TIDAK DIKETAHUI""))"),"#REF!")</f>
        <v>#REF!</v>
      </c>
    </row>
    <row r="1686">
      <c r="A1686" s="21">
        <f t="shared" si="1"/>
        <v>0</v>
      </c>
      <c r="B1686" s="32" t="s">
        <v>305</v>
      </c>
      <c r="C1686" s="23" t="s">
        <v>251</v>
      </c>
      <c r="D1686" s="23" t="s">
        <v>21</v>
      </c>
      <c r="E1686" s="24">
        <v>45421.0</v>
      </c>
      <c r="F1686" s="25">
        <v>0.2048611111111111</v>
      </c>
      <c r="G1686" s="25">
        <v>0.5881944444444445</v>
      </c>
      <c r="H1686" s="27">
        <f t="shared" si="2"/>
        <v>0.3833333333</v>
      </c>
      <c r="I1686" s="28">
        <v>3.0</v>
      </c>
      <c r="J1686" s="29" t="s">
        <v>867</v>
      </c>
      <c r="K1686" s="30" t="s">
        <v>23</v>
      </c>
      <c r="L1686" s="31" t="str">
        <f>IFERROR(__xludf.DUMMYFUNCTION("IF(OR(E1686="""",K1686=""""),"""",IFERROR(IF(K1686="""","""",query('tbl user'!$A$2:$D10975,""SELECT A WHERE D = '""&amp;K1686&amp;""'"")),""USER TIDAK DIKETAHUI""))"),"#REF!")</f>
        <v>#REF!</v>
      </c>
    </row>
    <row r="1687">
      <c r="A1687" s="21">
        <f t="shared" si="1"/>
        <v>0</v>
      </c>
      <c r="B1687" s="32" t="s">
        <v>172</v>
      </c>
      <c r="C1687" s="23" t="s">
        <v>239</v>
      </c>
      <c r="D1687" s="23" t="s">
        <v>21</v>
      </c>
      <c r="E1687" s="24">
        <v>45421.0</v>
      </c>
      <c r="F1687" s="25">
        <v>0.28888888888888886</v>
      </c>
      <c r="G1687" s="25">
        <v>0.6861111111111111</v>
      </c>
      <c r="H1687" s="27">
        <f t="shared" si="2"/>
        <v>0.3972222222</v>
      </c>
      <c r="I1687" s="28">
        <v>4.0</v>
      </c>
      <c r="J1687" s="29" t="s">
        <v>868</v>
      </c>
      <c r="K1687" s="30" t="s">
        <v>23</v>
      </c>
      <c r="L1687" s="31" t="str">
        <f>IFERROR(__xludf.DUMMYFUNCTION("IF(OR(E1687="""",K1687=""""),"""",IFERROR(IF(K1687="""","""",query('tbl user'!$A$2:$D10975,""SELECT A WHERE D = '""&amp;K1687&amp;""'"")),""USER TIDAK DIKETAHUI""))"),"#REF!")</f>
        <v>#REF!</v>
      </c>
    </row>
    <row r="1688">
      <c r="A1688" s="21">
        <f t="shared" si="1"/>
        <v>0</v>
      </c>
      <c r="B1688" s="32" t="s">
        <v>243</v>
      </c>
      <c r="C1688" s="23" t="s">
        <v>244</v>
      </c>
      <c r="D1688" s="23" t="s">
        <v>21</v>
      </c>
      <c r="E1688" s="24">
        <v>45421.0</v>
      </c>
      <c r="F1688" s="25">
        <v>0.2986111111111111</v>
      </c>
      <c r="G1688" s="25">
        <v>0.6722222222222223</v>
      </c>
      <c r="H1688" s="27">
        <f t="shared" si="2"/>
        <v>0.3736111111</v>
      </c>
      <c r="I1688" s="28">
        <v>4.0</v>
      </c>
      <c r="J1688" s="29" t="s">
        <v>869</v>
      </c>
      <c r="K1688" s="30" t="s">
        <v>23</v>
      </c>
      <c r="L1688" s="31" t="str">
        <f>IFERROR(__xludf.DUMMYFUNCTION("IF(OR(E1688="""",K1688=""""),"""",IFERROR(IF(K1688="""","""",query('tbl user'!$A$2:$D10975,""SELECT A WHERE D = '""&amp;K1688&amp;""'"")),""USER TIDAK DIKETAHUI""))"),"#REF!")</f>
        <v>#REF!</v>
      </c>
    </row>
    <row r="1689">
      <c r="A1689" s="21">
        <f t="shared" si="1"/>
        <v>0</v>
      </c>
      <c r="B1689" s="32" t="s">
        <v>43</v>
      </c>
      <c r="C1689" s="23" t="s">
        <v>44</v>
      </c>
      <c r="D1689" s="23" t="s">
        <v>21</v>
      </c>
      <c r="E1689" s="24">
        <v>45421.0</v>
      </c>
      <c r="F1689" s="25">
        <v>0.35208333333333336</v>
      </c>
      <c r="G1689" s="25">
        <v>0.7076388888888889</v>
      </c>
      <c r="H1689" s="27">
        <f t="shared" si="2"/>
        <v>0.3555555556</v>
      </c>
      <c r="I1689" s="28">
        <v>4.0</v>
      </c>
      <c r="J1689" s="29" t="s">
        <v>870</v>
      </c>
      <c r="K1689" s="30" t="s">
        <v>23</v>
      </c>
      <c r="L1689" s="31" t="str">
        <f>IFERROR(__xludf.DUMMYFUNCTION("IF(OR(E1689="""",K1689=""""),"""",IFERROR(IF(K1689="""","""",query('tbl user'!$A$2:$D10975,""SELECT A WHERE D = '""&amp;K1689&amp;""'"")),""USER TIDAK DIKETAHUI""))"),"#REF!")</f>
        <v>#REF!</v>
      </c>
    </row>
    <row r="1690">
      <c r="A1690" s="21">
        <f t="shared" si="1"/>
        <v>0</v>
      </c>
      <c r="B1690" s="32" t="s">
        <v>159</v>
      </c>
      <c r="C1690" s="23" t="s">
        <v>306</v>
      </c>
      <c r="D1690" s="23" t="s">
        <v>21</v>
      </c>
      <c r="E1690" s="24">
        <v>45421.0</v>
      </c>
      <c r="F1690" s="25">
        <v>0.3013888888888889</v>
      </c>
      <c r="G1690" s="25">
        <v>0.7340277777777777</v>
      </c>
      <c r="H1690" s="27">
        <f t="shared" si="2"/>
        <v>0.4326388889</v>
      </c>
      <c r="I1690" s="28">
        <v>4.0</v>
      </c>
      <c r="J1690" s="29" t="s">
        <v>871</v>
      </c>
      <c r="K1690" s="30" t="s">
        <v>23</v>
      </c>
      <c r="L1690" s="31" t="str">
        <f>IFERROR(__xludf.DUMMYFUNCTION("IF(OR(E1690="""",K1690=""""),"""",IFERROR(IF(K1690="""","""",query('tbl user'!$A$2:$D10975,""SELECT A WHERE D = '""&amp;K1690&amp;""'"")),""USER TIDAK DIKETAHUI""))"),"#REF!")</f>
        <v>#REF!</v>
      </c>
    </row>
    <row r="1691">
      <c r="A1691" s="21">
        <f t="shared" si="1"/>
        <v>0</v>
      </c>
      <c r="B1691" s="32" t="s">
        <v>175</v>
      </c>
      <c r="C1691" s="23" t="s">
        <v>259</v>
      </c>
      <c r="D1691" s="23" t="s">
        <v>21</v>
      </c>
      <c r="E1691" s="24">
        <v>45421.0</v>
      </c>
      <c r="F1691" s="25">
        <v>0.27708333333333335</v>
      </c>
      <c r="G1691" s="25">
        <v>0.7347222222222223</v>
      </c>
      <c r="H1691" s="27">
        <f t="shared" si="2"/>
        <v>0.4576388889</v>
      </c>
      <c r="I1691" s="28">
        <v>4.0</v>
      </c>
      <c r="J1691" s="29" t="s">
        <v>868</v>
      </c>
      <c r="K1691" s="30" t="s">
        <v>23</v>
      </c>
      <c r="L1691" s="31" t="str">
        <f>IFERROR(__xludf.DUMMYFUNCTION("IF(OR(E1691="""",K1691=""""),"""",IFERROR(IF(K1691="""","""",query('tbl user'!$A$2:$D10975,""SELECT A WHERE D = '""&amp;K1691&amp;""'"")),""USER TIDAK DIKETAHUI""))"),"#REF!")</f>
        <v>#REF!</v>
      </c>
    </row>
    <row r="1692">
      <c r="A1692" s="21">
        <f t="shared" si="1"/>
        <v>0</v>
      </c>
      <c r="B1692" s="32" t="s">
        <v>246</v>
      </c>
      <c r="C1692" s="23" t="s">
        <v>99</v>
      </c>
      <c r="D1692" s="23" t="s">
        <v>21</v>
      </c>
      <c r="E1692" s="24">
        <v>45421.0</v>
      </c>
      <c r="F1692" s="25">
        <v>0.27291666666666664</v>
      </c>
      <c r="G1692" s="25">
        <v>0.7069444444444445</v>
      </c>
      <c r="H1692" s="27">
        <f t="shared" si="2"/>
        <v>0.4340277778</v>
      </c>
      <c r="I1692" s="28">
        <v>5.0</v>
      </c>
      <c r="J1692" s="29" t="s">
        <v>55</v>
      </c>
      <c r="K1692" s="30" t="s">
        <v>23</v>
      </c>
      <c r="L1692" s="31" t="str">
        <f>IFERROR(__xludf.DUMMYFUNCTION("IF(OR(E1692="""",K1692=""""),"""",IFERROR(IF(K1692="""","""",query('tbl user'!$A$2:$D10975,""SELECT A WHERE D = '""&amp;K1692&amp;""'"")),""USER TIDAK DIKETAHUI""))"),"#REF!")</f>
        <v>#REF!</v>
      </c>
    </row>
    <row r="1693">
      <c r="A1693" s="21">
        <f t="shared" si="1"/>
        <v>0</v>
      </c>
      <c r="B1693" s="32" t="s">
        <v>24</v>
      </c>
      <c r="C1693" s="23" t="s">
        <v>25</v>
      </c>
      <c r="D1693" s="23" t="s">
        <v>21</v>
      </c>
      <c r="E1693" s="24">
        <v>45421.0</v>
      </c>
      <c r="F1693" s="25">
        <v>0.30069444444444443</v>
      </c>
      <c r="G1693" s="25">
        <v>0.7277777777777777</v>
      </c>
      <c r="H1693" s="27">
        <f t="shared" si="2"/>
        <v>0.4270833333</v>
      </c>
      <c r="I1693" s="28">
        <v>5.0</v>
      </c>
      <c r="J1693" s="29" t="s">
        <v>55</v>
      </c>
      <c r="K1693" s="30" t="s">
        <v>23</v>
      </c>
      <c r="L1693" s="31" t="str">
        <f>IFERROR(__xludf.DUMMYFUNCTION("IF(OR(E1693="""",K1693=""""),"""",IFERROR(IF(K1693="""","""",query('tbl user'!$A$2:$D10975,""SELECT A WHERE D = '""&amp;K1693&amp;""'"")),""USER TIDAK DIKETAHUI""))"),"#REF!")</f>
        <v>#REF!</v>
      </c>
    </row>
    <row r="1694">
      <c r="A1694" s="21">
        <f t="shared" si="1"/>
        <v>0</v>
      </c>
      <c r="B1694" s="32" t="s">
        <v>231</v>
      </c>
      <c r="C1694" s="23" t="s">
        <v>232</v>
      </c>
      <c r="D1694" s="23" t="s">
        <v>21</v>
      </c>
      <c r="E1694" s="24">
        <v>45421.0</v>
      </c>
      <c r="F1694" s="25">
        <v>0.2951388888888889</v>
      </c>
      <c r="G1694" s="25">
        <v>0.7472222222222222</v>
      </c>
      <c r="H1694" s="27">
        <f t="shared" si="2"/>
        <v>0.4520833333</v>
      </c>
      <c r="I1694" s="28">
        <v>5.0</v>
      </c>
      <c r="J1694" s="29" t="s">
        <v>55</v>
      </c>
      <c r="K1694" s="30" t="s">
        <v>23</v>
      </c>
      <c r="L1694" s="31" t="str">
        <f>IFERROR(__xludf.DUMMYFUNCTION("IF(OR(E1694="""",K1694=""""),"""",IFERROR(IF(K1694="""","""",query('tbl user'!$A$2:$D10975,""SELECT A WHERE D = '""&amp;K1694&amp;""'"")),""USER TIDAK DIKETAHUI""))"),"#REF!")</f>
        <v>#REF!</v>
      </c>
    </row>
    <row r="1695">
      <c r="A1695" s="21">
        <f t="shared" si="1"/>
        <v>0</v>
      </c>
      <c r="B1695" s="32" t="s">
        <v>253</v>
      </c>
      <c r="C1695" s="23" t="s">
        <v>102</v>
      </c>
      <c r="D1695" s="23" t="s">
        <v>21</v>
      </c>
      <c r="E1695" s="24">
        <v>45421.0</v>
      </c>
      <c r="F1695" s="25">
        <v>0.2625</v>
      </c>
      <c r="G1695" s="25">
        <v>0.7298611111111111</v>
      </c>
      <c r="H1695" s="27">
        <f t="shared" si="2"/>
        <v>0.4673611111</v>
      </c>
      <c r="I1695" s="28">
        <v>5.0</v>
      </c>
      <c r="J1695" s="29" t="s">
        <v>55</v>
      </c>
      <c r="K1695" s="30" t="s">
        <v>23</v>
      </c>
      <c r="L1695" s="31" t="str">
        <f>IFERROR(__xludf.DUMMYFUNCTION("IF(OR(E1695="""",K1695=""""),"""",IFERROR(IF(K1695="""","""",query('tbl user'!$A$2:$D10975,""SELECT A WHERE D = '""&amp;K1695&amp;""'"")),""USER TIDAK DIKETAHUI""))"),"#REF!")</f>
        <v>#REF!</v>
      </c>
    </row>
    <row r="1696">
      <c r="A1696" s="21">
        <f t="shared" si="1"/>
        <v>0</v>
      </c>
      <c r="B1696" s="32" t="s">
        <v>662</v>
      </c>
      <c r="C1696" s="23" t="s">
        <v>234</v>
      </c>
      <c r="D1696" s="23" t="s">
        <v>21</v>
      </c>
      <c r="E1696" s="24">
        <v>45421.0</v>
      </c>
      <c r="F1696" s="25">
        <v>0.2743055555555556</v>
      </c>
      <c r="G1696" s="25">
        <v>0.7368055555555556</v>
      </c>
      <c r="H1696" s="27">
        <f t="shared" si="2"/>
        <v>0.4625</v>
      </c>
      <c r="I1696" s="28">
        <v>5.0</v>
      </c>
      <c r="J1696" s="29" t="s">
        <v>55</v>
      </c>
      <c r="K1696" s="30" t="s">
        <v>23</v>
      </c>
      <c r="L1696" s="31" t="str">
        <f>IFERROR(__xludf.DUMMYFUNCTION("IF(OR(E1696="""",K1696=""""),"""",IFERROR(IF(K1696="""","""",query('tbl user'!$A$2:$D10975,""SELECT A WHERE D = '""&amp;K1696&amp;""'"")),""USER TIDAK DIKETAHUI""))"),"#REF!")</f>
        <v>#REF!</v>
      </c>
    </row>
    <row r="1697">
      <c r="A1697" s="21">
        <f t="shared" si="1"/>
        <v>0</v>
      </c>
      <c r="B1697" s="32" t="s">
        <v>255</v>
      </c>
      <c r="C1697" s="23" t="s">
        <v>256</v>
      </c>
      <c r="D1697" s="23" t="s">
        <v>21</v>
      </c>
      <c r="E1697" s="24">
        <v>45421.0</v>
      </c>
      <c r="F1697" s="25">
        <v>0.28125</v>
      </c>
      <c r="G1697" s="25">
        <v>0.7479166666666667</v>
      </c>
      <c r="H1697" s="27">
        <f t="shared" si="2"/>
        <v>0.4666666667</v>
      </c>
      <c r="I1697" s="28">
        <v>5.0</v>
      </c>
      <c r="J1697" s="29" t="s">
        <v>55</v>
      </c>
      <c r="K1697" s="30" t="s">
        <v>23</v>
      </c>
      <c r="L1697" s="31" t="str">
        <f>IFERROR(__xludf.DUMMYFUNCTION("IF(OR(E1697="""",K1697=""""),"""",IFERROR(IF(K1697="""","""",query('tbl user'!$A$2:$D10975,""SELECT A WHERE D = '""&amp;K1697&amp;""'"")),""USER TIDAK DIKETAHUI""))"),"#REF!")</f>
        <v>#REF!</v>
      </c>
    </row>
    <row r="1698">
      <c r="A1698" s="21">
        <f t="shared" si="1"/>
        <v>0</v>
      </c>
      <c r="B1698" s="32" t="s">
        <v>81</v>
      </c>
      <c r="C1698" s="23" t="s">
        <v>261</v>
      </c>
      <c r="D1698" s="23" t="s">
        <v>21</v>
      </c>
      <c r="E1698" s="24">
        <v>45421.0</v>
      </c>
      <c r="F1698" s="25">
        <v>0.25277777777777777</v>
      </c>
      <c r="G1698" s="25">
        <v>0.7402777777777778</v>
      </c>
      <c r="H1698" s="27">
        <f t="shared" si="2"/>
        <v>0.4875</v>
      </c>
      <c r="I1698" s="28">
        <v>5.0</v>
      </c>
      <c r="J1698" s="29" t="s">
        <v>55</v>
      </c>
      <c r="K1698" s="30" t="s">
        <v>23</v>
      </c>
      <c r="L1698" s="31" t="str">
        <f>IFERROR(__xludf.DUMMYFUNCTION("IF(OR(E1698="""",K1698=""""),"""",IFERROR(IF(K1698="""","""",query('tbl user'!$A$2:$D10975,""SELECT A WHERE D = '""&amp;K1698&amp;""'"")),""USER TIDAK DIKETAHUI""))"),"#REF!")</f>
        <v>#REF!</v>
      </c>
    </row>
    <row r="1699">
      <c r="A1699" s="21">
        <f t="shared" si="1"/>
        <v>0</v>
      </c>
      <c r="B1699" s="32" t="s">
        <v>64</v>
      </c>
      <c r="C1699" s="23" t="s">
        <v>65</v>
      </c>
      <c r="D1699" s="23" t="s">
        <v>21</v>
      </c>
      <c r="E1699" s="24">
        <v>45421.0</v>
      </c>
      <c r="F1699" s="25">
        <v>0.33819444444444446</v>
      </c>
      <c r="G1699" s="25">
        <v>0.6569444444444444</v>
      </c>
      <c r="H1699" s="27">
        <f t="shared" si="2"/>
        <v>0.31875</v>
      </c>
      <c r="I1699" s="28">
        <v>2.0</v>
      </c>
      <c r="J1699" s="29" t="s">
        <v>872</v>
      </c>
      <c r="K1699" s="30" t="s">
        <v>23</v>
      </c>
      <c r="L1699" s="31" t="str">
        <f>IFERROR(__xludf.DUMMYFUNCTION("IF(OR(E1699="""",K1699=""""),"""",IFERROR(IF(K1699="""","""",query('tbl user'!$A$2:$D10975,""SELECT A WHERE D = '""&amp;K1699&amp;""'"")),""USER TIDAK DIKETAHUI""))"),"#REF!")</f>
        <v>#REF!</v>
      </c>
    </row>
    <row r="1700">
      <c r="A1700" s="21">
        <f t="shared" si="1"/>
        <v>0</v>
      </c>
      <c r="B1700" s="32" t="s">
        <v>289</v>
      </c>
      <c r="C1700" s="23" t="s">
        <v>290</v>
      </c>
      <c r="D1700" s="23" t="s">
        <v>21</v>
      </c>
      <c r="E1700" s="24">
        <v>45421.0</v>
      </c>
      <c r="F1700" s="25">
        <v>0.28958333333333336</v>
      </c>
      <c r="G1700" s="25">
        <v>0.7270833333333333</v>
      </c>
      <c r="H1700" s="27">
        <f t="shared" si="2"/>
        <v>0.4375</v>
      </c>
      <c r="I1700" s="28">
        <v>3.0</v>
      </c>
      <c r="J1700" s="29" t="s">
        <v>873</v>
      </c>
      <c r="K1700" s="30" t="s">
        <v>23</v>
      </c>
      <c r="L1700" s="31" t="str">
        <f>IFERROR(__xludf.DUMMYFUNCTION("IF(OR(E1700="""",K1700=""""),"""",IFERROR(IF(K1700="""","""",query('tbl user'!$A$2:$D10975,""SELECT A WHERE D = '""&amp;K1700&amp;""'"")),""USER TIDAK DIKETAHUI""))"),"#REF!")</f>
        <v>#REF!</v>
      </c>
    </row>
    <row r="1701">
      <c r="A1701" s="21">
        <f t="shared" si="1"/>
        <v>0</v>
      </c>
      <c r="B1701" s="32" t="s">
        <v>37</v>
      </c>
      <c r="C1701" s="23" t="s">
        <v>38</v>
      </c>
      <c r="D1701" s="23" t="s">
        <v>21</v>
      </c>
      <c r="E1701" s="24">
        <v>45421.0</v>
      </c>
      <c r="F1701" s="25">
        <v>0.26666666666666666</v>
      </c>
      <c r="G1701" s="25">
        <v>0.6798611111111111</v>
      </c>
      <c r="H1701" s="27">
        <f t="shared" si="2"/>
        <v>0.4131944444</v>
      </c>
      <c r="I1701" s="28">
        <v>4.0</v>
      </c>
      <c r="J1701" s="29" t="s">
        <v>55</v>
      </c>
      <c r="K1701" s="30" t="s">
        <v>23</v>
      </c>
      <c r="L1701" s="31" t="str">
        <f>IFERROR(__xludf.DUMMYFUNCTION("IF(OR(E1701="""",K1701=""""),"""",IFERROR(IF(K1701="""","""",query('tbl user'!$A$2:$D10975,""SELECT A WHERE D = '""&amp;K1701&amp;""'"")),""USER TIDAK DIKETAHUI""))"),"#REF!")</f>
        <v>#REF!</v>
      </c>
    </row>
    <row r="1702">
      <c r="A1702" s="21">
        <f t="shared" si="1"/>
        <v>0</v>
      </c>
      <c r="B1702" s="32" t="s">
        <v>284</v>
      </c>
      <c r="C1702" s="23" t="s">
        <v>285</v>
      </c>
      <c r="D1702" s="23" t="s">
        <v>21</v>
      </c>
      <c r="E1702" s="24">
        <v>45421.0</v>
      </c>
      <c r="F1702" s="25">
        <v>0.29305555555555557</v>
      </c>
      <c r="G1702" s="25">
        <v>0.6868055555555556</v>
      </c>
      <c r="H1702" s="27">
        <f t="shared" si="2"/>
        <v>0.39375</v>
      </c>
      <c r="I1702" s="28">
        <v>4.0</v>
      </c>
      <c r="J1702" s="29" t="s">
        <v>55</v>
      </c>
      <c r="K1702" s="30" t="s">
        <v>23</v>
      </c>
      <c r="L1702" s="31" t="str">
        <f>IFERROR(__xludf.DUMMYFUNCTION("IF(OR(E1702="""",K1702=""""),"""",IFERROR(IF(K1702="""","""",query('tbl user'!$A$2:$D10975,""SELECT A WHERE D = '""&amp;K1702&amp;""'"")),""USER TIDAK DIKETAHUI""))"),"#REF!")</f>
        <v>#REF!</v>
      </c>
    </row>
    <row r="1703">
      <c r="A1703" s="21">
        <f t="shared" si="1"/>
        <v>0</v>
      </c>
      <c r="B1703" s="32" t="s">
        <v>286</v>
      </c>
      <c r="C1703" s="23" t="s">
        <v>287</v>
      </c>
      <c r="D1703" s="23" t="s">
        <v>21</v>
      </c>
      <c r="E1703" s="24">
        <v>45421.0</v>
      </c>
      <c r="F1703" s="25">
        <v>0.2826388888888889</v>
      </c>
      <c r="G1703" s="25">
        <v>0.7076388888888889</v>
      </c>
      <c r="H1703" s="27">
        <f t="shared" si="2"/>
        <v>0.425</v>
      </c>
      <c r="I1703" s="28">
        <v>4.0</v>
      </c>
      <c r="J1703" s="29" t="s">
        <v>55</v>
      </c>
      <c r="K1703" s="30" t="s">
        <v>23</v>
      </c>
      <c r="L1703" s="31" t="str">
        <f>IFERROR(__xludf.DUMMYFUNCTION("IF(OR(E1703="""",K1703=""""),"""",IFERROR(IF(K1703="""","""",query('tbl user'!$A$2:$D10975,""SELECT A WHERE D = '""&amp;K1703&amp;""'"")),""USER TIDAK DIKETAHUI""))"),"#REF!")</f>
        <v>#REF!</v>
      </c>
    </row>
    <row r="1704">
      <c r="A1704" s="21">
        <f t="shared" si="1"/>
        <v>0</v>
      </c>
      <c r="B1704" s="32" t="s">
        <v>335</v>
      </c>
      <c r="C1704" s="23" t="s">
        <v>336</v>
      </c>
      <c r="D1704" s="23" t="s">
        <v>21</v>
      </c>
      <c r="E1704" s="24">
        <v>45421.0</v>
      </c>
      <c r="F1704" s="25">
        <v>0.29791666666666666</v>
      </c>
      <c r="G1704" s="25">
        <v>0.5965277777777778</v>
      </c>
      <c r="H1704" s="27">
        <f t="shared" si="2"/>
        <v>0.2986111111</v>
      </c>
      <c r="I1704" s="28">
        <v>3.0</v>
      </c>
      <c r="J1704" s="29" t="s">
        <v>218</v>
      </c>
      <c r="K1704" s="30" t="s">
        <v>23</v>
      </c>
      <c r="L1704" s="31" t="str">
        <f>IFERROR(__xludf.DUMMYFUNCTION("IF(OR(E1704="""",K1704=""""),"""",IFERROR(IF(K1704="""","""",query('tbl user'!$A$2:$D10975,""SELECT A WHERE D = '""&amp;K1704&amp;""'"")),""USER TIDAK DIKETAHUI""))"),"#REF!")</f>
        <v>#REF!</v>
      </c>
    </row>
    <row r="1705">
      <c r="A1705" s="21">
        <f t="shared" si="1"/>
        <v>0</v>
      </c>
      <c r="B1705" s="32" t="s">
        <v>131</v>
      </c>
      <c r="C1705" s="23" t="s">
        <v>339</v>
      </c>
      <c r="D1705" s="23" t="s">
        <v>21</v>
      </c>
      <c r="E1705" s="24">
        <v>45421.0</v>
      </c>
      <c r="F1705" s="25">
        <v>0.2777777777777778</v>
      </c>
      <c r="G1705" s="25">
        <v>0.6701388888888888</v>
      </c>
      <c r="H1705" s="27">
        <f t="shared" si="2"/>
        <v>0.3923611111</v>
      </c>
      <c r="I1705" s="28">
        <v>4.0</v>
      </c>
      <c r="J1705" s="29" t="s">
        <v>874</v>
      </c>
      <c r="K1705" s="30" t="s">
        <v>23</v>
      </c>
      <c r="L1705" s="31" t="str">
        <f>IFERROR(__xludf.DUMMYFUNCTION("IF(OR(E1705="""",K1705=""""),"""",IFERROR(IF(K1705="""","""",query('tbl user'!$A$2:$D10975,""SELECT A WHERE D = '""&amp;K1705&amp;""'"")),""USER TIDAK DIKETAHUI""))"),"#REF!")</f>
        <v>#REF!</v>
      </c>
    </row>
    <row r="1706">
      <c r="A1706" s="21">
        <f t="shared" si="1"/>
        <v>0</v>
      </c>
      <c r="B1706" s="32" t="s">
        <v>716</v>
      </c>
      <c r="C1706" s="23" t="s">
        <v>316</v>
      </c>
      <c r="D1706" s="23" t="s">
        <v>21</v>
      </c>
      <c r="E1706" s="24">
        <v>45421.0</v>
      </c>
      <c r="F1706" s="25">
        <v>0.27152777777777776</v>
      </c>
      <c r="G1706" s="25">
        <v>0.6902777777777778</v>
      </c>
      <c r="H1706" s="27">
        <f t="shared" si="2"/>
        <v>0.41875</v>
      </c>
      <c r="I1706" s="28">
        <v>4.0</v>
      </c>
      <c r="J1706" s="29" t="s">
        <v>875</v>
      </c>
      <c r="K1706" s="30" t="s">
        <v>23</v>
      </c>
      <c r="L1706" s="31" t="str">
        <f>IFERROR(__xludf.DUMMYFUNCTION("IF(OR(E1706="""",K1706=""""),"""",IFERROR(IF(K1706="""","""",query('tbl user'!$A$2:$D10975,""SELECT A WHERE D = '""&amp;K1706&amp;""'"")),""USER TIDAK DIKETAHUI""))"),"#REF!")</f>
        <v>#REF!</v>
      </c>
    </row>
    <row r="1707">
      <c r="A1707" s="21">
        <f t="shared" si="1"/>
        <v>0</v>
      </c>
      <c r="B1707" s="32" t="s">
        <v>328</v>
      </c>
      <c r="C1707" s="23" t="s">
        <v>329</v>
      </c>
      <c r="D1707" s="23" t="s">
        <v>21</v>
      </c>
      <c r="E1707" s="24">
        <v>45421.0</v>
      </c>
      <c r="F1707" s="25">
        <v>0.29375</v>
      </c>
      <c r="G1707" s="25">
        <v>0.6583333333333333</v>
      </c>
      <c r="H1707" s="27">
        <f t="shared" si="2"/>
        <v>0.3645833333</v>
      </c>
      <c r="I1707" s="28">
        <v>4.0</v>
      </c>
      <c r="J1707" s="29" t="s">
        <v>420</v>
      </c>
      <c r="K1707" s="30" t="s">
        <v>23</v>
      </c>
      <c r="L1707" s="31" t="str">
        <f>IFERROR(__xludf.DUMMYFUNCTION("IF(OR(E1707="""",K1707=""""),"""",IFERROR(IF(K1707="""","""",query('tbl user'!$A$2:$D10975,""SELECT A WHERE D = '""&amp;K1707&amp;""'"")),""USER TIDAK DIKETAHUI""))"),"#REF!")</f>
        <v>#REF!</v>
      </c>
    </row>
    <row r="1708">
      <c r="A1708" s="21">
        <f t="shared" si="1"/>
        <v>0</v>
      </c>
      <c r="B1708" s="32" t="s">
        <v>209</v>
      </c>
      <c r="C1708" s="23" t="s">
        <v>326</v>
      </c>
      <c r="D1708" s="23" t="s">
        <v>21</v>
      </c>
      <c r="E1708" s="24">
        <v>45421.0</v>
      </c>
      <c r="F1708" s="25">
        <v>0.25833333333333336</v>
      </c>
      <c r="G1708" s="25">
        <v>0.6548611111111111</v>
      </c>
      <c r="H1708" s="27">
        <f t="shared" si="2"/>
        <v>0.3965277778</v>
      </c>
      <c r="I1708" s="28">
        <v>4.0</v>
      </c>
      <c r="J1708" s="29" t="s">
        <v>876</v>
      </c>
      <c r="K1708" s="30" t="s">
        <v>23</v>
      </c>
      <c r="L1708" s="31" t="str">
        <f>IFERROR(__xludf.DUMMYFUNCTION("IF(OR(E1708="""",K1708=""""),"""",IFERROR(IF(K1708="""","""",query('tbl user'!$A$2:$D10975,""SELECT A WHERE D = '""&amp;K1708&amp;""'"")),""USER TIDAK DIKETAHUI""))"),"#REF!")</f>
        <v>#REF!</v>
      </c>
    </row>
    <row r="1709">
      <c r="A1709" s="21">
        <f t="shared" si="1"/>
        <v>0</v>
      </c>
      <c r="B1709" s="32" t="s">
        <v>331</v>
      </c>
      <c r="C1709" s="23" t="s">
        <v>332</v>
      </c>
      <c r="D1709" s="23" t="s">
        <v>21</v>
      </c>
      <c r="E1709" s="24">
        <v>45421.0</v>
      </c>
      <c r="F1709" s="25">
        <v>0.22569444444444445</v>
      </c>
      <c r="G1709" s="25">
        <v>0.6736111111111112</v>
      </c>
      <c r="H1709" s="27">
        <f t="shared" si="2"/>
        <v>0.4479166667</v>
      </c>
      <c r="I1709" s="28">
        <v>5.0</v>
      </c>
      <c r="J1709" s="29" t="s">
        <v>55</v>
      </c>
      <c r="K1709" s="30" t="s">
        <v>23</v>
      </c>
      <c r="L1709" s="31" t="str">
        <f>IFERROR(__xludf.DUMMYFUNCTION("IF(OR(E1709="""",K1709=""""),"""",IFERROR(IF(K1709="""","""",query('tbl user'!$A$2:$D10975,""SELECT A WHERE D = '""&amp;K1709&amp;""'"")),""USER TIDAK DIKETAHUI""))"),"#REF!")</f>
        <v>#REF!</v>
      </c>
    </row>
    <row r="1710">
      <c r="A1710" s="21">
        <f t="shared" si="1"/>
        <v>0</v>
      </c>
      <c r="B1710" s="32" t="s">
        <v>333</v>
      </c>
      <c r="C1710" s="23" t="s">
        <v>334</v>
      </c>
      <c r="D1710" s="23" t="s">
        <v>21</v>
      </c>
      <c r="E1710" s="24">
        <v>45421.0</v>
      </c>
      <c r="F1710" s="25">
        <v>0.28055555555555556</v>
      </c>
      <c r="G1710" s="25">
        <v>0.7069444444444445</v>
      </c>
      <c r="H1710" s="27">
        <f t="shared" si="2"/>
        <v>0.4263888889</v>
      </c>
      <c r="I1710" s="28">
        <v>5.0</v>
      </c>
      <c r="J1710" s="29" t="s">
        <v>55</v>
      </c>
      <c r="K1710" s="30" t="s">
        <v>23</v>
      </c>
      <c r="L1710" s="31" t="str">
        <f>IFERROR(__xludf.DUMMYFUNCTION("IF(OR(E1710="""",K1710=""""),"""",IFERROR(IF(K1710="""","""",query('tbl user'!$A$2:$D10975,""SELECT A WHERE D = '""&amp;K1710&amp;""'"")),""USER TIDAK DIKETAHUI""))"),"#REF!")</f>
        <v>#REF!</v>
      </c>
    </row>
    <row r="1711">
      <c r="A1711" s="21">
        <f t="shared" si="1"/>
        <v>0</v>
      </c>
      <c r="B1711" s="32" t="s">
        <v>219</v>
      </c>
      <c r="C1711" s="23" t="s">
        <v>340</v>
      </c>
      <c r="D1711" s="23" t="s">
        <v>21</v>
      </c>
      <c r="E1711" s="24">
        <v>45421.0</v>
      </c>
      <c r="F1711" s="25">
        <v>0.28125</v>
      </c>
      <c r="G1711" s="25">
        <v>0.6854166666666667</v>
      </c>
      <c r="H1711" s="27">
        <f t="shared" si="2"/>
        <v>0.4041666667</v>
      </c>
      <c r="I1711" s="28">
        <v>5.0</v>
      </c>
      <c r="J1711" s="29" t="s">
        <v>55</v>
      </c>
      <c r="K1711" s="30" t="s">
        <v>23</v>
      </c>
      <c r="L1711" s="31" t="str">
        <f>IFERROR(__xludf.DUMMYFUNCTION("IF(OR(E1711="""",K1711=""""),"""",IFERROR(IF(K1711="""","""",query('tbl user'!$A$2:$D10975,""SELECT A WHERE D = '""&amp;K1711&amp;""'"")),""USER TIDAK DIKETAHUI""))"),"#REF!")</f>
        <v>#REF!</v>
      </c>
    </row>
    <row r="1712">
      <c r="A1712" s="21">
        <f t="shared" si="1"/>
        <v>0</v>
      </c>
      <c r="B1712" s="32" t="s">
        <v>87</v>
      </c>
      <c r="C1712" s="23" t="s">
        <v>88</v>
      </c>
      <c r="D1712" s="23" t="s">
        <v>21</v>
      </c>
      <c r="E1712" s="24">
        <v>45421.0</v>
      </c>
      <c r="F1712" s="25">
        <v>0.2673611111111111</v>
      </c>
      <c r="G1712" s="25">
        <v>0.6840277777777778</v>
      </c>
      <c r="H1712" s="27">
        <f t="shared" si="2"/>
        <v>0.4166666667</v>
      </c>
      <c r="I1712" s="28">
        <v>5.0</v>
      </c>
      <c r="J1712" s="29" t="s">
        <v>55</v>
      </c>
      <c r="K1712" s="30" t="s">
        <v>23</v>
      </c>
      <c r="L1712" s="31" t="str">
        <f>IFERROR(__xludf.DUMMYFUNCTION("IF(OR(E1712="""",K1712=""""),"""",IFERROR(IF(K1712="""","""",query('tbl user'!$A$2:$D10975,""SELECT A WHERE D = '""&amp;K1712&amp;""'"")),""USER TIDAK DIKETAHUI""))"),"#REF!")</f>
        <v>#REF!</v>
      </c>
    </row>
    <row r="1713">
      <c r="A1713" s="21">
        <f t="shared" si="1"/>
        <v>0</v>
      </c>
      <c r="B1713" s="32" t="s">
        <v>53</v>
      </c>
      <c r="C1713" s="23" t="s">
        <v>54</v>
      </c>
      <c r="D1713" s="23" t="s">
        <v>21</v>
      </c>
      <c r="E1713" s="24">
        <v>45421.0</v>
      </c>
      <c r="F1713" s="25">
        <v>0.22916666666666666</v>
      </c>
      <c r="G1713" s="25">
        <v>0.7138888888888889</v>
      </c>
      <c r="H1713" s="27">
        <f t="shared" si="2"/>
        <v>0.4847222222</v>
      </c>
      <c r="I1713" s="28">
        <v>5.0</v>
      </c>
      <c r="J1713" s="29" t="s">
        <v>55</v>
      </c>
      <c r="K1713" s="30" t="s">
        <v>23</v>
      </c>
      <c r="L1713" s="31" t="str">
        <f>IFERROR(__xludf.DUMMYFUNCTION("IF(OR(E1713="""",K1713=""""),"""",IFERROR(IF(K1713="""","""",query('tbl user'!$A$2:$D10975,""SELECT A WHERE D = '""&amp;K1713&amp;""'"")),""USER TIDAK DIKETAHUI""))"),"#REF!")</f>
        <v>#REF!</v>
      </c>
    </row>
    <row r="1714">
      <c r="A1714" s="21">
        <f t="shared" si="1"/>
        <v>0</v>
      </c>
      <c r="B1714" s="32" t="s">
        <v>319</v>
      </c>
      <c r="C1714" s="23" t="s">
        <v>320</v>
      </c>
      <c r="D1714" s="23" t="s">
        <v>21</v>
      </c>
      <c r="E1714" s="24">
        <v>45421.0</v>
      </c>
      <c r="F1714" s="25">
        <v>0.21875</v>
      </c>
      <c r="G1714" s="25">
        <v>0.7152777777777778</v>
      </c>
      <c r="H1714" s="27">
        <f t="shared" si="2"/>
        <v>0.4965277778</v>
      </c>
      <c r="I1714" s="28">
        <v>5.0</v>
      </c>
      <c r="J1714" s="29" t="s">
        <v>55</v>
      </c>
      <c r="K1714" s="30" t="s">
        <v>23</v>
      </c>
      <c r="L1714" s="31" t="str">
        <f>IFERROR(__xludf.DUMMYFUNCTION("IF(OR(E1714="""",K1714=""""),"""",IFERROR(IF(K1714="""","""",query('tbl user'!$A$2:$D10975,""SELECT A WHERE D = '""&amp;K1714&amp;""'"")),""USER TIDAK DIKETAHUI""))"),"#REF!")</f>
        <v>#REF!</v>
      </c>
    </row>
    <row r="1715">
      <c r="A1715" s="21">
        <f t="shared" si="1"/>
        <v>0</v>
      </c>
      <c r="B1715" s="32" t="s">
        <v>577</v>
      </c>
      <c r="C1715" s="23" t="s">
        <v>330</v>
      </c>
      <c r="D1715" s="23" t="s">
        <v>21</v>
      </c>
      <c r="E1715" s="24">
        <v>45421.0</v>
      </c>
      <c r="F1715" s="25">
        <v>0.26319444444444445</v>
      </c>
      <c r="G1715" s="25">
        <v>0.6819444444444445</v>
      </c>
      <c r="H1715" s="27">
        <f t="shared" si="2"/>
        <v>0.41875</v>
      </c>
      <c r="I1715" s="28">
        <v>5.0</v>
      </c>
      <c r="J1715" s="29" t="s">
        <v>55</v>
      </c>
      <c r="K1715" s="30" t="s">
        <v>23</v>
      </c>
      <c r="L1715" s="31" t="str">
        <f>IFERROR(__xludf.DUMMYFUNCTION("IF(OR(E1715="""",K1715=""""),"""",IFERROR(IF(K1715="""","""",query('tbl user'!$A$2:$D10975,""SELECT A WHERE D = '""&amp;K1715&amp;""'"")),""USER TIDAK DIKETAHUI""))"),"#REF!")</f>
        <v>#REF!</v>
      </c>
    </row>
    <row r="1716">
      <c r="A1716" s="21">
        <f t="shared" si="1"/>
        <v>0</v>
      </c>
      <c r="B1716" s="32" t="s">
        <v>601</v>
      </c>
      <c r="C1716" s="23" t="s">
        <v>323</v>
      </c>
      <c r="D1716" s="23" t="s">
        <v>21</v>
      </c>
      <c r="E1716" s="24">
        <v>45421.0</v>
      </c>
      <c r="F1716" s="25">
        <v>0.2673611111111111</v>
      </c>
      <c r="G1716" s="25">
        <v>0.7069444444444445</v>
      </c>
      <c r="H1716" s="27">
        <f t="shared" si="2"/>
        <v>0.4395833333</v>
      </c>
      <c r="I1716" s="28">
        <v>5.0</v>
      </c>
      <c r="J1716" s="29" t="s">
        <v>55</v>
      </c>
      <c r="K1716" s="30" t="s">
        <v>23</v>
      </c>
      <c r="L1716" s="31" t="str">
        <f>IFERROR(__xludf.DUMMYFUNCTION("IF(OR(E1716="""",K1716=""""),"""",IFERROR(IF(K1716="""","""",query('tbl user'!$A$2:$D10975,""SELECT A WHERE D = '""&amp;K1716&amp;""'"")),""USER TIDAK DIKETAHUI""))"),"#REF!")</f>
        <v>#REF!</v>
      </c>
    </row>
    <row r="1717">
      <c r="A1717" s="21">
        <f t="shared" si="1"/>
        <v>0</v>
      </c>
      <c r="B1717" s="32" t="s">
        <v>337</v>
      </c>
      <c r="C1717" s="23" t="s">
        <v>338</v>
      </c>
      <c r="D1717" s="23" t="s">
        <v>21</v>
      </c>
      <c r="E1717" s="24">
        <v>45421.0</v>
      </c>
      <c r="F1717" s="25">
        <v>0.26180555555555557</v>
      </c>
      <c r="G1717" s="25">
        <v>0.7416666666666667</v>
      </c>
      <c r="H1717" s="27">
        <f t="shared" si="2"/>
        <v>0.4798611111</v>
      </c>
      <c r="I1717" s="28">
        <v>6.0</v>
      </c>
      <c r="J1717" s="29" t="s">
        <v>55</v>
      </c>
      <c r="K1717" s="30" t="s">
        <v>23</v>
      </c>
      <c r="L1717" s="31" t="str">
        <f>IFERROR(__xludf.DUMMYFUNCTION("IF(OR(E1717="""",K1717=""""),"""",IFERROR(IF(K1717="""","""",query('tbl user'!$A$2:$D10975,""SELECT A WHERE D = '""&amp;K1717&amp;""'"")),""USER TIDAK DIKETAHUI""))"),"#REF!")</f>
        <v>#REF!</v>
      </c>
    </row>
    <row r="1718">
      <c r="A1718" s="21">
        <f t="shared" si="1"/>
        <v>0</v>
      </c>
      <c r="B1718" s="32" t="s">
        <v>72</v>
      </c>
      <c r="C1718" s="23" t="s">
        <v>73</v>
      </c>
      <c r="D1718" s="23" t="s">
        <v>32</v>
      </c>
      <c r="E1718" s="24">
        <v>45421.0</v>
      </c>
      <c r="F1718" s="25">
        <v>0.25625</v>
      </c>
      <c r="G1718" s="25">
        <v>0.4861111111111111</v>
      </c>
      <c r="H1718" s="27">
        <f t="shared" si="2"/>
        <v>0.2298611111</v>
      </c>
      <c r="I1718" s="28">
        <v>2.0</v>
      </c>
      <c r="J1718" s="29" t="s">
        <v>877</v>
      </c>
      <c r="K1718" s="30" t="s">
        <v>23</v>
      </c>
      <c r="L1718" s="31" t="str">
        <f>IFERROR(__xludf.DUMMYFUNCTION("IF(OR(E1718="""",K1718=""""),"""",IFERROR(IF(K1718="""","""",query('tbl user'!$A$2:$D10975,""SELECT A WHERE D = '""&amp;K1718&amp;""'"")),""USER TIDAK DIKETAHUI""))"),"#REF!")</f>
        <v>#REF!</v>
      </c>
    </row>
    <row r="1719">
      <c r="A1719" s="21">
        <f t="shared" si="1"/>
        <v>0</v>
      </c>
      <c r="B1719" s="32" t="s">
        <v>113</v>
      </c>
      <c r="C1719" s="23" t="s">
        <v>114</v>
      </c>
      <c r="D1719" s="23" t="s">
        <v>32</v>
      </c>
      <c r="E1719" s="24">
        <v>45421.0</v>
      </c>
      <c r="F1719" s="25">
        <v>0.2263888888888889</v>
      </c>
      <c r="G1719" s="25">
        <v>0.6486111111111111</v>
      </c>
      <c r="H1719" s="27">
        <f t="shared" si="2"/>
        <v>0.4222222222</v>
      </c>
      <c r="I1719" s="28">
        <v>4.0</v>
      </c>
      <c r="J1719" s="29" t="s">
        <v>55</v>
      </c>
      <c r="K1719" s="30" t="s">
        <v>23</v>
      </c>
      <c r="L1719" s="31" t="str">
        <f>IFERROR(__xludf.DUMMYFUNCTION("IF(OR(E1719="""",K1719=""""),"""",IFERROR(IF(K1719="""","""",query('tbl user'!$A$2:$D10975,""SELECT A WHERE D = '""&amp;K1719&amp;""'"")),""USER TIDAK DIKETAHUI""))"),"#REF!")</f>
        <v>#REF!</v>
      </c>
    </row>
    <row r="1720">
      <c r="A1720" s="21">
        <f t="shared" si="1"/>
        <v>0</v>
      </c>
      <c r="B1720" s="32" t="s">
        <v>115</v>
      </c>
      <c r="C1720" s="23" t="s">
        <v>116</v>
      </c>
      <c r="D1720" s="23" t="s">
        <v>32</v>
      </c>
      <c r="E1720" s="24">
        <v>45421.0</v>
      </c>
      <c r="F1720" s="25">
        <v>0.2923611111111111</v>
      </c>
      <c r="G1720" s="25">
        <v>0.7034722222222223</v>
      </c>
      <c r="H1720" s="27">
        <f t="shared" si="2"/>
        <v>0.4111111111</v>
      </c>
      <c r="I1720" s="28">
        <v>4.0</v>
      </c>
      <c r="J1720" s="29" t="s">
        <v>55</v>
      </c>
      <c r="K1720" s="30" t="s">
        <v>23</v>
      </c>
      <c r="L1720" s="31" t="str">
        <f>IFERROR(__xludf.DUMMYFUNCTION("IF(OR(E1720="""",K1720=""""),"""",IFERROR(IF(K1720="""","""",query('tbl user'!$A$2:$D10975,""SELECT A WHERE D = '""&amp;K1720&amp;""'"")),""USER TIDAK DIKETAHUI""))"),"#REF!")</f>
        <v>#REF!</v>
      </c>
    </row>
    <row r="1721">
      <c r="A1721" s="21">
        <f t="shared" si="1"/>
        <v>0</v>
      </c>
      <c r="B1721" s="32" t="s">
        <v>46</v>
      </c>
      <c r="C1721" s="23" t="s">
        <v>47</v>
      </c>
      <c r="D1721" s="23" t="s">
        <v>32</v>
      </c>
      <c r="E1721" s="24">
        <v>45421.0</v>
      </c>
      <c r="F1721" s="25">
        <v>0.27569444444444446</v>
      </c>
      <c r="G1721" s="25">
        <v>0.6875</v>
      </c>
      <c r="H1721" s="27">
        <f t="shared" si="2"/>
        <v>0.4118055556</v>
      </c>
      <c r="I1721" s="28">
        <v>4.0</v>
      </c>
      <c r="J1721" s="29" t="s">
        <v>55</v>
      </c>
      <c r="K1721" s="30" t="s">
        <v>23</v>
      </c>
      <c r="L1721" s="31" t="str">
        <f>IFERROR(__xludf.DUMMYFUNCTION("IF(OR(E1721="""",K1721=""""),"""",IFERROR(IF(K1721="""","""",query('tbl user'!$A$2:$D10975,""SELECT A WHERE D = '""&amp;K1721&amp;""'"")),""USER TIDAK DIKETAHUI""))"),"#REF!")</f>
        <v>#REF!</v>
      </c>
    </row>
    <row r="1722">
      <c r="A1722" s="21">
        <f t="shared" si="1"/>
        <v>0</v>
      </c>
      <c r="B1722" s="32" t="s">
        <v>75</v>
      </c>
      <c r="C1722" s="23" t="s">
        <v>76</v>
      </c>
      <c r="D1722" s="23" t="s">
        <v>32</v>
      </c>
      <c r="E1722" s="24">
        <v>45421.0</v>
      </c>
      <c r="F1722" s="25">
        <v>0.2625</v>
      </c>
      <c r="G1722" s="25">
        <v>0.6368055555555555</v>
      </c>
      <c r="H1722" s="27">
        <f t="shared" si="2"/>
        <v>0.3743055556</v>
      </c>
      <c r="I1722" s="28">
        <v>4.0</v>
      </c>
      <c r="J1722" s="29" t="s">
        <v>55</v>
      </c>
      <c r="K1722" s="30" t="s">
        <v>23</v>
      </c>
      <c r="L1722" s="31" t="str">
        <f>IFERROR(__xludf.DUMMYFUNCTION("IF(OR(E1722="""",K1722=""""),"""",IFERROR(IF(K1722="""","""",query('tbl user'!$A$2:$D10975,""SELECT A WHERE D = '""&amp;K1722&amp;""'"")),""USER TIDAK DIKETAHUI""))"),"#REF!")</f>
        <v>#REF!</v>
      </c>
    </row>
    <row r="1723">
      <c r="A1723" s="21">
        <f t="shared" si="1"/>
        <v>0</v>
      </c>
      <c r="B1723" s="32" t="s">
        <v>125</v>
      </c>
      <c r="C1723" s="23" t="s">
        <v>126</v>
      </c>
      <c r="D1723" s="23" t="s">
        <v>32</v>
      </c>
      <c r="E1723" s="24">
        <v>45421.0</v>
      </c>
      <c r="F1723" s="25">
        <v>0.2361111111111111</v>
      </c>
      <c r="G1723" s="25">
        <v>0.6263888888888889</v>
      </c>
      <c r="H1723" s="27">
        <f t="shared" si="2"/>
        <v>0.3902777778</v>
      </c>
      <c r="I1723" s="28">
        <v>4.0</v>
      </c>
      <c r="J1723" s="29" t="s">
        <v>55</v>
      </c>
      <c r="K1723" s="30" t="s">
        <v>23</v>
      </c>
      <c r="L1723" s="31" t="str">
        <f>IFERROR(__xludf.DUMMYFUNCTION("IF(OR(E1723="""",K1723=""""),"""",IFERROR(IF(K1723="""","""",query('tbl user'!$A$2:$D10975,""SELECT A WHERE D = '""&amp;K1723&amp;""'"")),""USER TIDAK DIKETAHUI""))"),"#REF!")</f>
        <v>#REF!</v>
      </c>
    </row>
    <row r="1724">
      <c r="A1724" s="21">
        <f t="shared" si="1"/>
        <v>0</v>
      </c>
      <c r="B1724" s="32" t="s">
        <v>276</v>
      </c>
      <c r="C1724" s="23" t="s">
        <v>132</v>
      </c>
      <c r="D1724" s="23" t="s">
        <v>32</v>
      </c>
      <c r="E1724" s="24">
        <v>45421.0</v>
      </c>
      <c r="F1724" s="25">
        <v>0.2916666666666667</v>
      </c>
      <c r="G1724" s="25">
        <v>0.68125</v>
      </c>
      <c r="H1724" s="27">
        <f t="shared" si="2"/>
        <v>0.3895833333</v>
      </c>
      <c r="I1724" s="28">
        <v>4.0</v>
      </c>
      <c r="J1724" s="29" t="s">
        <v>55</v>
      </c>
      <c r="K1724" s="30" t="s">
        <v>23</v>
      </c>
      <c r="L1724" s="31" t="str">
        <f>IFERROR(__xludf.DUMMYFUNCTION("IF(OR(E1724="""",K1724=""""),"""",IFERROR(IF(K1724="""","""",query('tbl user'!$A$2:$D10975,""SELECT A WHERE D = '""&amp;K1724&amp;""'"")),""USER TIDAK DIKETAHUI""))"),"#REF!")</f>
        <v>#REF!</v>
      </c>
    </row>
    <row r="1725">
      <c r="A1725" s="21">
        <f t="shared" si="1"/>
        <v>0</v>
      </c>
      <c r="B1725" s="32" t="s">
        <v>118</v>
      </c>
      <c r="C1725" s="23" t="s">
        <v>119</v>
      </c>
      <c r="D1725" s="23" t="s">
        <v>32</v>
      </c>
      <c r="E1725" s="24">
        <v>45421.0</v>
      </c>
      <c r="F1725" s="25">
        <v>0.23819444444444443</v>
      </c>
      <c r="G1725" s="25">
        <v>0.7041666666666667</v>
      </c>
      <c r="H1725" s="27">
        <f t="shared" si="2"/>
        <v>0.4659722222</v>
      </c>
      <c r="I1725" s="28">
        <v>5.0</v>
      </c>
      <c r="J1725" s="29" t="s">
        <v>55</v>
      </c>
      <c r="K1725" s="30" t="s">
        <v>23</v>
      </c>
      <c r="L1725" s="31" t="str">
        <f>IFERROR(__xludf.DUMMYFUNCTION("IF(OR(E1725="""",K1725=""""),"""",IFERROR(IF(K1725="""","""",query('tbl user'!$A$2:$D10975,""SELECT A WHERE D = '""&amp;K1725&amp;""'"")),""USER TIDAK DIKETAHUI""))"),"#REF!")</f>
        <v>#REF!</v>
      </c>
    </row>
    <row r="1726">
      <c r="A1726" s="21">
        <f t="shared" si="1"/>
        <v>0</v>
      </c>
      <c r="B1726" s="32" t="s">
        <v>263</v>
      </c>
      <c r="C1726" s="23" t="s">
        <v>264</v>
      </c>
      <c r="D1726" s="23" t="s">
        <v>32</v>
      </c>
      <c r="E1726" s="24">
        <v>45421.0</v>
      </c>
      <c r="F1726" s="25">
        <v>0.24583333333333332</v>
      </c>
      <c r="G1726" s="25">
        <v>0.7256944444444444</v>
      </c>
      <c r="H1726" s="27">
        <f t="shared" si="2"/>
        <v>0.4798611111</v>
      </c>
      <c r="I1726" s="28">
        <v>5.0</v>
      </c>
      <c r="J1726" s="29" t="s">
        <v>55</v>
      </c>
      <c r="K1726" s="30" t="s">
        <v>23</v>
      </c>
      <c r="L1726" s="31" t="str">
        <f>IFERROR(__xludf.DUMMYFUNCTION("IF(OR(E1726="""",K1726=""""),"""",IFERROR(IF(K1726="""","""",query('tbl user'!$A$2:$D10975,""SELECT A WHERE D = '""&amp;K1726&amp;""'"")),""USER TIDAK DIKETAHUI""))"),"#REF!")</f>
        <v>#REF!</v>
      </c>
    </row>
    <row r="1727">
      <c r="A1727" s="21">
        <f t="shared" si="1"/>
        <v>0</v>
      </c>
      <c r="B1727" s="32" t="s">
        <v>123</v>
      </c>
      <c r="C1727" s="23" t="s">
        <v>124</v>
      </c>
      <c r="D1727" s="23" t="s">
        <v>32</v>
      </c>
      <c r="E1727" s="24">
        <v>45421.0</v>
      </c>
      <c r="F1727" s="25">
        <v>0.25763888888888886</v>
      </c>
      <c r="G1727" s="25">
        <v>0.7243055555555555</v>
      </c>
      <c r="H1727" s="27">
        <f t="shared" si="2"/>
        <v>0.4666666667</v>
      </c>
      <c r="I1727" s="28">
        <v>5.0</v>
      </c>
      <c r="J1727" s="29" t="s">
        <v>55</v>
      </c>
      <c r="K1727" s="30" t="s">
        <v>23</v>
      </c>
      <c r="L1727" s="31" t="str">
        <f>IFERROR(__xludf.DUMMYFUNCTION("IF(OR(E1727="""",K1727=""""),"""",IFERROR(IF(K1727="""","""",query('tbl user'!$A$2:$D10975,""SELECT A WHERE D = '""&amp;K1727&amp;""'"")),""USER TIDAK DIKETAHUI""))"),"#REF!")</f>
        <v>#REF!</v>
      </c>
    </row>
    <row r="1728">
      <c r="A1728" s="21" t="str">
        <f t="shared" si="1"/>
        <v/>
      </c>
      <c r="B1728" s="35"/>
      <c r="C1728" s="23" t="s">
        <v>203</v>
      </c>
      <c r="D1728" s="23" t="s">
        <v>58</v>
      </c>
      <c r="E1728" s="24">
        <v>45422.0</v>
      </c>
      <c r="F1728" s="25">
        <v>0.2569444444444444</v>
      </c>
      <c r="G1728" s="25">
        <v>0.2743055555555556</v>
      </c>
      <c r="H1728" s="27">
        <f t="shared" si="2"/>
        <v>0.01736111111</v>
      </c>
      <c r="I1728" s="28">
        <v>0.0</v>
      </c>
      <c r="J1728" s="29" t="s">
        <v>858</v>
      </c>
      <c r="K1728" s="30" t="s">
        <v>23</v>
      </c>
      <c r="L1728" s="31" t="str">
        <f>IFERROR(__xludf.DUMMYFUNCTION("IF(OR(E1728="""",K1728=""""),"""",IFERROR(IF(K1728="""","""",query('tbl user'!$A$2:$D10975,""SELECT A WHERE D = '""&amp;K1728&amp;""'"")),""USER TIDAK DIKETAHUI""))"),"#REF!")</f>
        <v>#REF!</v>
      </c>
    </row>
    <row r="1729">
      <c r="A1729" s="21">
        <f t="shared" si="1"/>
        <v>0</v>
      </c>
      <c r="B1729" s="32" t="s">
        <v>178</v>
      </c>
      <c r="C1729" s="23" t="s">
        <v>82</v>
      </c>
      <c r="D1729" s="23" t="s">
        <v>58</v>
      </c>
      <c r="E1729" s="24">
        <v>45422.0</v>
      </c>
      <c r="F1729" s="25">
        <v>0.27847222222222223</v>
      </c>
      <c r="G1729" s="25">
        <v>0.4444444444444444</v>
      </c>
      <c r="H1729" s="27">
        <f t="shared" si="2"/>
        <v>0.1659722222</v>
      </c>
      <c r="I1729" s="28">
        <v>1.0</v>
      </c>
      <c r="J1729" s="29" t="s">
        <v>878</v>
      </c>
      <c r="K1729" s="30" t="s">
        <v>23</v>
      </c>
      <c r="L1729" s="31" t="str">
        <f>IFERROR(__xludf.DUMMYFUNCTION("IF(OR(E1729="""",K1729=""""),"""",IFERROR(IF(K1729="""","""",query('tbl user'!$A$2:$D10975,""SELECT A WHERE D = '""&amp;K1729&amp;""'"")),""USER TIDAK DIKETAHUI""))"),"#REF!")</f>
        <v>#REF!</v>
      </c>
    </row>
    <row r="1730">
      <c r="A1730" s="21">
        <f t="shared" si="1"/>
        <v>0</v>
      </c>
      <c r="B1730" s="32" t="s">
        <v>187</v>
      </c>
      <c r="C1730" s="23" t="s">
        <v>188</v>
      </c>
      <c r="D1730" s="23" t="s">
        <v>58</v>
      </c>
      <c r="E1730" s="24">
        <v>45422.0</v>
      </c>
      <c r="F1730" s="25">
        <v>0.5451388888888888</v>
      </c>
      <c r="G1730" s="25">
        <v>0.6430555555555556</v>
      </c>
      <c r="H1730" s="27">
        <f t="shared" si="2"/>
        <v>0.09791666667</v>
      </c>
      <c r="I1730" s="28">
        <v>1.0</v>
      </c>
      <c r="J1730" s="29" t="s">
        <v>879</v>
      </c>
      <c r="K1730" s="30" t="s">
        <v>23</v>
      </c>
      <c r="L1730" s="31" t="str">
        <f>IFERROR(__xludf.DUMMYFUNCTION("IF(OR(E1730="""",K1730=""""),"""",IFERROR(IF(K1730="""","""",query('tbl user'!$A$2:$D10975,""SELECT A WHERE D = '""&amp;K1730&amp;""'"")),""USER TIDAK DIKETAHUI""))"),"#REF!")</f>
        <v>#REF!</v>
      </c>
    </row>
    <row r="1731">
      <c r="A1731" s="21">
        <f t="shared" si="1"/>
        <v>0</v>
      </c>
      <c r="B1731" s="32" t="s">
        <v>67</v>
      </c>
      <c r="C1731" s="23" t="s">
        <v>68</v>
      </c>
      <c r="D1731" s="23" t="s">
        <v>58</v>
      </c>
      <c r="E1731" s="24">
        <v>45422.0</v>
      </c>
      <c r="F1731" s="25">
        <v>0.2625</v>
      </c>
      <c r="G1731" s="25">
        <v>0.5833333333333334</v>
      </c>
      <c r="H1731" s="27">
        <f t="shared" si="2"/>
        <v>0.3208333333</v>
      </c>
      <c r="I1731" s="28">
        <v>2.0</v>
      </c>
      <c r="J1731" s="29" t="s">
        <v>880</v>
      </c>
      <c r="K1731" s="30" t="s">
        <v>23</v>
      </c>
      <c r="L1731" s="31" t="str">
        <f>IFERROR(__xludf.DUMMYFUNCTION("IF(OR(E1731="""",K1731=""""),"""",IFERROR(IF(K1731="""","""",query('tbl user'!$A$2:$D10975,""SELECT A WHERE D = '""&amp;K1731&amp;""'"")),""USER TIDAK DIKETAHUI""))"),"#REF!")</f>
        <v>#REF!</v>
      </c>
    </row>
    <row r="1732">
      <c r="A1732" s="21">
        <f t="shared" si="1"/>
        <v>0</v>
      </c>
      <c r="B1732" s="32" t="s">
        <v>293</v>
      </c>
      <c r="C1732" s="23" t="s">
        <v>211</v>
      </c>
      <c r="D1732" s="23" t="s">
        <v>58</v>
      </c>
      <c r="E1732" s="24">
        <v>45422.0</v>
      </c>
      <c r="F1732" s="25">
        <v>0.24375</v>
      </c>
      <c r="G1732" s="25">
        <v>0.58125</v>
      </c>
      <c r="H1732" s="27">
        <f t="shared" si="2"/>
        <v>0.3375</v>
      </c>
      <c r="I1732" s="28">
        <v>2.0</v>
      </c>
      <c r="J1732" s="29" t="s">
        <v>881</v>
      </c>
      <c r="K1732" s="30" t="s">
        <v>23</v>
      </c>
      <c r="L1732" s="31" t="str">
        <f>IFERROR(__xludf.DUMMYFUNCTION("IF(OR(E1732="""",K1732=""""),"""",IFERROR(IF(K1732="""","""",query('tbl user'!$A$2:$D10975,""SELECT A WHERE D = '""&amp;K1732&amp;""'"")),""USER TIDAK DIKETAHUI""))"),"#REF!")</f>
        <v>#REF!</v>
      </c>
    </row>
    <row r="1733">
      <c r="A1733" s="21">
        <f t="shared" si="1"/>
        <v>0</v>
      </c>
      <c r="B1733" s="32" t="s">
        <v>214</v>
      </c>
      <c r="C1733" s="23" t="s">
        <v>170</v>
      </c>
      <c r="D1733" s="23" t="s">
        <v>58</v>
      </c>
      <c r="E1733" s="24">
        <v>45422.0</v>
      </c>
      <c r="F1733" s="25">
        <v>0.2875</v>
      </c>
      <c r="G1733" s="25">
        <v>0.6395833333333333</v>
      </c>
      <c r="H1733" s="27">
        <f t="shared" si="2"/>
        <v>0.3520833333</v>
      </c>
      <c r="I1733" s="28">
        <v>2.0</v>
      </c>
      <c r="J1733" s="29" t="s">
        <v>881</v>
      </c>
      <c r="K1733" s="30" t="s">
        <v>23</v>
      </c>
      <c r="L1733" s="31" t="str">
        <f>IFERROR(__xludf.DUMMYFUNCTION("IF(OR(E1733="""",K1733=""""),"""",IFERROR(IF(K1733="""","""",query('tbl user'!$A$2:$D10975,""SELECT A WHERE D = '""&amp;K1733&amp;""'"")),""USER TIDAK DIKETAHUI""))"),"#REF!")</f>
        <v>#REF!</v>
      </c>
    </row>
    <row r="1734">
      <c r="A1734" s="21">
        <f t="shared" si="1"/>
        <v>0</v>
      </c>
      <c r="B1734" s="32" t="s">
        <v>95</v>
      </c>
      <c r="C1734" s="23" t="s">
        <v>93</v>
      </c>
      <c r="D1734" s="23" t="s">
        <v>58</v>
      </c>
      <c r="E1734" s="24">
        <v>45422.0</v>
      </c>
      <c r="F1734" s="25">
        <v>0.2520833333333333</v>
      </c>
      <c r="G1734" s="25">
        <v>0.64375</v>
      </c>
      <c r="H1734" s="27">
        <f t="shared" si="2"/>
        <v>0.3916666667</v>
      </c>
      <c r="I1734" s="28">
        <v>2.0</v>
      </c>
      <c r="J1734" s="29" t="s">
        <v>881</v>
      </c>
      <c r="K1734" s="30" t="s">
        <v>23</v>
      </c>
      <c r="L1734" s="31" t="str">
        <f>IFERROR(__xludf.DUMMYFUNCTION("IF(OR(E1734="""",K1734=""""),"""",IFERROR(IF(K1734="""","""",query('tbl user'!$A$2:$D10975,""SELECT A WHERE D = '""&amp;K1734&amp;""'"")),""USER TIDAK DIKETAHUI""))"),"#REF!")</f>
        <v>#REF!</v>
      </c>
    </row>
    <row r="1735">
      <c r="A1735" s="21">
        <f t="shared" si="1"/>
        <v>0</v>
      </c>
      <c r="B1735" s="32" t="s">
        <v>215</v>
      </c>
      <c r="C1735" s="23" t="s">
        <v>176</v>
      </c>
      <c r="D1735" s="23" t="s">
        <v>58</v>
      </c>
      <c r="E1735" s="24">
        <v>45422.0</v>
      </c>
      <c r="F1735" s="25">
        <v>0.26666666666666666</v>
      </c>
      <c r="G1735" s="25">
        <v>0.6472222222222223</v>
      </c>
      <c r="H1735" s="27">
        <f t="shared" si="2"/>
        <v>0.3805555556</v>
      </c>
      <c r="I1735" s="28">
        <v>2.0</v>
      </c>
      <c r="J1735" s="29" t="s">
        <v>881</v>
      </c>
      <c r="K1735" s="30" t="s">
        <v>23</v>
      </c>
      <c r="L1735" s="31" t="str">
        <f>IFERROR(__xludf.DUMMYFUNCTION("IF(OR(E1735="""",K1735=""""),"""",IFERROR(IF(K1735="""","""",query('tbl user'!$A$2:$D10975,""SELECT A WHERE D = '""&amp;K1735&amp;""'"")),""USER TIDAK DIKETAHUI""))"),"#REF!")</f>
        <v>#REF!</v>
      </c>
    </row>
    <row r="1736">
      <c r="A1736" s="21">
        <f t="shared" si="1"/>
        <v>0</v>
      </c>
      <c r="B1736" s="32" t="s">
        <v>104</v>
      </c>
      <c r="C1736" s="23" t="s">
        <v>105</v>
      </c>
      <c r="D1736" s="23" t="s">
        <v>58</v>
      </c>
      <c r="E1736" s="24">
        <v>45422.0</v>
      </c>
      <c r="F1736" s="25">
        <v>0.2513888888888889</v>
      </c>
      <c r="G1736" s="33">
        <v>0.6965277777777777</v>
      </c>
      <c r="H1736" s="27">
        <f t="shared" si="2"/>
        <v>0.4451388889</v>
      </c>
      <c r="I1736" s="28">
        <v>2.0</v>
      </c>
      <c r="J1736" s="29" t="s">
        <v>881</v>
      </c>
      <c r="K1736" s="30" t="s">
        <v>23</v>
      </c>
      <c r="L1736" s="31" t="str">
        <f>IFERROR(__xludf.DUMMYFUNCTION("IF(OR(E1736="""",K1736=""""),"""",IFERROR(IF(K1736="""","""",query('tbl user'!$A$2:$D10975,""SELECT A WHERE D = '""&amp;K1736&amp;""'"")),""USER TIDAK DIKETAHUI""))"),"#REF!")</f>
        <v>#REF!</v>
      </c>
    </row>
    <row r="1737">
      <c r="A1737" s="21">
        <f t="shared" si="1"/>
        <v>0</v>
      </c>
      <c r="B1737" s="32" t="s">
        <v>167</v>
      </c>
      <c r="C1737" s="23" t="s">
        <v>168</v>
      </c>
      <c r="D1737" s="23" t="s">
        <v>58</v>
      </c>
      <c r="E1737" s="24">
        <v>45422.0</v>
      </c>
      <c r="F1737" s="25">
        <v>0.20972222222222223</v>
      </c>
      <c r="G1737" s="25">
        <v>0.6736111111111112</v>
      </c>
      <c r="H1737" s="27">
        <f t="shared" si="2"/>
        <v>0.4638888889</v>
      </c>
      <c r="I1737" s="28">
        <v>3.0</v>
      </c>
      <c r="J1737" s="29" t="s">
        <v>881</v>
      </c>
      <c r="K1737" s="30" t="s">
        <v>23</v>
      </c>
      <c r="L1737" s="31" t="str">
        <f>IFERROR(__xludf.DUMMYFUNCTION("IF(OR(E1737="""",K1737=""""),"""",IFERROR(IF(K1737="""","""",query('tbl user'!$A$2:$D10975,""SELECT A WHERE D = '""&amp;K1737&amp;""'"")),""USER TIDAK DIKETAHUI""))"),"#REF!")</f>
        <v>#REF!</v>
      </c>
    </row>
    <row r="1738">
      <c r="A1738" s="21">
        <f t="shared" si="1"/>
        <v>0</v>
      </c>
      <c r="B1738" s="32" t="s">
        <v>56</v>
      </c>
      <c r="C1738" s="23" t="s">
        <v>57</v>
      </c>
      <c r="D1738" s="23" t="s">
        <v>58</v>
      </c>
      <c r="E1738" s="24">
        <v>45422.0</v>
      </c>
      <c r="F1738" s="25">
        <v>0.2625</v>
      </c>
      <c r="G1738" s="25">
        <v>0.6638888888888889</v>
      </c>
      <c r="H1738" s="27">
        <f t="shared" si="2"/>
        <v>0.4013888889</v>
      </c>
      <c r="I1738" s="28">
        <v>3.0</v>
      </c>
      <c r="J1738" s="29" t="s">
        <v>881</v>
      </c>
      <c r="K1738" s="30" t="s">
        <v>23</v>
      </c>
      <c r="L1738" s="31" t="str">
        <f>IFERROR(__xludf.DUMMYFUNCTION("IF(OR(E1738="""",K1738=""""),"""",IFERROR(IF(K1738="""","""",query('tbl user'!$A$2:$D10975,""SELECT A WHERE D = '""&amp;K1738&amp;""'"")),""USER TIDAK DIKETAHUI""))"),"#REF!")</f>
        <v>#REF!</v>
      </c>
    </row>
    <row r="1739">
      <c r="A1739" s="21">
        <f t="shared" si="1"/>
        <v>0</v>
      </c>
      <c r="B1739" s="32" t="s">
        <v>180</v>
      </c>
      <c r="C1739" s="23" t="s">
        <v>181</v>
      </c>
      <c r="D1739" s="23" t="s">
        <v>58</v>
      </c>
      <c r="E1739" s="24">
        <v>45422.0</v>
      </c>
      <c r="F1739" s="25">
        <v>0.23472222222222222</v>
      </c>
      <c r="G1739" s="25">
        <v>0.6770833333333334</v>
      </c>
      <c r="H1739" s="27">
        <f t="shared" si="2"/>
        <v>0.4423611111</v>
      </c>
      <c r="I1739" s="28">
        <v>3.0</v>
      </c>
      <c r="J1739" s="29" t="s">
        <v>881</v>
      </c>
      <c r="K1739" s="30" t="s">
        <v>23</v>
      </c>
      <c r="L1739" s="31" t="str">
        <f>IFERROR(__xludf.DUMMYFUNCTION("IF(OR(E1739="""",K1739=""""),"""",IFERROR(IF(K1739="""","""",query('tbl user'!$A$2:$D10975,""SELECT A WHERE D = '""&amp;K1739&amp;""'"")),""USER TIDAK DIKETAHUI""))"),"#REF!")</f>
        <v>#REF!</v>
      </c>
    </row>
    <row r="1740">
      <c r="A1740" s="21">
        <f t="shared" si="1"/>
        <v>0</v>
      </c>
      <c r="B1740" s="32" t="s">
        <v>182</v>
      </c>
      <c r="C1740" s="23" t="s">
        <v>183</v>
      </c>
      <c r="D1740" s="23" t="s">
        <v>58</v>
      </c>
      <c r="E1740" s="24">
        <v>45422.0</v>
      </c>
      <c r="F1740" s="25">
        <v>0.20625</v>
      </c>
      <c r="G1740" s="25">
        <v>0.6486111111111111</v>
      </c>
      <c r="H1740" s="27">
        <f t="shared" si="2"/>
        <v>0.4423611111</v>
      </c>
      <c r="I1740" s="28">
        <v>3.0</v>
      </c>
      <c r="J1740" s="29" t="s">
        <v>881</v>
      </c>
      <c r="K1740" s="30" t="s">
        <v>23</v>
      </c>
      <c r="L1740" s="31" t="str">
        <f>IFERROR(__xludf.DUMMYFUNCTION("IF(OR(E1740="""",K1740=""""),"""",IFERROR(IF(K1740="""","""",query('tbl user'!$A$2:$D10975,""SELECT A WHERE D = '""&amp;K1740&amp;""'"")),""USER TIDAK DIKETAHUI""))"),"#REF!")</f>
        <v>#REF!</v>
      </c>
    </row>
    <row r="1741">
      <c r="A1741" s="21">
        <f t="shared" si="1"/>
        <v>0</v>
      </c>
      <c r="B1741" s="32" t="s">
        <v>184</v>
      </c>
      <c r="C1741" s="23" t="s">
        <v>185</v>
      </c>
      <c r="D1741" s="23" t="s">
        <v>58</v>
      </c>
      <c r="E1741" s="24">
        <v>45422.0</v>
      </c>
      <c r="F1741" s="25">
        <v>0.25972222222222224</v>
      </c>
      <c r="G1741" s="25">
        <v>0.6777777777777778</v>
      </c>
      <c r="H1741" s="27">
        <f t="shared" si="2"/>
        <v>0.4180555556</v>
      </c>
      <c r="I1741" s="28">
        <v>3.0</v>
      </c>
      <c r="J1741" s="29" t="s">
        <v>722</v>
      </c>
      <c r="K1741" s="30" t="s">
        <v>23</v>
      </c>
      <c r="L1741" s="31" t="str">
        <f>IFERROR(__xludf.DUMMYFUNCTION("IF(OR(E1741="""",K1741=""""),"""",IFERROR(IF(K1741="""","""",query('tbl user'!$A$2:$D10975,""SELECT A WHERE D = '""&amp;K1741&amp;""'"")),""USER TIDAK DIKETAHUI""))"),"#REF!")</f>
        <v>#REF!</v>
      </c>
    </row>
    <row r="1742">
      <c r="A1742" s="21">
        <f t="shared" si="1"/>
        <v>0</v>
      </c>
      <c r="B1742" s="32" t="s">
        <v>189</v>
      </c>
      <c r="C1742" s="23" t="s">
        <v>190</v>
      </c>
      <c r="D1742" s="23" t="s">
        <v>58</v>
      </c>
      <c r="E1742" s="24">
        <v>45422.0</v>
      </c>
      <c r="F1742" s="25">
        <v>0.2708333333333333</v>
      </c>
      <c r="G1742" s="25">
        <v>0.6743055555555556</v>
      </c>
      <c r="H1742" s="27">
        <f t="shared" si="2"/>
        <v>0.4034722222</v>
      </c>
      <c r="I1742" s="28">
        <v>3.0</v>
      </c>
      <c r="J1742" s="29" t="s">
        <v>881</v>
      </c>
      <c r="K1742" s="30" t="s">
        <v>23</v>
      </c>
      <c r="L1742" s="31" t="str">
        <f>IFERROR(__xludf.DUMMYFUNCTION("IF(OR(E1742="""",K1742=""""),"""",IFERROR(IF(K1742="""","""",query('tbl user'!$A$2:$D10975,""SELECT A WHERE D = '""&amp;K1742&amp;""'"")),""USER TIDAK DIKETAHUI""))"),"#REF!")</f>
        <v>#REF!</v>
      </c>
    </row>
    <row r="1743">
      <c r="A1743" s="21">
        <f t="shared" si="1"/>
        <v>0</v>
      </c>
      <c r="B1743" s="32" t="s">
        <v>191</v>
      </c>
      <c r="C1743" s="23" t="s">
        <v>192</v>
      </c>
      <c r="D1743" s="23" t="s">
        <v>58</v>
      </c>
      <c r="E1743" s="24">
        <v>45422.0</v>
      </c>
      <c r="F1743" s="25">
        <v>0.26319444444444445</v>
      </c>
      <c r="G1743" s="25">
        <v>0.66875</v>
      </c>
      <c r="H1743" s="27">
        <f t="shared" si="2"/>
        <v>0.4055555556</v>
      </c>
      <c r="I1743" s="28">
        <v>3.0</v>
      </c>
      <c r="J1743" s="29" t="s">
        <v>881</v>
      </c>
      <c r="K1743" s="30" t="s">
        <v>23</v>
      </c>
      <c r="L1743" s="31" t="str">
        <f>IFERROR(__xludf.DUMMYFUNCTION("IF(OR(E1743="""",K1743=""""),"""",IFERROR(IF(K1743="""","""",query('tbl user'!$A$2:$D10975,""SELECT A WHERE D = '""&amp;K1743&amp;""'"")),""USER TIDAK DIKETAHUI""))"),"#REF!")</f>
        <v>#REF!</v>
      </c>
    </row>
    <row r="1744">
      <c r="A1744" s="21">
        <f t="shared" si="1"/>
        <v>0</v>
      </c>
      <c r="B1744" s="32" t="s">
        <v>194</v>
      </c>
      <c r="C1744" s="23" t="s">
        <v>195</v>
      </c>
      <c r="D1744" s="23" t="s">
        <v>58</v>
      </c>
      <c r="E1744" s="24">
        <v>45422.0</v>
      </c>
      <c r="F1744" s="25">
        <v>0.2326388888888889</v>
      </c>
      <c r="G1744" s="25">
        <v>0.6784722222222223</v>
      </c>
      <c r="H1744" s="27">
        <f t="shared" si="2"/>
        <v>0.4458333333</v>
      </c>
      <c r="I1744" s="28">
        <v>3.0</v>
      </c>
      <c r="J1744" s="29" t="s">
        <v>881</v>
      </c>
      <c r="K1744" s="30" t="s">
        <v>23</v>
      </c>
      <c r="L1744" s="31" t="str">
        <f>IFERROR(__xludf.DUMMYFUNCTION("IF(OR(E1744="""",K1744=""""),"""",IFERROR(IF(K1744="""","""",query('tbl user'!$A$2:$D10975,""SELECT A WHERE D = '""&amp;K1744&amp;""'"")),""USER TIDAK DIKETAHUI""))"),"#REF!")</f>
        <v>#REF!</v>
      </c>
    </row>
    <row r="1745">
      <c r="A1745" s="21">
        <f t="shared" si="1"/>
        <v>0</v>
      </c>
      <c r="B1745" s="32" t="s">
        <v>216</v>
      </c>
      <c r="C1745" s="23" t="s">
        <v>198</v>
      </c>
      <c r="D1745" s="23" t="s">
        <v>58</v>
      </c>
      <c r="E1745" s="24">
        <v>45422.0</v>
      </c>
      <c r="F1745" s="25">
        <v>0.21041666666666667</v>
      </c>
      <c r="G1745" s="25">
        <v>0.7027777777777777</v>
      </c>
      <c r="H1745" s="27">
        <f t="shared" si="2"/>
        <v>0.4923611111</v>
      </c>
      <c r="I1745" s="28">
        <v>3.0</v>
      </c>
      <c r="J1745" s="29" t="s">
        <v>882</v>
      </c>
      <c r="K1745" s="30" t="s">
        <v>23</v>
      </c>
      <c r="L1745" s="31" t="str">
        <f>IFERROR(__xludf.DUMMYFUNCTION("IF(OR(E1745="""",K1745=""""),"""",IFERROR(IF(K1745="""","""",query('tbl user'!$A$2:$D10975,""SELECT A WHERE D = '""&amp;K1745&amp;""'"")),""USER TIDAK DIKETAHUI""))"),"#REF!")</f>
        <v>#REF!</v>
      </c>
    </row>
    <row r="1746">
      <c r="A1746" s="21">
        <f t="shared" si="1"/>
        <v>0</v>
      </c>
      <c r="B1746" s="32" t="s">
        <v>200</v>
      </c>
      <c r="C1746" s="23" t="s">
        <v>201</v>
      </c>
      <c r="D1746" s="23" t="s">
        <v>58</v>
      </c>
      <c r="E1746" s="24">
        <v>45422.0</v>
      </c>
      <c r="F1746" s="25">
        <v>0.19722222222222222</v>
      </c>
      <c r="G1746" s="25">
        <v>0.6944444444444444</v>
      </c>
      <c r="H1746" s="27">
        <f t="shared" si="2"/>
        <v>0.4972222222</v>
      </c>
      <c r="I1746" s="28">
        <v>3.0</v>
      </c>
      <c r="J1746" s="29" t="s">
        <v>883</v>
      </c>
      <c r="K1746" s="30" t="s">
        <v>23</v>
      </c>
      <c r="L1746" s="31" t="str">
        <f>IFERROR(__xludf.DUMMYFUNCTION("IF(OR(E1746="""",K1746=""""),"""",IFERROR(IF(K1746="""","""",query('tbl user'!$A$2:$D10975,""SELECT A WHERE D = '""&amp;K1746&amp;""'"")),""USER TIDAK DIKETAHUI""))"),"#REF!")</f>
        <v>#REF!</v>
      </c>
    </row>
    <row r="1747">
      <c r="A1747" s="21">
        <f t="shared" si="1"/>
        <v>0</v>
      </c>
      <c r="B1747" s="32" t="s">
        <v>224</v>
      </c>
      <c r="C1747" s="23" t="s">
        <v>208</v>
      </c>
      <c r="D1747" s="23" t="s">
        <v>58</v>
      </c>
      <c r="E1747" s="24">
        <v>45422.0</v>
      </c>
      <c r="F1747" s="25">
        <v>0.23541666666666666</v>
      </c>
      <c r="G1747" s="25">
        <v>0.6680555555555555</v>
      </c>
      <c r="H1747" s="27">
        <f t="shared" si="2"/>
        <v>0.4326388889</v>
      </c>
      <c r="I1747" s="28">
        <v>3.0</v>
      </c>
      <c r="J1747" s="29" t="s">
        <v>884</v>
      </c>
      <c r="K1747" s="30" t="s">
        <v>23</v>
      </c>
      <c r="L1747" s="31" t="str">
        <f>IFERROR(__xludf.DUMMYFUNCTION("IF(OR(E1747="""",K1747=""""),"""",IFERROR(IF(K1747="""","""",query('tbl user'!$A$2:$D10975,""SELECT A WHERE D = '""&amp;K1747&amp;""'"")),""USER TIDAK DIKETAHUI""))"),"#REF!")</f>
        <v>#REF!</v>
      </c>
    </row>
    <row r="1748">
      <c r="A1748" s="21">
        <f t="shared" si="1"/>
        <v>0</v>
      </c>
      <c r="B1748" s="32" t="s">
        <v>267</v>
      </c>
      <c r="C1748" s="23" t="s">
        <v>85</v>
      </c>
      <c r="D1748" s="23" t="s">
        <v>58</v>
      </c>
      <c r="E1748" s="24">
        <v>45422.0</v>
      </c>
      <c r="F1748" s="25">
        <v>0.2986111111111111</v>
      </c>
      <c r="G1748" s="25">
        <v>0.7090277777777778</v>
      </c>
      <c r="H1748" s="27">
        <f t="shared" si="2"/>
        <v>0.4104166667</v>
      </c>
      <c r="I1748" s="28">
        <v>3.0</v>
      </c>
      <c r="J1748" s="29" t="s">
        <v>885</v>
      </c>
      <c r="K1748" s="30" t="s">
        <v>23</v>
      </c>
      <c r="L1748" s="31" t="str">
        <f>IFERROR(__xludf.DUMMYFUNCTION("IF(OR(E1748="""",K1748=""""),"""",IFERROR(IF(K1748="""","""",query('tbl user'!$A$2:$D10975,""SELECT A WHERE D = '""&amp;K1748&amp;""'"")),""USER TIDAK DIKETAHUI""))"),"#REF!")</f>
        <v>#REF!</v>
      </c>
    </row>
    <row r="1749">
      <c r="A1749" s="21">
        <f t="shared" si="1"/>
        <v>0</v>
      </c>
      <c r="B1749" s="32" t="s">
        <v>231</v>
      </c>
      <c r="C1749" s="23" t="s">
        <v>232</v>
      </c>
      <c r="D1749" s="23" t="s">
        <v>21</v>
      </c>
      <c r="E1749" s="24">
        <v>45422.0</v>
      </c>
      <c r="F1749" s="25">
        <v>0.24444444444444444</v>
      </c>
      <c r="G1749" s="25">
        <v>0.3951388888888889</v>
      </c>
      <c r="H1749" s="27">
        <f t="shared" si="2"/>
        <v>0.1506944444</v>
      </c>
      <c r="I1749" s="28">
        <v>1.0</v>
      </c>
      <c r="J1749" s="29" t="s">
        <v>886</v>
      </c>
      <c r="K1749" s="30" t="s">
        <v>23</v>
      </c>
      <c r="L1749" s="31" t="str">
        <f>IFERROR(__xludf.DUMMYFUNCTION("IF(OR(E1749="""",K1749=""""),"""",IFERROR(IF(K1749="""","""",query('tbl user'!$A$2:$D10975,""SELECT A WHERE D = '""&amp;K1749&amp;""'"")),""USER TIDAK DIKETAHUI""))"),"#REF!")</f>
        <v>#REF!</v>
      </c>
    </row>
    <row r="1750">
      <c r="A1750" s="21">
        <f t="shared" si="1"/>
        <v>0</v>
      </c>
      <c r="B1750" s="32" t="s">
        <v>24</v>
      </c>
      <c r="C1750" s="23" t="s">
        <v>25</v>
      </c>
      <c r="D1750" s="23" t="s">
        <v>21</v>
      </c>
      <c r="E1750" s="24">
        <v>45422.0</v>
      </c>
      <c r="F1750" s="25">
        <v>0.2125</v>
      </c>
      <c r="G1750" s="25">
        <v>0.5729166666666666</v>
      </c>
      <c r="H1750" s="27">
        <f t="shared" si="2"/>
        <v>0.3604166667</v>
      </c>
      <c r="I1750" s="28">
        <v>2.0</v>
      </c>
      <c r="J1750" s="29" t="s">
        <v>887</v>
      </c>
      <c r="K1750" s="30" t="s">
        <v>23</v>
      </c>
      <c r="L1750" s="31" t="str">
        <f>IFERROR(__xludf.DUMMYFUNCTION("IF(OR(E1750="""",K1750=""""),"""",IFERROR(IF(K1750="""","""",query('tbl user'!$A$2:$D10975,""SELECT A WHERE D = '""&amp;K1750&amp;""'"")),""USER TIDAK DIKETAHUI""))"),"#REF!")</f>
        <v>#REF!</v>
      </c>
    </row>
    <row r="1751">
      <c r="A1751" s="21">
        <f t="shared" si="1"/>
        <v>0</v>
      </c>
      <c r="B1751" s="32" t="s">
        <v>172</v>
      </c>
      <c r="C1751" s="23" t="s">
        <v>239</v>
      </c>
      <c r="D1751" s="23" t="s">
        <v>21</v>
      </c>
      <c r="E1751" s="24">
        <v>45422.0</v>
      </c>
      <c r="F1751" s="25">
        <v>0.2986111111111111</v>
      </c>
      <c r="G1751" s="25">
        <v>0.6847222222222222</v>
      </c>
      <c r="H1751" s="27">
        <f t="shared" si="2"/>
        <v>0.3861111111</v>
      </c>
      <c r="I1751" s="28">
        <v>3.0</v>
      </c>
      <c r="J1751" s="29" t="s">
        <v>888</v>
      </c>
      <c r="K1751" s="30" t="s">
        <v>23</v>
      </c>
      <c r="L1751" s="31" t="str">
        <f>IFERROR(__xludf.DUMMYFUNCTION("IF(OR(E1751="""",K1751=""""),"""",IFERROR(IF(K1751="""","""",query('tbl user'!$A$2:$D10975,""SELECT A WHERE D = '""&amp;K1751&amp;""'"")),""USER TIDAK DIKETAHUI""))"),"#REF!")</f>
        <v>#REF!</v>
      </c>
    </row>
    <row r="1752">
      <c r="A1752" s="21">
        <f t="shared" si="1"/>
        <v>0</v>
      </c>
      <c r="B1752" s="32" t="s">
        <v>209</v>
      </c>
      <c r="C1752" s="23" t="s">
        <v>44</v>
      </c>
      <c r="D1752" s="23" t="s">
        <v>21</v>
      </c>
      <c r="E1752" s="24">
        <v>45422.0</v>
      </c>
      <c r="F1752" s="25">
        <v>0.26180555555555557</v>
      </c>
      <c r="G1752" s="25">
        <v>0.6506944444444445</v>
      </c>
      <c r="H1752" s="27">
        <f t="shared" si="2"/>
        <v>0.3888888889</v>
      </c>
      <c r="I1752" s="28">
        <v>3.0</v>
      </c>
      <c r="J1752" s="29" t="s">
        <v>431</v>
      </c>
      <c r="K1752" s="30" t="s">
        <v>23</v>
      </c>
      <c r="L1752" s="31" t="str">
        <f>IFERROR(__xludf.DUMMYFUNCTION("IF(OR(E1752="""",K1752=""""),"""",IFERROR(IF(K1752="""","""",query('tbl user'!$A$2:$D10975,""SELECT A WHERE D = '""&amp;K1752&amp;""'"")),""USER TIDAK DIKETAHUI""))"),"#REF!")</f>
        <v>#REF!</v>
      </c>
    </row>
    <row r="1753">
      <c r="A1753" s="21">
        <f t="shared" si="1"/>
        <v>0</v>
      </c>
      <c r="B1753" s="32" t="s">
        <v>253</v>
      </c>
      <c r="C1753" s="23" t="s">
        <v>102</v>
      </c>
      <c r="D1753" s="23" t="s">
        <v>21</v>
      </c>
      <c r="E1753" s="24">
        <v>45422.0</v>
      </c>
      <c r="F1753" s="25">
        <v>0.26944444444444443</v>
      </c>
      <c r="G1753" s="25">
        <v>0.7465277777777778</v>
      </c>
      <c r="H1753" s="27">
        <f t="shared" si="2"/>
        <v>0.4770833333</v>
      </c>
      <c r="I1753" s="28">
        <v>3.0</v>
      </c>
      <c r="J1753" s="29" t="s">
        <v>889</v>
      </c>
      <c r="K1753" s="30" t="s">
        <v>23</v>
      </c>
      <c r="L1753" s="31" t="str">
        <f>IFERROR(__xludf.DUMMYFUNCTION("IF(OR(E1753="""",K1753=""""),"""",IFERROR(IF(K1753="""","""",query('tbl user'!$A$2:$D10975,""SELECT A WHERE D = '""&amp;K1753&amp;""'"")),""USER TIDAK DIKETAHUI""))"),"#REF!")</f>
        <v>#REF!</v>
      </c>
    </row>
    <row r="1754">
      <c r="A1754" s="21">
        <f t="shared" si="1"/>
        <v>0</v>
      </c>
      <c r="B1754" s="32" t="s">
        <v>175</v>
      </c>
      <c r="C1754" s="23" t="s">
        <v>259</v>
      </c>
      <c r="D1754" s="23" t="s">
        <v>21</v>
      </c>
      <c r="E1754" s="24">
        <v>45422.0</v>
      </c>
      <c r="F1754" s="25">
        <v>0.28125</v>
      </c>
      <c r="G1754" s="25">
        <v>0.7375</v>
      </c>
      <c r="H1754" s="27">
        <f t="shared" si="2"/>
        <v>0.45625</v>
      </c>
      <c r="I1754" s="28">
        <v>3.0</v>
      </c>
      <c r="J1754" s="29" t="s">
        <v>890</v>
      </c>
      <c r="K1754" s="30" t="s">
        <v>23</v>
      </c>
      <c r="L1754" s="31" t="str">
        <f>IFERROR(__xludf.DUMMYFUNCTION("IF(OR(E1754="""",K1754=""""),"""",IFERROR(IF(K1754="""","""",query('tbl user'!$A$2:$D10975,""SELECT A WHERE D = '""&amp;K1754&amp;""'"")),""USER TIDAK DIKETAHUI""))"),"#REF!")</f>
        <v>#REF!</v>
      </c>
    </row>
    <row r="1755">
      <c r="A1755" s="21">
        <f t="shared" si="1"/>
        <v>0</v>
      </c>
      <c r="B1755" s="32" t="s">
        <v>305</v>
      </c>
      <c r="C1755" s="23" t="s">
        <v>251</v>
      </c>
      <c r="D1755" s="23" t="s">
        <v>21</v>
      </c>
      <c r="E1755" s="24">
        <v>45422.0</v>
      </c>
      <c r="F1755" s="25">
        <v>0.24513888888888888</v>
      </c>
      <c r="G1755" s="25">
        <v>0.6305555555555555</v>
      </c>
      <c r="H1755" s="27">
        <f t="shared" si="2"/>
        <v>0.3854166667</v>
      </c>
      <c r="I1755" s="28">
        <v>4.0</v>
      </c>
      <c r="J1755" s="29" t="s">
        <v>55</v>
      </c>
      <c r="K1755" s="30" t="s">
        <v>23</v>
      </c>
      <c r="L1755" s="31" t="str">
        <f>IFERROR(__xludf.DUMMYFUNCTION("IF(OR(E1755="""",K1755=""""),"""",IFERROR(IF(K1755="""","""",query('tbl user'!$A$2:$D10975,""SELECT A WHERE D = '""&amp;K1755&amp;""'"")),""USER TIDAK DIKETAHUI""))"),"#REF!")</f>
        <v>#REF!</v>
      </c>
    </row>
    <row r="1756">
      <c r="A1756" s="21">
        <f t="shared" si="1"/>
        <v>0</v>
      </c>
      <c r="B1756" s="32" t="s">
        <v>662</v>
      </c>
      <c r="C1756" s="23" t="s">
        <v>234</v>
      </c>
      <c r="D1756" s="23" t="s">
        <v>21</v>
      </c>
      <c r="E1756" s="24">
        <v>45422.0</v>
      </c>
      <c r="F1756" s="25">
        <v>0.2798611111111111</v>
      </c>
      <c r="G1756" s="25">
        <v>0.7569444444444444</v>
      </c>
      <c r="H1756" s="27">
        <f t="shared" si="2"/>
        <v>0.4770833333</v>
      </c>
      <c r="I1756" s="28">
        <v>4.0</v>
      </c>
      <c r="J1756" s="29" t="s">
        <v>55</v>
      </c>
      <c r="K1756" s="30" t="s">
        <v>23</v>
      </c>
      <c r="L1756" s="31" t="str">
        <f>IFERROR(__xludf.DUMMYFUNCTION("IF(OR(E1756="""",K1756=""""),"""",IFERROR(IF(K1756="""","""",query('tbl user'!$A$2:$D10975,""SELECT A WHERE D = '""&amp;K1756&amp;""'"")),""USER TIDAK DIKETAHUI""))"),"#REF!")</f>
        <v>#REF!</v>
      </c>
    </row>
    <row r="1757">
      <c r="A1757" s="21">
        <f t="shared" si="1"/>
        <v>0</v>
      </c>
      <c r="B1757" s="32" t="s">
        <v>159</v>
      </c>
      <c r="C1757" s="23" t="s">
        <v>306</v>
      </c>
      <c r="D1757" s="23" t="s">
        <v>21</v>
      </c>
      <c r="E1757" s="24">
        <v>45422.0</v>
      </c>
      <c r="F1757" s="25">
        <v>0.21180555555555555</v>
      </c>
      <c r="G1757" s="25">
        <v>0.7354166666666667</v>
      </c>
      <c r="H1757" s="27">
        <f t="shared" si="2"/>
        <v>0.5236111111</v>
      </c>
      <c r="I1757" s="28">
        <v>4.0</v>
      </c>
      <c r="J1757" s="29" t="s">
        <v>55</v>
      </c>
      <c r="K1757" s="30" t="s">
        <v>23</v>
      </c>
      <c r="L1757" s="31" t="str">
        <f>IFERROR(__xludf.DUMMYFUNCTION("IF(OR(E1757="""",K1757=""""),"""",IFERROR(IF(K1757="""","""",query('tbl user'!$A$2:$D10975,""SELECT A WHERE D = '""&amp;K1757&amp;""'"")),""USER TIDAK DIKETAHUI""))"),"#REF!")</f>
        <v>#REF!</v>
      </c>
    </row>
    <row r="1758">
      <c r="A1758" s="21">
        <f t="shared" si="1"/>
        <v>0</v>
      </c>
      <c r="B1758" s="32" t="s">
        <v>255</v>
      </c>
      <c r="C1758" s="23" t="s">
        <v>256</v>
      </c>
      <c r="D1758" s="23" t="s">
        <v>21</v>
      </c>
      <c r="E1758" s="24">
        <v>45422.0</v>
      </c>
      <c r="F1758" s="25">
        <v>0.26458333333333334</v>
      </c>
      <c r="G1758" s="25">
        <v>0.7625</v>
      </c>
      <c r="H1758" s="27">
        <f t="shared" si="2"/>
        <v>0.4979166667</v>
      </c>
      <c r="I1758" s="28">
        <v>4.0</v>
      </c>
      <c r="J1758" s="29" t="s">
        <v>55</v>
      </c>
      <c r="K1758" s="30" t="s">
        <v>23</v>
      </c>
      <c r="L1758" s="31" t="str">
        <f>IFERROR(__xludf.DUMMYFUNCTION("IF(OR(E1758="""",K1758=""""),"""",IFERROR(IF(K1758="""","""",query('tbl user'!$A$2:$D10975,""SELECT A WHERE D = '""&amp;K1758&amp;""'"")),""USER TIDAK DIKETAHUI""))"),"#REF!")</f>
        <v>#REF!</v>
      </c>
    </row>
    <row r="1759">
      <c r="A1759" s="21">
        <f t="shared" si="1"/>
        <v>0</v>
      </c>
      <c r="B1759" s="32" t="s">
        <v>101</v>
      </c>
      <c r="C1759" s="23" t="s">
        <v>261</v>
      </c>
      <c r="D1759" s="23" t="s">
        <v>21</v>
      </c>
      <c r="E1759" s="24">
        <v>45422.0</v>
      </c>
      <c r="F1759" s="25">
        <v>0.29930555555555555</v>
      </c>
      <c r="G1759" s="25">
        <v>0.7298611111111111</v>
      </c>
      <c r="H1759" s="27">
        <f t="shared" si="2"/>
        <v>0.4305555556</v>
      </c>
      <c r="I1759" s="28">
        <v>4.0</v>
      </c>
      <c r="J1759" s="29" t="s">
        <v>55</v>
      </c>
      <c r="K1759" s="30" t="s">
        <v>23</v>
      </c>
      <c r="L1759" s="31" t="str">
        <f>IFERROR(__xludf.DUMMYFUNCTION("IF(OR(E1759="""",K1759=""""),"""",IFERROR(IF(K1759="""","""",query('tbl user'!$A$2:$D10975,""SELECT A WHERE D = '""&amp;K1759&amp;""'"")),""USER TIDAK DIKETAHUI""))"),"#REF!")</f>
        <v>#REF!</v>
      </c>
    </row>
    <row r="1760">
      <c r="A1760" s="21">
        <f t="shared" si="1"/>
        <v>0</v>
      </c>
      <c r="B1760" s="32" t="s">
        <v>593</v>
      </c>
      <c r="C1760" s="23" t="s">
        <v>236</v>
      </c>
      <c r="D1760" s="23" t="s">
        <v>21</v>
      </c>
      <c r="E1760" s="24">
        <v>45422.0</v>
      </c>
      <c r="F1760" s="25">
        <v>0.21319444444444444</v>
      </c>
      <c r="G1760" s="25">
        <v>0.7638888888888888</v>
      </c>
      <c r="H1760" s="27">
        <f t="shared" si="2"/>
        <v>0.5506944444</v>
      </c>
      <c r="I1760" s="28">
        <v>5.0</v>
      </c>
      <c r="J1760" s="29" t="s">
        <v>55</v>
      </c>
      <c r="K1760" s="30" t="s">
        <v>23</v>
      </c>
      <c r="L1760" s="31" t="str">
        <f>IFERROR(__xludf.DUMMYFUNCTION("IF(OR(E1760="""",K1760=""""),"""",IFERROR(IF(K1760="""","""",query('tbl user'!$A$2:$D10975,""SELECT A WHERE D = '""&amp;K1760&amp;""'"")),""USER TIDAK DIKETAHUI""))"),"#REF!")</f>
        <v>#REF!</v>
      </c>
    </row>
    <row r="1761">
      <c r="A1761" s="21">
        <f t="shared" si="1"/>
        <v>0</v>
      </c>
      <c r="B1761" s="32" t="s">
        <v>225</v>
      </c>
      <c r="C1761" s="23" t="s">
        <v>282</v>
      </c>
      <c r="D1761" s="23" t="s">
        <v>21</v>
      </c>
      <c r="E1761" s="24">
        <v>45422.0</v>
      </c>
      <c r="F1761" s="25">
        <v>0.2986111111111111</v>
      </c>
      <c r="G1761" s="25">
        <v>0.43680555555555556</v>
      </c>
      <c r="H1761" s="27">
        <f t="shared" si="2"/>
        <v>0.1381944444</v>
      </c>
      <c r="I1761" s="28">
        <v>1.0</v>
      </c>
      <c r="J1761" s="29" t="s">
        <v>891</v>
      </c>
      <c r="K1761" s="30" t="s">
        <v>23</v>
      </c>
      <c r="L1761" s="31" t="str">
        <f>IFERROR(__xludf.DUMMYFUNCTION("IF(OR(E1761="""",K1761=""""),"""",IFERROR(IF(K1761="""","""",query('tbl user'!$A$2:$D10975,""SELECT A WHERE D = '""&amp;K1761&amp;""'"")),""USER TIDAK DIKETAHUI""))"),"#REF!")</f>
        <v>#REF!</v>
      </c>
    </row>
    <row r="1762">
      <c r="A1762" s="21">
        <f t="shared" si="1"/>
        <v>0</v>
      </c>
      <c r="B1762" s="32" t="s">
        <v>61</v>
      </c>
      <c r="C1762" s="23" t="s">
        <v>62</v>
      </c>
      <c r="D1762" s="23" t="s">
        <v>21</v>
      </c>
      <c r="E1762" s="24">
        <v>45422.0</v>
      </c>
      <c r="F1762" s="25">
        <v>0.2875</v>
      </c>
      <c r="G1762" s="25">
        <v>0.5715277777777777</v>
      </c>
      <c r="H1762" s="27">
        <f t="shared" si="2"/>
        <v>0.2840277778</v>
      </c>
      <c r="I1762" s="28">
        <v>2.0</v>
      </c>
      <c r="J1762" s="29" t="s">
        <v>892</v>
      </c>
      <c r="K1762" s="30" t="s">
        <v>23</v>
      </c>
      <c r="L1762" s="31" t="str">
        <f>IFERROR(__xludf.DUMMYFUNCTION("IF(OR(E1762="""",K1762=""""),"""",IFERROR(IF(K1762="""","""",query('tbl user'!$A$2:$D10975,""SELECT A WHERE D = '""&amp;K1762&amp;""'"")),""USER TIDAK DIKETAHUI""))"),"#REF!")</f>
        <v>#REF!</v>
      </c>
    </row>
    <row r="1763">
      <c r="A1763" s="21">
        <f t="shared" si="1"/>
        <v>0</v>
      </c>
      <c r="B1763" s="32" t="s">
        <v>284</v>
      </c>
      <c r="C1763" s="23" t="s">
        <v>285</v>
      </c>
      <c r="D1763" s="23" t="s">
        <v>21</v>
      </c>
      <c r="E1763" s="24">
        <v>45422.0</v>
      </c>
      <c r="F1763" s="25">
        <v>0.2881944444444444</v>
      </c>
      <c r="G1763" s="25">
        <v>0.5902777777777778</v>
      </c>
      <c r="H1763" s="27">
        <f t="shared" si="2"/>
        <v>0.3020833333</v>
      </c>
      <c r="I1763" s="28">
        <v>2.0</v>
      </c>
      <c r="J1763" s="29" t="s">
        <v>893</v>
      </c>
      <c r="K1763" s="30" t="s">
        <v>23</v>
      </c>
      <c r="L1763" s="31" t="str">
        <f>IFERROR(__xludf.DUMMYFUNCTION("IF(OR(E1763="""",K1763=""""),"""",IFERROR(IF(K1763="""","""",query('tbl user'!$A$2:$D10975,""SELECT A WHERE D = '""&amp;K1763&amp;""'"")),""USER TIDAK DIKETAHUI""))"),"#REF!")</f>
        <v>#REF!</v>
      </c>
    </row>
    <row r="1764">
      <c r="A1764" s="21">
        <f t="shared" si="1"/>
        <v>0</v>
      </c>
      <c r="B1764" s="32" t="s">
        <v>37</v>
      </c>
      <c r="C1764" s="23" t="s">
        <v>38</v>
      </c>
      <c r="D1764" s="23" t="s">
        <v>21</v>
      </c>
      <c r="E1764" s="24">
        <v>45422.0</v>
      </c>
      <c r="F1764" s="25">
        <v>0.2763888888888889</v>
      </c>
      <c r="G1764" s="25">
        <v>0.6729166666666667</v>
      </c>
      <c r="H1764" s="27">
        <f t="shared" si="2"/>
        <v>0.3965277778</v>
      </c>
      <c r="I1764" s="28">
        <v>3.0</v>
      </c>
      <c r="J1764" s="29" t="s">
        <v>894</v>
      </c>
      <c r="K1764" s="30" t="s">
        <v>23</v>
      </c>
      <c r="L1764" s="31" t="str">
        <f>IFERROR(__xludf.DUMMYFUNCTION("IF(OR(E1764="""",K1764=""""),"""",IFERROR(IF(K1764="""","""",query('tbl user'!$A$2:$D10975,""SELECT A WHERE D = '""&amp;K1764&amp;""'"")),""USER TIDAK DIKETAHUI""))"),"#REF!")</f>
        <v>#REF!</v>
      </c>
    </row>
    <row r="1765">
      <c r="A1765" s="21">
        <f t="shared" si="1"/>
        <v>0</v>
      </c>
      <c r="B1765" s="32" t="s">
        <v>289</v>
      </c>
      <c r="C1765" s="23" t="s">
        <v>290</v>
      </c>
      <c r="D1765" s="23" t="s">
        <v>21</v>
      </c>
      <c r="E1765" s="24">
        <v>45422.0</v>
      </c>
      <c r="F1765" s="25">
        <v>0.2881944444444444</v>
      </c>
      <c r="G1765" s="25">
        <v>0.6840277777777778</v>
      </c>
      <c r="H1765" s="27">
        <f t="shared" si="2"/>
        <v>0.3958333333</v>
      </c>
      <c r="I1765" s="28">
        <v>3.0</v>
      </c>
      <c r="J1765" s="29" t="s">
        <v>895</v>
      </c>
      <c r="K1765" s="30" t="s">
        <v>23</v>
      </c>
      <c r="L1765" s="31" t="str">
        <f>IFERROR(__xludf.DUMMYFUNCTION("IF(OR(E1765="""",K1765=""""),"""",IFERROR(IF(K1765="""","""",query('tbl user'!$A$2:$D10975,""SELECT A WHERE D = '""&amp;K1765&amp;""'"")),""USER TIDAK DIKETAHUI""))"),"#REF!")</f>
        <v>#REF!</v>
      </c>
    </row>
    <row r="1766">
      <c r="A1766" s="21">
        <f t="shared" si="1"/>
        <v>0</v>
      </c>
      <c r="B1766" s="32" t="s">
        <v>153</v>
      </c>
      <c r="C1766" s="23" t="s">
        <v>287</v>
      </c>
      <c r="D1766" s="23" t="s">
        <v>21</v>
      </c>
      <c r="E1766" s="24">
        <v>45422.0</v>
      </c>
      <c r="F1766" s="25">
        <v>0.2659722222222222</v>
      </c>
      <c r="G1766" s="25">
        <v>0.7083333333333334</v>
      </c>
      <c r="H1766" s="27">
        <f t="shared" si="2"/>
        <v>0.4423611111</v>
      </c>
      <c r="I1766" s="28">
        <v>4.0</v>
      </c>
      <c r="J1766" s="29" t="s">
        <v>55</v>
      </c>
      <c r="K1766" s="30" t="s">
        <v>23</v>
      </c>
      <c r="L1766" s="31" t="str">
        <f>IFERROR(__xludf.DUMMYFUNCTION("IF(OR(E1766="""",K1766=""""),"""",IFERROR(IF(K1766="""","""",query('tbl user'!$A$2:$D10975,""SELECT A WHERE D = '""&amp;K1766&amp;""'"")),""USER TIDAK DIKETAHUI""))"),"#REF!")</f>
        <v>#REF!</v>
      </c>
    </row>
    <row r="1767">
      <c r="A1767" s="21">
        <f t="shared" si="1"/>
        <v>0</v>
      </c>
      <c r="B1767" s="32" t="s">
        <v>333</v>
      </c>
      <c r="C1767" s="23" t="s">
        <v>334</v>
      </c>
      <c r="D1767" s="23" t="s">
        <v>21</v>
      </c>
      <c r="E1767" s="24">
        <v>45422.0</v>
      </c>
      <c r="F1767" s="25">
        <v>0.2701388888888889</v>
      </c>
      <c r="G1767" s="25">
        <v>0.4479166666666667</v>
      </c>
      <c r="H1767" s="27">
        <f t="shared" si="2"/>
        <v>0.1777777778</v>
      </c>
      <c r="I1767" s="28">
        <v>1.0</v>
      </c>
      <c r="J1767" s="29" t="s">
        <v>886</v>
      </c>
      <c r="K1767" s="30" t="s">
        <v>23</v>
      </c>
      <c r="L1767" s="31" t="str">
        <f>IFERROR(__xludf.DUMMYFUNCTION("IF(OR(E1767="""",K1767=""""),"""",IFERROR(IF(K1767="""","""",query('tbl user'!$A$2:$D10975,""SELECT A WHERE D = '""&amp;K1767&amp;""'"")),""USER TIDAK DIKETAHUI""))"),"#REF!")</f>
        <v>#REF!</v>
      </c>
    </row>
    <row r="1768">
      <c r="A1768" s="21">
        <f t="shared" si="1"/>
        <v>0</v>
      </c>
      <c r="B1768" s="32" t="s">
        <v>335</v>
      </c>
      <c r="C1768" s="23" t="s">
        <v>336</v>
      </c>
      <c r="D1768" s="23" t="s">
        <v>21</v>
      </c>
      <c r="E1768" s="24">
        <v>45422.0</v>
      </c>
      <c r="F1768" s="25">
        <v>0.28194444444444444</v>
      </c>
      <c r="G1768" s="25">
        <v>0.45208333333333334</v>
      </c>
      <c r="H1768" s="27">
        <f t="shared" si="2"/>
        <v>0.1701388889</v>
      </c>
      <c r="I1768" s="28">
        <v>1.0</v>
      </c>
      <c r="J1768" s="29" t="s">
        <v>896</v>
      </c>
      <c r="K1768" s="30" t="s">
        <v>23</v>
      </c>
      <c r="L1768" s="31" t="str">
        <f>IFERROR(__xludf.DUMMYFUNCTION("IF(OR(E1768="""",K1768=""""),"""",IFERROR(IF(K1768="""","""",query('tbl user'!$A$2:$D10975,""SELECT A WHERE D = '""&amp;K1768&amp;""'"")),""USER TIDAK DIKETAHUI""))"),"#REF!")</f>
        <v>#REF!</v>
      </c>
    </row>
    <row r="1769">
      <c r="A1769" s="21">
        <f t="shared" si="1"/>
        <v>0</v>
      </c>
      <c r="B1769" s="32" t="s">
        <v>219</v>
      </c>
      <c r="C1769" s="23" t="s">
        <v>340</v>
      </c>
      <c r="D1769" s="23" t="s">
        <v>21</v>
      </c>
      <c r="E1769" s="24">
        <v>45422.0</v>
      </c>
      <c r="F1769" s="25">
        <v>0.25763888888888886</v>
      </c>
      <c r="G1769" s="25">
        <v>0.5722222222222222</v>
      </c>
      <c r="H1769" s="27">
        <f t="shared" si="2"/>
        <v>0.3145833333</v>
      </c>
      <c r="I1769" s="28">
        <v>1.0</v>
      </c>
      <c r="J1769" s="29" t="s">
        <v>897</v>
      </c>
      <c r="K1769" s="30" t="s">
        <v>23</v>
      </c>
      <c r="L1769" s="31" t="str">
        <f>IFERROR(__xludf.DUMMYFUNCTION("IF(OR(E1769="""",K1769=""""),"""",IFERROR(IF(K1769="""","""",query('tbl user'!$A$2:$D10975,""SELECT A WHERE D = '""&amp;K1769&amp;""'"")),""USER TIDAK DIKETAHUI""))"),"#REF!")</f>
        <v>#REF!</v>
      </c>
    </row>
    <row r="1770">
      <c r="A1770" s="21">
        <f t="shared" si="1"/>
        <v>0</v>
      </c>
      <c r="B1770" s="32" t="s">
        <v>229</v>
      </c>
      <c r="C1770" s="23" t="s">
        <v>329</v>
      </c>
      <c r="D1770" s="23" t="s">
        <v>21</v>
      </c>
      <c r="E1770" s="24">
        <v>45422.0</v>
      </c>
      <c r="F1770" s="25">
        <v>0.29444444444444445</v>
      </c>
      <c r="G1770" s="25">
        <v>0.6645833333333333</v>
      </c>
      <c r="H1770" s="27">
        <f t="shared" si="2"/>
        <v>0.3701388889</v>
      </c>
      <c r="I1770" s="28">
        <v>3.0</v>
      </c>
      <c r="J1770" s="29" t="s">
        <v>898</v>
      </c>
      <c r="K1770" s="30" t="s">
        <v>23</v>
      </c>
      <c r="L1770" s="31" t="str">
        <f>IFERROR(__xludf.DUMMYFUNCTION("IF(OR(E1770="""",K1770=""""),"""",IFERROR(IF(K1770="""","""",query('tbl user'!$A$2:$D10975,""SELECT A WHERE D = '""&amp;K1770&amp;""'"")),""USER TIDAK DIKETAHUI""))"),"#REF!")</f>
        <v>#REF!</v>
      </c>
    </row>
    <row r="1771">
      <c r="A1771" s="21">
        <f t="shared" si="1"/>
        <v>0</v>
      </c>
      <c r="B1771" s="32" t="s">
        <v>325</v>
      </c>
      <c r="C1771" s="23" t="s">
        <v>326</v>
      </c>
      <c r="D1771" s="23" t="s">
        <v>21</v>
      </c>
      <c r="E1771" s="24">
        <v>45422.0</v>
      </c>
      <c r="F1771" s="25">
        <v>0.25277777777777777</v>
      </c>
      <c r="G1771" s="25">
        <v>0.6534722222222222</v>
      </c>
      <c r="H1771" s="27">
        <f t="shared" si="2"/>
        <v>0.4006944444</v>
      </c>
      <c r="I1771" s="28">
        <v>3.0</v>
      </c>
      <c r="J1771" s="29" t="s">
        <v>899</v>
      </c>
      <c r="K1771" s="30" t="s">
        <v>23</v>
      </c>
      <c r="L1771" s="31" t="str">
        <f>IFERROR(__xludf.DUMMYFUNCTION("IF(OR(E1771="""",K1771=""""),"""",IFERROR(IF(K1771="""","""",query('tbl user'!$A$2:$D10975,""SELECT A WHERE D = '""&amp;K1771&amp;""'"")),""USER TIDAK DIKETAHUI""))"),"#REF!")</f>
        <v>#REF!</v>
      </c>
    </row>
    <row r="1772">
      <c r="A1772" s="21">
        <f t="shared" si="1"/>
        <v>0</v>
      </c>
      <c r="B1772" s="32" t="s">
        <v>601</v>
      </c>
      <c r="C1772" s="23" t="s">
        <v>323</v>
      </c>
      <c r="D1772" s="23" t="s">
        <v>21</v>
      </c>
      <c r="E1772" s="24">
        <v>45422.0</v>
      </c>
      <c r="F1772" s="25">
        <v>0.26319444444444445</v>
      </c>
      <c r="G1772" s="25">
        <v>0.6951388888888889</v>
      </c>
      <c r="H1772" s="27">
        <f t="shared" si="2"/>
        <v>0.4319444444</v>
      </c>
      <c r="I1772" s="28">
        <v>3.0</v>
      </c>
      <c r="J1772" s="29" t="s">
        <v>898</v>
      </c>
      <c r="K1772" s="30" t="s">
        <v>23</v>
      </c>
      <c r="L1772" s="31" t="str">
        <f>IFERROR(__xludf.DUMMYFUNCTION("IF(OR(E1772="""",K1772=""""),"""",IFERROR(IF(K1772="""","""",query('tbl user'!$A$2:$D10975,""SELECT A WHERE D = '""&amp;K1772&amp;""'"")),""USER TIDAK DIKETAHUI""))"),"#REF!")</f>
        <v>#REF!</v>
      </c>
    </row>
    <row r="1773">
      <c r="A1773" s="21">
        <f t="shared" si="1"/>
        <v>0</v>
      </c>
      <c r="B1773" s="32" t="s">
        <v>716</v>
      </c>
      <c r="C1773" s="23" t="s">
        <v>316</v>
      </c>
      <c r="D1773" s="23" t="s">
        <v>21</v>
      </c>
      <c r="E1773" s="24">
        <v>45422.0</v>
      </c>
      <c r="F1773" s="25">
        <v>0.2604166666666667</v>
      </c>
      <c r="G1773" s="25">
        <v>0.7243055555555555</v>
      </c>
      <c r="H1773" s="27">
        <f t="shared" si="2"/>
        <v>0.4638888889</v>
      </c>
      <c r="I1773" s="28">
        <v>4.0</v>
      </c>
      <c r="J1773" s="29" t="s">
        <v>898</v>
      </c>
      <c r="K1773" s="30" t="s">
        <v>23</v>
      </c>
      <c r="L1773" s="31" t="str">
        <f>IFERROR(__xludf.DUMMYFUNCTION("IF(OR(E1773="""",K1773=""""),"""",IFERROR(IF(K1773="""","""",query('tbl user'!$A$2:$D10975,""SELECT A WHERE D = '""&amp;K1773&amp;""'"")),""USER TIDAK DIKETAHUI""))"),"#REF!")</f>
        <v>#REF!</v>
      </c>
    </row>
    <row r="1774">
      <c r="A1774" s="21">
        <f t="shared" si="1"/>
        <v>0</v>
      </c>
      <c r="B1774" s="32" t="s">
        <v>87</v>
      </c>
      <c r="C1774" s="23" t="s">
        <v>88</v>
      </c>
      <c r="D1774" s="23" t="s">
        <v>21</v>
      </c>
      <c r="E1774" s="24">
        <v>45422.0</v>
      </c>
      <c r="F1774" s="25">
        <v>0.24930555555555556</v>
      </c>
      <c r="G1774" s="25">
        <v>0.7222222222222222</v>
      </c>
      <c r="H1774" s="27">
        <f t="shared" si="2"/>
        <v>0.4729166667</v>
      </c>
      <c r="I1774" s="28">
        <v>4.0</v>
      </c>
      <c r="J1774" s="29" t="s">
        <v>898</v>
      </c>
      <c r="K1774" s="30" t="s">
        <v>23</v>
      </c>
      <c r="L1774" s="31" t="str">
        <f>IFERROR(__xludf.DUMMYFUNCTION("IF(OR(E1774="""",K1774=""""),"""",IFERROR(IF(K1774="""","""",query('tbl user'!$A$2:$D10975,""SELECT A WHERE D = '""&amp;K1774&amp;""'"")),""USER TIDAK DIKETAHUI""))"),"#REF!")</f>
        <v>#REF!</v>
      </c>
    </row>
    <row r="1775">
      <c r="A1775" s="21">
        <f t="shared" si="1"/>
        <v>0</v>
      </c>
      <c r="B1775" s="32" t="s">
        <v>53</v>
      </c>
      <c r="C1775" s="23" t="s">
        <v>54</v>
      </c>
      <c r="D1775" s="23" t="s">
        <v>21</v>
      </c>
      <c r="E1775" s="24">
        <v>45422.0</v>
      </c>
      <c r="F1775" s="25">
        <v>0.2611111111111111</v>
      </c>
      <c r="G1775" s="25">
        <v>0.7555555555555555</v>
      </c>
      <c r="H1775" s="27">
        <f t="shared" si="2"/>
        <v>0.4944444444</v>
      </c>
      <c r="I1775" s="28">
        <v>4.0</v>
      </c>
      <c r="J1775" s="29" t="s">
        <v>898</v>
      </c>
      <c r="K1775" s="30" t="s">
        <v>23</v>
      </c>
      <c r="L1775" s="31" t="str">
        <f>IFERROR(__xludf.DUMMYFUNCTION("IF(OR(E1775="""",K1775=""""),"""",IFERROR(IF(K1775="""","""",query('tbl user'!$A$2:$D10975,""SELECT A WHERE D = '""&amp;K1775&amp;""'"")),""USER TIDAK DIKETAHUI""))"),"#REF!")</f>
        <v>#REF!</v>
      </c>
    </row>
    <row r="1776">
      <c r="A1776" s="21">
        <f t="shared" si="1"/>
        <v>0</v>
      </c>
      <c r="B1776" s="32" t="s">
        <v>577</v>
      </c>
      <c r="C1776" s="23" t="s">
        <v>330</v>
      </c>
      <c r="D1776" s="23" t="s">
        <v>21</v>
      </c>
      <c r="E1776" s="24">
        <v>45422.0</v>
      </c>
      <c r="F1776" s="25">
        <v>0.26458333333333334</v>
      </c>
      <c r="G1776" s="25">
        <v>0.7</v>
      </c>
      <c r="H1776" s="27">
        <f t="shared" si="2"/>
        <v>0.4354166667</v>
      </c>
      <c r="I1776" s="28">
        <v>4.0</v>
      </c>
      <c r="J1776" s="29" t="s">
        <v>898</v>
      </c>
      <c r="K1776" s="30" t="s">
        <v>23</v>
      </c>
      <c r="L1776" s="31" t="str">
        <f>IFERROR(__xludf.DUMMYFUNCTION("IF(OR(E1776="""",K1776=""""),"""",IFERROR(IF(K1776="""","""",query('tbl user'!$A$2:$D10975,""SELECT A WHERE D = '""&amp;K1776&amp;""'"")),""USER TIDAK DIKETAHUI""))"),"#REF!")</f>
        <v>#REF!</v>
      </c>
    </row>
    <row r="1777">
      <c r="A1777" s="21">
        <f t="shared" si="1"/>
        <v>0</v>
      </c>
      <c r="B1777" s="32" t="s">
        <v>131</v>
      </c>
      <c r="C1777" s="23" t="s">
        <v>339</v>
      </c>
      <c r="D1777" s="23" t="s">
        <v>21</v>
      </c>
      <c r="E1777" s="24">
        <v>45422.0</v>
      </c>
      <c r="F1777" s="25">
        <v>0.2361111111111111</v>
      </c>
      <c r="G1777" s="25">
        <v>0.725</v>
      </c>
      <c r="H1777" s="27">
        <f t="shared" si="2"/>
        <v>0.4888888889</v>
      </c>
      <c r="I1777" s="28">
        <v>5.0</v>
      </c>
      <c r="J1777" s="29" t="s">
        <v>55</v>
      </c>
      <c r="K1777" s="30" t="s">
        <v>23</v>
      </c>
      <c r="L1777" s="31" t="str">
        <f>IFERROR(__xludf.DUMMYFUNCTION("IF(OR(E1777="""",K1777=""""),"""",IFERROR(IF(K1777="""","""",query('tbl user'!$A$2:$D10975,""SELECT A WHERE D = '""&amp;K1777&amp;""'"")),""USER TIDAK DIKETAHUI""))"),"#REF!")</f>
        <v>#REF!</v>
      </c>
    </row>
    <row r="1778">
      <c r="A1778" s="21">
        <f t="shared" si="1"/>
        <v>0</v>
      </c>
      <c r="B1778" s="32" t="s">
        <v>331</v>
      </c>
      <c r="C1778" s="23" t="s">
        <v>332</v>
      </c>
      <c r="D1778" s="23" t="s">
        <v>21</v>
      </c>
      <c r="E1778" s="24">
        <v>45422.0</v>
      </c>
      <c r="F1778" s="25">
        <v>0.23333333333333334</v>
      </c>
      <c r="G1778" s="25">
        <v>0.7458333333333333</v>
      </c>
      <c r="H1778" s="27">
        <f t="shared" si="2"/>
        <v>0.5125</v>
      </c>
      <c r="I1778" s="28">
        <v>5.0</v>
      </c>
      <c r="J1778" s="29" t="s">
        <v>55</v>
      </c>
      <c r="K1778" s="30" t="s">
        <v>23</v>
      </c>
      <c r="L1778" s="31" t="str">
        <f>IFERROR(__xludf.DUMMYFUNCTION("IF(OR(E1778="""",K1778=""""),"""",IFERROR(IF(K1778="""","""",query('tbl user'!$A$2:$D10975,""SELECT A WHERE D = '""&amp;K1778&amp;""'"")),""USER TIDAK DIKETAHUI""))"),"#REF!")</f>
        <v>#REF!</v>
      </c>
    </row>
    <row r="1779">
      <c r="A1779" s="21">
        <f t="shared" si="1"/>
        <v>0</v>
      </c>
      <c r="B1779" s="32" t="s">
        <v>319</v>
      </c>
      <c r="C1779" s="23" t="s">
        <v>320</v>
      </c>
      <c r="D1779" s="23" t="s">
        <v>21</v>
      </c>
      <c r="E1779" s="24">
        <v>45422.0</v>
      </c>
      <c r="F1779" s="25">
        <v>0.2833333333333333</v>
      </c>
      <c r="G1779" s="25">
        <v>0.7520833333333333</v>
      </c>
      <c r="H1779" s="27">
        <f t="shared" si="2"/>
        <v>0.46875</v>
      </c>
      <c r="I1779" s="28">
        <v>5.0</v>
      </c>
      <c r="J1779" s="29" t="s">
        <v>55</v>
      </c>
      <c r="K1779" s="30" t="s">
        <v>23</v>
      </c>
      <c r="L1779" s="31" t="str">
        <f>IFERROR(__xludf.DUMMYFUNCTION("IF(OR(E1779="""",K1779=""""),"""",IFERROR(IF(K1779="""","""",query('tbl user'!$A$2:$D10975,""SELECT A WHERE D = '""&amp;K1779&amp;""'"")),""USER TIDAK DIKETAHUI""))"),"#REF!")</f>
        <v>#REF!</v>
      </c>
    </row>
    <row r="1780">
      <c r="A1780" s="21">
        <f t="shared" si="1"/>
        <v>0</v>
      </c>
      <c r="B1780" s="32" t="s">
        <v>337</v>
      </c>
      <c r="C1780" s="23" t="s">
        <v>338</v>
      </c>
      <c r="D1780" s="23" t="s">
        <v>21</v>
      </c>
      <c r="E1780" s="24">
        <v>45422.0</v>
      </c>
      <c r="F1780" s="25">
        <v>0.2111111111111111</v>
      </c>
      <c r="G1780" s="25">
        <v>0.7229166666666667</v>
      </c>
      <c r="H1780" s="27">
        <f t="shared" si="2"/>
        <v>0.5118055556</v>
      </c>
      <c r="I1780" s="28">
        <v>5.0</v>
      </c>
      <c r="J1780" s="29" t="s">
        <v>55</v>
      </c>
      <c r="K1780" s="30" t="s">
        <v>23</v>
      </c>
      <c r="L1780" s="31" t="str">
        <f>IFERROR(__xludf.DUMMYFUNCTION("IF(OR(E1780="""",K1780=""""),"""",IFERROR(IF(K1780="""","""",query('tbl user'!$A$2:$D10975,""SELECT A WHERE D = '""&amp;K1780&amp;""'"")),""USER TIDAK DIKETAHUI""))"),"#REF!")</f>
        <v>#REF!</v>
      </c>
    </row>
    <row r="1781">
      <c r="A1781" s="21">
        <f t="shared" si="1"/>
        <v>0</v>
      </c>
      <c r="B1781" s="32" t="s">
        <v>144</v>
      </c>
      <c r="C1781" s="23" t="s">
        <v>145</v>
      </c>
      <c r="D1781" s="23" t="s">
        <v>32</v>
      </c>
      <c r="E1781" s="24">
        <v>45422.0</v>
      </c>
      <c r="F1781" s="25">
        <v>0.29097222222222224</v>
      </c>
      <c r="G1781" s="25">
        <v>0.6958333333333333</v>
      </c>
      <c r="H1781" s="27">
        <f t="shared" si="2"/>
        <v>0.4048611111</v>
      </c>
      <c r="I1781" s="28">
        <v>2.0</v>
      </c>
      <c r="J1781" s="29" t="s">
        <v>900</v>
      </c>
      <c r="K1781" s="30" t="s">
        <v>23</v>
      </c>
      <c r="L1781" s="31" t="str">
        <f>IFERROR(__xludf.DUMMYFUNCTION("IF(OR(E1781="""",K1781=""""),"""",IFERROR(IF(K1781="""","""",query('tbl user'!$A$2:$D10975,""SELECT A WHERE D = '""&amp;K1781&amp;""'"")),""USER TIDAK DIKETAHUI""))"),"#REF!")</f>
        <v>#REF!</v>
      </c>
    </row>
    <row r="1782">
      <c r="A1782" s="21">
        <f t="shared" si="1"/>
        <v>0</v>
      </c>
      <c r="B1782" s="32" t="s">
        <v>269</v>
      </c>
      <c r="C1782" s="23" t="s">
        <v>270</v>
      </c>
      <c r="D1782" s="23" t="s">
        <v>32</v>
      </c>
      <c r="E1782" s="24">
        <v>45422.0</v>
      </c>
      <c r="F1782" s="25">
        <v>0.24930555555555556</v>
      </c>
      <c r="G1782" s="25">
        <v>0.6395833333333333</v>
      </c>
      <c r="H1782" s="27">
        <f t="shared" si="2"/>
        <v>0.3902777778</v>
      </c>
      <c r="I1782" s="28">
        <v>3.0</v>
      </c>
      <c r="J1782" s="29" t="s">
        <v>901</v>
      </c>
      <c r="K1782" s="30" t="s">
        <v>23</v>
      </c>
      <c r="L1782" s="31" t="str">
        <f>IFERROR(__xludf.DUMMYFUNCTION("IF(OR(E1782="""",K1782=""""),"""",IFERROR(IF(K1782="""","""",query('tbl user'!$A$2:$D10975,""SELECT A WHERE D = '""&amp;K1782&amp;""'"")),""USER TIDAK DIKETAHUI""))"),"#REF!")</f>
        <v>#REF!</v>
      </c>
    </row>
    <row r="1783">
      <c r="A1783" s="21">
        <f t="shared" si="1"/>
        <v>0</v>
      </c>
      <c r="B1783" s="32" t="s">
        <v>312</v>
      </c>
      <c r="C1783" s="23" t="s">
        <v>313</v>
      </c>
      <c r="D1783" s="23" t="s">
        <v>32</v>
      </c>
      <c r="E1783" s="24">
        <v>45422.0</v>
      </c>
      <c r="F1783" s="25">
        <v>0.2465277777777778</v>
      </c>
      <c r="G1783" s="25">
        <v>0.6597222222222222</v>
      </c>
      <c r="H1783" s="27">
        <f t="shared" si="2"/>
        <v>0.4131944444</v>
      </c>
      <c r="I1783" s="28">
        <v>3.0</v>
      </c>
      <c r="J1783" s="29" t="s">
        <v>902</v>
      </c>
      <c r="K1783" s="30" t="s">
        <v>23</v>
      </c>
      <c r="L1783" s="31" t="str">
        <f>IFERROR(__xludf.DUMMYFUNCTION("IF(OR(E1783="""",K1783=""""),"""",IFERROR(IF(K1783="""","""",query('tbl user'!$A$2:$D10975,""SELECT A WHERE D = '""&amp;K1783&amp;""'"")),""USER TIDAK DIKETAHUI""))"),"#REF!")</f>
        <v>#REF!</v>
      </c>
    </row>
    <row r="1784">
      <c r="A1784" s="21">
        <f t="shared" si="1"/>
        <v>0</v>
      </c>
      <c r="B1784" s="32" t="s">
        <v>133</v>
      </c>
      <c r="C1784" s="23" t="s">
        <v>134</v>
      </c>
      <c r="D1784" s="23" t="s">
        <v>32</v>
      </c>
      <c r="E1784" s="24">
        <v>45422.0</v>
      </c>
      <c r="F1784" s="25">
        <v>0.23194444444444445</v>
      </c>
      <c r="G1784" s="25">
        <v>0.6784722222222223</v>
      </c>
      <c r="H1784" s="27">
        <f t="shared" si="2"/>
        <v>0.4465277778</v>
      </c>
      <c r="I1784" s="28">
        <v>4.0</v>
      </c>
      <c r="J1784" s="29" t="s">
        <v>55</v>
      </c>
      <c r="K1784" s="30" t="s">
        <v>23</v>
      </c>
      <c r="L1784" s="31" t="str">
        <f>IFERROR(__xludf.DUMMYFUNCTION("IF(OR(E1784="""",K1784=""""),"""",IFERROR(IF(K1784="""","""",query('tbl user'!$A$2:$D10975,""SELECT A WHERE D = '""&amp;K1784&amp;""'"")),""USER TIDAK DIKETAHUI""))"),"#REF!")</f>
        <v>#REF!</v>
      </c>
    </row>
    <row r="1785">
      <c r="A1785" s="21">
        <f t="shared" si="1"/>
        <v>0</v>
      </c>
      <c r="B1785" s="32" t="s">
        <v>135</v>
      </c>
      <c r="C1785" s="23" t="s">
        <v>136</v>
      </c>
      <c r="D1785" s="23" t="s">
        <v>32</v>
      </c>
      <c r="E1785" s="24">
        <v>45422.0</v>
      </c>
      <c r="F1785" s="25">
        <v>0.25763888888888886</v>
      </c>
      <c r="G1785" s="25">
        <v>0.7361111111111112</v>
      </c>
      <c r="H1785" s="27">
        <f t="shared" si="2"/>
        <v>0.4784722222</v>
      </c>
      <c r="I1785" s="28">
        <v>4.0</v>
      </c>
      <c r="J1785" s="29" t="s">
        <v>55</v>
      </c>
      <c r="K1785" s="30" t="s">
        <v>23</v>
      </c>
      <c r="L1785" s="31" t="str">
        <f>IFERROR(__xludf.DUMMYFUNCTION("IF(OR(E1785="""",K1785=""""),"""",IFERROR(IF(K1785="""","""",query('tbl user'!$A$2:$D10975,""SELECT A WHERE D = '""&amp;K1785&amp;""'"")),""USER TIDAK DIKETAHUI""))"),"#REF!")</f>
        <v>#REF!</v>
      </c>
    </row>
    <row r="1786">
      <c r="A1786" s="21">
        <f t="shared" si="1"/>
        <v>0</v>
      </c>
      <c r="B1786" s="32" t="s">
        <v>30</v>
      </c>
      <c r="C1786" s="23" t="s">
        <v>31</v>
      </c>
      <c r="D1786" s="23" t="s">
        <v>32</v>
      </c>
      <c r="E1786" s="24">
        <v>45422.0</v>
      </c>
      <c r="F1786" s="25">
        <v>0.20902777777777778</v>
      </c>
      <c r="G1786" s="25">
        <v>0.7083333333333334</v>
      </c>
      <c r="H1786" s="27">
        <f t="shared" si="2"/>
        <v>0.4993055556</v>
      </c>
      <c r="I1786" s="28">
        <v>4.0</v>
      </c>
      <c r="J1786" s="29" t="s">
        <v>55</v>
      </c>
      <c r="K1786" s="30" t="s">
        <v>23</v>
      </c>
      <c r="L1786" s="31" t="str">
        <f>IFERROR(__xludf.DUMMYFUNCTION("IF(OR(E1786="""",K1786=""""),"""",IFERROR(IF(K1786="""","""",query('tbl user'!$A$2:$D10975,""SELECT A WHERE D = '""&amp;K1786&amp;""'"")),""USER TIDAK DIKETAHUI""))"),"#REF!")</f>
        <v>#REF!</v>
      </c>
    </row>
    <row r="1787">
      <c r="A1787" s="21">
        <f t="shared" si="1"/>
        <v>0</v>
      </c>
      <c r="B1787" s="32" t="s">
        <v>40</v>
      </c>
      <c r="C1787" s="23" t="s">
        <v>41</v>
      </c>
      <c r="D1787" s="23" t="s">
        <v>32</v>
      </c>
      <c r="E1787" s="24">
        <v>45422.0</v>
      </c>
      <c r="F1787" s="25">
        <v>0.2152777777777778</v>
      </c>
      <c r="G1787" s="25">
        <v>0.6729166666666667</v>
      </c>
      <c r="H1787" s="27">
        <f t="shared" si="2"/>
        <v>0.4576388889</v>
      </c>
      <c r="I1787" s="28">
        <v>4.0</v>
      </c>
      <c r="J1787" s="29" t="s">
        <v>55</v>
      </c>
      <c r="K1787" s="30" t="s">
        <v>23</v>
      </c>
      <c r="L1787" s="31" t="str">
        <f>IFERROR(__xludf.DUMMYFUNCTION("IF(OR(E1787="""",K1787=""""),"""",IFERROR(IF(K1787="""","""",query('tbl user'!$A$2:$D10975,""SELECT A WHERE D = '""&amp;K1787&amp;""'"")),""USER TIDAK DIKETAHUI""))"),"#REF!")</f>
        <v>#REF!</v>
      </c>
    </row>
    <row r="1788">
      <c r="A1788" s="21">
        <f t="shared" si="1"/>
        <v>0</v>
      </c>
      <c r="B1788" s="32" t="s">
        <v>137</v>
      </c>
      <c r="C1788" s="23" t="s">
        <v>138</v>
      </c>
      <c r="D1788" s="23" t="s">
        <v>32</v>
      </c>
      <c r="E1788" s="24">
        <v>45422.0</v>
      </c>
      <c r="F1788" s="25">
        <v>0.25</v>
      </c>
      <c r="G1788" s="25">
        <v>0.7215277777777778</v>
      </c>
      <c r="H1788" s="27">
        <f t="shared" si="2"/>
        <v>0.4715277778</v>
      </c>
      <c r="I1788" s="28">
        <v>4.0</v>
      </c>
      <c r="J1788" s="29" t="s">
        <v>55</v>
      </c>
      <c r="K1788" s="30" t="s">
        <v>23</v>
      </c>
      <c r="L1788" s="31" t="str">
        <f>IFERROR(__xludf.DUMMYFUNCTION("IF(OR(E1788="""",K1788=""""),"""",IFERROR(IF(K1788="""","""",query('tbl user'!$A$2:$D10975,""SELECT A WHERE D = '""&amp;K1788&amp;""'"")),""USER TIDAK DIKETAHUI""))"),"#REF!")</f>
        <v>#REF!</v>
      </c>
    </row>
    <row r="1789">
      <c r="A1789" s="21">
        <f t="shared" si="1"/>
        <v>0</v>
      </c>
      <c r="B1789" s="32" t="s">
        <v>139</v>
      </c>
      <c r="C1789" s="23" t="s">
        <v>96</v>
      </c>
      <c r="D1789" s="23" t="s">
        <v>32</v>
      </c>
      <c r="E1789" s="24">
        <v>45422.0</v>
      </c>
      <c r="F1789" s="25">
        <v>0.23819444444444443</v>
      </c>
      <c r="G1789" s="25">
        <v>0.7326388888888888</v>
      </c>
      <c r="H1789" s="27">
        <f t="shared" si="2"/>
        <v>0.4944444444</v>
      </c>
      <c r="I1789" s="28">
        <v>4.0</v>
      </c>
      <c r="J1789" s="29" t="s">
        <v>55</v>
      </c>
      <c r="K1789" s="30" t="s">
        <v>23</v>
      </c>
      <c r="L1789" s="31" t="str">
        <f>IFERROR(__xludf.DUMMYFUNCTION("IF(OR(E1789="""",K1789=""""),"""",IFERROR(IF(K1789="""","""",query('tbl user'!$A$2:$D10975,""SELECT A WHERE D = '""&amp;K1789&amp;""'"")),""USER TIDAK DIKETAHUI""))"),"#REF!")</f>
        <v>#REF!</v>
      </c>
    </row>
    <row r="1790">
      <c r="A1790" s="21">
        <f t="shared" si="1"/>
        <v>0</v>
      </c>
      <c r="B1790" s="32" t="s">
        <v>277</v>
      </c>
      <c r="C1790" s="23" t="s">
        <v>278</v>
      </c>
      <c r="D1790" s="23" t="s">
        <v>32</v>
      </c>
      <c r="E1790" s="24">
        <v>45422.0</v>
      </c>
      <c r="F1790" s="25">
        <v>0.22916666666666666</v>
      </c>
      <c r="G1790" s="25">
        <v>0.7354166666666667</v>
      </c>
      <c r="H1790" s="27">
        <f t="shared" si="2"/>
        <v>0.50625</v>
      </c>
      <c r="I1790" s="28">
        <v>4.0</v>
      </c>
      <c r="J1790" s="29" t="s">
        <v>55</v>
      </c>
      <c r="K1790" s="30" t="s">
        <v>23</v>
      </c>
      <c r="L1790" s="31" t="str">
        <f>IFERROR(__xludf.DUMMYFUNCTION("IF(OR(E1790="""",K1790=""""),"""",IFERROR(IF(K1790="""","""",query('tbl user'!$A$2:$D10975,""SELECT A WHERE D = '""&amp;K1790&amp;""'"")),""USER TIDAK DIKETAHUI""))"),"#REF!")</f>
        <v>#REF!</v>
      </c>
    </row>
    <row r="1791">
      <c r="A1791" s="21">
        <f t="shared" si="1"/>
        <v>0</v>
      </c>
      <c r="B1791" s="32" t="s">
        <v>184</v>
      </c>
      <c r="C1791" s="23" t="s">
        <v>185</v>
      </c>
      <c r="D1791" s="23" t="s">
        <v>58</v>
      </c>
      <c r="E1791" s="24">
        <v>45423.0</v>
      </c>
      <c r="F1791" s="25">
        <v>0.25069444444444444</v>
      </c>
      <c r="G1791" s="25">
        <v>0.4423611111111111</v>
      </c>
      <c r="H1791" s="27">
        <f t="shared" si="2"/>
        <v>0.1916666667</v>
      </c>
      <c r="I1791" s="28">
        <v>1.0</v>
      </c>
      <c r="J1791" s="29" t="s">
        <v>903</v>
      </c>
      <c r="K1791" s="30" t="s">
        <v>23</v>
      </c>
      <c r="L1791" s="31" t="str">
        <f>IFERROR(__xludf.DUMMYFUNCTION("IF(OR(E1791="""",K1791=""""),"""",IFERROR(IF(K1791="""","""",query('tbl user'!$A$2:$D10975,""SELECT A WHERE D = '""&amp;K1791&amp;""'"")),""USER TIDAK DIKETAHUI""))"),"#REF!")</f>
        <v>#REF!</v>
      </c>
    </row>
    <row r="1792">
      <c r="A1792" s="21">
        <f t="shared" si="1"/>
        <v>0</v>
      </c>
      <c r="B1792" s="32" t="s">
        <v>293</v>
      </c>
      <c r="C1792" s="23" t="s">
        <v>211</v>
      </c>
      <c r="D1792" s="23" t="s">
        <v>58</v>
      </c>
      <c r="E1792" s="24">
        <v>45423.0</v>
      </c>
      <c r="F1792" s="25">
        <v>0.2548611111111111</v>
      </c>
      <c r="G1792" s="25">
        <v>0.6340277777777777</v>
      </c>
      <c r="H1792" s="27">
        <f t="shared" si="2"/>
        <v>0.3791666667</v>
      </c>
      <c r="I1792" s="28">
        <v>2.0</v>
      </c>
      <c r="J1792" s="29" t="s">
        <v>904</v>
      </c>
      <c r="K1792" s="30" t="s">
        <v>23</v>
      </c>
      <c r="L1792" s="31" t="str">
        <f>IFERROR(__xludf.DUMMYFUNCTION("IF(OR(E1792="""",K1792=""""),"""",IFERROR(IF(K1792="""","""",query('tbl user'!$A$2:$D10975,""SELECT A WHERE D = '""&amp;K1792&amp;""'"")),""USER TIDAK DIKETAHUI""))"),"#REF!")</f>
        <v>#REF!</v>
      </c>
    </row>
    <row r="1793">
      <c r="A1793" s="21">
        <f t="shared" si="1"/>
        <v>0</v>
      </c>
      <c r="B1793" s="32" t="s">
        <v>214</v>
      </c>
      <c r="C1793" s="23" t="s">
        <v>170</v>
      </c>
      <c r="D1793" s="23" t="s">
        <v>58</v>
      </c>
      <c r="E1793" s="24">
        <v>45423.0</v>
      </c>
      <c r="F1793" s="25">
        <v>0.29444444444444445</v>
      </c>
      <c r="G1793" s="25">
        <v>0.5777777777777777</v>
      </c>
      <c r="H1793" s="27">
        <f t="shared" si="2"/>
        <v>0.2833333333</v>
      </c>
      <c r="I1793" s="28">
        <v>2.0</v>
      </c>
      <c r="J1793" s="29" t="s">
        <v>905</v>
      </c>
      <c r="K1793" s="30" t="s">
        <v>23</v>
      </c>
      <c r="L1793" s="31" t="str">
        <f>IFERROR(__xludf.DUMMYFUNCTION("IF(OR(E1793="""",K1793=""""),"""",IFERROR(IF(K1793="""","""",query('tbl user'!$A$2:$D10975,""SELECT A WHERE D = '""&amp;K1793&amp;""'"")),""USER TIDAK DIKETAHUI""))"),"#REF!")</f>
        <v>#REF!</v>
      </c>
    </row>
    <row r="1794">
      <c r="A1794" s="21">
        <f t="shared" si="1"/>
        <v>0</v>
      </c>
      <c r="B1794" s="32" t="s">
        <v>95</v>
      </c>
      <c r="C1794" s="23" t="s">
        <v>93</v>
      </c>
      <c r="D1794" s="23" t="s">
        <v>58</v>
      </c>
      <c r="E1794" s="24">
        <v>45423.0</v>
      </c>
      <c r="F1794" s="25">
        <v>0.2520833333333333</v>
      </c>
      <c r="G1794" s="25">
        <v>0.6388888888888888</v>
      </c>
      <c r="H1794" s="27">
        <f t="shared" si="2"/>
        <v>0.3868055556</v>
      </c>
      <c r="I1794" s="28">
        <v>2.0</v>
      </c>
      <c r="J1794" s="29" t="s">
        <v>906</v>
      </c>
      <c r="K1794" s="30" t="s">
        <v>23</v>
      </c>
      <c r="L1794" s="31" t="str">
        <f>IFERROR(__xludf.DUMMYFUNCTION("IF(OR(E1794="""",K1794=""""),"""",IFERROR(IF(K1794="""","""",query('tbl user'!$A$2:$D10975,""SELECT A WHERE D = '""&amp;K1794&amp;""'"")),""USER TIDAK DIKETAHUI""))"),"#REF!")</f>
        <v>#REF!</v>
      </c>
    </row>
    <row r="1795">
      <c r="A1795" s="21">
        <f t="shared" si="1"/>
        <v>0</v>
      </c>
      <c r="B1795" s="32" t="s">
        <v>297</v>
      </c>
      <c r="C1795" s="23" t="s">
        <v>348</v>
      </c>
      <c r="D1795" s="23" t="s">
        <v>58</v>
      </c>
      <c r="E1795" s="24">
        <v>45423.0</v>
      </c>
      <c r="F1795" s="25">
        <v>0.23541666666666666</v>
      </c>
      <c r="G1795" s="25">
        <v>0.5791666666666667</v>
      </c>
      <c r="H1795" s="27">
        <f t="shared" si="2"/>
        <v>0.34375</v>
      </c>
      <c r="I1795" s="28">
        <v>2.0</v>
      </c>
      <c r="J1795" s="29" t="s">
        <v>907</v>
      </c>
      <c r="K1795" s="30" t="s">
        <v>23</v>
      </c>
      <c r="L1795" s="31" t="str">
        <f>IFERROR(__xludf.DUMMYFUNCTION("IF(OR(E1795="""",K1795=""""),"""",IFERROR(IF(K1795="""","""",query('tbl user'!$A$2:$D10975,""SELECT A WHERE D = '""&amp;K1795&amp;""'"")),""USER TIDAK DIKETAHUI""))"),"#REF!")</f>
        <v>#REF!</v>
      </c>
    </row>
    <row r="1796">
      <c r="A1796" s="21">
        <f t="shared" si="1"/>
        <v>0</v>
      </c>
      <c r="B1796" s="32" t="s">
        <v>67</v>
      </c>
      <c r="C1796" s="23" t="s">
        <v>68</v>
      </c>
      <c r="D1796" s="23" t="s">
        <v>58</v>
      </c>
      <c r="E1796" s="24">
        <v>45423.0</v>
      </c>
      <c r="F1796" s="25">
        <v>0.2701388888888889</v>
      </c>
      <c r="G1796" s="25">
        <v>0.725</v>
      </c>
      <c r="H1796" s="27">
        <f t="shared" si="2"/>
        <v>0.4548611111</v>
      </c>
      <c r="I1796" s="28">
        <v>3.0</v>
      </c>
      <c r="J1796" s="29" t="s">
        <v>908</v>
      </c>
      <c r="K1796" s="30" t="s">
        <v>23</v>
      </c>
      <c r="L1796" s="31" t="str">
        <f>IFERROR(__xludf.DUMMYFUNCTION("IF(OR(E1796="""",K1796=""""),"""",IFERROR(IF(K1796="""","""",query('tbl user'!$A$2:$D10975,""SELECT A WHERE D = '""&amp;K1796&amp;""'"")),""USER TIDAK DIKETAHUI""))"),"#REF!")</f>
        <v>#REF!</v>
      </c>
    </row>
    <row r="1797">
      <c r="A1797" s="21">
        <f t="shared" si="1"/>
        <v>0</v>
      </c>
      <c r="B1797" s="32" t="s">
        <v>215</v>
      </c>
      <c r="C1797" s="23" t="s">
        <v>176</v>
      </c>
      <c r="D1797" s="23" t="s">
        <v>58</v>
      </c>
      <c r="E1797" s="24">
        <v>45423.0</v>
      </c>
      <c r="F1797" s="25">
        <v>0.2861111111111111</v>
      </c>
      <c r="G1797" s="25">
        <v>0.6770833333333334</v>
      </c>
      <c r="H1797" s="27">
        <f t="shared" si="2"/>
        <v>0.3909722222</v>
      </c>
      <c r="I1797" s="28">
        <v>3.0</v>
      </c>
      <c r="J1797" s="29" t="s">
        <v>618</v>
      </c>
      <c r="K1797" s="30" t="s">
        <v>23</v>
      </c>
      <c r="L1797" s="31" t="str">
        <f>IFERROR(__xludf.DUMMYFUNCTION("IF(OR(E1797="""",K1797=""""),"""",IFERROR(IF(K1797="""","""",query('tbl user'!$A$2:$D10975,""SELECT A WHERE D = '""&amp;K1797&amp;""'"")),""USER TIDAK DIKETAHUI""))"),"#REF!")</f>
        <v>#REF!</v>
      </c>
    </row>
    <row r="1798">
      <c r="A1798" s="21">
        <f t="shared" si="1"/>
        <v>0</v>
      </c>
      <c r="B1798" s="32" t="s">
        <v>56</v>
      </c>
      <c r="C1798" s="23" t="s">
        <v>57</v>
      </c>
      <c r="D1798" s="23" t="s">
        <v>58</v>
      </c>
      <c r="E1798" s="24">
        <v>45423.0</v>
      </c>
      <c r="F1798" s="25">
        <v>0.2625</v>
      </c>
      <c r="G1798" s="25">
        <v>0.6673611111111111</v>
      </c>
      <c r="H1798" s="27">
        <f t="shared" si="2"/>
        <v>0.4048611111</v>
      </c>
      <c r="I1798" s="28">
        <v>3.0</v>
      </c>
      <c r="J1798" s="29" t="s">
        <v>909</v>
      </c>
      <c r="K1798" s="30" t="s">
        <v>23</v>
      </c>
      <c r="L1798" s="31" t="str">
        <f>IFERROR(__xludf.DUMMYFUNCTION("IF(OR(E1798="""",K1798=""""),"""",IFERROR(IF(K1798="""","""",query('tbl user'!$A$2:$D10975,""SELECT A WHERE D = '""&amp;K1798&amp;""'"")),""USER TIDAK DIKETAHUI""))"),"#REF!")</f>
        <v>#REF!</v>
      </c>
    </row>
    <row r="1799">
      <c r="A1799" s="21">
        <f t="shared" si="1"/>
        <v>0</v>
      </c>
      <c r="B1799" s="32" t="s">
        <v>178</v>
      </c>
      <c r="C1799" s="23" t="s">
        <v>82</v>
      </c>
      <c r="D1799" s="23" t="s">
        <v>58</v>
      </c>
      <c r="E1799" s="24">
        <v>45423.0</v>
      </c>
      <c r="F1799" s="25">
        <v>0.26805555555555555</v>
      </c>
      <c r="G1799" s="25">
        <v>0.6534722222222222</v>
      </c>
      <c r="H1799" s="27">
        <f t="shared" si="2"/>
        <v>0.3854166667</v>
      </c>
      <c r="I1799" s="28">
        <v>3.0</v>
      </c>
      <c r="J1799" s="29" t="s">
        <v>910</v>
      </c>
      <c r="K1799" s="30" t="s">
        <v>23</v>
      </c>
      <c r="L1799" s="31" t="str">
        <f>IFERROR(__xludf.DUMMYFUNCTION("IF(OR(E1799="""",K1799=""""),"""",IFERROR(IF(K1799="""","""",query('tbl user'!$A$2:$D10975,""SELECT A WHERE D = '""&amp;K1799&amp;""'"")),""USER TIDAK DIKETAHUI""))"),"#REF!")</f>
        <v>#REF!</v>
      </c>
    </row>
    <row r="1800">
      <c r="A1800" s="21">
        <f t="shared" si="1"/>
        <v>0</v>
      </c>
      <c r="B1800" s="32" t="s">
        <v>180</v>
      </c>
      <c r="C1800" s="23" t="s">
        <v>181</v>
      </c>
      <c r="D1800" s="23" t="s">
        <v>58</v>
      </c>
      <c r="E1800" s="24">
        <v>45423.0</v>
      </c>
      <c r="F1800" s="25">
        <v>0.24166666666666667</v>
      </c>
      <c r="G1800" s="25">
        <v>0.6055555555555555</v>
      </c>
      <c r="H1800" s="27">
        <f t="shared" si="2"/>
        <v>0.3638888889</v>
      </c>
      <c r="I1800" s="28">
        <v>3.0</v>
      </c>
      <c r="J1800" s="29" t="s">
        <v>911</v>
      </c>
      <c r="K1800" s="30" t="s">
        <v>23</v>
      </c>
      <c r="L1800" s="31" t="str">
        <f>IFERROR(__xludf.DUMMYFUNCTION("IF(OR(E1800="""",K1800=""""),"""",IFERROR(IF(K1800="""","""",query('tbl user'!$A$2:$D10975,""SELECT A WHERE D = '""&amp;K1800&amp;""'"")),""USER TIDAK DIKETAHUI""))"),"#REF!")</f>
        <v>#REF!</v>
      </c>
    </row>
    <row r="1801">
      <c r="A1801" s="21">
        <f t="shared" si="1"/>
        <v>0</v>
      </c>
      <c r="B1801" s="32" t="s">
        <v>189</v>
      </c>
      <c r="C1801" s="23" t="s">
        <v>190</v>
      </c>
      <c r="D1801" s="23" t="s">
        <v>58</v>
      </c>
      <c r="E1801" s="24">
        <v>45423.0</v>
      </c>
      <c r="F1801" s="25">
        <v>0.27152777777777776</v>
      </c>
      <c r="G1801" s="25">
        <v>0.6680555555555555</v>
      </c>
      <c r="H1801" s="27">
        <f t="shared" si="2"/>
        <v>0.3965277778</v>
      </c>
      <c r="I1801" s="28">
        <v>3.0</v>
      </c>
      <c r="J1801" s="29" t="s">
        <v>909</v>
      </c>
      <c r="K1801" s="30" t="s">
        <v>23</v>
      </c>
      <c r="L1801" s="31" t="str">
        <f>IFERROR(__xludf.DUMMYFUNCTION("IF(OR(E1801="""",K1801=""""),"""",IFERROR(IF(K1801="""","""",query('tbl user'!$A$2:$D10975,""SELECT A WHERE D = '""&amp;K1801&amp;""'"")),""USER TIDAK DIKETAHUI""))"),"#REF!")</f>
        <v>#REF!</v>
      </c>
    </row>
    <row r="1802">
      <c r="A1802" s="21">
        <f t="shared" si="1"/>
        <v>0</v>
      </c>
      <c r="B1802" s="32" t="s">
        <v>202</v>
      </c>
      <c r="C1802" s="23" t="s">
        <v>203</v>
      </c>
      <c r="D1802" s="23" t="s">
        <v>58</v>
      </c>
      <c r="E1802" s="24">
        <v>45423.0</v>
      </c>
      <c r="F1802" s="25">
        <v>0.24791666666666667</v>
      </c>
      <c r="G1802" s="25">
        <v>0.6298611111111111</v>
      </c>
      <c r="H1802" s="27">
        <f t="shared" si="2"/>
        <v>0.3819444444</v>
      </c>
      <c r="I1802" s="28">
        <v>3.0</v>
      </c>
      <c r="J1802" s="29" t="s">
        <v>909</v>
      </c>
      <c r="K1802" s="30" t="s">
        <v>23</v>
      </c>
      <c r="L1802" s="31" t="str">
        <f>IFERROR(__xludf.DUMMYFUNCTION("IF(OR(E1802="""",K1802=""""),"""",IFERROR(IF(K1802="""","""",query('tbl user'!$A$2:$D10975,""SELECT A WHERE D = '""&amp;K1802&amp;""'"")),""USER TIDAK DIKETAHUI""))"),"#REF!")</f>
        <v>#REF!</v>
      </c>
    </row>
    <row r="1803">
      <c r="A1803" s="21">
        <f t="shared" si="1"/>
        <v>0</v>
      </c>
      <c r="B1803" s="32" t="s">
        <v>224</v>
      </c>
      <c r="C1803" s="23" t="s">
        <v>208</v>
      </c>
      <c r="D1803" s="23" t="s">
        <v>58</v>
      </c>
      <c r="E1803" s="24">
        <v>45423.0</v>
      </c>
      <c r="F1803" s="25">
        <v>0.2625</v>
      </c>
      <c r="G1803" s="25">
        <v>0.6673611111111111</v>
      </c>
      <c r="H1803" s="27">
        <f t="shared" si="2"/>
        <v>0.4048611111</v>
      </c>
      <c r="I1803" s="28">
        <v>3.0</v>
      </c>
      <c r="J1803" s="29" t="s">
        <v>912</v>
      </c>
      <c r="K1803" s="30" t="s">
        <v>23</v>
      </c>
      <c r="L1803" s="31" t="str">
        <f>IFERROR(__xludf.DUMMYFUNCTION("IF(OR(E1803="""",K1803=""""),"""",IFERROR(IF(K1803="""","""",query('tbl user'!$A$2:$D10975,""SELECT A WHERE D = '""&amp;K1803&amp;""'"")),""USER TIDAK DIKETAHUI""))"),"#REF!")</f>
        <v>#REF!</v>
      </c>
    </row>
    <row r="1804">
      <c r="A1804" s="21">
        <f t="shared" si="1"/>
        <v>0</v>
      </c>
      <c r="B1804" s="32" t="s">
        <v>267</v>
      </c>
      <c r="C1804" s="23" t="s">
        <v>85</v>
      </c>
      <c r="D1804" s="23" t="s">
        <v>58</v>
      </c>
      <c r="E1804" s="24">
        <v>45423.0</v>
      </c>
      <c r="F1804" s="25">
        <v>0.2125</v>
      </c>
      <c r="G1804" s="25">
        <v>0.6298611111111111</v>
      </c>
      <c r="H1804" s="27">
        <f t="shared" si="2"/>
        <v>0.4173611111</v>
      </c>
      <c r="I1804" s="28">
        <v>3.0</v>
      </c>
      <c r="J1804" s="29" t="s">
        <v>913</v>
      </c>
      <c r="K1804" s="30" t="s">
        <v>23</v>
      </c>
      <c r="L1804" s="31" t="str">
        <f>IFERROR(__xludf.DUMMYFUNCTION("IF(OR(E1804="""",K1804=""""),"""",IFERROR(IF(K1804="""","""",query('tbl user'!$A$2:$D10975,""SELECT A WHERE D = '""&amp;K1804&amp;""'"")),""USER TIDAK DIKETAHUI""))"),"#REF!")</f>
        <v>#REF!</v>
      </c>
    </row>
    <row r="1805">
      <c r="A1805" s="21">
        <f t="shared" si="1"/>
        <v>0</v>
      </c>
      <c r="B1805" s="32" t="s">
        <v>167</v>
      </c>
      <c r="C1805" s="23" t="s">
        <v>168</v>
      </c>
      <c r="D1805" s="23" t="s">
        <v>58</v>
      </c>
      <c r="E1805" s="24">
        <v>45423.0</v>
      </c>
      <c r="F1805" s="25">
        <v>0.23194444444444445</v>
      </c>
      <c r="G1805" s="25">
        <v>0.6923611111111111</v>
      </c>
      <c r="H1805" s="27">
        <f t="shared" si="2"/>
        <v>0.4604166667</v>
      </c>
      <c r="I1805" s="28">
        <v>4.0</v>
      </c>
      <c r="J1805" s="29" t="s">
        <v>55</v>
      </c>
      <c r="K1805" s="30" t="s">
        <v>23</v>
      </c>
      <c r="L1805" s="31" t="str">
        <f>IFERROR(__xludf.DUMMYFUNCTION("IF(OR(E1805="""",K1805=""""),"""",IFERROR(IF(K1805="""","""",query('tbl user'!$A$2:$D10975,""SELECT A WHERE D = '""&amp;K1805&amp;""'"")),""USER TIDAK DIKETAHUI""))"),"#REF!")</f>
        <v>#REF!</v>
      </c>
    </row>
    <row r="1806">
      <c r="A1806" s="21">
        <f t="shared" si="1"/>
        <v>0</v>
      </c>
      <c r="B1806" s="32" t="s">
        <v>182</v>
      </c>
      <c r="C1806" s="23" t="s">
        <v>183</v>
      </c>
      <c r="D1806" s="23" t="s">
        <v>58</v>
      </c>
      <c r="E1806" s="24">
        <v>45423.0</v>
      </c>
      <c r="F1806" s="25">
        <v>0.22013888888888888</v>
      </c>
      <c r="G1806" s="25">
        <v>0.7159722222222222</v>
      </c>
      <c r="H1806" s="27">
        <f t="shared" si="2"/>
        <v>0.4958333333</v>
      </c>
      <c r="I1806" s="28">
        <v>4.0</v>
      </c>
      <c r="J1806" s="29" t="s">
        <v>55</v>
      </c>
      <c r="K1806" s="30" t="s">
        <v>23</v>
      </c>
      <c r="L1806" s="31" t="str">
        <f>IFERROR(__xludf.DUMMYFUNCTION("IF(OR(E1806="""",K1806=""""),"""",IFERROR(IF(K1806="""","""",query('tbl user'!$A$2:$D10975,""SELECT A WHERE D = '""&amp;K1806&amp;""'"")),""USER TIDAK DIKETAHUI""))"),"#REF!")</f>
        <v>#REF!</v>
      </c>
    </row>
    <row r="1807">
      <c r="A1807" s="21">
        <f t="shared" si="1"/>
        <v>0</v>
      </c>
      <c r="B1807" s="32" t="s">
        <v>187</v>
      </c>
      <c r="C1807" s="23" t="s">
        <v>188</v>
      </c>
      <c r="D1807" s="23" t="s">
        <v>58</v>
      </c>
      <c r="E1807" s="24">
        <v>45423.0</v>
      </c>
      <c r="F1807" s="25">
        <v>0.21736111111111112</v>
      </c>
      <c r="G1807" s="25">
        <v>0.7270833333333333</v>
      </c>
      <c r="H1807" s="27">
        <f t="shared" si="2"/>
        <v>0.5097222222</v>
      </c>
      <c r="I1807" s="28">
        <v>4.0</v>
      </c>
      <c r="J1807" s="29" t="s">
        <v>55</v>
      </c>
      <c r="K1807" s="30" t="s">
        <v>23</v>
      </c>
      <c r="L1807" s="31" t="str">
        <f>IFERROR(__xludf.DUMMYFUNCTION("IF(OR(E1807="""",K1807=""""),"""",IFERROR(IF(K1807="""","""",query('tbl user'!$A$2:$D10975,""SELECT A WHERE D = '""&amp;K1807&amp;""'"")),""USER TIDAK DIKETAHUI""))"),"#REF!")</f>
        <v>#REF!</v>
      </c>
    </row>
    <row r="1808">
      <c r="A1808" s="21">
        <f t="shared" si="1"/>
        <v>0</v>
      </c>
      <c r="B1808" s="32" t="s">
        <v>191</v>
      </c>
      <c r="C1808" s="23" t="s">
        <v>192</v>
      </c>
      <c r="D1808" s="23" t="s">
        <v>58</v>
      </c>
      <c r="E1808" s="24">
        <v>45423.0</v>
      </c>
      <c r="F1808" s="25">
        <v>0.26180555555555557</v>
      </c>
      <c r="G1808" s="25">
        <v>0.7048611111111112</v>
      </c>
      <c r="H1808" s="27">
        <f t="shared" si="2"/>
        <v>0.4430555556</v>
      </c>
      <c r="I1808" s="28">
        <v>4.0</v>
      </c>
      <c r="J1808" s="29" t="s">
        <v>55</v>
      </c>
      <c r="K1808" s="30" t="s">
        <v>23</v>
      </c>
      <c r="L1808" s="31" t="str">
        <f>IFERROR(__xludf.DUMMYFUNCTION("IF(OR(E1808="""",K1808=""""),"""",IFERROR(IF(K1808="""","""",query('tbl user'!$A$2:$D10975,""SELECT A WHERE D = '""&amp;K1808&amp;""'"")),""USER TIDAK DIKETAHUI""))"),"#REF!")</f>
        <v>#REF!</v>
      </c>
    </row>
    <row r="1809">
      <c r="A1809" s="21">
        <f t="shared" si="1"/>
        <v>0</v>
      </c>
      <c r="B1809" s="32" t="s">
        <v>194</v>
      </c>
      <c r="C1809" s="23" t="s">
        <v>195</v>
      </c>
      <c r="D1809" s="23" t="s">
        <v>58</v>
      </c>
      <c r="E1809" s="24">
        <v>45423.0</v>
      </c>
      <c r="F1809" s="25">
        <v>0.23333333333333334</v>
      </c>
      <c r="G1809" s="25">
        <v>0.6694444444444444</v>
      </c>
      <c r="H1809" s="27">
        <f t="shared" si="2"/>
        <v>0.4361111111</v>
      </c>
      <c r="I1809" s="28">
        <v>4.0</v>
      </c>
      <c r="J1809" s="29" t="s">
        <v>55</v>
      </c>
      <c r="K1809" s="30" t="s">
        <v>23</v>
      </c>
      <c r="L1809" s="31" t="str">
        <f>IFERROR(__xludf.DUMMYFUNCTION("IF(OR(E1809="""",K1809=""""),"""",IFERROR(IF(K1809="""","""",query('tbl user'!$A$2:$D10975,""SELECT A WHERE D = '""&amp;K1809&amp;""'"")),""USER TIDAK DIKETAHUI""))"),"#REF!")</f>
        <v>#REF!</v>
      </c>
    </row>
    <row r="1810">
      <c r="A1810" s="21">
        <f t="shared" si="1"/>
        <v>0</v>
      </c>
      <c r="B1810" s="32" t="s">
        <v>216</v>
      </c>
      <c r="C1810" s="23" t="s">
        <v>198</v>
      </c>
      <c r="D1810" s="23" t="s">
        <v>58</v>
      </c>
      <c r="E1810" s="24">
        <v>45423.0</v>
      </c>
      <c r="F1810" s="25">
        <v>0.21319444444444444</v>
      </c>
      <c r="G1810" s="25">
        <v>0.6881944444444444</v>
      </c>
      <c r="H1810" s="27">
        <f t="shared" si="2"/>
        <v>0.475</v>
      </c>
      <c r="I1810" s="28">
        <v>4.0</v>
      </c>
      <c r="J1810" s="29" t="s">
        <v>55</v>
      </c>
      <c r="K1810" s="30" t="s">
        <v>23</v>
      </c>
      <c r="L1810" s="31" t="str">
        <f>IFERROR(__xludf.DUMMYFUNCTION("IF(OR(E1810="""",K1810=""""),"""",IFERROR(IF(K1810="""","""",query('tbl user'!$A$2:$D10975,""SELECT A WHERE D = '""&amp;K1810&amp;""'"")),""USER TIDAK DIKETAHUI""))"),"#REF!")</f>
        <v>#REF!</v>
      </c>
    </row>
    <row r="1811">
      <c r="A1811" s="21">
        <f t="shared" si="1"/>
        <v>0</v>
      </c>
      <c r="B1811" s="32" t="s">
        <v>200</v>
      </c>
      <c r="C1811" s="23" t="s">
        <v>201</v>
      </c>
      <c r="D1811" s="23" t="s">
        <v>58</v>
      </c>
      <c r="E1811" s="24">
        <v>45423.0</v>
      </c>
      <c r="F1811" s="25">
        <v>0.21388888888888888</v>
      </c>
      <c r="G1811" s="25">
        <v>0.6763888888888889</v>
      </c>
      <c r="H1811" s="27">
        <f t="shared" si="2"/>
        <v>0.4625</v>
      </c>
      <c r="I1811" s="28">
        <v>4.0</v>
      </c>
      <c r="J1811" s="29" t="s">
        <v>55</v>
      </c>
      <c r="K1811" s="30" t="s">
        <v>23</v>
      </c>
      <c r="L1811" s="31" t="str">
        <f>IFERROR(__xludf.DUMMYFUNCTION("IF(OR(E1811="""",K1811=""""),"""",IFERROR(IF(K1811="""","""",query('tbl user'!$A$2:$D10975,""SELECT A WHERE D = '""&amp;K1811&amp;""'"")),""USER TIDAK DIKETAHUI""))"),"#REF!")</f>
        <v>#REF!</v>
      </c>
    </row>
    <row r="1812">
      <c r="A1812" s="21">
        <f t="shared" si="1"/>
        <v>0</v>
      </c>
      <c r="B1812" s="32" t="s">
        <v>104</v>
      </c>
      <c r="C1812" s="23" t="s">
        <v>105</v>
      </c>
      <c r="D1812" s="23" t="s">
        <v>58</v>
      </c>
      <c r="E1812" s="24">
        <v>45423.0</v>
      </c>
      <c r="F1812" s="25">
        <v>0.24166666666666667</v>
      </c>
      <c r="G1812" s="25">
        <v>0.7215277777777778</v>
      </c>
      <c r="H1812" s="27">
        <f t="shared" si="2"/>
        <v>0.4798611111</v>
      </c>
      <c r="I1812" s="28">
        <v>4.0</v>
      </c>
      <c r="J1812" s="29" t="s">
        <v>55</v>
      </c>
      <c r="K1812" s="30" t="s">
        <v>23</v>
      </c>
      <c r="L1812" s="31" t="str">
        <f>IFERROR(__xludf.DUMMYFUNCTION("IF(OR(E1812="""",K1812=""""),"""",IFERROR(IF(K1812="""","""",query('tbl user'!$A$2:$D10975,""SELECT A WHERE D = '""&amp;K1812&amp;""'"")),""USER TIDAK DIKETAHUI""))"),"#REF!")</f>
        <v>#REF!</v>
      </c>
    </row>
    <row r="1813">
      <c r="A1813" s="21">
        <f t="shared" si="1"/>
        <v>0</v>
      </c>
      <c r="B1813" s="32" t="s">
        <v>205</v>
      </c>
      <c r="C1813" s="23" t="s">
        <v>206</v>
      </c>
      <c r="D1813" s="23" t="s">
        <v>58</v>
      </c>
      <c r="E1813" s="24">
        <v>45423.0</v>
      </c>
      <c r="F1813" s="25">
        <v>0.21805555555555556</v>
      </c>
      <c r="G1813" s="25">
        <v>0.7</v>
      </c>
      <c r="H1813" s="27">
        <f t="shared" si="2"/>
        <v>0.4819444444</v>
      </c>
      <c r="I1813" s="28">
        <v>4.0</v>
      </c>
      <c r="J1813" s="29" t="s">
        <v>55</v>
      </c>
      <c r="K1813" s="30" t="s">
        <v>23</v>
      </c>
      <c r="L1813" s="31" t="str">
        <f>IFERROR(__xludf.DUMMYFUNCTION("IF(OR(E1813="""",K1813=""""),"""",IFERROR(IF(K1813="""","""",query('tbl user'!$A$2:$D10975,""SELECT A WHERE D = '""&amp;K1813&amp;""'"")),""USER TIDAK DIKETAHUI""))"),"#REF!")</f>
        <v>#REF!</v>
      </c>
    </row>
    <row r="1814">
      <c r="A1814" s="21">
        <f t="shared" si="1"/>
        <v>0</v>
      </c>
      <c r="B1814" s="32" t="s">
        <v>34</v>
      </c>
      <c r="C1814" s="23" t="s">
        <v>35</v>
      </c>
      <c r="D1814" s="23" t="s">
        <v>21</v>
      </c>
      <c r="E1814" s="24">
        <v>45423.0</v>
      </c>
      <c r="F1814" s="25">
        <v>0.2763888888888889</v>
      </c>
      <c r="G1814" s="25">
        <v>0.45208333333333334</v>
      </c>
      <c r="H1814" s="27">
        <f t="shared" si="2"/>
        <v>0.1756944444</v>
      </c>
      <c r="I1814" s="28">
        <v>1.0</v>
      </c>
      <c r="J1814" s="29" t="s">
        <v>914</v>
      </c>
      <c r="K1814" s="30" t="s">
        <v>23</v>
      </c>
      <c r="L1814" s="31" t="str">
        <f>IFERROR(__xludf.DUMMYFUNCTION("IF(OR(E1814="""",K1814=""""),"""",IFERROR(IF(K1814="""","""",query('tbl user'!$A$2:$D10975,""SELECT A WHERE D = '""&amp;K1814&amp;""'"")),""USER TIDAK DIKETAHUI""))"),"#REF!")</f>
        <v>#REF!</v>
      </c>
    </row>
    <row r="1815">
      <c r="A1815" s="21">
        <f t="shared" si="1"/>
        <v>0</v>
      </c>
      <c r="B1815" s="32" t="s">
        <v>175</v>
      </c>
      <c r="C1815" s="23" t="s">
        <v>259</v>
      </c>
      <c r="D1815" s="23" t="s">
        <v>21</v>
      </c>
      <c r="E1815" s="24">
        <v>45423.0</v>
      </c>
      <c r="F1815" s="25">
        <v>0.2875</v>
      </c>
      <c r="G1815" s="25">
        <v>0.5444444444444444</v>
      </c>
      <c r="H1815" s="27">
        <f t="shared" si="2"/>
        <v>0.2569444444</v>
      </c>
      <c r="I1815" s="28">
        <v>2.0</v>
      </c>
      <c r="J1815" s="29" t="s">
        <v>915</v>
      </c>
      <c r="K1815" s="30" t="s">
        <v>23</v>
      </c>
      <c r="L1815" s="31" t="str">
        <f>IFERROR(__xludf.DUMMYFUNCTION("IF(OR(E1815="""",K1815=""""),"""",IFERROR(IF(K1815="""","""",query('tbl user'!$A$2:$D10975,""SELECT A WHERE D = '""&amp;K1815&amp;""'"")),""USER TIDAK DIKETAHUI""))"),"#REF!")</f>
        <v>#REF!</v>
      </c>
    </row>
    <row r="1816">
      <c r="A1816" s="21">
        <f t="shared" si="1"/>
        <v>0</v>
      </c>
      <c r="B1816" s="32" t="s">
        <v>243</v>
      </c>
      <c r="C1816" s="23" t="s">
        <v>244</v>
      </c>
      <c r="D1816" s="23" t="s">
        <v>21</v>
      </c>
      <c r="E1816" s="24">
        <v>45423.0</v>
      </c>
      <c r="F1816" s="25">
        <v>0.28055555555555556</v>
      </c>
      <c r="G1816" s="25">
        <v>0.6027777777777777</v>
      </c>
      <c r="H1816" s="27">
        <f t="shared" si="2"/>
        <v>0.3222222222</v>
      </c>
      <c r="I1816" s="28">
        <v>3.0</v>
      </c>
      <c r="J1816" s="29" t="s">
        <v>916</v>
      </c>
      <c r="K1816" s="30" t="s">
        <v>23</v>
      </c>
      <c r="L1816" s="31" t="str">
        <f>IFERROR(__xludf.DUMMYFUNCTION("IF(OR(E1816="""",K1816=""""),"""",IFERROR(IF(K1816="""","""",query('tbl user'!$A$2:$D10975,""SELECT A WHERE D = '""&amp;K1816&amp;""'"")),""USER TIDAK DIKETAHUI""))"),"#REF!")</f>
        <v>#REF!</v>
      </c>
    </row>
    <row r="1817">
      <c r="A1817" s="21">
        <f t="shared" si="1"/>
        <v>0</v>
      </c>
      <c r="B1817" s="32" t="s">
        <v>43</v>
      </c>
      <c r="C1817" s="23" t="s">
        <v>44</v>
      </c>
      <c r="D1817" s="23" t="s">
        <v>21</v>
      </c>
      <c r="E1817" s="24">
        <v>45423.0</v>
      </c>
      <c r="F1817" s="25">
        <v>0.2951388888888889</v>
      </c>
      <c r="G1817" s="25">
        <v>0.6465277777777778</v>
      </c>
      <c r="H1817" s="27">
        <f t="shared" si="2"/>
        <v>0.3513888889</v>
      </c>
      <c r="I1817" s="28">
        <v>3.0</v>
      </c>
      <c r="J1817" s="29" t="s">
        <v>917</v>
      </c>
      <c r="K1817" s="30" t="s">
        <v>23</v>
      </c>
      <c r="L1817" s="31" t="str">
        <f>IFERROR(__xludf.DUMMYFUNCTION("IF(OR(E1817="""",K1817=""""),"""",IFERROR(IF(K1817="""","""",query('tbl user'!$A$2:$D10975,""SELECT A WHERE D = '""&amp;K1817&amp;""'"")),""USER TIDAK DIKETAHUI""))"),"#REF!")</f>
        <v>#REF!</v>
      </c>
    </row>
    <row r="1818">
      <c r="A1818" s="21">
        <f t="shared" si="1"/>
        <v>0</v>
      </c>
      <c r="B1818" s="32" t="s">
        <v>172</v>
      </c>
      <c r="C1818" s="23" t="s">
        <v>239</v>
      </c>
      <c r="D1818" s="23" t="s">
        <v>21</v>
      </c>
      <c r="E1818" s="24">
        <v>45423.0</v>
      </c>
      <c r="F1818" s="25">
        <v>0.29444444444444445</v>
      </c>
      <c r="G1818" s="25">
        <v>0.6861111111111111</v>
      </c>
      <c r="H1818" s="27">
        <f t="shared" si="2"/>
        <v>0.3916666667</v>
      </c>
      <c r="I1818" s="28">
        <v>4.0</v>
      </c>
      <c r="J1818" s="29" t="s">
        <v>213</v>
      </c>
      <c r="K1818" s="30" t="s">
        <v>23</v>
      </c>
      <c r="L1818" s="31" t="str">
        <f>IFERROR(__xludf.DUMMYFUNCTION("IF(OR(E1818="""",K1818=""""),"""",IFERROR(IF(K1818="""","""",query('tbl user'!$A$2:$D10975,""SELECT A WHERE D = '""&amp;K1818&amp;""'"")),""USER TIDAK DIKETAHUI""))"),"#REF!")</f>
        <v>#REF!</v>
      </c>
    </row>
    <row r="1819">
      <c r="A1819" s="21">
        <f t="shared" si="1"/>
        <v>0</v>
      </c>
      <c r="B1819" s="32" t="s">
        <v>246</v>
      </c>
      <c r="C1819" s="23" t="s">
        <v>99</v>
      </c>
      <c r="D1819" s="23" t="s">
        <v>21</v>
      </c>
      <c r="E1819" s="24">
        <v>45423.0</v>
      </c>
      <c r="F1819" s="25">
        <v>0.2722222222222222</v>
      </c>
      <c r="G1819" s="25">
        <v>0.7555555555555555</v>
      </c>
      <c r="H1819" s="27">
        <f t="shared" si="2"/>
        <v>0.4833333333</v>
      </c>
      <c r="I1819" s="28">
        <v>4.0</v>
      </c>
      <c r="J1819" s="29" t="s">
        <v>213</v>
      </c>
      <c r="K1819" s="30" t="s">
        <v>23</v>
      </c>
      <c r="L1819" s="31" t="str">
        <f>IFERROR(__xludf.DUMMYFUNCTION("IF(OR(E1819="""",K1819=""""),"""",IFERROR(IF(K1819="""","""",query('tbl user'!$A$2:$D10975,""SELECT A WHERE D = '""&amp;K1819&amp;""'"")),""USER TIDAK DIKETAHUI""))"),"#REF!")</f>
        <v>#REF!</v>
      </c>
    </row>
    <row r="1820">
      <c r="A1820" s="21">
        <f t="shared" si="1"/>
        <v>0</v>
      </c>
      <c r="B1820" s="32" t="s">
        <v>24</v>
      </c>
      <c r="C1820" s="23" t="s">
        <v>25</v>
      </c>
      <c r="D1820" s="23" t="s">
        <v>21</v>
      </c>
      <c r="E1820" s="24">
        <v>45423.0</v>
      </c>
      <c r="F1820" s="25">
        <v>0.29444444444444445</v>
      </c>
      <c r="G1820" s="25">
        <v>0.7763888888888889</v>
      </c>
      <c r="H1820" s="27">
        <f t="shared" si="2"/>
        <v>0.4819444444</v>
      </c>
      <c r="I1820" s="28">
        <v>4.0</v>
      </c>
      <c r="J1820" s="29" t="s">
        <v>213</v>
      </c>
      <c r="K1820" s="30" t="s">
        <v>23</v>
      </c>
      <c r="L1820" s="31" t="str">
        <f>IFERROR(__xludf.DUMMYFUNCTION("IF(OR(E1820="""",K1820=""""),"""",IFERROR(IF(K1820="""","""",query('tbl user'!$A$2:$D10975,""SELECT A WHERE D = '""&amp;K1820&amp;""'"")),""USER TIDAK DIKETAHUI""))"),"#REF!")</f>
        <v>#REF!</v>
      </c>
    </row>
    <row r="1821">
      <c r="A1821" s="21">
        <f t="shared" si="1"/>
        <v>0</v>
      </c>
      <c r="B1821" s="32" t="s">
        <v>253</v>
      </c>
      <c r="C1821" s="23" t="s">
        <v>102</v>
      </c>
      <c r="D1821" s="23" t="s">
        <v>21</v>
      </c>
      <c r="E1821" s="24">
        <v>45423.0</v>
      </c>
      <c r="F1821" s="25">
        <v>0.2625</v>
      </c>
      <c r="G1821" s="25">
        <v>0.7340277777777777</v>
      </c>
      <c r="H1821" s="27">
        <f t="shared" si="2"/>
        <v>0.4715277778</v>
      </c>
      <c r="I1821" s="28">
        <v>4.0</v>
      </c>
      <c r="J1821" s="29" t="s">
        <v>424</v>
      </c>
      <c r="K1821" s="30" t="s">
        <v>23</v>
      </c>
      <c r="L1821" s="31" t="str">
        <f>IFERROR(__xludf.DUMMYFUNCTION("IF(OR(E1821="""",K1821=""""),"""",IFERROR(IF(K1821="""","""",query('tbl user'!$A$2:$D10975,""SELECT A WHERE D = '""&amp;K1821&amp;""'"")),""USER TIDAK DIKETAHUI""))"),"#REF!")</f>
        <v>#REF!</v>
      </c>
    </row>
    <row r="1822">
      <c r="A1822" s="21">
        <f t="shared" si="1"/>
        <v>0</v>
      </c>
      <c r="B1822" s="32" t="s">
        <v>159</v>
      </c>
      <c r="C1822" s="23" t="s">
        <v>306</v>
      </c>
      <c r="D1822" s="23" t="s">
        <v>21</v>
      </c>
      <c r="E1822" s="24">
        <v>45423.0</v>
      </c>
      <c r="F1822" s="25">
        <v>0.3013888888888889</v>
      </c>
      <c r="G1822" s="25">
        <v>0.7583333333333333</v>
      </c>
      <c r="H1822" s="27">
        <f t="shared" si="2"/>
        <v>0.4569444444</v>
      </c>
      <c r="I1822" s="28">
        <v>4.0</v>
      </c>
      <c r="J1822" s="29" t="s">
        <v>918</v>
      </c>
      <c r="K1822" s="30" t="s">
        <v>23</v>
      </c>
      <c r="L1822" s="31" t="str">
        <f>IFERROR(__xludf.DUMMYFUNCTION("IF(OR(E1822="""",K1822=""""),"""",IFERROR(IF(K1822="""","""",query('tbl user'!$A$2:$D10975,""SELECT A WHERE D = '""&amp;K1822&amp;""'"")),""USER TIDAK DIKETAHUI""))"),"#REF!")</f>
        <v>#REF!</v>
      </c>
    </row>
    <row r="1823">
      <c r="A1823" s="21">
        <f t="shared" si="1"/>
        <v>0</v>
      </c>
      <c r="B1823" s="32" t="s">
        <v>255</v>
      </c>
      <c r="C1823" s="23" t="s">
        <v>256</v>
      </c>
      <c r="D1823" s="23" t="s">
        <v>21</v>
      </c>
      <c r="E1823" s="24">
        <v>45423.0</v>
      </c>
      <c r="F1823" s="25">
        <v>0.26875</v>
      </c>
      <c r="G1823" s="25">
        <v>0.7284722222222222</v>
      </c>
      <c r="H1823" s="27">
        <f t="shared" si="2"/>
        <v>0.4597222222</v>
      </c>
      <c r="I1823" s="28">
        <v>4.0</v>
      </c>
      <c r="J1823" s="29" t="s">
        <v>919</v>
      </c>
      <c r="K1823" s="30" t="s">
        <v>23</v>
      </c>
      <c r="L1823" s="31" t="str">
        <f>IFERROR(__xludf.DUMMYFUNCTION("IF(OR(E1823="""",K1823=""""),"""",IFERROR(IF(K1823="""","""",query('tbl user'!$A$2:$D10975,""SELECT A WHERE D = '""&amp;K1823&amp;""'"")),""USER TIDAK DIKETAHUI""))"),"#REF!")</f>
        <v>#REF!</v>
      </c>
    </row>
    <row r="1824">
      <c r="A1824" s="21">
        <f t="shared" si="1"/>
        <v>0</v>
      </c>
      <c r="B1824" s="32" t="s">
        <v>593</v>
      </c>
      <c r="C1824" s="23" t="s">
        <v>236</v>
      </c>
      <c r="D1824" s="23" t="s">
        <v>21</v>
      </c>
      <c r="E1824" s="24">
        <v>45423.0</v>
      </c>
      <c r="F1824" s="25">
        <v>0.2152777777777778</v>
      </c>
      <c r="G1824" s="25">
        <v>0.7638888888888888</v>
      </c>
      <c r="H1824" s="27">
        <f t="shared" si="2"/>
        <v>0.5486111111</v>
      </c>
      <c r="I1824" s="28">
        <v>4.0</v>
      </c>
      <c r="J1824" s="29" t="s">
        <v>920</v>
      </c>
      <c r="K1824" s="30" t="s">
        <v>23</v>
      </c>
      <c r="L1824" s="31" t="str">
        <f>IFERROR(__xludf.DUMMYFUNCTION("IF(OR(E1824="""",K1824=""""),"""",IFERROR(IF(K1824="""","""",query('tbl user'!$A$2:$D10975,""SELECT A WHERE D = '""&amp;K1824&amp;""'"")),""USER TIDAK DIKETAHUI""))"),"#REF!")</f>
        <v>#REF!</v>
      </c>
    </row>
    <row r="1825">
      <c r="A1825" s="21">
        <f t="shared" si="1"/>
        <v>0</v>
      </c>
      <c r="B1825" s="32" t="s">
        <v>81</v>
      </c>
      <c r="C1825" s="23" t="s">
        <v>261</v>
      </c>
      <c r="D1825" s="23" t="s">
        <v>21</v>
      </c>
      <c r="E1825" s="24">
        <v>45423.0</v>
      </c>
      <c r="F1825" s="25">
        <v>0.2569444444444444</v>
      </c>
      <c r="G1825" s="25">
        <v>0.6951388888888889</v>
      </c>
      <c r="H1825" s="27">
        <f t="shared" si="2"/>
        <v>0.4381944444</v>
      </c>
      <c r="I1825" s="28">
        <v>4.0</v>
      </c>
      <c r="J1825" s="29" t="s">
        <v>213</v>
      </c>
      <c r="K1825" s="30" t="s">
        <v>23</v>
      </c>
      <c r="L1825" s="31" t="str">
        <f>IFERROR(__xludf.DUMMYFUNCTION("IF(OR(E1825="""",K1825=""""),"""",IFERROR(IF(K1825="""","""",query('tbl user'!$A$2:$D10975,""SELECT A WHERE D = '""&amp;K1825&amp;""'"")),""USER TIDAK DIKETAHUI""))"),"#REF!")</f>
        <v>#REF!</v>
      </c>
    </row>
    <row r="1826">
      <c r="A1826" s="21">
        <f t="shared" si="1"/>
        <v>0</v>
      </c>
      <c r="B1826" s="32" t="s">
        <v>305</v>
      </c>
      <c r="C1826" s="23" t="s">
        <v>251</v>
      </c>
      <c r="D1826" s="23" t="s">
        <v>21</v>
      </c>
      <c r="E1826" s="24">
        <v>45423.0</v>
      </c>
      <c r="F1826" s="25">
        <v>0.21319444444444444</v>
      </c>
      <c r="G1826" s="25">
        <v>0.7722222222222223</v>
      </c>
      <c r="H1826" s="27">
        <f t="shared" si="2"/>
        <v>0.5590277778</v>
      </c>
      <c r="I1826" s="28">
        <v>5.0</v>
      </c>
      <c r="J1826" s="29" t="s">
        <v>55</v>
      </c>
      <c r="K1826" s="30" t="s">
        <v>23</v>
      </c>
      <c r="L1826" s="31" t="str">
        <f>IFERROR(__xludf.DUMMYFUNCTION("IF(OR(E1826="""",K1826=""""),"""",IFERROR(IF(K1826="""","""",query('tbl user'!$A$2:$D10975,""SELECT A WHERE D = '""&amp;K1826&amp;""'"")),""USER TIDAK DIKETAHUI""))"),"#REF!")</f>
        <v>#REF!</v>
      </c>
    </row>
    <row r="1827">
      <c r="A1827" s="21">
        <f t="shared" si="1"/>
        <v>0</v>
      </c>
      <c r="B1827" s="32" t="s">
        <v>662</v>
      </c>
      <c r="C1827" s="23" t="s">
        <v>234</v>
      </c>
      <c r="D1827" s="23" t="s">
        <v>21</v>
      </c>
      <c r="E1827" s="24">
        <v>45423.0</v>
      </c>
      <c r="F1827" s="25">
        <v>0.2548611111111111</v>
      </c>
      <c r="G1827" s="25">
        <v>0.7722222222222223</v>
      </c>
      <c r="H1827" s="27">
        <f t="shared" si="2"/>
        <v>0.5173611111</v>
      </c>
      <c r="I1827" s="28">
        <v>5.0</v>
      </c>
      <c r="J1827" s="29" t="s">
        <v>55</v>
      </c>
      <c r="K1827" s="30" t="s">
        <v>23</v>
      </c>
      <c r="L1827" s="31" t="str">
        <f>IFERROR(__xludf.DUMMYFUNCTION("IF(OR(E1827="""",K1827=""""),"""",IFERROR(IF(K1827="""","""",query('tbl user'!$A$2:$D10975,""SELECT A WHERE D = '""&amp;K1827&amp;""'"")),""USER TIDAK DIKETAHUI""))"),"#REF!")</f>
        <v>#REF!</v>
      </c>
    </row>
    <row r="1828">
      <c r="A1828" s="21">
        <f t="shared" si="1"/>
        <v>0</v>
      </c>
      <c r="B1828" s="32" t="s">
        <v>37</v>
      </c>
      <c r="C1828" s="23" t="s">
        <v>38</v>
      </c>
      <c r="D1828" s="23" t="s">
        <v>21</v>
      </c>
      <c r="E1828" s="24">
        <v>45423.0</v>
      </c>
      <c r="F1828" s="25">
        <v>0.30069444444444443</v>
      </c>
      <c r="G1828" s="25">
        <v>0.4395833333333333</v>
      </c>
      <c r="H1828" s="27">
        <f t="shared" si="2"/>
        <v>0.1388888889</v>
      </c>
      <c r="I1828" s="28">
        <v>1.0</v>
      </c>
      <c r="J1828" s="29" t="s">
        <v>921</v>
      </c>
      <c r="K1828" s="30" t="s">
        <v>23</v>
      </c>
      <c r="L1828" s="31" t="str">
        <f>IFERROR(__xludf.DUMMYFUNCTION("IF(OR(E1828="""",K1828=""""),"""",IFERROR(IF(K1828="""","""",query('tbl user'!$A$2:$D10975,""SELECT A WHERE D = '""&amp;K1828&amp;""'"")),""USER TIDAK DIKETAHUI""))"),"#REF!")</f>
        <v>#REF!</v>
      </c>
    </row>
    <row r="1829">
      <c r="A1829" s="21">
        <f t="shared" si="1"/>
        <v>0</v>
      </c>
      <c r="B1829" s="32" t="s">
        <v>64</v>
      </c>
      <c r="C1829" s="23" t="s">
        <v>65</v>
      </c>
      <c r="D1829" s="23" t="s">
        <v>21</v>
      </c>
      <c r="E1829" s="24">
        <v>45423.0</v>
      </c>
      <c r="F1829" s="25">
        <v>0.5666666666666667</v>
      </c>
      <c r="G1829" s="25">
        <v>0.6326388888888889</v>
      </c>
      <c r="H1829" s="27">
        <f t="shared" si="2"/>
        <v>0.06597222222</v>
      </c>
      <c r="I1829" s="28">
        <v>1.0</v>
      </c>
      <c r="J1829" s="29" t="s">
        <v>922</v>
      </c>
      <c r="K1829" s="30" t="s">
        <v>23</v>
      </c>
      <c r="L1829" s="31" t="str">
        <f>IFERROR(__xludf.DUMMYFUNCTION("IF(OR(E1829="""",K1829=""""),"""",IFERROR(IF(K1829="""","""",query('tbl user'!$A$2:$D10975,""SELECT A WHERE D = '""&amp;K1829&amp;""'"")),""USER TIDAK DIKETAHUI""))"),"#REF!")</f>
        <v>#REF!</v>
      </c>
    </row>
    <row r="1830">
      <c r="A1830" s="21">
        <f t="shared" si="1"/>
        <v>0</v>
      </c>
      <c r="B1830" s="32" t="s">
        <v>51</v>
      </c>
      <c r="C1830" s="23" t="s">
        <v>27</v>
      </c>
      <c r="D1830" s="23" t="s">
        <v>21</v>
      </c>
      <c r="E1830" s="24">
        <v>45423.0</v>
      </c>
      <c r="F1830" s="25">
        <v>0.2638888888888889</v>
      </c>
      <c r="G1830" s="25">
        <v>0.41388888888888886</v>
      </c>
      <c r="H1830" s="27">
        <f t="shared" si="2"/>
        <v>0.15</v>
      </c>
      <c r="I1830" s="28">
        <v>1.0</v>
      </c>
      <c r="J1830" s="29" t="s">
        <v>923</v>
      </c>
      <c r="K1830" s="30" t="s">
        <v>23</v>
      </c>
      <c r="L1830" s="31" t="str">
        <f>IFERROR(__xludf.DUMMYFUNCTION("IF(OR(E1830="""",K1830=""""),"""",IFERROR(IF(K1830="""","""",query('tbl user'!$A$2:$D10975,""SELECT A WHERE D = '""&amp;K1830&amp;""'"")),""USER TIDAK DIKETAHUI""))"),"#REF!")</f>
        <v>#REF!</v>
      </c>
    </row>
    <row r="1831">
      <c r="A1831" s="21">
        <f t="shared" si="1"/>
        <v>0</v>
      </c>
      <c r="B1831" s="32" t="s">
        <v>284</v>
      </c>
      <c r="C1831" s="23" t="s">
        <v>285</v>
      </c>
      <c r="D1831" s="23" t="s">
        <v>21</v>
      </c>
      <c r="E1831" s="24">
        <v>45423.0</v>
      </c>
      <c r="F1831" s="25">
        <v>0.5277777777777778</v>
      </c>
      <c r="G1831" s="25">
        <v>0.6319444444444444</v>
      </c>
      <c r="H1831" s="27">
        <f t="shared" si="2"/>
        <v>0.1041666667</v>
      </c>
      <c r="I1831" s="28">
        <v>1.0</v>
      </c>
      <c r="J1831" s="29" t="s">
        <v>924</v>
      </c>
      <c r="K1831" s="30" t="s">
        <v>23</v>
      </c>
      <c r="L1831" s="31" t="str">
        <f>IFERROR(__xludf.DUMMYFUNCTION("IF(OR(E1831="""",K1831=""""),"""",IFERROR(IF(K1831="""","""",query('tbl user'!$A$2:$D10975,""SELECT A WHERE D = '""&amp;K1831&amp;""'"")),""USER TIDAK DIKETAHUI""))"),"#REF!")</f>
        <v>#REF!</v>
      </c>
    </row>
    <row r="1832">
      <c r="A1832" s="21">
        <f t="shared" si="1"/>
        <v>0</v>
      </c>
      <c r="B1832" s="32" t="s">
        <v>281</v>
      </c>
      <c r="C1832" s="23" t="s">
        <v>282</v>
      </c>
      <c r="D1832" s="23" t="s">
        <v>21</v>
      </c>
      <c r="E1832" s="24">
        <v>45423.0</v>
      </c>
      <c r="F1832" s="25">
        <v>0.26458333333333334</v>
      </c>
      <c r="G1832" s="25">
        <v>0.6388888888888888</v>
      </c>
      <c r="H1832" s="27">
        <f t="shared" si="2"/>
        <v>0.3743055556</v>
      </c>
      <c r="I1832" s="28">
        <v>2.0</v>
      </c>
      <c r="J1832" s="29" t="s">
        <v>925</v>
      </c>
      <c r="K1832" s="30" t="s">
        <v>23</v>
      </c>
      <c r="L1832" s="31" t="str">
        <f>IFERROR(__xludf.DUMMYFUNCTION("IF(OR(E1832="""",K1832=""""),"""",IFERROR(IF(K1832="""","""",query('tbl user'!$A$2:$D10975,""SELECT A WHERE D = '""&amp;K1832&amp;""'"")),""USER TIDAK DIKETAHUI""))"),"#REF!")</f>
        <v>#REF!</v>
      </c>
    </row>
    <row r="1833">
      <c r="A1833" s="21">
        <f t="shared" si="1"/>
        <v>0</v>
      </c>
      <c r="B1833" s="32" t="s">
        <v>61</v>
      </c>
      <c r="C1833" s="23" t="s">
        <v>62</v>
      </c>
      <c r="D1833" s="23" t="s">
        <v>21</v>
      </c>
      <c r="E1833" s="24">
        <v>45423.0</v>
      </c>
      <c r="F1833" s="25">
        <v>0.2923611111111111</v>
      </c>
      <c r="G1833" s="25">
        <v>0.6555555555555556</v>
      </c>
      <c r="H1833" s="27">
        <f t="shared" si="2"/>
        <v>0.3631944444</v>
      </c>
      <c r="I1833" s="28">
        <v>3.0</v>
      </c>
      <c r="J1833" s="29" t="s">
        <v>352</v>
      </c>
      <c r="K1833" s="30" t="s">
        <v>23</v>
      </c>
      <c r="L1833" s="31" t="str">
        <f>IFERROR(__xludf.DUMMYFUNCTION("IF(OR(E1833="""",K1833=""""),"""",IFERROR(IF(K1833="""","""",query('tbl user'!$A$2:$D10975,""SELECT A WHERE D = '""&amp;K1833&amp;""'"")),""USER TIDAK DIKETAHUI""))"),"#REF!")</f>
        <v>#REF!</v>
      </c>
    </row>
    <row r="1834">
      <c r="A1834" s="21">
        <f t="shared" si="1"/>
        <v>0</v>
      </c>
      <c r="B1834" s="32" t="s">
        <v>286</v>
      </c>
      <c r="C1834" s="23" t="s">
        <v>287</v>
      </c>
      <c r="D1834" s="23" t="s">
        <v>21</v>
      </c>
      <c r="E1834" s="24">
        <v>45423.0</v>
      </c>
      <c r="F1834" s="25">
        <v>0.2923611111111111</v>
      </c>
      <c r="G1834" s="25">
        <v>0.6180555555555556</v>
      </c>
      <c r="H1834" s="27">
        <f t="shared" si="2"/>
        <v>0.3256944444</v>
      </c>
      <c r="I1834" s="28">
        <v>3.0</v>
      </c>
      <c r="J1834" s="29" t="s">
        <v>926</v>
      </c>
      <c r="K1834" s="30" t="s">
        <v>23</v>
      </c>
      <c r="L1834" s="31" t="str">
        <f>IFERROR(__xludf.DUMMYFUNCTION("IF(OR(E1834="""",K1834=""""),"""",IFERROR(IF(K1834="""","""",query('tbl user'!$A$2:$D10975,""SELECT A WHERE D = '""&amp;K1834&amp;""'"")),""USER TIDAK DIKETAHUI""))"),"#REF!")</f>
        <v>#REF!</v>
      </c>
    </row>
    <row r="1835">
      <c r="A1835" s="21">
        <f t="shared" si="1"/>
        <v>0</v>
      </c>
      <c r="B1835" s="32" t="s">
        <v>289</v>
      </c>
      <c r="C1835" s="23" t="s">
        <v>290</v>
      </c>
      <c r="D1835" s="23" t="s">
        <v>21</v>
      </c>
      <c r="E1835" s="24">
        <v>45423.0</v>
      </c>
      <c r="F1835" s="25">
        <v>0.30416666666666664</v>
      </c>
      <c r="G1835" s="25">
        <v>0.7263888888888889</v>
      </c>
      <c r="H1835" s="27">
        <f t="shared" si="2"/>
        <v>0.4222222222</v>
      </c>
      <c r="I1835" s="28">
        <v>4.0</v>
      </c>
      <c r="J1835" s="29" t="s">
        <v>55</v>
      </c>
      <c r="K1835" s="30" t="s">
        <v>23</v>
      </c>
      <c r="L1835" s="31" t="str">
        <f>IFERROR(__xludf.DUMMYFUNCTION("IF(OR(E1835="""",K1835=""""),"""",IFERROR(IF(K1835="""","""",query('tbl user'!$A$2:$D10975,""SELECT A WHERE D = '""&amp;K1835&amp;""'"")),""USER TIDAK DIKETAHUI""))"),"#REF!")</f>
        <v>#REF!</v>
      </c>
    </row>
    <row r="1836">
      <c r="A1836" s="21">
        <f t="shared" si="1"/>
        <v>0</v>
      </c>
      <c r="B1836" s="32" t="s">
        <v>131</v>
      </c>
      <c r="C1836" s="23" t="s">
        <v>339</v>
      </c>
      <c r="D1836" s="23" t="s">
        <v>21</v>
      </c>
      <c r="E1836" s="24">
        <v>45423.0</v>
      </c>
      <c r="F1836" s="25">
        <v>0.26458333333333334</v>
      </c>
      <c r="G1836" s="25">
        <v>0.39444444444444443</v>
      </c>
      <c r="H1836" s="27">
        <f t="shared" si="2"/>
        <v>0.1298611111</v>
      </c>
      <c r="I1836" s="28">
        <v>1.0</v>
      </c>
      <c r="J1836" s="29" t="s">
        <v>927</v>
      </c>
      <c r="K1836" s="30" t="s">
        <v>23</v>
      </c>
      <c r="L1836" s="31" t="str">
        <f>IFERROR(__xludf.DUMMYFUNCTION("IF(OR(E1836="""",K1836=""""),"""",IFERROR(IF(K1836="""","""",query('tbl user'!$A$2:$D10975,""SELECT A WHERE D = '""&amp;K1836&amp;""'"")),""USER TIDAK DIKETAHUI""))"),"#REF!")</f>
        <v>#REF!</v>
      </c>
    </row>
    <row r="1837">
      <c r="A1837" s="21">
        <f t="shared" si="1"/>
        <v>0</v>
      </c>
      <c r="B1837" s="32" t="s">
        <v>219</v>
      </c>
      <c r="C1837" s="23" t="s">
        <v>340</v>
      </c>
      <c r="D1837" s="23" t="s">
        <v>21</v>
      </c>
      <c r="E1837" s="24">
        <v>45423.0</v>
      </c>
      <c r="F1837" s="25">
        <v>0.21736111111111112</v>
      </c>
      <c r="G1837" s="25">
        <v>0.4673611111111111</v>
      </c>
      <c r="H1837" s="27">
        <f t="shared" si="2"/>
        <v>0.25</v>
      </c>
      <c r="I1837" s="28">
        <v>2.0</v>
      </c>
      <c r="J1837" s="29" t="s">
        <v>928</v>
      </c>
      <c r="K1837" s="30" t="s">
        <v>23</v>
      </c>
      <c r="L1837" s="31" t="str">
        <f>IFERROR(__xludf.DUMMYFUNCTION("IF(OR(E1837="""",K1837=""""),"""",IFERROR(IF(K1837="""","""",query('tbl user'!$A$2:$D10975,""SELECT A WHERE D = '""&amp;K1837&amp;""'"")),""USER TIDAK DIKETAHUI""))"),"#REF!")</f>
        <v>#REF!</v>
      </c>
    </row>
    <row r="1838">
      <c r="A1838" s="21">
        <f t="shared" si="1"/>
        <v>0</v>
      </c>
      <c r="B1838" s="32" t="s">
        <v>220</v>
      </c>
      <c r="C1838" s="23" t="s">
        <v>334</v>
      </c>
      <c r="D1838" s="23" t="s">
        <v>21</v>
      </c>
      <c r="E1838" s="24">
        <v>45423.0</v>
      </c>
      <c r="F1838" s="25">
        <v>0.37777777777777777</v>
      </c>
      <c r="G1838" s="25">
        <v>0.775</v>
      </c>
      <c r="H1838" s="27">
        <f t="shared" si="2"/>
        <v>0.3972222222</v>
      </c>
      <c r="I1838" s="28">
        <v>3.0</v>
      </c>
      <c r="J1838" s="29" t="s">
        <v>929</v>
      </c>
      <c r="K1838" s="30" t="s">
        <v>23</v>
      </c>
      <c r="L1838" s="31" t="str">
        <f>IFERROR(__xludf.DUMMYFUNCTION("IF(OR(E1838="""",K1838=""""),"""",IFERROR(IF(K1838="""","""",query('tbl user'!$A$2:$D10975,""SELECT A WHERE D = '""&amp;K1838&amp;""'"")),""USER TIDAK DIKETAHUI""))"),"#REF!")</f>
        <v>#REF!</v>
      </c>
    </row>
    <row r="1839">
      <c r="A1839" s="21">
        <f t="shared" si="1"/>
        <v>0</v>
      </c>
      <c r="B1839" s="32" t="s">
        <v>87</v>
      </c>
      <c r="C1839" s="23" t="s">
        <v>88</v>
      </c>
      <c r="D1839" s="23" t="s">
        <v>21</v>
      </c>
      <c r="E1839" s="24">
        <v>45423.0</v>
      </c>
      <c r="F1839" s="25">
        <v>0.2548611111111111</v>
      </c>
      <c r="G1839" s="25">
        <v>0.7541666666666667</v>
      </c>
      <c r="H1839" s="27">
        <f t="shared" si="2"/>
        <v>0.4993055556</v>
      </c>
      <c r="I1839" s="28">
        <v>3.0</v>
      </c>
      <c r="J1839" s="29" t="s">
        <v>930</v>
      </c>
      <c r="K1839" s="30" t="s">
        <v>23</v>
      </c>
      <c r="L1839" s="31" t="str">
        <f>IFERROR(__xludf.DUMMYFUNCTION("IF(OR(E1839="""",K1839=""""),"""",IFERROR(IF(K1839="""","""",query('tbl user'!$A$2:$D10975,""SELECT A WHERE D = '""&amp;K1839&amp;""'"")),""USER TIDAK DIKETAHUI""))"),"#REF!")</f>
        <v>#REF!</v>
      </c>
    </row>
    <row r="1840">
      <c r="A1840" s="21">
        <f t="shared" si="1"/>
        <v>0</v>
      </c>
      <c r="B1840" s="32" t="s">
        <v>337</v>
      </c>
      <c r="C1840" s="23" t="s">
        <v>338</v>
      </c>
      <c r="D1840" s="23" t="s">
        <v>21</v>
      </c>
      <c r="E1840" s="24">
        <v>45423.0</v>
      </c>
      <c r="F1840" s="25">
        <v>0.28125</v>
      </c>
      <c r="G1840" s="25">
        <v>0.7055555555555556</v>
      </c>
      <c r="H1840" s="27">
        <f t="shared" si="2"/>
        <v>0.4243055556</v>
      </c>
      <c r="I1840" s="28">
        <v>3.0</v>
      </c>
      <c r="J1840" s="29" t="s">
        <v>931</v>
      </c>
      <c r="K1840" s="30" t="s">
        <v>23</v>
      </c>
      <c r="L1840" s="31" t="str">
        <f>IFERROR(__xludf.DUMMYFUNCTION("IF(OR(E1840="""",K1840=""""),"""",IFERROR(IF(K1840="""","""",query('tbl user'!$A$2:$D10975,""SELECT A WHERE D = '""&amp;K1840&amp;""'"")),""USER TIDAK DIKETAHUI""))"),"#REF!")</f>
        <v>#REF!</v>
      </c>
    </row>
    <row r="1841">
      <c r="A1841" s="21">
        <f t="shared" si="1"/>
        <v>0</v>
      </c>
      <c r="B1841" s="32" t="s">
        <v>331</v>
      </c>
      <c r="C1841" s="23" t="s">
        <v>332</v>
      </c>
      <c r="D1841" s="23" t="s">
        <v>21</v>
      </c>
      <c r="E1841" s="24">
        <v>45423.0</v>
      </c>
      <c r="F1841" s="25">
        <v>0.21805555555555556</v>
      </c>
      <c r="G1841" s="25">
        <v>0.7430555555555556</v>
      </c>
      <c r="H1841" s="27">
        <f t="shared" si="2"/>
        <v>0.525</v>
      </c>
      <c r="I1841" s="28">
        <v>4.0</v>
      </c>
      <c r="J1841" s="29" t="s">
        <v>932</v>
      </c>
      <c r="K1841" s="30" t="s">
        <v>23</v>
      </c>
      <c r="L1841" s="31" t="str">
        <f>IFERROR(__xludf.DUMMYFUNCTION("IF(OR(E1841="""",K1841=""""),"""",IFERROR(IF(K1841="""","""",query('tbl user'!$A$2:$D10975,""SELECT A WHERE D = '""&amp;K1841&amp;""'"")),""USER TIDAK DIKETAHUI""))"),"#REF!")</f>
        <v>#REF!</v>
      </c>
    </row>
    <row r="1842">
      <c r="A1842" s="21">
        <f t="shared" si="1"/>
        <v>0</v>
      </c>
      <c r="B1842" s="32" t="s">
        <v>335</v>
      </c>
      <c r="C1842" s="23" t="s">
        <v>336</v>
      </c>
      <c r="D1842" s="23" t="s">
        <v>21</v>
      </c>
      <c r="E1842" s="24">
        <v>45423.0</v>
      </c>
      <c r="F1842" s="25">
        <v>0.29305555555555557</v>
      </c>
      <c r="G1842" s="25">
        <v>0.6875</v>
      </c>
      <c r="H1842" s="27">
        <f t="shared" si="2"/>
        <v>0.3944444444</v>
      </c>
      <c r="I1842" s="28">
        <v>4.0</v>
      </c>
      <c r="J1842" s="29" t="s">
        <v>213</v>
      </c>
      <c r="K1842" s="30" t="s">
        <v>23</v>
      </c>
      <c r="L1842" s="31" t="str">
        <f>IFERROR(__xludf.DUMMYFUNCTION("IF(OR(E1842="""",K1842=""""),"""",IFERROR(IF(K1842="""","""",query('tbl user'!$A$2:$D10975,""SELECT A WHERE D = '""&amp;K1842&amp;""'"")),""USER TIDAK DIKETAHUI""))"),"#REF!")</f>
        <v>#REF!</v>
      </c>
    </row>
    <row r="1843">
      <c r="A1843" s="21">
        <f t="shared" si="1"/>
        <v>0</v>
      </c>
      <c r="B1843" s="32" t="s">
        <v>716</v>
      </c>
      <c r="C1843" s="23" t="s">
        <v>316</v>
      </c>
      <c r="D1843" s="23" t="s">
        <v>21</v>
      </c>
      <c r="E1843" s="24">
        <v>45423.0</v>
      </c>
      <c r="F1843" s="25">
        <v>0.25833333333333336</v>
      </c>
      <c r="G1843" s="25">
        <v>0.6715277777777777</v>
      </c>
      <c r="H1843" s="27">
        <f t="shared" si="2"/>
        <v>0.4131944444</v>
      </c>
      <c r="I1843" s="28">
        <v>4.0</v>
      </c>
      <c r="J1843" s="29" t="s">
        <v>933</v>
      </c>
      <c r="K1843" s="30" t="s">
        <v>23</v>
      </c>
      <c r="L1843" s="31" t="str">
        <f>IFERROR(__xludf.DUMMYFUNCTION("IF(OR(E1843="""",K1843=""""),"""",IFERROR(IF(K1843="""","""",query('tbl user'!$A$2:$D10975,""SELECT A WHERE D = '""&amp;K1843&amp;""'"")),""USER TIDAK DIKETAHUI""))"),"#REF!")</f>
        <v>#REF!</v>
      </c>
    </row>
    <row r="1844">
      <c r="A1844" s="21">
        <f t="shared" si="1"/>
        <v>0</v>
      </c>
      <c r="B1844" s="32" t="s">
        <v>53</v>
      </c>
      <c r="C1844" s="23" t="s">
        <v>54</v>
      </c>
      <c r="D1844" s="23" t="s">
        <v>21</v>
      </c>
      <c r="E1844" s="24">
        <v>45423.0</v>
      </c>
      <c r="F1844" s="25">
        <v>0.2548611111111111</v>
      </c>
      <c r="G1844" s="25">
        <v>0.6680555555555555</v>
      </c>
      <c r="H1844" s="27">
        <f t="shared" si="2"/>
        <v>0.4131944444</v>
      </c>
      <c r="I1844" s="28">
        <v>4.0</v>
      </c>
      <c r="J1844" s="29" t="s">
        <v>177</v>
      </c>
      <c r="K1844" s="30" t="s">
        <v>23</v>
      </c>
      <c r="L1844" s="31" t="str">
        <f>IFERROR(__xludf.DUMMYFUNCTION("IF(OR(E1844="""",K1844=""""),"""",IFERROR(IF(K1844="""","""",query('tbl user'!$A$2:$D10975,""SELECT A WHERE D = '""&amp;K1844&amp;""'"")),""USER TIDAK DIKETAHUI""))"),"#REF!")</f>
        <v>#REF!</v>
      </c>
    </row>
    <row r="1845">
      <c r="A1845" s="21">
        <f t="shared" si="1"/>
        <v>0</v>
      </c>
      <c r="B1845" s="32" t="s">
        <v>601</v>
      </c>
      <c r="C1845" s="23" t="s">
        <v>323</v>
      </c>
      <c r="D1845" s="23" t="s">
        <v>21</v>
      </c>
      <c r="E1845" s="24">
        <v>45423.0</v>
      </c>
      <c r="F1845" s="25">
        <v>0.2625</v>
      </c>
      <c r="G1845" s="25">
        <v>0.6888888888888889</v>
      </c>
      <c r="H1845" s="27">
        <f t="shared" si="2"/>
        <v>0.4263888889</v>
      </c>
      <c r="I1845" s="28">
        <v>4.0</v>
      </c>
      <c r="J1845" s="29" t="s">
        <v>213</v>
      </c>
      <c r="K1845" s="30" t="s">
        <v>23</v>
      </c>
      <c r="L1845" s="31" t="str">
        <f>IFERROR(__xludf.DUMMYFUNCTION("IF(OR(E1845="""",K1845=""""),"""",IFERROR(IF(K1845="""","""",query('tbl user'!$A$2:$D10975,""SELECT A WHERE D = '""&amp;K1845&amp;""'"")),""USER TIDAK DIKETAHUI""))"),"#REF!")</f>
        <v>#REF!</v>
      </c>
    </row>
    <row r="1846">
      <c r="A1846" s="21">
        <f t="shared" si="1"/>
        <v>0</v>
      </c>
      <c r="B1846" s="32" t="s">
        <v>328</v>
      </c>
      <c r="C1846" s="23" t="s">
        <v>329</v>
      </c>
      <c r="D1846" s="23" t="s">
        <v>21</v>
      </c>
      <c r="E1846" s="24">
        <v>45423.0</v>
      </c>
      <c r="F1846" s="25">
        <v>0.25972222222222224</v>
      </c>
      <c r="G1846" s="25">
        <v>0.7138888888888889</v>
      </c>
      <c r="H1846" s="27">
        <f t="shared" si="2"/>
        <v>0.4541666667</v>
      </c>
      <c r="I1846" s="28">
        <v>5.0</v>
      </c>
      <c r="J1846" s="29" t="s">
        <v>55</v>
      </c>
      <c r="K1846" s="30" t="s">
        <v>23</v>
      </c>
      <c r="L1846" s="31" t="str">
        <f>IFERROR(__xludf.DUMMYFUNCTION("IF(OR(E1846="""",K1846=""""),"""",IFERROR(IF(K1846="""","""",query('tbl user'!$A$2:$D10975,""SELECT A WHERE D = '""&amp;K1846&amp;""'"")),""USER TIDAK DIKETAHUI""))"),"#REF!")</f>
        <v>#REF!</v>
      </c>
    </row>
    <row r="1847">
      <c r="A1847" s="21">
        <f t="shared" si="1"/>
        <v>0</v>
      </c>
      <c r="B1847" s="32" t="s">
        <v>325</v>
      </c>
      <c r="C1847" s="23" t="s">
        <v>326</v>
      </c>
      <c r="D1847" s="23" t="s">
        <v>21</v>
      </c>
      <c r="E1847" s="24">
        <v>45423.0</v>
      </c>
      <c r="F1847" s="25">
        <v>0.24513888888888888</v>
      </c>
      <c r="G1847" s="25">
        <v>0.6986111111111111</v>
      </c>
      <c r="H1847" s="27">
        <f t="shared" si="2"/>
        <v>0.4534722222</v>
      </c>
      <c r="I1847" s="28">
        <v>5.0</v>
      </c>
      <c r="J1847" s="29" t="s">
        <v>55</v>
      </c>
      <c r="K1847" s="30" t="s">
        <v>23</v>
      </c>
      <c r="L1847" s="31" t="str">
        <f>IFERROR(__xludf.DUMMYFUNCTION("IF(OR(E1847="""",K1847=""""),"""",IFERROR(IF(K1847="""","""",query('tbl user'!$A$2:$D10975,""SELECT A WHERE D = '""&amp;K1847&amp;""'"")),""USER TIDAK DIKETAHUI""))"),"#REF!")</f>
        <v>#REF!</v>
      </c>
    </row>
    <row r="1848">
      <c r="A1848" s="21">
        <f t="shared" si="1"/>
        <v>0</v>
      </c>
      <c r="B1848" s="32" t="s">
        <v>577</v>
      </c>
      <c r="C1848" s="23" t="s">
        <v>330</v>
      </c>
      <c r="D1848" s="23" t="s">
        <v>21</v>
      </c>
      <c r="E1848" s="24">
        <v>45423.0</v>
      </c>
      <c r="F1848" s="25">
        <v>0.2611111111111111</v>
      </c>
      <c r="G1848" s="25">
        <v>0.7138888888888889</v>
      </c>
      <c r="H1848" s="27">
        <f t="shared" si="2"/>
        <v>0.4527777778</v>
      </c>
      <c r="I1848" s="28">
        <v>5.0</v>
      </c>
      <c r="J1848" s="29" t="s">
        <v>55</v>
      </c>
      <c r="K1848" s="30" t="s">
        <v>23</v>
      </c>
      <c r="L1848" s="31" t="str">
        <f>IFERROR(__xludf.DUMMYFUNCTION("IF(OR(E1848="""",K1848=""""),"""",IFERROR(IF(K1848="""","""",query('tbl user'!$A$2:$D10975,""SELECT A WHERE D = '""&amp;K1848&amp;""'"")),""USER TIDAK DIKETAHUI""))"),"#REF!")</f>
        <v>#REF!</v>
      </c>
    </row>
    <row r="1849">
      <c r="A1849" s="21">
        <f t="shared" si="1"/>
        <v>0</v>
      </c>
      <c r="B1849" s="32" t="s">
        <v>319</v>
      </c>
      <c r="C1849" s="23" t="s">
        <v>320</v>
      </c>
      <c r="D1849" s="23" t="s">
        <v>21</v>
      </c>
      <c r="E1849" s="24">
        <v>45423.0</v>
      </c>
      <c r="F1849" s="25">
        <v>0.21875</v>
      </c>
      <c r="G1849" s="25">
        <v>0.7659722222222223</v>
      </c>
      <c r="H1849" s="27">
        <f t="shared" si="2"/>
        <v>0.5472222222</v>
      </c>
      <c r="I1849" s="28">
        <v>6.0</v>
      </c>
      <c r="J1849" s="29" t="s">
        <v>55</v>
      </c>
      <c r="K1849" s="30" t="s">
        <v>23</v>
      </c>
      <c r="L1849" s="31" t="str">
        <f>IFERROR(__xludf.DUMMYFUNCTION("IF(OR(E1849="""",K1849=""""),"""",IFERROR(IF(K1849="""","""",query('tbl user'!$A$2:$D10975,""SELECT A WHERE D = '""&amp;K1849&amp;""'"")),""USER TIDAK DIKETAHUI""))"),"#REF!")</f>
        <v>#REF!</v>
      </c>
    </row>
    <row r="1850">
      <c r="A1850" s="21">
        <f t="shared" si="1"/>
        <v>0</v>
      </c>
      <c r="B1850" s="32" t="s">
        <v>412</v>
      </c>
      <c r="C1850" s="23" t="s">
        <v>413</v>
      </c>
      <c r="D1850" s="23" t="s">
        <v>32</v>
      </c>
      <c r="E1850" s="24">
        <v>45423.0</v>
      </c>
      <c r="F1850" s="25">
        <v>0.2986111111111111</v>
      </c>
      <c r="G1850" s="25">
        <v>0.4576388888888889</v>
      </c>
      <c r="H1850" s="27">
        <f t="shared" si="2"/>
        <v>0.1590277778</v>
      </c>
      <c r="I1850" s="28">
        <v>1.0</v>
      </c>
      <c r="J1850" s="29" t="s">
        <v>934</v>
      </c>
      <c r="K1850" s="30" t="s">
        <v>23</v>
      </c>
      <c r="L1850" s="31" t="str">
        <f>IFERROR(__xludf.DUMMYFUNCTION("IF(OR(E1850="""",K1850=""""),"""",IFERROR(IF(K1850="""","""",query('tbl user'!$A$2:$D10975,""SELECT A WHERE D = '""&amp;K1850&amp;""'"")),""USER TIDAK DIKETAHUI""))"),"#REF!")</f>
        <v>#REF!</v>
      </c>
    </row>
    <row r="1851">
      <c r="A1851" s="21">
        <f t="shared" si="1"/>
        <v>0</v>
      </c>
      <c r="B1851" s="32" t="s">
        <v>46</v>
      </c>
      <c r="C1851" s="23" t="s">
        <v>47</v>
      </c>
      <c r="D1851" s="23" t="s">
        <v>32</v>
      </c>
      <c r="E1851" s="24">
        <v>45423.0</v>
      </c>
      <c r="F1851" s="25">
        <v>0.44027777777777777</v>
      </c>
      <c r="G1851" s="25">
        <v>0.6229166666666667</v>
      </c>
      <c r="H1851" s="27">
        <f t="shared" si="2"/>
        <v>0.1826388889</v>
      </c>
      <c r="I1851" s="28">
        <v>2.0</v>
      </c>
      <c r="J1851" s="29" t="s">
        <v>935</v>
      </c>
      <c r="K1851" s="30" t="s">
        <v>23</v>
      </c>
      <c r="L1851" s="31" t="str">
        <f>IFERROR(__xludf.DUMMYFUNCTION("IF(OR(E1851="""",K1851=""""),"""",IFERROR(IF(K1851="""","""",query('tbl user'!$A$2:$D10975,""SELECT A WHERE D = '""&amp;K1851&amp;""'"")),""USER TIDAK DIKETAHUI""))"),"#REF!")</f>
        <v>#REF!</v>
      </c>
    </row>
    <row r="1852">
      <c r="A1852" s="21">
        <f t="shared" si="1"/>
        <v>0</v>
      </c>
      <c r="B1852" s="32" t="s">
        <v>127</v>
      </c>
      <c r="C1852" s="23" t="s">
        <v>128</v>
      </c>
      <c r="D1852" s="23" t="s">
        <v>32</v>
      </c>
      <c r="E1852" s="24">
        <v>45423.0</v>
      </c>
      <c r="F1852" s="25">
        <v>0.34305555555555556</v>
      </c>
      <c r="G1852" s="25">
        <v>0.6854166666666667</v>
      </c>
      <c r="H1852" s="27">
        <f t="shared" si="2"/>
        <v>0.3423611111</v>
      </c>
      <c r="I1852" s="28">
        <v>3.0</v>
      </c>
      <c r="J1852" s="29" t="s">
        <v>936</v>
      </c>
      <c r="K1852" s="30" t="s">
        <v>23</v>
      </c>
      <c r="L1852" s="31" t="str">
        <f>IFERROR(__xludf.DUMMYFUNCTION("IF(OR(E1852="""",K1852=""""),"""",IFERROR(IF(K1852="""","""",query('tbl user'!$A$2:$D10975,""SELECT A WHERE D = '""&amp;K1852&amp;""'"")),""USER TIDAK DIKETAHUI""))"),"#REF!")</f>
        <v>#REF!</v>
      </c>
    </row>
    <row r="1853">
      <c r="A1853" s="21">
        <f t="shared" si="1"/>
        <v>0</v>
      </c>
      <c r="B1853" s="32" t="s">
        <v>144</v>
      </c>
      <c r="C1853" s="23" t="s">
        <v>145</v>
      </c>
      <c r="D1853" s="23" t="s">
        <v>32</v>
      </c>
      <c r="E1853" s="24">
        <v>45423.0</v>
      </c>
      <c r="F1853" s="25">
        <v>0.26944444444444443</v>
      </c>
      <c r="G1853" s="25">
        <v>0.7361111111111112</v>
      </c>
      <c r="H1853" s="27">
        <f t="shared" si="2"/>
        <v>0.4666666667</v>
      </c>
      <c r="I1853" s="28">
        <v>3.0</v>
      </c>
      <c r="J1853" s="29" t="s">
        <v>937</v>
      </c>
      <c r="K1853" s="30" t="s">
        <v>23</v>
      </c>
      <c r="L1853" s="31" t="str">
        <f>IFERROR(__xludf.DUMMYFUNCTION("IF(OR(E1853="""",K1853=""""),"""",IFERROR(IF(K1853="""","""",query('tbl user'!$A$2:$D10975,""SELECT A WHERE D = '""&amp;K1853&amp;""'"")),""USER TIDAK DIKETAHUI""))"),"#REF!")</f>
        <v>#REF!</v>
      </c>
    </row>
    <row r="1854">
      <c r="A1854" s="21">
        <f t="shared" si="1"/>
        <v>0</v>
      </c>
      <c r="B1854" s="32" t="s">
        <v>141</v>
      </c>
      <c r="C1854" s="23" t="s">
        <v>142</v>
      </c>
      <c r="D1854" s="23" t="s">
        <v>32</v>
      </c>
      <c r="E1854" s="24">
        <v>45423.0</v>
      </c>
      <c r="F1854" s="25">
        <v>0.2708333333333333</v>
      </c>
      <c r="G1854" s="25">
        <v>0.6388888888888888</v>
      </c>
      <c r="H1854" s="27">
        <f t="shared" si="2"/>
        <v>0.3680555556</v>
      </c>
      <c r="I1854" s="28">
        <v>4.0</v>
      </c>
      <c r="J1854" s="29" t="s">
        <v>55</v>
      </c>
      <c r="K1854" s="30" t="s">
        <v>23</v>
      </c>
      <c r="L1854" s="31" t="str">
        <f>IFERROR(__xludf.DUMMYFUNCTION("IF(OR(E1854="""",K1854=""""),"""",IFERROR(IF(K1854="""","""",query('tbl user'!$A$2:$D10975,""SELECT A WHERE D = '""&amp;K1854&amp;""'"")),""USER TIDAK DIKETAHUI""))"),"#REF!")</f>
        <v>#REF!</v>
      </c>
    </row>
    <row r="1855">
      <c r="A1855" s="21">
        <f t="shared" si="1"/>
        <v>0</v>
      </c>
      <c r="B1855" s="32" t="s">
        <v>146</v>
      </c>
      <c r="C1855" s="23" t="s">
        <v>147</v>
      </c>
      <c r="D1855" s="23" t="s">
        <v>32</v>
      </c>
      <c r="E1855" s="24">
        <v>45423.0</v>
      </c>
      <c r="F1855" s="25">
        <v>0.26875</v>
      </c>
      <c r="G1855" s="25">
        <v>0.6944444444444444</v>
      </c>
      <c r="H1855" s="27">
        <f t="shared" si="2"/>
        <v>0.4256944444</v>
      </c>
      <c r="I1855" s="28">
        <v>4.0</v>
      </c>
      <c r="J1855" s="29" t="s">
        <v>55</v>
      </c>
      <c r="K1855" s="30" t="s">
        <v>23</v>
      </c>
      <c r="L1855" s="31" t="str">
        <f>IFERROR(__xludf.DUMMYFUNCTION("IF(OR(E1855="""",K1855=""""),"""",IFERROR(IF(K1855="""","""",query('tbl user'!$A$2:$D10975,""SELECT A WHERE D = '""&amp;K1855&amp;""'"")),""USER TIDAK DIKETAHUI""))"),"#REF!")</f>
        <v>#REF!</v>
      </c>
    </row>
    <row r="1856">
      <c r="A1856" s="21">
        <f t="shared" si="1"/>
        <v>0</v>
      </c>
      <c r="B1856" s="32" t="s">
        <v>149</v>
      </c>
      <c r="C1856" s="23" t="s">
        <v>150</v>
      </c>
      <c r="D1856" s="23" t="s">
        <v>32</v>
      </c>
      <c r="E1856" s="24">
        <v>45423.0</v>
      </c>
      <c r="F1856" s="25">
        <v>0.24791666666666667</v>
      </c>
      <c r="G1856" s="25">
        <v>0.6986111111111111</v>
      </c>
      <c r="H1856" s="27">
        <f t="shared" si="2"/>
        <v>0.4506944444</v>
      </c>
      <c r="I1856" s="28">
        <v>4.0</v>
      </c>
      <c r="J1856" s="29" t="s">
        <v>55</v>
      </c>
      <c r="K1856" s="30" t="s">
        <v>23</v>
      </c>
      <c r="L1856" s="31" t="str">
        <f>IFERROR(__xludf.DUMMYFUNCTION("IF(OR(E1856="""",K1856=""""),"""",IFERROR(IF(K1856="""","""",query('tbl user'!$A$2:$D10975,""SELECT A WHERE D = '""&amp;K1856&amp;""'"")),""USER TIDAK DIKETAHUI""))"),"#REF!")</f>
        <v>#REF!</v>
      </c>
    </row>
    <row r="1857">
      <c r="A1857" s="21">
        <f t="shared" si="1"/>
        <v>0</v>
      </c>
      <c r="B1857" s="32" t="s">
        <v>151</v>
      </c>
      <c r="C1857" s="23" t="s">
        <v>152</v>
      </c>
      <c r="D1857" s="23" t="s">
        <v>32</v>
      </c>
      <c r="E1857" s="24">
        <v>45423.0</v>
      </c>
      <c r="F1857" s="25">
        <v>0.26875</v>
      </c>
      <c r="G1857" s="25">
        <v>0.6993055555555555</v>
      </c>
      <c r="H1857" s="27">
        <f t="shared" si="2"/>
        <v>0.4305555556</v>
      </c>
      <c r="I1857" s="28">
        <v>4.0</v>
      </c>
      <c r="J1857" s="29" t="s">
        <v>55</v>
      </c>
      <c r="K1857" s="30" t="s">
        <v>23</v>
      </c>
      <c r="L1857" s="31" t="str">
        <f>IFERROR(__xludf.DUMMYFUNCTION("IF(OR(E1857="""",K1857=""""),"""",IFERROR(IF(K1857="""","""",query('tbl user'!$A$2:$D10975,""SELECT A WHERE D = '""&amp;K1857&amp;""'"")),""USER TIDAK DIKETAHUI""))"),"#REF!")</f>
        <v>#REF!</v>
      </c>
    </row>
    <row r="1858">
      <c r="A1858" s="21">
        <f t="shared" si="1"/>
        <v>0</v>
      </c>
      <c r="B1858" s="32" t="s">
        <v>250</v>
      </c>
      <c r="C1858" s="23" t="s">
        <v>315</v>
      </c>
      <c r="D1858" s="23" t="s">
        <v>32</v>
      </c>
      <c r="E1858" s="24">
        <v>45423.0</v>
      </c>
      <c r="F1858" s="25">
        <v>0.26944444444444443</v>
      </c>
      <c r="G1858" s="25">
        <v>0.7111111111111111</v>
      </c>
      <c r="H1858" s="27">
        <f t="shared" si="2"/>
        <v>0.4416666667</v>
      </c>
      <c r="I1858" s="28">
        <v>5.0</v>
      </c>
      <c r="J1858" s="29" t="s">
        <v>55</v>
      </c>
      <c r="K1858" s="30" t="s">
        <v>23</v>
      </c>
      <c r="L1858" s="31" t="str">
        <f>IFERROR(__xludf.DUMMYFUNCTION("IF(OR(E1858="""",K1858=""""),"""",IFERROR(IF(K1858="""","""",query('tbl user'!$A$2:$D10975,""SELECT A WHERE D = '""&amp;K1858&amp;""'"")),""USER TIDAK DIKETAHUI""))"),"#REF!")</f>
        <v>#REF!</v>
      </c>
    </row>
    <row r="1859">
      <c r="A1859" s="21">
        <f t="shared" si="1"/>
        <v>0</v>
      </c>
      <c r="B1859" s="32" t="s">
        <v>110</v>
      </c>
      <c r="C1859" s="23" t="s">
        <v>111</v>
      </c>
      <c r="D1859" s="23" t="s">
        <v>32</v>
      </c>
      <c r="E1859" s="24">
        <v>45423.0</v>
      </c>
      <c r="F1859" s="25">
        <v>0.27708333333333335</v>
      </c>
      <c r="G1859" s="25">
        <v>0.7277777777777777</v>
      </c>
      <c r="H1859" s="27">
        <f t="shared" si="2"/>
        <v>0.4506944444</v>
      </c>
      <c r="I1859" s="28">
        <v>5.0</v>
      </c>
      <c r="J1859" s="29" t="s">
        <v>55</v>
      </c>
      <c r="K1859" s="30" t="s">
        <v>23</v>
      </c>
      <c r="L1859" s="31" t="str">
        <f>IFERROR(__xludf.DUMMYFUNCTION("IF(OR(E1859="""",K1859=""""),"""",IFERROR(IF(K1859="""","""",query('tbl user'!$A$2:$D10975,""SELECT A WHERE D = '""&amp;K1859&amp;""'"")),""USER TIDAK DIKETAHUI""))"),"#REF!")</f>
        <v>#REF!</v>
      </c>
    </row>
    <row r="1860">
      <c r="A1860" s="21">
        <f t="shared" si="1"/>
        <v>0</v>
      </c>
      <c r="B1860" s="32" t="s">
        <v>113</v>
      </c>
      <c r="C1860" s="23" t="s">
        <v>114</v>
      </c>
      <c r="D1860" s="23" t="s">
        <v>32</v>
      </c>
      <c r="E1860" s="24">
        <v>45423.0</v>
      </c>
      <c r="F1860" s="25">
        <v>0.21736111111111112</v>
      </c>
      <c r="G1860" s="25">
        <v>0.7020833333333333</v>
      </c>
      <c r="H1860" s="27">
        <f t="shared" si="2"/>
        <v>0.4847222222</v>
      </c>
      <c r="I1860" s="28">
        <v>5.0</v>
      </c>
      <c r="J1860" s="29" t="s">
        <v>55</v>
      </c>
      <c r="K1860" s="30" t="s">
        <v>23</v>
      </c>
      <c r="L1860" s="31" t="str">
        <f>IFERROR(__xludf.DUMMYFUNCTION("IF(OR(E1860="""",K1860=""""),"""",IFERROR(IF(K1860="""","""",query('tbl user'!$A$2:$D10975,""SELECT A WHERE D = '""&amp;K1860&amp;""'"")),""USER TIDAK DIKETAHUI""))"),"#REF!")</f>
        <v>#REF!</v>
      </c>
    </row>
    <row r="1861">
      <c r="A1861" s="21">
        <f t="shared" si="1"/>
        <v>0</v>
      </c>
      <c r="B1861" s="32" t="s">
        <v>184</v>
      </c>
      <c r="C1861" s="23" t="s">
        <v>185</v>
      </c>
      <c r="D1861" s="23" t="s">
        <v>58</v>
      </c>
      <c r="E1861" s="24">
        <v>45424.0</v>
      </c>
      <c r="F1861" s="25">
        <v>0.5208333333333334</v>
      </c>
      <c r="G1861" s="25">
        <v>0.6368055555555555</v>
      </c>
      <c r="H1861" s="27">
        <f t="shared" si="2"/>
        <v>0.1159722222</v>
      </c>
      <c r="I1861" s="28">
        <v>1.0</v>
      </c>
      <c r="J1861" s="29" t="s">
        <v>938</v>
      </c>
      <c r="K1861" s="30" t="s">
        <v>23</v>
      </c>
      <c r="L1861" s="31" t="str">
        <f>IFERROR(__xludf.DUMMYFUNCTION("IF(OR(E1861="""",K1861=""""),"""",IFERROR(IF(K1861="""","""",query('tbl user'!$A$2:$D10975,""SELECT A WHERE D = '""&amp;K1861&amp;""'"")),""USER TIDAK DIKETAHUI""))"),"#REF!")</f>
        <v>#REF!</v>
      </c>
    </row>
    <row r="1862">
      <c r="A1862" s="21">
        <f t="shared" si="1"/>
        <v>0</v>
      </c>
      <c r="B1862" s="32" t="s">
        <v>101</v>
      </c>
      <c r="C1862" s="23" t="s">
        <v>93</v>
      </c>
      <c r="D1862" s="23" t="s">
        <v>58</v>
      </c>
      <c r="E1862" s="24">
        <v>45424.0</v>
      </c>
      <c r="F1862" s="25">
        <v>0.3423611111111111</v>
      </c>
      <c r="G1862" s="25">
        <v>0.6527777777777778</v>
      </c>
      <c r="H1862" s="27">
        <f t="shared" si="2"/>
        <v>0.3104166667</v>
      </c>
      <c r="I1862" s="28">
        <v>2.0</v>
      </c>
      <c r="J1862" s="29" t="s">
        <v>939</v>
      </c>
      <c r="K1862" s="30" t="s">
        <v>23</v>
      </c>
      <c r="L1862" s="31" t="str">
        <f>IFERROR(__xludf.DUMMYFUNCTION("IF(OR(E1862="""",K1862=""""),"""",IFERROR(IF(K1862="""","""",query('tbl user'!$A$2:$D10975,""SELECT A WHERE D = '""&amp;K1862&amp;""'"")),""USER TIDAK DIKETAHUI""))"),"#REF!")</f>
        <v>#REF!</v>
      </c>
    </row>
    <row r="1863">
      <c r="A1863" s="21">
        <f t="shared" si="1"/>
        <v>0</v>
      </c>
      <c r="B1863" s="32" t="s">
        <v>67</v>
      </c>
      <c r="C1863" s="23" t="s">
        <v>68</v>
      </c>
      <c r="D1863" s="23" t="s">
        <v>58</v>
      </c>
      <c r="E1863" s="24">
        <v>45424.0</v>
      </c>
      <c r="F1863" s="25">
        <v>0.2569444444444444</v>
      </c>
      <c r="G1863" s="25">
        <v>0.6222222222222222</v>
      </c>
      <c r="H1863" s="27">
        <f t="shared" si="2"/>
        <v>0.3652777778</v>
      </c>
      <c r="I1863" s="28">
        <v>3.0</v>
      </c>
      <c r="J1863" s="29" t="s">
        <v>171</v>
      </c>
      <c r="K1863" s="30" t="s">
        <v>23</v>
      </c>
      <c r="L1863" s="31" t="str">
        <f>IFERROR(__xludf.DUMMYFUNCTION("IF(OR(E1863="""",K1863=""""),"""",IFERROR(IF(K1863="""","""",query('tbl user'!$A$2:$D10975,""SELECT A WHERE D = '""&amp;K1863&amp;""'"")),""USER TIDAK DIKETAHUI""))"),"#REF!")</f>
        <v>#REF!</v>
      </c>
    </row>
    <row r="1864">
      <c r="A1864" s="21">
        <f t="shared" si="1"/>
        <v>0</v>
      </c>
      <c r="B1864" s="32" t="s">
        <v>293</v>
      </c>
      <c r="C1864" s="23" t="s">
        <v>211</v>
      </c>
      <c r="D1864" s="23" t="s">
        <v>58</v>
      </c>
      <c r="E1864" s="24">
        <v>45424.0</v>
      </c>
      <c r="F1864" s="25">
        <v>0.24791666666666667</v>
      </c>
      <c r="G1864" s="25">
        <v>0.6236111111111111</v>
      </c>
      <c r="H1864" s="27">
        <f t="shared" si="2"/>
        <v>0.3756944444</v>
      </c>
      <c r="I1864" s="28">
        <v>3.0</v>
      </c>
      <c r="J1864" s="29" t="s">
        <v>171</v>
      </c>
      <c r="K1864" s="30" t="s">
        <v>23</v>
      </c>
      <c r="L1864" s="31" t="str">
        <f>IFERROR(__xludf.DUMMYFUNCTION("IF(OR(E1864="""",K1864=""""),"""",IFERROR(IF(K1864="""","""",query('tbl user'!$A$2:$D10975,""SELECT A WHERE D = '""&amp;K1864&amp;""'"")),""USER TIDAK DIKETAHUI""))"),"#REF!")</f>
        <v>#REF!</v>
      </c>
    </row>
    <row r="1865">
      <c r="A1865" s="21">
        <f t="shared" si="1"/>
        <v>0</v>
      </c>
      <c r="B1865" s="32" t="s">
        <v>209</v>
      </c>
      <c r="C1865" s="23" t="s">
        <v>170</v>
      </c>
      <c r="D1865" s="23" t="s">
        <v>58</v>
      </c>
      <c r="E1865" s="24">
        <v>45424.0</v>
      </c>
      <c r="F1865" s="25">
        <v>0.25</v>
      </c>
      <c r="G1865" s="25">
        <v>0.6083333333333333</v>
      </c>
      <c r="H1865" s="27">
        <f t="shared" si="2"/>
        <v>0.3583333333</v>
      </c>
      <c r="I1865" s="28">
        <v>3.0</v>
      </c>
      <c r="J1865" s="29" t="s">
        <v>940</v>
      </c>
      <c r="K1865" s="30" t="s">
        <v>23</v>
      </c>
      <c r="L1865" s="31" t="str">
        <f>IFERROR(__xludf.DUMMYFUNCTION("IF(OR(E1865="""",K1865=""""),"""",IFERROR(IF(K1865="""","""",query('tbl user'!$A$2:$D10975,""SELECT A WHERE D = '""&amp;K1865&amp;""'"")),""USER TIDAK DIKETAHUI""))"),"#REF!")</f>
        <v>#REF!</v>
      </c>
    </row>
    <row r="1866">
      <c r="A1866" s="21">
        <f t="shared" si="1"/>
        <v>0</v>
      </c>
      <c r="B1866" s="32" t="s">
        <v>95</v>
      </c>
      <c r="C1866" s="23" t="s">
        <v>176</v>
      </c>
      <c r="D1866" s="23" t="s">
        <v>58</v>
      </c>
      <c r="E1866" s="24">
        <v>45424.0</v>
      </c>
      <c r="F1866" s="25">
        <v>0.25069444444444444</v>
      </c>
      <c r="G1866" s="25">
        <v>0.6201388888888889</v>
      </c>
      <c r="H1866" s="27">
        <f t="shared" si="2"/>
        <v>0.3694444444</v>
      </c>
      <c r="I1866" s="28">
        <v>3.0</v>
      </c>
      <c r="J1866" s="29" t="s">
        <v>171</v>
      </c>
      <c r="K1866" s="30" t="s">
        <v>23</v>
      </c>
      <c r="L1866" s="31" t="str">
        <f>IFERROR(__xludf.DUMMYFUNCTION("IF(OR(E1866="""",K1866=""""),"""",IFERROR(IF(K1866="""","""",query('tbl user'!$A$2:$D10975,""SELECT A WHERE D = '""&amp;K1866&amp;""'"")),""USER TIDAK DIKETAHUI""))"),"#REF!")</f>
        <v>#REF!</v>
      </c>
    </row>
    <row r="1867">
      <c r="A1867" s="21">
        <f t="shared" si="1"/>
        <v>0</v>
      </c>
      <c r="B1867" s="32" t="s">
        <v>225</v>
      </c>
      <c r="C1867" s="23" t="s">
        <v>57</v>
      </c>
      <c r="D1867" s="23" t="s">
        <v>58</v>
      </c>
      <c r="E1867" s="24">
        <v>45424.0</v>
      </c>
      <c r="F1867" s="25">
        <v>0.2875</v>
      </c>
      <c r="G1867" s="25">
        <v>0.6354166666666666</v>
      </c>
      <c r="H1867" s="27">
        <f t="shared" si="2"/>
        <v>0.3479166667</v>
      </c>
      <c r="I1867" s="28">
        <v>3.0</v>
      </c>
      <c r="J1867" s="29" t="s">
        <v>171</v>
      </c>
      <c r="K1867" s="30" t="s">
        <v>23</v>
      </c>
      <c r="L1867" s="31" t="str">
        <f>IFERROR(__xludf.DUMMYFUNCTION("IF(OR(E1867="""",K1867=""""),"""",IFERROR(IF(K1867="""","""",query('tbl user'!$A$2:$D10975,""SELECT A WHERE D = '""&amp;K1867&amp;""'"")),""USER TIDAK DIKETAHUI""))"),"#REF!")</f>
        <v>#REF!</v>
      </c>
    </row>
    <row r="1868">
      <c r="A1868" s="21">
        <f t="shared" si="1"/>
        <v>0</v>
      </c>
      <c r="B1868" s="32" t="s">
        <v>178</v>
      </c>
      <c r="C1868" s="23" t="s">
        <v>82</v>
      </c>
      <c r="D1868" s="23" t="s">
        <v>58</v>
      </c>
      <c r="E1868" s="24">
        <v>45424.0</v>
      </c>
      <c r="F1868" s="25">
        <v>0.2777777777777778</v>
      </c>
      <c r="G1868" s="25">
        <v>0.6416666666666667</v>
      </c>
      <c r="H1868" s="27">
        <f t="shared" si="2"/>
        <v>0.3638888889</v>
      </c>
      <c r="I1868" s="28">
        <v>3.0</v>
      </c>
      <c r="J1868" s="29" t="s">
        <v>171</v>
      </c>
      <c r="K1868" s="30" t="s">
        <v>23</v>
      </c>
      <c r="L1868" s="31" t="str">
        <f>IFERROR(__xludf.DUMMYFUNCTION("IF(OR(E1868="""",K1868=""""),"""",IFERROR(IF(K1868="""","""",query('tbl user'!$A$2:$D10975,""SELECT A WHERE D = '""&amp;K1868&amp;""'"")),""USER TIDAK DIKETAHUI""))"),"#REF!")</f>
        <v>#REF!</v>
      </c>
    </row>
    <row r="1869">
      <c r="A1869" s="21">
        <f t="shared" si="1"/>
        <v>0</v>
      </c>
      <c r="B1869" s="32" t="s">
        <v>187</v>
      </c>
      <c r="C1869" s="23" t="s">
        <v>188</v>
      </c>
      <c r="D1869" s="23" t="s">
        <v>58</v>
      </c>
      <c r="E1869" s="24">
        <v>45424.0</v>
      </c>
      <c r="F1869" s="25">
        <v>0.22291666666666668</v>
      </c>
      <c r="G1869" s="25">
        <v>0.6166666666666667</v>
      </c>
      <c r="H1869" s="27">
        <f t="shared" si="2"/>
        <v>0.39375</v>
      </c>
      <c r="I1869" s="28">
        <v>3.0</v>
      </c>
      <c r="J1869" s="29" t="s">
        <v>171</v>
      </c>
      <c r="K1869" s="30" t="s">
        <v>23</v>
      </c>
      <c r="L1869" s="31" t="str">
        <f>IFERROR(__xludf.DUMMYFUNCTION("IF(OR(E1869="""",K1869=""""),"""",IFERROR(IF(K1869="""","""",query('tbl user'!$A$2:$D10975,""SELECT A WHERE D = '""&amp;K1869&amp;""'"")),""USER TIDAK DIKETAHUI""))"),"#REF!")</f>
        <v>#REF!</v>
      </c>
    </row>
    <row r="1870">
      <c r="A1870" s="21">
        <f t="shared" si="1"/>
        <v>0</v>
      </c>
      <c r="B1870" s="32" t="s">
        <v>189</v>
      </c>
      <c r="C1870" s="23" t="s">
        <v>190</v>
      </c>
      <c r="D1870" s="23" t="s">
        <v>58</v>
      </c>
      <c r="E1870" s="24">
        <v>45424.0</v>
      </c>
      <c r="F1870" s="25">
        <v>0.27569444444444446</v>
      </c>
      <c r="G1870" s="25">
        <v>0.6277777777777778</v>
      </c>
      <c r="H1870" s="27">
        <f t="shared" si="2"/>
        <v>0.3520833333</v>
      </c>
      <c r="I1870" s="28">
        <v>3.0</v>
      </c>
      <c r="J1870" s="29" t="s">
        <v>171</v>
      </c>
      <c r="K1870" s="30" t="s">
        <v>23</v>
      </c>
      <c r="L1870" s="31" t="str">
        <f>IFERROR(__xludf.DUMMYFUNCTION("IF(OR(E1870="""",K1870=""""),"""",IFERROR(IF(K1870="""","""",query('tbl user'!$A$2:$D10975,""SELECT A WHERE D = '""&amp;K1870&amp;""'"")),""USER TIDAK DIKETAHUI""))"),"#REF!")</f>
        <v>#REF!</v>
      </c>
    </row>
    <row r="1871">
      <c r="A1871" s="21">
        <f t="shared" si="1"/>
        <v>0</v>
      </c>
      <c r="B1871" s="32" t="s">
        <v>216</v>
      </c>
      <c r="C1871" s="23" t="s">
        <v>198</v>
      </c>
      <c r="D1871" s="23" t="s">
        <v>58</v>
      </c>
      <c r="E1871" s="24">
        <v>45424.0</v>
      </c>
      <c r="F1871" s="25">
        <v>0.21736111111111112</v>
      </c>
      <c r="G1871" s="25">
        <v>0.6222222222222222</v>
      </c>
      <c r="H1871" s="27">
        <f t="shared" si="2"/>
        <v>0.4048611111</v>
      </c>
      <c r="I1871" s="28">
        <v>3.0</v>
      </c>
      <c r="J1871" s="29" t="s">
        <v>941</v>
      </c>
      <c r="K1871" s="30" t="s">
        <v>23</v>
      </c>
      <c r="L1871" s="31" t="str">
        <f>IFERROR(__xludf.DUMMYFUNCTION("IF(OR(E1871="""",K1871=""""),"""",IFERROR(IF(K1871="""","""",query('tbl user'!$A$2:$D10975,""SELECT A WHERE D = '""&amp;K1871&amp;""'"")),""USER TIDAK DIKETAHUI""))"),"#REF!")</f>
        <v>#REF!</v>
      </c>
    </row>
    <row r="1872">
      <c r="A1872" s="21">
        <f t="shared" si="1"/>
        <v>0</v>
      </c>
      <c r="B1872" s="32" t="s">
        <v>127</v>
      </c>
      <c r="C1872" s="23" t="s">
        <v>105</v>
      </c>
      <c r="D1872" s="23" t="s">
        <v>58</v>
      </c>
      <c r="E1872" s="24">
        <v>45424.0</v>
      </c>
      <c r="F1872" s="25">
        <v>0.29444444444444445</v>
      </c>
      <c r="G1872" s="25">
        <v>0.6833333333333333</v>
      </c>
      <c r="H1872" s="27">
        <f t="shared" si="2"/>
        <v>0.3888888889</v>
      </c>
      <c r="I1872" s="28">
        <v>3.0</v>
      </c>
      <c r="J1872" s="29" t="s">
        <v>171</v>
      </c>
      <c r="K1872" s="30" t="s">
        <v>23</v>
      </c>
      <c r="L1872" s="31" t="str">
        <f>IFERROR(__xludf.DUMMYFUNCTION("IF(OR(E1872="""",K1872=""""),"""",IFERROR(IF(K1872="""","""",query('tbl user'!$A$2:$D10975,""SELECT A WHERE D = '""&amp;K1872&amp;""'"")),""USER TIDAK DIKETAHUI""))"),"#REF!")</f>
        <v>#REF!</v>
      </c>
    </row>
    <row r="1873">
      <c r="A1873" s="21">
        <f t="shared" si="1"/>
        <v>0</v>
      </c>
      <c r="B1873" s="32" t="s">
        <v>202</v>
      </c>
      <c r="C1873" s="23" t="s">
        <v>203</v>
      </c>
      <c r="D1873" s="23" t="s">
        <v>58</v>
      </c>
      <c r="E1873" s="24">
        <v>45424.0</v>
      </c>
      <c r="F1873" s="25">
        <v>0.23819444444444443</v>
      </c>
      <c r="G1873" s="25">
        <v>0.6041666666666666</v>
      </c>
      <c r="H1873" s="27">
        <f t="shared" si="2"/>
        <v>0.3659722222</v>
      </c>
      <c r="I1873" s="28">
        <v>3.0</v>
      </c>
      <c r="J1873" s="29" t="s">
        <v>942</v>
      </c>
      <c r="K1873" s="30" t="s">
        <v>23</v>
      </c>
      <c r="L1873" s="31" t="str">
        <f>IFERROR(__xludf.DUMMYFUNCTION("IF(OR(E1873="""",K1873=""""),"""",IFERROR(IF(K1873="""","""",query('tbl user'!$A$2:$D10975,""SELECT A WHERE D = '""&amp;K1873&amp;""'"")),""USER TIDAK DIKETAHUI""))"),"#REF!")</f>
        <v>#REF!</v>
      </c>
    </row>
    <row r="1874">
      <c r="A1874" s="21">
        <f t="shared" si="1"/>
        <v>0</v>
      </c>
      <c r="B1874" s="32" t="s">
        <v>205</v>
      </c>
      <c r="C1874" s="23" t="s">
        <v>206</v>
      </c>
      <c r="D1874" s="23" t="s">
        <v>58</v>
      </c>
      <c r="E1874" s="24">
        <v>45424.0</v>
      </c>
      <c r="F1874" s="25">
        <v>0.24097222222222223</v>
      </c>
      <c r="G1874" s="25">
        <v>0.6111111111111112</v>
      </c>
      <c r="H1874" s="27">
        <f t="shared" si="2"/>
        <v>0.3701388889</v>
      </c>
      <c r="I1874" s="28">
        <v>3.0</v>
      </c>
      <c r="J1874" s="29" t="s">
        <v>171</v>
      </c>
      <c r="K1874" s="30" t="s">
        <v>23</v>
      </c>
      <c r="L1874" s="31" t="str">
        <f>IFERROR(__xludf.DUMMYFUNCTION("IF(OR(E1874="""",K1874=""""),"""",IFERROR(IF(K1874="""","""",query('tbl user'!$A$2:$D10975,""SELECT A WHERE D = '""&amp;K1874&amp;""'"")),""USER TIDAK DIKETAHUI""))"),"#REF!")</f>
        <v>#REF!</v>
      </c>
    </row>
    <row r="1875">
      <c r="A1875" s="21">
        <f t="shared" si="1"/>
        <v>0</v>
      </c>
      <c r="B1875" s="32" t="s">
        <v>180</v>
      </c>
      <c r="C1875" s="23" t="s">
        <v>181</v>
      </c>
      <c r="D1875" s="23" t="s">
        <v>58</v>
      </c>
      <c r="E1875" s="24">
        <v>45424.0</v>
      </c>
      <c r="F1875" s="25">
        <v>0.2590277777777778</v>
      </c>
      <c r="G1875" s="25">
        <v>0.6923611111111111</v>
      </c>
      <c r="H1875" s="27">
        <f t="shared" si="2"/>
        <v>0.4333333333</v>
      </c>
      <c r="I1875" s="28">
        <v>4.0</v>
      </c>
      <c r="J1875" s="29" t="s">
        <v>55</v>
      </c>
      <c r="K1875" s="30" t="s">
        <v>23</v>
      </c>
      <c r="L1875" s="31" t="str">
        <f>IFERROR(__xludf.DUMMYFUNCTION("IF(OR(E1875="""",K1875=""""),"""",IFERROR(IF(K1875="""","""",query('tbl user'!$A$2:$D10975,""SELECT A WHERE D = '""&amp;K1875&amp;""'"")),""USER TIDAK DIKETAHUI""))"),"#REF!")</f>
        <v>#REF!</v>
      </c>
    </row>
    <row r="1876">
      <c r="A1876" s="21">
        <f t="shared" si="1"/>
        <v>0</v>
      </c>
      <c r="B1876" s="32" t="s">
        <v>182</v>
      </c>
      <c r="C1876" s="23" t="s">
        <v>183</v>
      </c>
      <c r="D1876" s="23" t="s">
        <v>58</v>
      </c>
      <c r="E1876" s="24">
        <v>45424.0</v>
      </c>
      <c r="F1876" s="25">
        <v>0.22083333333333333</v>
      </c>
      <c r="G1876" s="25">
        <v>0.6256944444444444</v>
      </c>
      <c r="H1876" s="27">
        <f t="shared" si="2"/>
        <v>0.4048611111</v>
      </c>
      <c r="I1876" s="28">
        <v>4.0</v>
      </c>
      <c r="J1876" s="29" t="s">
        <v>55</v>
      </c>
      <c r="K1876" s="30" t="s">
        <v>23</v>
      </c>
      <c r="L1876" s="31" t="str">
        <f>IFERROR(__xludf.DUMMYFUNCTION("IF(OR(E1876="""",K1876=""""),"""",IFERROR(IF(K1876="""","""",query('tbl user'!$A$2:$D10975,""SELECT A WHERE D = '""&amp;K1876&amp;""'"")),""USER TIDAK DIKETAHUI""))"),"#REF!")</f>
        <v>#REF!</v>
      </c>
    </row>
    <row r="1877">
      <c r="A1877" s="21">
        <f t="shared" si="1"/>
        <v>0</v>
      </c>
      <c r="B1877" s="32" t="s">
        <v>191</v>
      </c>
      <c r="C1877" s="23" t="s">
        <v>192</v>
      </c>
      <c r="D1877" s="23" t="s">
        <v>58</v>
      </c>
      <c r="E1877" s="24">
        <v>45424.0</v>
      </c>
      <c r="F1877" s="25">
        <v>0.27152777777777776</v>
      </c>
      <c r="G1877" s="25">
        <v>0.6875</v>
      </c>
      <c r="H1877" s="27">
        <f t="shared" si="2"/>
        <v>0.4159722222</v>
      </c>
      <c r="I1877" s="28">
        <v>4.0</v>
      </c>
      <c r="J1877" s="29" t="s">
        <v>55</v>
      </c>
      <c r="K1877" s="30" t="s">
        <v>23</v>
      </c>
      <c r="L1877" s="31" t="str">
        <f>IFERROR(__xludf.DUMMYFUNCTION("IF(OR(E1877="""",K1877=""""),"""",IFERROR(IF(K1877="""","""",query('tbl user'!$A$2:$D10975,""SELECT A WHERE D = '""&amp;K1877&amp;""'"")),""USER TIDAK DIKETAHUI""))"),"#REF!")</f>
        <v>#REF!</v>
      </c>
    </row>
    <row r="1878">
      <c r="A1878" s="21">
        <f t="shared" si="1"/>
        <v>0</v>
      </c>
      <c r="B1878" s="32" t="s">
        <v>194</v>
      </c>
      <c r="C1878" s="23" t="s">
        <v>195</v>
      </c>
      <c r="D1878" s="23" t="s">
        <v>58</v>
      </c>
      <c r="E1878" s="24">
        <v>45424.0</v>
      </c>
      <c r="F1878" s="25">
        <v>0.22361111111111112</v>
      </c>
      <c r="G1878" s="25">
        <v>0.6333333333333333</v>
      </c>
      <c r="H1878" s="27">
        <f t="shared" si="2"/>
        <v>0.4097222222</v>
      </c>
      <c r="I1878" s="28">
        <v>4.0</v>
      </c>
      <c r="J1878" s="29" t="s">
        <v>55</v>
      </c>
      <c r="K1878" s="30" t="s">
        <v>23</v>
      </c>
      <c r="L1878" s="31" t="str">
        <f>IFERROR(__xludf.DUMMYFUNCTION("IF(OR(E1878="""",K1878=""""),"""",IFERROR(IF(K1878="""","""",query('tbl user'!$A$2:$D10975,""SELECT A WHERE D = '""&amp;K1878&amp;""'"")),""USER TIDAK DIKETAHUI""))"),"#REF!")</f>
        <v>#REF!</v>
      </c>
    </row>
    <row r="1879">
      <c r="A1879" s="21">
        <f t="shared" si="1"/>
        <v>0</v>
      </c>
      <c r="B1879" s="32" t="s">
        <v>200</v>
      </c>
      <c r="C1879" s="23" t="s">
        <v>201</v>
      </c>
      <c r="D1879" s="23" t="s">
        <v>58</v>
      </c>
      <c r="E1879" s="24">
        <v>45424.0</v>
      </c>
      <c r="F1879" s="25">
        <v>0.21319444444444444</v>
      </c>
      <c r="G1879" s="25">
        <v>0.6527777777777778</v>
      </c>
      <c r="H1879" s="27">
        <f t="shared" si="2"/>
        <v>0.4395833333</v>
      </c>
      <c r="I1879" s="28">
        <v>4.0</v>
      </c>
      <c r="J1879" s="29" t="s">
        <v>55</v>
      </c>
      <c r="K1879" s="30" t="s">
        <v>23</v>
      </c>
      <c r="L1879" s="31" t="str">
        <f>IFERROR(__xludf.DUMMYFUNCTION("IF(OR(E1879="""",K1879=""""),"""",IFERROR(IF(K1879="""","""",query('tbl user'!$A$2:$D10975,""SELECT A WHERE D = '""&amp;K1879&amp;""'"")),""USER TIDAK DIKETAHUI""))"),"#REF!")</f>
        <v>#REF!</v>
      </c>
    </row>
    <row r="1880">
      <c r="A1880" s="21">
        <f t="shared" si="1"/>
        <v>0</v>
      </c>
      <c r="B1880" s="32" t="s">
        <v>224</v>
      </c>
      <c r="C1880" s="23" t="s">
        <v>208</v>
      </c>
      <c r="D1880" s="23" t="s">
        <v>58</v>
      </c>
      <c r="E1880" s="24">
        <v>45424.0</v>
      </c>
      <c r="F1880" s="25">
        <v>0.24305555555555555</v>
      </c>
      <c r="G1880" s="25">
        <v>0.6736111111111112</v>
      </c>
      <c r="H1880" s="27">
        <f t="shared" si="2"/>
        <v>0.4305555556</v>
      </c>
      <c r="I1880" s="28">
        <v>4.0</v>
      </c>
      <c r="J1880" s="29" t="s">
        <v>55</v>
      </c>
      <c r="K1880" s="30" t="s">
        <v>23</v>
      </c>
      <c r="L1880" s="31" t="str">
        <f>IFERROR(__xludf.DUMMYFUNCTION("IF(OR(E1880="""",K1880=""""),"""",IFERROR(IF(K1880="""","""",query('tbl user'!$A$2:$D10975,""SELECT A WHERE D = '""&amp;K1880&amp;""'"")),""USER TIDAK DIKETAHUI""))"),"#REF!")</f>
        <v>#REF!</v>
      </c>
    </row>
    <row r="1881">
      <c r="A1881" s="21">
        <f t="shared" si="1"/>
        <v>0</v>
      </c>
      <c r="B1881" s="32" t="s">
        <v>267</v>
      </c>
      <c r="C1881" s="23" t="s">
        <v>85</v>
      </c>
      <c r="D1881" s="23" t="s">
        <v>58</v>
      </c>
      <c r="E1881" s="24">
        <v>45424.0</v>
      </c>
      <c r="F1881" s="25">
        <v>0.225</v>
      </c>
      <c r="G1881" s="25">
        <v>0.6645833333333333</v>
      </c>
      <c r="H1881" s="27">
        <f t="shared" si="2"/>
        <v>0.4395833333</v>
      </c>
      <c r="I1881" s="28">
        <v>4.0</v>
      </c>
      <c r="J1881" s="29" t="s">
        <v>55</v>
      </c>
      <c r="K1881" s="30" t="s">
        <v>23</v>
      </c>
      <c r="L1881" s="31" t="str">
        <f>IFERROR(__xludf.DUMMYFUNCTION("IF(OR(E1881="""",K1881=""""),"""",IFERROR(IF(K1881="""","""",query('tbl user'!$A$2:$D10975,""SELECT A WHERE D = '""&amp;K1881&amp;""'"")),""USER TIDAK DIKETAHUI""))"),"#REF!")</f>
        <v>#REF!</v>
      </c>
    </row>
    <row r="1882">
      <c r="A1882" s="21">
        <f t="shared" si="1"/>
        <v>0</v>
      </c>
      <c r="B1882" s="32" t="s">
        <v>231</v>
      </c>
      <c r="C1882" s="23" t="s">
        <v>232</v>
      </c>
      <c r="D1882" s="23" t="s">
        <v>21</v>
      </c>
      <c r="E1882" s="24">
        <v>45424.0</v>
      </c>
      <c r="F1882" s="25">
        <v>0.2777777777777778</v>
      </c>
      <c r="G1882" s="25">
        <v>0.7388888888888889</v>
      </c>
      <c r="H1882" s="27">
        <f t="shared" si="2"/>
        <v>0.4611111111</v>
      </c>
      <c r="I1882" s="28">
        <v>2.0</v>
      </c>
      <c r="J1882" s="29" t="s">
        <v>943</v>
      </c>
      <c r="K1882" s="30" t="s">
        <v>23</v>
      </c>
      <c r="L1882" s="31" t="str">
        <f>IFERROR(__xludf.DUMMYFUNCTION("IF(OR(E1882="""",K1882=""""),"""",IFERROR(IF(K1882="""","""",query('tbl user'!$A$2:$D10975,""SELECT A WHERE D = '""&amp;K1882&amp;""'"")),""USER TIDAK DIKETAHUI""))"),"#REF!")</f>
        <v>#REF!</v>
      </c>
    </row>
    <row r="1883">
      <c r="A1883" s="21">
        <f t="shared" si="1"/>
        <v>0</v>
      </c>
      <c r="B1883" s="32" t="s">
        <v>220</v>
      </c>
      <c r="C1883" s="23" t="s">
        <v>25</v>
      </c>
      <c r="D1883" s="23" t="s">
        <v>21</v>
      </c>
      <c r="E1883" s="24">
        <v>45424.0</v>
      </c>
      <c r="F1883" s="25">
        <v>0.27569444444444446</v>
      </c>
      <c r="G1883" s="25">
        <v>0.7236111111111111</v>
      </c>
      <c r="H1883" s="27">
        <f t="shared" si="2"/>
        <v>0.4479166667</v>
      </c>
      <c r="I1883" s="28">
        <v>3.0</v>
      </c>
      <c r="J1883" s="29" t="s">
        <v>944</v>
      </c>
      <c r="K1883" s="30" t="s">
        <v>23</v>
      </c>
      <c r="L1883" s="31" t="str">
        <f>IFERROR(__xludf.DUMMYFUNCTION("IF(OR(E1883="""",K1883=""""),"""",IFERROR(IF(K1883="""","""",query('tbl user'!$A$2:$D10975,""SELECT A WHERE D = '""&amp;K1883&amp;""'"")),""USER TIDAK DIKETAHUI""))"),"#REF!")</f>
        <v>#REF!</v>
      </c>
    </row>
    <row r="1884">
      <c r="A1884" s="21">
        <f t="shared" si="1"/>
        <v>0</v>
      </c>
      <c r="B1884" s="32" t="s">
        <v>305</v>
      </c>
      <c r="C1884" s="23" t="s">
        <v>251</v>
      </c>
      <c r="D1884" s="23" t="s">
        <v>21</v>
      </c>
      <c r="E1884" s="24">
        <v>45424.0</v>
      </c>
      <c r="F1884" s="25">
        <v>0.2965277777777778</v>
      </c>
      <c r="G1884" s="25">
        <v>0.5631944444444444</v>
      </c>
      <c r="H1884" s="27">
        <f t="shared" si="2"/>
        <v>0.2666666667</v>
      </c>
      <c r="I1884" s="28">
        <v>3.0</v>
      </c>
      <c r="J1884" s="29" t="s">
        <v>945</v>
      </c>
      <c r="K1884" s="30" t="s">
        <v>23</v>
      </c>
      <c r="L1884" s="31" t="str">
        <f>IFERROR(__xludf.DUMMYFUNCTION("IF(OR(E1884="""",K1884=""""),"""",IFERROR(IF(K1884="""","""",query('tbl user'!$A$2:$D10975,""SELECT A WHERE D = '""&amp;K1884&amp;""'"")),""USER TIDAK DIKETAHUI""))"),"#REF!")</f>
        <v>#REF!</v>
      </c>
    </row>
    <row r="1885">
      <c r="A1885" s="21">
        <f t="shared" si="1"/>
        <v>0</v>
      </c>
      <c r="B1885" s="32" t="s">
        <v>153</v>
      </c>
      <c r="C1885" s="23" t="s">
        <v>239</v>
      </c>
      <c r="D1885" s="23" t="s">
        <v>21</v>
      </c>
      <c r="E1885" s="24">
        <v>45424.0</v>
      </c>
      <c r="F1885" s="25">
        <v>0.2923611111111111</v>
      </c>
      <c r="G1885" s="25">
        <v>0.60625</v>
      </c>
      <c r="H1885" s="27">
        <f t="shared" si="2"/>
        <v>0.3138888889</v>
      </c>
      <c r="I1885" s="28">
        <v>4.0</v>
      </c>
      <c r="J1885" s="29" t="s">
        <v>237</v>
      </c>
      <c r="K1885" s="30" t="s">
        <v>23</v>
      </c>
      <c r="L1885" s="31" t="str">
        <f>IFERROR(__xludf.DUMMYFUNCTION("IF(OR(E1885="""",K1885=""""),"""",IFERROR(IF(K1885="""","""",query('tbl user'!$A$2:$D10975,""SELECT A WHERE D = '""&amp;K1885&amp;""'"")),""USER TIDAK DIKETAHUI""))"),"#REF!")</f>
        <v>#REF!</v>
      </c>
    </row>
    <row r="1886">
      <c r="A1886" s="21">
        <f t="shared" si="1"/>
        <v>0</v>
      </c>
      <c r="B1886" s="32" t="s">
        <v>246</v>
      </c>
      <c r="C1886" s="23" t="s">
        <v>99</v>
      </c>
      <c r="D1886" s="23" t="s">
        <v>21</v>
      </c>
      <c r="E1886" s="24">
        <v>45424.0</v>
      </c>
      <c r="F1886" s="25">
        <v>0.2659722222222222</v>
      </c>
      <c r="G1886" s="25">
        <v>0.70625</v>
      </c>
      <c r="H1886" s="27">
        <f t="shared" si="2"/>
        <v>0.4402777778</v>
      </c>
      <c r="I1886" s="28">
        <v>4.0</v>
      </c>
      <c r="J1886" s="29" t="s">
        <v>946</v>
      </c>
      <c r="K1886" s="30" t="s">
        <v>23</v>
      </c>
      <c r="L1886" s="31" t="str">
        <f>IFERROR(__xludf.DUMMYFUNCTION("IF(OR(E1886="""",K1886=""""),"""",IFERROR(IF(K1886="""","""",query('tbl user'!$A$2:$D10975,""SELECT A WHERE D = '""&amp;K1886&amp;""'"")),""USER TIDAK DIKETAHUI""))"),"#REF!")</f>
        <v>#REF!</v>
      </c>
    </row>
    <row r="1887">
      <c r="A1887" s="21">
        <f t="shared" si="1"/>
        <v>0</v>
      </c>
      <c r="B1887" s="32" t="s">
        <v>243</v>
      </c>
      <c r="C1887" s="23" t="s">
        <v>244</v>
      </c>
      <c r="D1887" s="23" t="s">
        <v>21</v>
      </c>
      <c r="E1887" s="24">
        <v>45424.0</v>
      </c>
      <c r="F1887" s="25">
        <v>0.2833333333333333</v>
      </c>
      <c r="G1887" s="25">
        <v>0.6958333333333333</v>
      </c>
      <c r="H1887" s="27">
        <f t="shared" si="2"/>
        <v>0.4125</v>
      </c>
      <c r="I1887" s="28">
        <v>5.0</v>
      </c>
      <c r="J1887" s="29" t="s">
        <v>55</v>
      </c>
      <c r="K1887" s="30" t="s">
        <v>23</v>
      </c>
      <c r="L1887" s="31" t="str">
        <f>IFERROR(__xludf.DUMMYFUNCTION("IF(OR(E1887="""",K1887=""""),"""",IFERROR(IF(K1887="""","""",query('tbl user'!$A$2:$D10975,""SELECT A WHERE D = '""&amp;K1887&amp;""'"")),""USER TIDAK DIKETAHUI""))"),"#REF!")</f>
        <v>#REF!</v>
      </c>
    </row>
    <row r="1888">
      <c r="A1888" s="21">
        <f t="shared" si="1"/>
        <v>0</v>
      </c>
      <c r="B1888" s="32" t="s">
        <v>253</v>
      </c>
      <c r="C1888" s="23" t="s">
        <v>102</v>
      </c>
      <c r="D1888" s="23" t="s">
        <v>21</v>
      </c>
      <c r="E1888" s="24">
        <v>45424.0</v>
      </c>
      <c r="F1888" s="25">
        <v>0.2708333333333333</v>
      </c>
      <c r="G1888" s="25">
        <v>0.71875</v>
      </c>
      <c r="H1888" s="27">
        <f t="shared" si="2"/>
        <v>0.4479166667</v>
      </c>
      <c r="I1888" s="28">
        <v>5.0</v>
      </c>
      <c r="J1888" s="29" t="s">
        <v>55</v>
      </c>
      <c r="K1888" s="30" t="s">
        <v>23</v>
      </c>
      <c r="L1888" s="31" t="str">
        <f>IFERROR(__xludf.DUMMYFUNCTION("IF(OR(E1888="""",K1888=""""),"""",IFERROR(IF(K1888="""","""",query('tbl user'!$A$2:$D10975,""SELECT A WHERE D = '""&amp;K1888&amp;""'"")),""USER TIDAK DIKETAHUI""))"),"#REF!")</f>
        <v>#REF!</v>
      </c>
    </row>
    <row r="1889">
      <c r="A1889" s="21">
        <f t="shared" si="1"/>
        <v>0</v>
      </c>
      <c r="B1889" s="32" t="s">
        <v>255</v>
      </c>
      <c r="C1889" s="23" t="s">
        <v>256</v>
      </c>
      <c r="D1889" s="23" t="s">
        <v>21</v>
      </c>
      <c r="E1889" s="24">
        <v>45424.0</v>
      </c>
      <c r="F1889" s="25">
        <v>0.3590277777777778</v>
      </c>
      <c r="G1889" s="25">
        <v>0.71875</v>
      </c>
      <c r="H1889" s="27">
        <f t="shared" si="2"/>
        <v>0.3597222222</v>
      </c>
      <c r="I1889" s="28">
        <v>5.0</v>
      </c>
      <c r="J1889" s="29" t="s">
        <v>55</v>
      </c>
      <c r="K1889" s="30" t="s">
        <v>23</v>
      </c>
      <c r="L1889" s="31" t="str">
        <f>IFERROR(__xludf.DUMMYFUNCTION("IF(OR(E1889="""",K1889=""""),"""",IFERROR(IF(K1889="""","""",query('tbl user'!$A$2:$D10975,""SELECT A WHERE D = '""&amp;K1889&amp;""'"")),""USER TIDAK DIKETAHUI""))"),"#REF!")</f>
        <v>#REF!</v>
      </c>
    </row>
    <row r="1890">
      <c r="A1890" s="21">
        <f t="shared" si="1"/>
        <v>0</v>
      </c>
      <c r="B1890" s="32" t="s">
        <v>175</v>
      </c>
      <c r="C1890" s="23" t="s">
        <v>259</v>
      </c>
      <c r="D1890" s="23" t="s">
        <v>21</v>
      </c>
      <c r="E1890" s="24">
        <v>45424.0</v>
      </c>
      <c r="F1890" s="25">
        <v>0.2833333333333333</v>
      </c>
      <c r="G1890" s="25">
        <v>0.7597222222222222</v>
      </c>
      <c r="H1890" s="27">
        <f t="shared" si="2"/>
        <v>0.4763888889</v>
      </c>
      <c r="I1890" s="28">
        <v>5.0</v>
      </c>
      <c r="J1890" s="29" t="s">
        <v>55</v>
      </c>
      <c r="K1890" s="30" t="s">
        <v>23</v>
      </c>
      <c r="L1890" s="31" t="str">
        <f>IFERROR(__xludf.DUMMYFUNCTION("IF(OR(E1890="""",K1890=""""),"""",IFERROR(IF(K1890="""","""",query('tbl user'!$A$2:$D10975,""SELECT A WHERE D = '""&amp;K1890&amp;""'"")),""USER TIDAK DIKETAHUI""))"),"#REF!")</f>
        <v>#REF!</v>
      </c>
    </row>
    <row r="1891">
      <c r="A1891" s="21">
        <f t="shared" si="1"/>
        <v>0</v>
      </c>
      <c r="B1891" s="32" t="s">
        <v>662</v>
      </c>
      <c r="C1891" s="23" t="s">
        <v>234</v>
      </c>
      <c r="D1891" s="23" t="s">
        <v>21</v>
      </c>
      <c r="E1891" s="24">
        <v>45424.0</v>
      </c>
      <c r="F1891" s="25">
        <v>0.2611111111111111</v>
      </c>
      <c r="G1891" s="25">
        <v>0.7180555555555556</v>
      </c>
      <c r="H1891" s="27">
        <f t="shared" si="2"/>
        <v>0.4569444444</v>
      </c>
      <c r="I1891" s="28">
        <v>6.0</v>
      </c>
      <c r="J1891" s="29" t="s">
        <v>55</v>
      </c>
      <c r="K1891" s="30" t="s">
        <v>23</v>
      </c>
      <c r="L1891" s="31" t="str">
        <f>IFERROR(__xludf.DUMMYFUNCTION("IF(OR(E1891="""",K1891=""""),"""",IFERROR(IF(K1891="""","""",query('tbl user'!$A$2:$D10975,""SELECT A WHERE D = '""&amp;K1891&amp;""'"")),""USER TIDAK DIKETAHUI""))"),"#REF!")</f>
        <v>#REF!</v>
      </c>
    </row>
    <row r="1892">
      <c r="A1892" s="21">
        <f t="shared" si="1"/>
        <v>0</v>
      </c>
      <c r="B1892" s="32" t="s">
        <v>159</v>
      </c>
      <c r="C1892" s="23" t="s">
        <v>306</v>
      </c>
      <c r="D1892" s="23" t="s">
        <v>21</v>
      </c>
      <c r="E1892" s="24">
        <v>45424.0</v>
      </c>
      <c r="F1892" s="25">
        <v>0.28958333333333336</v>
      </c>
      <c r="G1892" s="25">
        <v>0.7506944444444444</v>
      </c>
      <c r="H1892" s="27">
        <f t="shared" si="2"/>
        <v>0.4611111111</v>
      </c>
      <c r="I1892" s="28">
        <v>6.0</v>
      </c>
      <c r="J1892" s="29" t="s">
        <v>55</v>
      </c>
      <c r="K1892" s="30" t="s">
        <v>23</v>
      </c>
      <c r="L1892" s="31" t="str">
        <f>IFERROR(__xludf.DUMMYFUNCTION("IF(OR(E1892="""",K1892=""""),"""",IFERROR(IF(K1892="""","""",query('tbl user'!$A$2:$D10975,""SELECT A WHERE D = '""&amp;K1892&amp;""'"")),""USER TIDAK DIKETAHUI""))"),"#REF!")</f>
        <v>#REF!</v>
      </c>
    </row>
    <row r="1893">
      <c r="A1893" s="21">
        <f t="shared" si="1"/>
        <v>0</v>
      </c>
      <c r="B1893" s="32" t="s">
        <v>593</v>
      </c>
      <c r="C1893" s="23" t="s">
        <v>236</v>
      </c>
      <c r="D1893" s="23" t="s">
        <v>21</v>
      </c>
      <c r="E1893" s="24">
        <v>45424.0</v>
      </c>
      <c r="F1893" s="25">
        <v>0.2222222222222222</v>
      </c>
      <c r="G1893" s="25">
        <v>0.7291666666666666</v>
      </c>
      <c r="H1893" s="27">
        <f t="shared" si="2"/>
        <v>0.5069444444</v>
      </c>
      <c r="I1893" s="28">
        <v>6.0</v>
      </c>
      <c r="J1893" s="29" t="s">
        <v>55</v>
      </c>
      <c r="K1893" s="30" t="s">
        <v>23</v>
      </c>
      <c r="L1893" s="31" t="str">
        <f>IFERROR(__xludf.DUMMYFUNCTION("IF(OR(E1893="""",K1893=""""),"""",IFERROR(IF(K1893="""","""",query('tbl user'!$A$2:$D10975,""SELECT A WHERE D = '""&amp;K1893&amp;""'"")),""USER TIDAK DIKETAHUI""))"),"#REF!")</f>
        <v>#REF!</v>
      </c>
    </row>
    <row r="1894">
      <c r="A1894" s="21">
        <f t="shared" si="1"/>
        <v>0</v>
      </c>
      <c r="B1894" s="32" t="s">
        <v>289</v>
      </c>
      <c r="C1894" s="23" t="s">
        <v>290</v>
      </c>
      <c r="D1894" s="23" t="s">
        <v>21</v>
      </c>
      <c r="E1894" s="24">
        <v>45424.0</v>
      </c>
      <c r="F1894" s="25">
        <v>0.2923611111111111</v>
      </c>
      <c r="G1894" s="25">
        <v>0.4423611111111111</v>
      </c>
      <c r="H1894" s="27">
        <f t="shared" si="2"/>
        <v>0.15</v>
      </c>
      <c r="I1894" s="28">
        <v>1.0</v>
      </c>
      <c r="J1894" s="29" t="s">
        <v>947</v>
      </c>
      <c r="K1894" s="30" t="s">
        <v>23</v>
      </c>
      <c r="L1894" s="31" t="str">
        <f>IFERROR(__xludf.DUMMYFUNCTION("IF(OR(E1894="""",K1894=""""),"""",IFERROR(IF(K1894="""","""",query('tbl user'!$A$2:$D10975,""SELECT A WHERE D = '""&amp;K1894&amp;""'"")),""USER TIDAK DIKETAHUI""))"),"#REF!")</f>
        <v>#REF!</v>
      </c>
    </row>
    <row r="1895">
      <c r="A1895" s="21">
        <f t="shared" si="1"/>
        <v>0</v>
      </c>
      <c r="B1895" s="32" t="s">
        <v>281</v>
      </c>
      <c r="C1895" s="23" t="s">
        <v>282</v>
      </c>
      <c r="D1895" s="23" t="s">
        <v>21</v>
      </c>
      <c r="E1895" s="24">
        <v>45424.0</v>
      </c>
      <c r="F1895" s="25">
        <v>0.2701388888888889</v>
      </c>
      <c r="G1895" s="25">
        <v>0.6111111111111112</v>
      </c>
      <c r="H1895" s="27">
        <f t="shared" si="2"/>
        <v>0.3409722222</v>
      </c>
      <c r="I1895" s="28">
        <v>3.0</v>
      </c>
      <c r="J1895" s="29" t="s">
        <v>948</v>
      </c>
      <c r="K1895" s="30" t="s">
        <v>23</v>
      </c>
      <c r="L1895" s="31" t="str">
        <f>IFERROR(__xludf.DUMMYFUNCTION("IF(OR(E1895="""",K1895=""""),"""",IFERROR(IF(K1895="""","""",query('tbl user'!$A$2:$D10975,""SELECT A WHERE D = '""&amp;K1895&amp;""'"")),""USER TIDAK DIKETAHUI""))"),"#REF!")</f>
        <v>#REF!</v>
      </c>
    </row>
    <row r="1896">
      <c r="A1896" s="21">
        <f t="shared" si="1"/>
        <v>0</v>
      </c>
      <c r="B1896" s="32" t="s">
        <v>284</v>
      </c>
      <c r="C1896" s="23" t="s">
        <v>285</v>
      </c>
      <c r="D1896" s="23" t="s">
        <v>21</v>
      </c>
      <c r="E1896" s="24">
        <v>45424.0</v>
      </c>
      <c r="F1896" s="25">
        <v>0.29791666666666666</v>
      </c>
      <c r="G1896" s="25">
        <v>0.6298611111111111</v>
      </c>
      <c r="H1896" s="27">
        <f t="shared" si="2"/>
        <v>0.3319444444</v>
      </c>
      <c r="I1896" s="28">
        <v>3.0</v>
      </c>
      <c r="J1896" s="29" t="s">
        <v>805</v>
      </c>
      <c r="K1896" s="30" t="s">
        <v>23</v>
      </c>
      <c r="L1896" s="31" t="str">
        <f>IFERROR(__xludf.DUMMYFUNCTION("IF(OR(E1896="""",K1896=""""),"""",IFERROR(IF(K1896="""","""",query('tbl user'!$A$2:$D10975,""SELECT A WHERE D = '""&amp;K1896&amp;""'"")),""USER TIDAK DIKETAHUI""))"),"#REF!")</f>
        <v>#REF!</v>
      </c>
    </row>
    <row r="1897">
      <c r="A1897" s="21">
        <f t="shared" si="1"/>
        <v>0</v>
      </c>
      <c r="B1897" s="32" t="s">
        <v>286</v>
      </c>
      <c r="C1897" s="23" t="s">
        <v>287</v>
      </c>
      <c r="D1897" s="23" t="s">
        <v>21</v>
      </c>
      <c r="E1897" s="37">
        <v>45424.0</v>
      </c>
      <c r="F1897" s="25">
        <v>0.28958333333333336</v>
      </c>
      <c r="G1897" s="25">
        <v>0.7152777777777778</v>
      </c>
      <c r="H1897" s="27">
        <f t="shared" si="2"/>
        <v>0.4256944444</v>
      </c>
      <c r="I1897" s="28">
        <v>3.0</v>
      </c>
      <c r="J1897" s="29" t="s">
        <v>949</v>
      </c>
      <c r="K1897" s="30" t="s">
        <v>23</v>
      </c>
      <c r="L1897" s="31" t="str">
        <f>IFERROR(__xludf.DUMMYFUNCTION("IF(OR(E1897="""",K1897=""""),"""",IFERROR(IF(K1897="""","""",query('tbl user'!$A$2:$D10975,""SELECT A WHERE D = '""&amp;K1897&amp;""'"")),""USER TIDAK DIKETAHUI""))"),"#REF!")</f>
        <v>#REF!</v>
      </c>
    </row>
    <row r="1898">
      <c r="A1898" s="21">
        <f t="shared" si="1"/>
        <v>0</v>
      </c>
      <c r="B1898" s="32" t="s">
        <v>53</v>
      </c>
      <c r="C1898" s="23" t="s">
        <v>54</v>
      </c>
      <c r="D1898" s="23" t="s">
        <v>21</v>
      </c>
      <c r="E1898" s="37">
        <v>45424.0</v>
      </c>
      <c r="F1898" s="25">
        <v>0.22916666666666666</v>
      </c>
      <c r="G1898" s="25">
        <v>0.5423611111111111</v>
      </c>
      <c r="H1898" s="27">
        <f t="shared" si="2"/>
        <v>0.3131944444</v>
      </c>
      <c r="I1898" s="28">
        <v>2.0</v>
      </c>
      <c r="J1898" s="29" t="s">
        <v>950</v>
      </c>
      <c r="K1898" s="30" t="s">
        <v>23</v>
      </c>
      <c r="L1898" s="31" t="str">
        <f>IFERROR(__xludf.DUMMYFUNCTION("IF(OR(E1898="""",K1898=""""),"""",IFERROR(IF(K1898="""","""",query('tbl user'!$A$2:$D10975,""SELECT A WHERE D = '""&amp;K1898&amp;""'"")),""USER TIDAK DIKETAHUI""))"),"#REF!")</f>
        <v>#REF!</v>
      </c>
    </row>
    <row r="1899">
      <c r="A1899" s="21">
        <f t="shared" si="1"/>
        <v>0</v>
      </c>
      <c r="B1899" s="32" t="s">
        <v>319</v>
      </c>
      <c r="C1899" s="23" t="s">
        <v>320</v>
      </c>
      <c r="D1899" s="23" t="s">
        <v>21</v>
      </c>
      <c r="E1899" s="37">
        <v>45424.0</v>
      </c>
      <c r="F1899" s="25">
        <v>0.24791666666666667</v>
      </c>
      <c r="G1899" s="25">
        <v>0.4513888888888889</v>
      </c>
      <c r="H1899" s="27">
        <f t="shared" si="2"/>
        <v>0.2034722222</v>
      </c>
      <c r="I1899" s="28">
        <v>2.0</v>
      </c>
      <c r="J1899" s="29" t="s">
        <v>951</v>
      </c>
      <c r="K1899" s="30" t="s">
        <v>23</v>
      </c>
      <c r="L1899" s="31" t="str">
        <f>IFERROR(__xludf.DUMMYFUNCTION("IF(OR(E1899="""",K1899=""""),"""",IFERROR(IF(K1899="""","""",query('tbl user'!$A$2:$D10975,""SELECT A WHERE D = '""&amp;K1899&amp;""'"")),""USER TIDAK DIKETAHUI""))"),"#REF!")</f>
        <v>#REF!</v>
      </c>
    </row>
    <row r="1900">
      <c r="A1900" s="21">
        <f t="shared" si="1"/>
        <v>0</v>
      </c>
      <c r="B1900" s="32" t="s">
        <v>325</v>
      </c>
      <c r="C1900" s="23" t="s">
        <v>326</v>
      </c>
      <c r="D1900" s="23" t="s">
        <v>21</v>
      </c>
      <c r="E1900" s="37">
        <v>45424.0</v>
      </c>
      <c r="F1900" s="25">
        <v>0.2534722222222222</v>
      </c>
      <c r="G1900" s="25">
        <v>0.4423611111111111</v>
      </c>
      <c r="H1900" s="27">
        <f t="shared" si="2"/>
        <v>0.1888888889</v>
      </c>
      <c r="I1900" s="28">
        <v>2.0</v>
      </c>
      <c r="J1900" s="29" t="s">
        <v>952</v>
      </c>
      <c r="K1900" s="30" t="s">
        <v>23</v>
      </c>
      <c r="L1900" s="31" t="str">
        <f>IFERROR(__xludf.DUMMYFUNCTION("IF(OR(E1900="""",K1900=""""),"""",IFERROR(IF(K1900="""","""",query('tbl user'!$A$2:$D10975,""SELECT A WHERE D = '""&amp;K1900&amp;""'"")),""USER TIDAK DIKETAHUI""))"),"#REF!")</f>
        <v>#REF!</v>
      </c>
    </row>
    <row r="1901">
      <c r="A1901" s="21">
        <f t="shared" si="1"/>
        <v>0</v>
      </c>
      <c r="B1901" s="32" t="s">
        <v>335</v>
      </c>
      <c r="C1901" s="23" t="s">
        <v>336</v>
      </c>
      <c r="D1901" s="23" t="s">
        <v>21</v>
      </c>
      <c r="E1901" s="37">
        <v>45424.0</v>
      </c>
      <c r="F1901" s="25">
        <v>0.29305555555555557</v>
      </c>
      <c r="G1901" s="25">
        <v>0.6041666666666666</v>
      </c>
      <c r="H1901" s="27">
        <f t="shared" si="2"/>
        <v>0.3111111111</v>
      </c>
      <c r="I1901" s="28">
        <v>4.0</v>
      </c>
      <c r="J1901" s="29" t="s">
        <v>953</v>
      </c>
      <c r="K1901" s="30" t="s">
        <v>23</v>
      </c>
      <c r="L1901" s="31" t="str">
        <f>IFERROR(__xludf.DUMMYFUNCTION("IF(OR(E1901="""",K1901=""""),"""",IFERROR(IF(K1901="""","""",query('tbl user'!$A$2:$D10975,""SELECT A WHERE D = '""&amp;K1901&amp;""'"")),""USER TIDAK DIKETAHUI""))"),"#REF!")</f>
        <v>#REF!</v>
      </c>
    </row>
    <row r="1902">
      <c r="A1902" s="21">
        <f t="shared" si="1"/>
        <v>0</v>
      </c>
      <c r="B1902" s="32" t="s">
        <v>81</v>
      </c>
      <c r="C1902" s="23" t="s">
        <v>340</v>
      </c>
      <c r="D1902" s="23" t="s">
        <v>21</v>
      </c>
      <c r="E1902" s="37">
        <v>45424.0</v>
      </c>
      <c r="F1902" s="25">
        <v>0.3229166666666667</v>
      </c>
      <c r="G1902" s="25">
        <v>0.7229166666666667</v>
      </c>
      <c r="H1902" s="27">
        <f t="shared" si="2"/>
        <v>0.4</v>
      </c>
      <c r="I1902" s="28">
        <v>4.0</v>
      </c>
      <c r="J1902" s="29" t="s">
        <v>954</v>
      </c>
      <c r="K1902" s="30" t="s">
        <v>23</v>
      </c>
      <c r="L1902" s="31" t="str">
        <f>IFERROR(__xludf.DUMMYFUNCTION("IF(OR(E1902="""",K1902=""""),"""",IFERROR(IF(K1902="""","""",query('tbl user'!$A$2:$D10975,""SELECT A WHERE D = '""&amp;K1902&amp;""'"")),""USER TIDAK DIKETAHUI""))"),"#REF!")</f>
        <v>#REF!</v>
      </c>
    </row>
    <row r="1903">
      <c r="A1903" s="21">
        <f t="shared" si="1"/>
        <v>0</v>
      </c>
      <c r="B1903" s="32" t="s">
        <v>131</v>
      </c>
      <c r="C1903" s="23" t="s">
        <v>339</v>
      </c>
      <c r="D1903" s="23" t="s">
        <v>21</v>
      </c>
      <c r="E1903" s="37">
        <v>45424.0</v>
      </c>
      <c r="F1903" s="25">
        <v>0.25416666666666665</v>
      </c>
      <c r="G1903" s="25">
        <v>0.6791666666666667</v>
      </c>
      <c r="H1903" s="27">
        <f t="shared" si="2"/>
        <v>0.425</v>
      </c>
      <c r="I1903" s="28">
        <v>5.0</v>
      </c>
      <c r="J1903" s="29" t="s">
        <v>55</v>
      </c>
      <c r="K1903" s="30" t="s">
        <v>23</v>
      </c>
      <c r="L1903" s="31" t="str">
        <f>IFERROR(__xludf.DUMMYFUNCTION("IF(OR(E1903="""",K1903=""""),"""",IFERROR(IF(K1903="""","""",query('tbl user'!$A$2:$D10975,""SELECT A WHERE D = '""&amp;K1903&amp;""'"")),""USER TIDAK DIKETAHUI""))"),"#REF!")</f>
        <v>#REF!</v>
      </c>
    </row>
    <row r="1904">
      <c r="A1904" s="21">
        <f t="shared" si="1"/>
        <v>0</v>
      </c>
      <c r="B1904" s="32" t="s">
        <v>333</v>
      </c>
      <c r="C1904" s="23" t="s">
        <v>334</v>
      </c>
      <c r="D1904" s="23" t="s">
        <v>21</v>
      </c>
      <c r="E1904" s="37">
        <v>45424.0</v>
      </c>
      <c r="F1904" s="25">
        <v>0.28958333333333336</v>
      </c>
      <c r="G1904" s="25">
        <v>0.7</v>
      </c>
      <c r="H1904" s="27">
        <f t="shared" si="2"/>
        <v>0.4104166667</v>
      </c>
      <c r="I1904" s="28">
        <v>5.0</v>
      </c>
      <c r="J1904" s="29" t="s">
        <v>55</v>
      </c>
      <c r="K1904" s="30" t="s">
        <v>23</v>
      </c>
      <c r="L1904" s="31" t="str">
        <f>IFERROR(__xludf.DUMMYFUNCTION("IF(OR(E1904="""",K1904=""""),"""",IFERROR(IF(K1904="""","""",query('tbl user'!$A$2:$D10975,""SELECT A WHERE D = '""&amp;K1904&amp;""'"")),""USER TIDAK DIKETAHUI""))"),"#REF!")</f>
        <v>#REF!</v>
      </c>
    </row>
    <row r="1905">
      <c r="A1905" s="21">
        <f t="shared" si="1"/>
        <v>0</v>
      </c>
      <c r="B1905" s="32" t="s">
        <v>328</v>
      </c>
      <c r="C1905" s="23" t="s">
        <v>329</v>
      </c>
      <c r="D1905" s="23" t="s">
        <v>21</v>
      </c>
      <c r="E1905" s="37">
        <v>45424.0</v>
      </c>
      <c r="F1905" s="25">
        <v>0.2798611111111111</v>
      </c>
      <c r="G1905" s="25">
        <v>0.6402777777777777</v>
      </c>
      <c r="H1905" s="27">
        <f t="shared" si="2"/>
        <v>0.3604166667</v>
      </c>
      <c r="I1905" s="28">
        <v>5.0</v>
      </c>
      <c r="J1905" s="29" t="s">
        <v>55</v>
      </c>
      <c r="K1905" s="30" t="s">
        <v>23</v>
      </c>
      <c r="L1905" s="31" t="str">
        <f>IFERROR(__xludf.DUMMYFUNCTION("IF(OR(E1905="""",K1905=""""),"""",IFERROR(IF(K1905="""","""",query('tbl user'!$A$2:$D10975,""SELECT A WHERE D = '""&amp;K1905&amp;""'"")),""USER TIDAK DIKETAHUI""))"),"#REF!")</f>
        <v>#REF!</v>
      </c>
    </row>
    <row r="1906">
      <c r="A1906" s="21">
        <f t="shared" si="1"/>
        <v>0</v>
      </c>
      <c r="B1906" s="32" t="s">
        <v>87</v>
      </c>
      <c r="C1906" s="23" t="s">
        <v>88</v>
      </c>
      <c r="D1906" s="23" t="s">
        <v>21</v>
      </c>
      <c r="E1906" s="37">
        <v>45424.0</v>
      </c>
      <c r="F1906" s="25">
        <v>0.2652777777777778</v>
      </c>
      <c r="G1906" s="25">
        <v>0.6805555555555556</v>
      </c>
      <c r="H1906" s="27">
        <f t="shared" si="2"/>
        <v>0.4152777778</v>
      </c>
      <c r="I1906" s="28">
        <v>5.0</v>
      </c>
      <c r="J1906" s="29" t="s">
        <v>55</v>
      </c>
      <c r="K1906" s="30" t="s">
        <v>23</v>
      </c>
      <c r="L1906" s="31" t="str">
        <f>IFERROR(__xludf.DUMMYFUNCTION("IF(OR(E1906="""",K1906=""""),"""",IFERROR(IF(K1906="""","""",query('tbl user'!$A$2:$D10975,""SELECT A WHERE D = '""&amp;K1906&amp;""'"")),""USER TIDAK DIKETAHUI""))"),"#REF!")</f>
        <v>#REF!</v>
      </c>
    </row>
    <row r="1907">
      <c r="A1907" s="21">
        <f t="shared" si="1"/>
        <v>0</v>
      </c>
      <c r="B1907" s="32" t="s">
        <v>337</v>
      </c>
      <c r="C1907" s="23" t="s">
        <v>338</v>
      </c>
      <c r="D1907" s="23" t="s">
        <v>21</v>
      </c>
      <c r="E1907" s="37">
        <v>45424.0</v>
      </c>
      <c r="F1907" s="25">
        <v>0.2875</v>
      </c>
      <c r="G1907" s="25">
        <v>0.6756944444444445</v>
      </c>
      <c r="H1907" s="27">
        <f t="shared" si="2"/>
        <v>0.3881944444</v>
      </c>
      <c r="I1907" s="28">
        <v>5.0</v>
      </c>
      <c r="J1907" s="29" t="s">
        <v>55</v>
      </c>
      <c r="K1907" s="30" t="s">
        <v>23</v>
      </c>
      <c r="L1907" s="31" t="str">
        <f>IFERROR(__xludf.DUMMYFUNCTION("IF(OR(E1907="""",K1907=""""),"""",IFERROR(IF(K1907="""","""",query('tbl user'!$A$2:$D10975,""SELECT A WHERE D = '""&amp;K1907&amp;""'"")),""USER TIDAK DIKETAHUI""))"),"#REF!")</f>
        <v>#REF!</v>
      </c>
    </row>
    <row r="1908">
      <c r="A1908" s="21">
        <f t="shared" si="1"/>
        <v>0</v>
      </c>
      <c r="B1908" s="32" t="s">
        <v>601</v>
      </c>
      <c r="C1908" s="23" t="s">
        <v>323</v>
      </c>
      <c r="D1908" s="23" t="s">
        <v>21</v>
      </c>
      <c r="E1908" s="37">
        <v>45424.0</v>
      </c>
      <c r="F1908" s="25">
        <v>0.2701388888888889</v>
      </c>
      <c r="G1908" s="25">
        <v>0.6902777777777778</v>
      </c>
      <c r="H1908" s="27">
        <f t="shared" si="2"/>
        <v>0.4201388889</v>
      </c>
      <c r="I1908" s="28">
        <v>5.0</v>
      </c>
      <c r="J1908" s="29" t="s">
        <v>55</v>
      </c>
      <c r="K1908" s="30" t="s">
        <v>23</v>
      </c>
      <c r="L1908" s="31" t="str">
        <f>IFERROR(__xludf.DUMMYFUNCTION("IF(OR(E1908="""",K1908=""""),"""",IFERROR(IF(K1908="""","""",query('tbl user'!$A$2:$D10975,""SELECT A WHERE D = '""&amp;K1908&amp;""'"")),""USER TIDAK DIKETAHUI""))"),"#REF!")</f>
        <v>#REF!</v>
      </c>
    </row>
    <row r="1909">
      <c r="A1909" s="21">
        <f t="shared" si="1"/>
        <v>0</v>
      </c>
      <c r="B1909" s="32" t="s">
        <v>716</v>
      </c>
      <c r="C1909" s="23" t="s">
        <v>316</v>
      </c>
      <c r="D1909" s="23" t="s">
        <v>21</v>
      </c>
      <c r="E1909" s="37">
        <v>45424.0</v>
      </c>
      <c r="F1909" s="25">
        <v>0.2652777777777778</v>
      </c>
      <c r="G1909" s="25">
        <v>0.70625</v>
      </c>
      <c r="H1909" s="27">
        <f t="shared" si="2"/>
        <v>0.4409722222</v>
      </c>
      <c r="I1909" s="28">
        <v>6.0</v>
      </c>
      <c r="J1909" s="29" t="s">
        <v>55</v>
      </c>
      <c r="K1909" s="30" t="s">
        <v>23</v>
      </c>
      <c r="L1909" s="31" t="str">
        <f>IFERROR(__xludf.DUMMYFUNCTION("IF(OR(E1909="""",K1909=""""),"""",IFERROR(IF(K1909="""","""",query('tbl user'!$A$2:$D10975,""SELECT A WHERE D = '""&amp;K1909&amp;""'"")),""USER TIDAK DIKETAHUI""))"),"#REF!")</f>
        <v>#REF!</v>
      </c>
    </row>
    <row r="1910">
      <c r="A1910" s="21">
        <f t="shared" si="1"/>
        <v>0</v>
      </c>
      <c r="B1910" s="32" t="s">
        <v>577</v>
      </c>
      <c r="C1910" s="23" t="s">
        <v>330</v>
      </c>
      <c r="D1910" s="23" t="s">
        <v>21</v>
      </c>
      <c r="E1910" s="37">
        <v>45424.0</v>
      </c>
      <c r="F1910" s="25">
        <v>0.2590277777777778</v>
      </c>
      <c r="G1910" s="25">
        <v>0.70625</v>
      </c>
      <c r="H1910" s="27">
        <f t="shared" si="2"/>
        <v>0.4472222222</v>
      </c>
      <c r="I1910" s="28">
        <v>6.0</v>
      </c>
      <c r="J1910" s="29" t="s">
        <v>55</v>
      </c>
      <c r="K1910" s="30" t="s">
        <v>23</v>
      </c>
      <c r="L1910" s="31" t="str">
        <f>IFERROR(__xludf.DUMMYFUNCTION("IF(OR(E1910="""",K1910=""""),"""",IFERROR(IF(K1910="""","""",query('tbl user'!$A$2:$D10975,""SELECT A WHERE D = '""&amp;K1910&amp;""'"")),""USER TIDAK DIKETAHUI""))"),"#REF!")</f>
        <v>#REF!</v>
      </c>
    </row>
    <row r="1911">
      <c r="A1911" s="21">
        <f t="shared" si="1"/>
        <v>0</v>
      </c>
      <c r="B1911" s="32" t="s">
        <v>75</v>
      </c>
      <c r="C1911" s="23" t="s">
        <v>76</v>
      </c>
      <c r="D1911" s="23" t="s">
        <v>32</v>
      </c>
      <c r="E1911" s="37">
        <v>45424.0</v>
      </c>
      <c r="F1911" s="25">
        <v>0.22013888888888888</v>
      </c>
      <c r="G1911" s="25">
        <v>0.3590277777777778</v>
      </c>
      <c r="H1911" s="27">
        <f t="shared" si="2"/>
        <v>0.1388888889</v>
      </c>
      <c r="I1911" s="28">
        <v>1.0</v>
      </c>
      <c r="J1911" s="29" t="s">
        <v>955</v>
      </c>
      <c r="K1911" s="30" t="s">
        <v>23</v>
      </c>
      <c r="L1911" s="31" t="str">
        <f>IFERROR(__xludf.DUMMYFUNCTION("IF(OR(E1911="""",K1911=""""),"""",IFERROR(IF(K1911="""","""",query('tbl user'!$A$2:$D10975,""SELECT A WHERE D = '""&amp;K1911&amp;""'"")),""USER TIDAK DIKETAHUI""))"),"#REF!")</f>
        <v>#REF!</v>
      </c>
    </row>
    <row r="1912">
      <c r="A1912" s="21">
        <f t="shared" si="1"/>
        <v>0</v>
      </c>
      <c r="B1912" s="32" t="s">
        <v>123</v>
      </c>
      <c r="C1912" s="23" t="s">
        <v>124</v>
      </c>
      <c r="D1912" s="23" t="s">
        <v>32</v>
      </c>
      <c r="E1912" s="37">
        <v>45424.0</v>
      </c>
      <c r="F1912" s="25">
        <v>0.2548611111111111</v>
      </c>
      <c r="G1912" s="25">
        <v>0.3951388888888889</v>
      </c>
      <c r="H1912" s="27">
        <f t="shared" si="2"/>
        <v>0.1402777778</v>
      </c>
      <c r="I1912" s="28">
        <v>1.0</v>
      </c>
      <c r="J1912" s="29" t="s">
        <v>618</v>
      </c>
      <c r="K1912" s="30" t="s">
        <v>23</v>
      </c>
      <c r="L1912" s="31" t="str">
        <f>IFERROR(__xludf.DUMMYFUNCTION("IF(OR(E1912="""",K1912=""""),"""",IFERROR(IF(K1912="""","""",query('tbl user'!$A$2:$D10975,""SELECT A WHERE D = '""&amp;K1912&amp;""'"")),""USER TIDAK DIKETAHUI""))"),"#REF!")</f>
        <v>#REF!</v>
      </c>
    </row>
    <row r="1913">
      <c r="A1913" s="21">
        <f t="shared" si="1"/>
        <v>0</v>
      </c>
      <c r="B1913" s="32" t="s">
        <v>123</v>
      </c>
      <c r="C1913" s="23" t="s">
        <v>275</v>
      </c>
      <c r="D1913" s="23" t="s">
        <v>32</v>
      </c>
      <c r="E1913" s="37">
        <v>45424.0</v>
      </c>
      <c r="F1913" s="25">
        <v>0.4486111111111111</v>
      </c>
      <c r="G1913" s="25">
        <v>0.68125</v>
      </c>
      <c r="H1913" s="27">
        <f t="shared" si="2"/>
        <v>0.2326388889</v>
      </c>
      <c r="I1913" s="28">
        <v>2.0</v>
      </c>
      <c r="J1913" s="29" t="s">
        <v>956</v>
      </c>
      <c r="K1913" s="30" t="s">
        <v>23</v>
      </c>
      <c r="L1913" s="31" t="str">
        <f>IFERROR(__xludf.DUMMYFUNCTION("IF(OR(E1913="""",K1913=""""),"""",IFERROR(IF(K1913="""","""",query('tbl user'!$A$2:$D10975,""SELECT A WHERE D = '""&amp;K1913&amp;""'"")),""USER TIDAK DIKETAHUI""))"),"#REF!")</f>
        <v>#REF!</v>
      </c>
    </row>
    <row r="1914">
      <c r="A1914" s="21">
        <f t="shared" si="1"/>
        <v>0</v>
      </c>
      <c r="B1914" s="32" t="s">
        <v>125</v>
      </c>
      <c r="C1914" s="23" t="s">
        <v>126</v>
      </c>
      <c r="D1914" s="23" t="s">
        <v>32</v>
      </c>
      <c r="E1914" s="37">
        <v>45424.0</v>
      </c>
      <c r="F1914" s="25">
        <v>0.3402777777777778</v>
      </c>
      <c r="G1914" s="25">
        <v>0.6222222222222222</v>
      </c>
      <c r="H1914" s="27">
        <f t="shared" si="2"/>
        <v>0.2819444444</v>
      </c>
      <c r="I1914" s="28">
        <v>3.0</v>
      </c>
      <c r="J1914" s="29" t="s">
        <v>957</v>
      </c>
      <c r="K1914" s="30" t="s">
        <v>23</v>
      </c>
      <c r="L1914" s="31" t="str">
        <f>IFERROR(__xludf.DUMMYFUNCTION("IF(OR(E1914="""",K1914=""""),"""",IFERROR(IF(K1914="""","""",query('tbl user'!$A$2:$D10975,""SELECT A WHERE D = '""&amp;K1914&amp;""'"")),""USER TIDAK DIKETAHUI""))"),"#REF!")</f>
        <v>#REF!</v>
      </c>
    </row>
    <row r="1915">
      <c r="A1915" s="21">
        <f t="shared" si="1"/>
        <v>0</v>
      </c>
      <c r="B1915" s="32" t="s">
        <v>72</v>
      </c>
      <c r="C1915" s="23" t="s">
        <v>73</v>
      </c>
      <c r="D1915" s="23" t="s">
        <v>32</v>
      </c>
      <c r="E1915" s="37">
        <v>45424.0</v>
      </c>
      <c r="F1915" s="25">
        <v>0.22291666666666668</v>
      </c>
      <c r="G1915" s="25">
        <v>0.7048611111111112</v>
      </c>
      <c r="H1915" s="27">
        <f t="shared" si="2"/>
        <v>0.4819444444</v>
      </c>
      <c r="I1915" s="28">
        <v>3.0</v>
      </c>
      <c r="J1915" s="29" t="s">
        <v>958</v>
      </c>
      <c r="K1915" s="30" t="s">
        <v>23</v>
      </c>
      <c r="L1915" s="31" t="str">
        <f>IFERROR(__xludf.DUMMYFUNCTION("IF(OR(E1915="""",K1915=""""),"""",IFERROR(IF(K1915="""","""",query('tbl user'!$A$2:$D10975,""SELECT A WHERE D = '""&amp;K1915&amp;""'"")),""USER TIDAK DIKETAHUI""))"),"#REF!")</f>
        <v>#REF!</v>
      </c>
    </row>
    <row r="1916">
      <c r="A1916" s="21">
        <f t="shared" si="1"/>
        <v>0</v>
      </c>
      <c r="B1916" s="32" t="s">
        <v>269</v>
      </c>
      <c r="C1916" s="23" t="s">
        <v>270</v>
      </c>
      <c r="D1916" s="23" t="s">
        <v>32</v>
      </c>
      <c r="E1916" s="37">
        <v>45424.0</v>
      </c>
      <c r="F1916" s="25">
        <v>0.37083333333333335</v>
      </c>
      <c r="G1916" s="25">
        <v>0.6923611111111111</v>
      </c>
      <c r="H1916" s="27">
        <f t="shared" si="2"/>
        <v>0.3215277778</v>
      </c>
      <c r="I1916" s="28">
        <v>3.0</v>
      </c>
      <c r="J1916" s="29" t="s">
        <v>959</v>
      </c>
      <c r="K1916" s="30" t="s">
        <v>23</v>
      </c>
      <c r="L1916" s="31" t="str">
        <f>IFERROR(__xludf.DUMMYFUNCTION("IF(OR(E1916="""",K1916=""""),"""",IFERROR(IF(K1916="""","""",query('tbl user'!$A$2:$D10975,""SELECT A WHERE D = '""&amp;K1916&amp;""'"")),""USER TIDAK DIKETAHUI""))"),"#REF!")</f>
        <v>#REF!</v>
      </c>
    </row>
    <row r="1917">
      <c r="A1917" s="21">
        <f t="shared" si="1"/>
        <v>0</v>
      </c>
      <c r="B1917" s="32" t="s">
        <v>250</v>
      </c>
      <c r="C1917" s="23" t="s">
        <v>315</v>
      </c>
      <c r="D1917" s="23" t="s">
        <v>32</v>
      </c>
      <c r="E1917" s="37">
        <v>45424.0</v>
      </c>
      <c r="F1917" s="25">
        <v>0.28958333333333336</v>
      </c>
      <c r="G1917" s="25">
        <v>0.6881944444444444</v>
      </c>
      <c r="H1917" s="27">
        <f t="shared" si="2"/>
        <v>0.3986111111</v>
      </c>
      <c r="I1917" s="28">
        <v>4.0</v>
      </c>
      <c r="J1917" s="29" t="s">
        <v>55</v>
      </c>
      <c r="K1917" s="30" t="s">
        <v>23</v>
      </c>
      <c r="L1917" s="31" t="str">
        <f>IFERROR(__xludf.DUMMYFUNCTION("IF(OR(E1917="""",K1917=""""),"""",IFERROR(IF(K1917="""","""",query('tbl user'!$A$2:$D10975,""SELECT A WHERE D = '""&amp;K1917&amp;""'"")),""USER TIDAK DIKETAHUI""))"),"#REF!")</f>
        <v>#REF!</v>
      </c>
    </row>
    <row r="1918">
      <c r="A1918" s="21">
        <f t="shared" si="1"/>
        <v>0</v>
      </c>
      <c r="B1918" s="32" t="s">
        <v>115</v>
      </c>
      <c r="C1918" s="23" t="s">
        <v>116</v>
      </c>
      <c r="D1918" s="23" t="s">
        <v>32</v>
      </c>
      <c r="E1918" s="37">
        <v>45424.0</v>
      </c>
      <c r="F1918" s="25">
        <v>0.2875</v>
      </c>
      <c r="G1918" s="25">
        <v>0.6895833333333333</v>
      </c>
      <c r="H1918" s="27">
        <f t="shared" si="2"/>
        <v>0.4020833333</v>
      </c>
      <c r="I1918" s="28">
        <v>4.0</v>
      </c>
      <c r="J1918" s="29" t="s">
        <v>55</v>
      </c>
      <c r="K1918" s="30" t="s">
        <v>23</v>
      </c>
      <c r="L1918" s="31" t="str">
        <f>IFERROR(__xludf.DUMMYFUNCTION("IF(OR(E1918="""",K1918=""""),"""",IFERROR(IF(K1918="""","""",query('tbl user'!$A$2:$D10975,""SELECT A WHERE D = '""&amp;K1918&amp;""'"")),""USER TIDAK DIKETAHUI""))"),"#REF!")</f>
        <v>#REF!</v>
      </c>
    </row>
    <row r="1919">
      <c r="A1919" s="21">
        <f t="shared" si="1"/>
        <v>0</v>
      </c>
      <c r="B1919" s="32" t="s">
        <v>46</v>
      </c>
      <c r="C1919" s="23" t="s">
        <v>47</v>
      </c>
      <c r="D1919" s="23" t="s">
        <v>32</v>
      </c>
      <c r="E1919" s="37">
        <v>45424.0</v>
      </c>
      <c r="F1919" s="25">
        <v>0.25972222222222224</v>
      </c>
      <c r="G1919" s="25">
        <v>0.6708333333333333</v>
      </c>
      <c r="H1919" s="27">
        <f t="shared" si="2"/>
        <v>0.4111111111</v>
      </c>
      <c r="I1919" s="28">
        <v>4.0</v>
      </c>
      <c r="J1919" s="29" t="s">
        <v>55</v>
      </c>
      <c r="K1919" s="30" t="s">
        <v>23</v>
      </c>
      <c r="L1919" s="31" t="str">
        <f>IFERROR(__xludf.DUMMYFUNCTION("IF(OR(E1919="""",K1919=""""),"""",IFERROR(IF(K1919="""","""",query('tbl user'!$A$2:$D10975,""SELECT A WHERE D = '""&amp;K1919&amp;""'"")),""USER TIDAK DIKETAHUI""))"),"#REF!")</f>
        <v>#REF!</v>
      </c>
    </row>
    <row r="1920">
      <c r="A1920" s="21">
        <f t="shared" si="1"/>
        <v>0</v>
      </c>
      <c r="B1920" s="32" t="s">
        <v>263</v>
      </c>
      <c r="C1920" s="23" t="s">
        <v>264</v>
      </c>
      <c r="D1920" s="23" t="s">
        <v>32</v>
      </c>
      <c r="E1920" s="37">
        <v>45424.0</v>
      </c>
      <c r="F1920" s="25">
        <v>0.21805555555555556</v>
      </c>
      <c r="G1920" s="25">
        <v>0.66875</v>
      </c>
      <c r="H1920" s="27">
        <f t="shared" si="2"/>
        <v>0.4506944444</v>
      </c>
      <c r="I1920" s="28">
        <v>4.0</v>
      </c>
      <c r="J1920" s="29" t="s">
        <v>55</v>
      </c>
      <c r="K1920" s="30" t="s">
        <v>23</v>
      </c>
      <c r="L1920" s="31" t="str">
        <f>IFERROR(__xludf.DUMMYFUNCTION("IF(OR(E1920="""",K1920=""""),"""",IFERROR(IF(K1920="""","""",query('tbl user'!$A$2:$D10975,""SELECT A WHERE D = '""&amp;K1920&amp;""'"")),""USER TIDAK DIKETAHUI""))"),"#REF!")</f>
        <v>#REF!</v>
      </c>
    </row>
    <row r="1921">
      <c r="A1921" s="21">
        <f t="shared" si="1"/>
        <v>0</v>
      </c>
      <c r="B1921" s="32" t="s">
        <v>118</v>
      </c>
      <c r="C1921" s="23" t="s">
        <v>119</v>
      </c>
      <c r="D1921" s="23" t="s">
        <v>32</v>
      </c>
      <c r="E1921" s="37">
        <v>45424.0</v>
      </c>
      <c r="F1921" s="25">
        <v>0.21736111111111112</v>
      </c>
      <c r="G1921" s="25">
        <v>0.7076388888888889</v>
      </c>
      <c r="H1921" s="27">
        <f t="shared" si="2"/>
        <v>0.4902777778</v>
      </c>
      <c r="I1921" s="28">
        <v>5.0</v>
      </c>
      <c r="J1921" s="29" t="s">
        <v>55</v>
      </c>
      <c r="K1921" s="30" t="s">
        <v>23</v>
      </c>
      <c r="L1921" s="31" t="str">
        <f>IFERROR(__xludf.DUMMYFUNCTION("IF(OR(E1921="""",K1921=""""),"""",IFERROR(IF(K1921="""","""",query('tbl user'!$A$2:$D10975,""SELECT A WHERE D = '""&amp;K1921&amp;""'"")),""USER TIDAK DIKETAHUI""))"),"#REF!")</f>
        <v>#REF!</v>
      </c>
    </row>
    <row r="1922">
      <c r="A1922" s="21">
        <f t="shared" si="1"/>
        <v>0</v>
      </c>
      <c r="B1922" s="32" t="s">
        <v>133</v>
      </c>
      <c r="C1922" s="23" t="s">
        <v>134</v>
      </c>
      <c r="D1922" s="23" t="s">
        <v>32</v>
      </c>
      <c r="E1922" s="37">
        <v>45424.0</v>
      </c>
      <c r="F1922" s="25">
        <v>0.225</v>
      </c>
      <c r="G1922" s="25">
        <v>0.6222222222222222</v>
      </c>
      <c r="H1922" s="27">
        <f t="shared" si="2"/>
        <v>0.3972222222</v>
      </c>
      <c r="I1922" s="28">
        <v>5.0</v>
      </c>
      <c r="J1922" s="29" t="s">
        <v>55</v>
      </c>
      <c r="K1922" s="30" t="s">
        <v>23</v>
      </c>
      <c r="L1922" s="31" t="str">
        <f>IFERROR(__xludf.DUMMYFUNCTION("IF(OR(E1922="""",K1922=""""),"""",IFERROR(IF(K1922="""","""",query('tbl user'!$A$2:$D10975,""SELECT A WHERE D = '""&amp;K1922&amp;""'"")),""USER TIDAK DIKETAHUI""))"),"#REF!")</f>
        <v>#REF!</v>
      </c>
    </row>
    <row r="1923">
      <c r="A1923" s="21">
        <f t="shared" si="1"/>
        <v>0</v>
      </c>
      <c r="B1923" s="32" t="s">
        <v>56</v>
      </c>
      <c r="C1923" s="23" t="s">
        <v>57</v>
      </c>
      <c r="D1923" s="23" t="s">
        <v>58</v>
      </c>
      <c r="E1923" s="37">
        <v>45425.0</v>
      </c>
      <c r="F1923" s="25">
        <v>0.25972222222222224</v>
      </c>
      <c r="G1923" s="25">
        <v>0.37430555555555556</v>
      </c>
      <c r="H1923" s="27">
        <f t="shared" si="2"/>
        <v>0.1145833333</v>
      </c>
      <c r="I1923" s="28">
        <v>1.0</v>
      </c>
      <c r="J1923" s="29" t="s">
        <v>960</v>
      </c>
      <c r="K1923" s="30" t="s">
        <v>23</v>
      </c>
      <c r="L1923" s="31" t="str">
        <f>IFERROR(__xludf.DUMMYFUNCTION("IF(OR(E1923="""",K1923=""""),"""",IFERROR(IF(K1923="""","""",query('tbl user'!$A$2:$D10975,""SELECT A WHERE D = '""&amp;K1923&amp;""'"")),""USER TIDAK DIKETAHUI""))"),"#REF!")</f>
        <v>#REF!</v>
      </c>
    </row>
    <row r="1924">
      <c r="A1924" s="21">
        <f t="shared" si="1"/>
        <v>0</v>
      </c>
      <c r="B1924" s="32" t="s">
        <v>95</v>
      </c>
      <c r="C1924" s="23" t="s">
        <v>176</v>
      </c>
      <c r="D1924" s="23" t="s">
        <v>58</v>
      </c>
      <c r="E1924" s="37">
        <v>45425.0</v>
      </c>
      <c r="F1924" s="25">
        <v>0.27569444444444446</v>
      </c>
      <c r="G1924" s="25">
        <v>0.5777777777777777</v>
      </c>
      <c r="H1924" s="27">
        <f t="shared" si="2"/>
        <v>0.3020833333</v>
      </c>
      <c r="I1924" s="28">
        <v>2.0</v>
      </c>
      <c r="J1924" s="29" t="s">
        <v>961</v>
      </c>
      <c r="K1924" s="30" t="s">
        <v>23</v>
      </c>
      <c r="L1924" s="31" t="str">
        <f>IFERROR(__xludf.DUMMYFUNCTION("IF(OR(E1924="""",K1924=""""),"""",IFERROR(IF(K1924="""","""",query('tbl user'!$A$2:$D10975,""SELECT A WHERE D = '""&amp;K1924&amp;""'"")),""USER TIDAK DIKETAHUI""))"),"#REF!")</f>
        <v>#REF!</v>
      </c>
    </row>
    <row r="1925">
      <c r="A1925" s="21">
        <f t="shared" si="1"/>
        <v>0</v>
      </c>
      <c r="B1925" s="32" t="s">
        <v>178</v>
      </c>
      <c r="C1925" s="23" t="s">
        <v>82</v>
      </c>
      <c r="D1925" s="23" t="s">
        <v>58</v>
      </c>
      <c r="E1925" s="37">
        <v>45425.0</v>
      </c>
      <c r="F1925" s="25">
        <v>0.2798611111111111</v>
      </c>
      <c r="G1925" s="25">
        <v>0.6111111111111112</v>
      </c>
      <c r="H1925" s="27">
        <f t="shared" si="2"/>
        <v>0.33125</v>
      </c>
      <c r="I1925" s="28">
        <v>2.0</v>
      </c>
      <c r="J1925" s="29" t="s">
        <v>962</v>
      </c>
      <c r="K1925" s="30" t="s">
        <v>23</v>
      </c>
      <c r="L1925" s="31" t="str">
        <f>IFERROR(__xludf.DUMMYFUNCTION("IF(OR(E1925="""",K1925=""""),"""",IFERROR(IF(K1925="""","""",query('tbl user'!$A$2:$D10975,""SELECT A WHERE D = '""&amp;K1925&amp;""'"")),""USER TIDAK DIKETAHUI""))"),"#REF!")</f>
        <v>#REF!</v>
      </c>
    </row>
    <row r="1926">
      <c r="A1926" s="21">
        <f t="shared" si="1"/>
        <v>0</v>
      </c>
      <c r="B1926" s="32" t="s">
        <v>216</v>
      </c>
      <c r="C1926" s="23" t="s">
        <v>198</v>
      </c>
      <c r="D1926" s="23" t="s">
        <v>58</v>
      </c>
      <c r="E1926" s="37">
        <v>45425.0</v>
      </c>
      <c r="F1926" s="25">
        <v>0.2361111111111111</v>
      </c>
      <c r="G1926" s="25">
        <v>0.4548611111111111</v>
      </c>
      <c r="H1926" s="27">
        <f t="shared" si="2"/>
        <v>0.21875</v>
      </c>
      <c r="I1926" s="28">
        <v>2.0</v>
      </c>
      <c r="J1926" s="29" t="s">
        <v>963</v>
      </c>
      <c r="K1926" s="30" t="s">
        <v>23</v>
      </c>
      <c r="L1926" s="31" t="str">
        <f>IFERROR(__xludf.DUMMYFUNCTION("IF(OR(E1926="""",K1926=""""),"""",IFERROR(IF(K1926="""","""",query('tbl user'!$A$2:$D10975,""SELECT A WHERE D = '""&amp;K1926&amp;""'"")),""USER TIDAK DIKETAHUI""))"),"#REF!")</f>
        <v>#REF!</v>
      </c>
    </row>
    <row r="1927">
      <c r="A1927" s="21">
        <f t="shared" si="1"/>
        <v>0</v>
      </c>
      <c r="B1927" s="32" t="s">
        <v>205</v>
      </c>
      <c r="C1927" s="23" t="s">
        <v>206</v>
      </c>
      <c r="D1927" s="23" t="s">
        <v>58</v>
      </c>
      <c r="E1927" s="37">
        <v>45425.0</v>
      </c>
      <c r="F1927" s="25">
        <v>0.24097222222222223</v>
      </c>
      <c r="G1927" s="25">
        <v>0.4847222222222222</v>
      </c>
      <c r="H1927" s="27">
        <f t="shared" si="2"/>
        <v>0.24375</v>
      </c>
      <c r="I1927" s="28">
        <v>2.0</v>
      </c>
      <c r="J1927" s="29" t="s">
        <v>964</v>
      </c>
      <c r="K1927" s="30" t="s">
        <v>23</v>
      </c>
      <c r="L1927" s="31" t="str">
        <f>IFERROR(__xludf.DUMMYFUNCTION("IF(OR(E1927="""",K1927=""""),"""",IFERROR(IF(K1927="""","""",query('tbl user'!$A$2:$D10975,""SELECT A WHERE D = '""&amp;K1927&amp;""'"")),""USER TIDAK DIKETAHUI""))"),"#REF!")</f>
        <v>#REF!</v>
      </c>
    </row>
    <row r="1928">
      <c r="A1928" s="21">
        <f t="shared" si="1"/>
        <v>0</v>
      </c>
      <c r="B1928" s="32" t="s">
        <v>191</v>
      </c>
      <c r="C1928" s="23" t="s">
        <v>192</v>
      </c>
      <c r="D1928" s="23" t="s">
        <v>58</v>
      </c>
      <c r="E1928" s="37">
        <v>45425.0</v>
      </c>
      <c r="F1928" s="25">
        <v>0.2625</v>
      </c>
      <c r="G1928" s="25">
        <v>0.4652777777777778</v>
      </c>
      <c r="H1928" s="27">
        <f t="shared" si="2"/>
        <v>0.2027777778</v>
      </c>
      <c r="I1928" s="28">
        <v>2.0</v>
      </c>
      <c r="J1928" s="29" t="s">
        <v>965</v>
      </c>
      <c r="K1928" s="30" t="s">
        <v>23</v>
      </c>
      <c r="L1928" s="31" t="str">
        <f>IFERROR(__xludf.DUMMYFUNCTION("IF(OR(E1928="""",K1928=""""),"""",IFERROR(IF(K1928="""","""",query('tbl user'!$A$2:$D10975,""SELECT A WHERE D = '""&amp;K1928&amp;""'"")),""USER TIDAK DIKETAHUI""))"),"#REF!")</f>
        <v>#REF!</v>
      </c>
    </row>
    <row r="1929">
      <c r="A1929" s="21">
        <f t="shared" si="1"/>
        <v>0</v>
      </c>
      <c r="B1929" s="32" t="s">
        <v>67</v>
      </c>
      <c r="C1929" s="23" t="s">
        <v>68</v>
      </c>
      <c r="D1929" s="23" t="s">
        <v>58</v>
      </c>
      <c r="E1929" s="37">
        <v>45425.0</v>
      </c>
      <c r="F1929" s="25">
        <v>0.25972222222222224</v>
      </c>
      <c r="G1929" s="25">
        <v>0.6458333333333334</v>
      </c>
      <c r="H1929" s="27">
        <f t="shared" si="2"/>
        <v>0.3861111111</v>
      </c>
      <c r="I1929" s="28">
        <v>3.0</v>
      </c>
      <c r="J1929" s="29" t="s">
        <v>966</v>
      </c>
      <c r="K1929" s="30" t="s">
        <v>23</v>
      </c>
      <c r="L1929" s="31" t="str">
        <f>IFERROR(__xludf.DUMMYFUNCTION("IF(OR(E1929="""",K1929=""""),"""",IFERROR(IF(K1929="""","""",query('tbl user'!$A$2:$D10975,""SELECT A WHERE D = '""&amp;K1929&amp;""'"")),""USER TIDAK DIKETAHUI""))"),"#REF!")</f>
        <v>#REF!</v>
      </c>
    </row>
    <row r="1930">
      <c r="A1930" s="21">
        <f t="shared" si="1"/>
        <v>0</v>
      </c>
      <c r="B1930" s="32" t="s">
        <v>189</v>
      </c>
      <c r="C1930" s="23" t="s">
        <v>190</v>
      </c>
      <c r="D1930" s="23" t="s">
        <v>58</v>
      </c>
      <c r="E1930" s="37">
        <v>45425.0</v>
      </c>
      <c r="F1930" s="25">
        <v>0.26805555555555555</v>
      </c>
      <c r="G1930" s="25">
        <v>0.6090277777777777</v>
      </c>
      <c r="H1930" s="27">
        <f t="shared" si="2"/>
        <v>0.3409722222</v>
      </c>
      <c r="I1930" s="28">
        <v>3.0</v>
      </c>
      <c r="J1930" s="29" t="s">
        <v>967</v>
      </c>
      <c r="K1930" s="30" t="s">
        <v>23</v>
      </c>
      <c r="L1930" s="31" t="str">
        <f>IFERROR(__xludf.DUMMYFUNCTION("IF(OR(E1930="""",K1930=""""),"""",IFERROR(IF(K1930="""","""",query('tbl user'!$A$2:$D10975,""SELECT A WHERE D = '""&amp;K1930&amp;""'"")),""USER TIDAK DIKETAHUI""))"),"#REF!")</f>
        <v>#REF!</v>
      </c>
    </row>
    <row r="1931">
      <c r="A1931" s="21">
        <f t="shared" si="1"/>
        <v>0</v>
      </c>
      <c r="B1931" s="32" t="s">
        <v>194</v>
      </c>
      <c r="C1931" s="23" t="s">
        <v>195</v>
      </c>
      <c r="D1931" s="23" t="s">
        <v>58</v>
      </c>
      <c r="E1931" s="37">
        <v>45425.0</v>
      </c>
      <c r="F1931" s="25">
        <v>0.23194444444444445</v>
      </c>
      <c r="G1931" s="25">
        <v>0.5694444444444444</v>
      </c>
      <c r="H1931" s="27">
        <f t="shared" si="2"/>
        <v>0.3375</v>
      </c>
      <c r="I1931" s="28">
        <v>3.0</v>
      </c>
      <c r="J1931" s="29" t="s">
        <v>968</v>
      </c>
      <c r="K1931" s="30" t="s">
        <v>23</v>
      </c>
      <c r="L1931" s="31" t="str">
        <f>IFERROR(__xludf.DUMMYFUNCTION("IF(OR(E1931="""",K1931=""""),"""",IFERROR(IF(K1931="""","""",query('tbl user'!$A$2:$D10975,""SELECT A WHERE D = '""&amp;K1931&amp;""'"")),""USER TIDAK DIKETAHUI""))"),"#REF!")</f>
        <v>#REF!</v>
      </c>
    </row>
    <row r="1932">
      <c r="A1932" s="21">
        <f t="shared" si="1"/>
        <v>0</v>
      </c>
      <c r="B1932" s="32" t="s">
        <v>297</v>
      </c>
      <c r="C1932" s="23" t="s">
        <v>348</v>
      </c>
      <c r="D1932" s="23" t="s">
        <v>58</v>
      </c>
      <c r="E1932" s="37">
        <v>45425.0</v>
      </c>
      <c r="F1932" s="25">
        <v>0.26458333333333334</v>
      </c>
      <c r="G1932" s="25">
        <v>0.6104166666666667</v>
      </c>
      <c r="H1932" s="27">
        <f t="shared" si="2"/>
        <v>0.3458333333</v>
      </c>
      <c r="I1932" s="28">
        <v>3.0</v>
      </c>
      <c r="J1932" s="29" t="s">
        <v>969</v>
      </c>
      <c r="K1932" s="30" t="s">
        <v>23</v>
      </c>
      <c r="L1932" s="31" t="str">
        <f>IFERROR(__xludf.DUMMYFUNCTION("IF(OR(E1932="""",K1932=""""),"""",IFERROR(IF(K1932="""","""",query('tbl user'!$A$2:$D10975,""SELECT A WHERE D = '""&amp;K1932&amp;""'"")),""USER TIDAK DIKETAHUI""))"),"#REF!")</f>
        <v>#REF!</v>
      </c>
    </row>
    <row r="1933">
      <c r="A1933" s="21">
        <f t="shared" si="1"/>
        <v>0</v>
      </c>
      <c r="B1933" s="32" t="s">
        <v>214</v>
      </c>
      <c r="C1933" s="23" t="s">
        <v>170</v>
      </c>
      <c r="D1933" s="23" t="s">
        <v>58</v>
      </c>
      <c r="E1933" s="37">
        <v>45425.0</v>
      </c>
      <c r="F1933" s="25">
        <v>0.2861111111111111</v>
      </c>
      <c r="G1933" s="25">
        <v>0.6784722222222223</v>
      </c>
      <c r="H1933" s="27">
        <f t="shared" si="2"/>
        <v>0.3923611111</v>
      </c>
      <c r="I1933" s="28">
        <v>4.0</v>
      </c>
      <c r="J1933" s="29" t="s">
        <v>55</v>
      </c>
      <c r="K1933" s="30" t="s">
        <v>23</v>
      </c>
      <c r="L1933" s="31" t="str">
        <f>IFERROR(__xludf.DUMMYFUNCTION("IF(OR(E1933="""",K1933=""""),"""",IFERROR(IF(K1933="""","""",query('tbl user'!$A$2:$D10975,""SELECT A WHERE D = '""&amp;K1933&amp;""'"")),""USER TIDAK DIKETAHUI""))"),"#REF!")</f>
        <v>#REF!</v>
      </c>
    </row>
    <row r="1934">
      <c r="A1934" s="21">
        <f t="shared" si="1"/>
        <v>0</v>
      </c>
      <c r="B1934" s="32" t="s">
        <v>180</v>
      </c>
      <c r="C1934" s="23" t="s">
        <v>181</v>
      </c>
      <c r="D1934" s="23" t="s">
        <v>58</v>
      </c>
      <c r="E1934" s="37">
        <v>45425.0</v>
      </c>
      <c r="F1934" s="25">
        <v>0.23819444444444443</v>
      </c>
      <c r="G1934" s="25">
        <v>0.6506944444444445</v>
      </c>
      <c r="H1934" s="27">
        <f t="shared" si="2"/>
        <v>0.4125</v>
      </c>
      <c r="I1934" s="28">
        <v>4.0</v>
      </c>
      <c r="J1934" s="29" t="s">
        <v>55</v>
      </c>
      <c r="K1934" s="30" t="s">
        <v>23</v>
      </c>
      <c r="L1934" s="31" t="str">
        <f>IFERROR(__xludf.DUMMYFUNCTION("IF(OR(E1934="""",K1934=""""),"""",IFERROR(IF(K1934="""","""",query('tbl user'!$A$2:$D10975,""SELECT A WHERE D = '""&amp;K1934&amp;""'"")),""USER TIDAK DIKETAHUI""))"),"#REF!")</f>
        <v>#REF!</v>
      </c>
    </row>
    <row r="1935">
      <c r="A1935" s="21">
        <f t="shared" si="1"/>
        <v>0</v>
      </c>
      <c r="B1935" s="32" t="s">
        <v>184</v>
      </c>
      <c r="C1935" s="23" t="s">
        <v>185</v>
      </c>
      <c r="D1935" s="23" t="s">
        <v>58</v>
      </c>
      <c r="E1935" s="37">
        <v>45425.0</v>
      </c>
      <c r="F1935" s="25">
        <v>0.26875</v>
      </c>
      <c r="G1935" s="25">
        <v>0.6680555555555555</v>
      </c>
      <c r="H1935" s="27">
        <f t="shared" si="2"/>
        <v>0.3993055556</v>
      </c>
      <c r="I1935" s="28">
        <v>4.0</v>
      </c>
      <c r="J1935" s="29" t="s">
        <v>55</v>
      </c>
      <c r="K1935" s="30" t="s">
        <v>23</v>
      </c>
      <c r="L1935" s="31" t="str">
        <f>IFERROR(__xludf.DUMMYFUNCTION("IF(OR(E1935="""",K1935=""""),"""",IFERROR(IF(K1935="""","""",query('tbl user'!$A$2:$D10975,""SELECT A WHERE D = '""&amp;K1935&amp;""'"")),""USER TIDAK DIKETAHUI""))"),"#REF!")</f>
        <v>#REF!</v>
      </c>
    </row>
    <row r="1936">
      <c r="A1936" s="21">
        <f t="shared" si="1"/>
        <v>0</v>
      </c>
      <c r="B1936" s="32" t="s">
        <v>187</v>
      </c>
      <c r="C1936" s="23" t="s">
        <v>188</v>
      </c>
      <c r="D1936" s="23" t="s">
        <v>58</v>
      </c>
      <c r="E1936" s="37">
        <v>45425.0</v>
      </c>
      <c r="F1936" s="25">
        <v>0.22013888888888888</v>
      </c>
      <c r="G1936" s="25">
        <v>0.6486111111111111</v>
      </c>
      <c r="H1936" s="27">
        <f t="shared" si="2"/>
        <v>0.4284722222</v>
      </c>
      <c r="I1936" s="28">
        <v>4.0</v>
      </c>
      <c r="J1936" s="29" t="s">
        <v>55</v>
      </c>
      <c r="K1936" s="30" t="s">
        <v>23</v>
      </c>
      <c r="L1936" s="31" t="str">
        <f>IFERROR(__xludf.DUMMYFUNCTION("IF(OR(E1936="""",K1936=""""),"""",IFERROR(IF(K1936="""","""",query('tbl user'!$A$2:$D10975,""SELECT A WHERE D = '""&amp;K1936&amp;""'"")),""USER TIDAK DIKETAHUI""))"),"#REF!")</f>
        <v>#REF!</v>
      </c>
    </row>
    <row r="1937">
      <c r="A1937" s="21">
        <f t="shared" si="1"/>
        <v>0</v>
      </c>
      <c r="B1937" s="32" t="s">
        <v>200</v>
      </c>
      <c r="C1937" s="23" t="s">
        <v>201</v>
      </c>
      <c r="D1937" s="23" t="s">
        <v>58</v>
      </c>
      <c r="E1937" s="37">
        <v>45425.0</v>
      </c>
      <c r="F1937" s="25">
        <v>0.20208333333333334</v>
      </c>
      <c r="G1937" s="25">
        <v>0.6277777777777778</v>
      </c>
      <c r="H1937" s="27">
        <f t="shared" si="2"/>
        <v>0.4256944444</v>
      </c>
      <c r="I1937" s="28">
        <v>4.0</v>
      </c>
      <c r="J1937" s="29" t="s">
        <v>55</v>
      </c>
      <c r="K1937" s="30" t="s">
        <v>23</v>
      </c>
      <c r="L1937" s="31" t="str">
        <f>IFERROR(__xludf.DUMMYFUNCTION("IF(OR(E1937="""",K1937=""""),"""",IFERROR(IF(K1937="""","""",query('tbl user'!$A$2:$D10975,""SELECT A WHERE D = '""&amp;K1937&amp;""'"")),""USER TIDAK DIKETAHUI""))"),"#REF!")</f>
        <v>#REF!</v>
      </c>
    </row>
    <row r="1938">
      <c r="A1938" s="21">
        <f t="shared" si="1"/>
        <v>0</v>
      </c>
      <c r="B1938" s="32" t="s">
        <v>104</v>
      </c>
      <c r="C1938" s="23" t="s">
        <v>105</v>
      </c>
      <c r="D1938" s="23" t="s">
        <v>58</v>
      </c>
      <c r="E1938" s="37">
        <v>45425.0</v>
      </c>
      <c r="F1938" s="25">
        <v>0.24513888888888888</v>
      </c>
      <c r="G1938" s="25">
        <v>0.7090277777777778</v>
      </c>
      <c r="H1938" s="27">
        <f t="shared" si="2"/>
        <v>0.4638888889</v>
      </c>
      <c r="I1938" s="28">
        <v>4.0</v>
      </c>
      <c r="J1938" s="29" t="s">
        <v>55</v>
      </c>
      <c r="K1938" s="30" t="s">
        <v>23</v>
      </c>
      <c r="L1938" s="31" t="str">
        <f>IFERROR(__xludf.DUMMYFUNCTION("IF(OR(E1938="""",K1938=""""),"""",IFERROR(IF(K1938="""","""",query('tbl user'!$A$2:$D10975,""SELECT A WHERE D = '""&amp;K1938&amp;""'"")),""USER TIDAK DIKETAHUI""))"),"#REF!")</f>
        <v>#REF!</v>
      </c>
    </row>
    <row r="1939">
      <c r="A1939" s="21">
        <f t="shared" si="1"/>
        <v>0</v>
      </c>
      <c r="B1939" s="32" t="s">
        <v>202</v>
      </c>
      <c r="C1939" s="23" t="s">
        <v>203</v>
      </c>
      <c r="D1939" s="23" t="s">
        <v>58</v>
      </c>
      <c r="E1939" s="37">
        <v>45425.0</v>
      </c>
      <c r="F1939" s="25">
        <v>0.24583333333333332</v>
      </c>
      <c r="G1939" s="25">
        <v>0.6673611111111111</v>
      </c>
      <c r="H1939" s="27">
        <f t="shared" si="2"/>
        <v>0.4215277778</v>
      </c>
      <c r="I1939" s="28">
        <v>4.0</v>
      </c>
      <c r="J1939" s="29" t="s">
        <v>55</v>
      </c>
      <c r="K1939" s="30" t="s">
        <v>23</v>
      </c>
      <c r="L1939" s="31" t="str">
        <f>IFERROR(__xludf.DUMMYFUNCTION("IF(OR(E1939="""",K1939=""""),"""",IFERROR(IF(K1939="""","""",query('tbl user'!$A$2:$D10975,""SELECT A WHERE D = '""&amp;K1939&amp;""'"")),""USER TIDAK DIKETAHUI""))"),"#REF!")</f>
        <v>#REF!</v>
      </c>
    </row>
    <row r="1940">
      <c r="A1940" s="21">
        <f t="shared" si="1"/>
        <v>0</v>
      </c>
      <c r="B1940" s="32" t="s">
        <v>224</v>
      </c>
      <c r="C1940" s="23" t="s">
        <v>208</v>
      </c>
      <c r="D1940" s="23" t="s">
        <v>58</v>
      </c>
      <c r="E1940" s="37">
        <v>45425.0</v>
      </c>
      <c r="F1940" s="25">
        <v>0.24375</v>
      </c>
      <c r="G1940" s="25">
        <v>0.7</v>
      </c>
      <c r="H1940" s="27">
        <f t="shared" si="2"/>
        <v>0.45625</v>
      </c>
      <c r="I1940" s="28">
        <v>4.0</v>
      </c>
      <c r="J1940" s="29" t="s">
        <v>55</v>
      </c>
      <c r="K1940" s="30" t="s">
        <v>23</v>
      </c>
      <c r="L1940" s="31" t="str">
        <f>IFERROR(__xludf.DUMMYFUNCTION("IF(OR(E1940="""",K1940=""""),"""",IFERROR(IF(K1940="""","""",query('tbl user'!$A$2:$D10975,""SELECT A WHERE D = '""&amp;K1940&amp;""'"")),""USER TIDAK DIKETAHUI""))"),"#REF!")</f>
        <v>#REF!</v>
      </c>
    </row>
    <row r="1941">
      <c r="A1941" s="21">
        <f t="shared" si="1"/>
        <v>0</v>
      </c>
      <c r="B1941" s="32" t="s">
        <v>267</v>
      </c>
      <c r="C1941" s="23" t="s">
        <v>85</v>
      </c>
      <c r="D1941" s="23" t="s">
        <v>58</v>
      </c>
      <c r="E1941" s="37">
        <v>45425.0</v>
      </c>
      <c r="F1941" s="25">
        <v>0.1875</v>
      </c>
      <c r="G1941" s="25">
        <v>0.6715277777777777</v>
      </c>
      <c r="H1941" s="27">
        <f t="shared" si="2"/>
        <v>0.4840277778</v>
      </c>
      <c r="I1941" s="28">
        <v>4.0</v>
      </c>
      <c r="J1941" s="29" t="s">
        <v>55</v>
      </c>
      <c r="K1941" s="30" t="s">
        <v>23</v>
      </c>
      <c r="L1941" s="31" t="str">
        <f>IFERROR(__xludf.DUMMYFUNCTION("IF(OR(E1941="""",K1941=""""),"""",IFERROR(IF(K1941="""","""",query('tbl user'!$A$2:$D10975,""SELECT A WHERE D = '""&amp;K1941&amp;""'"")),""USER TIDAK DIKETAHUI""))"),"#REF!")</f>
        <v>#REF!</v>
      </c>
    </row>
    <row r="1942">
      <c r="A1942" s="21">
        <f t="shared" si="1"/>
        <v>0</v>
      </c>
      <c r="B1942" s="32" t="s">
        <v>182</v>
      </c>
      <c r="C1942" s="23" t="s">
        <v>183</v>
      </c>
      <c r="D1942" s="23" t="s">
        <v>58</v>
      </c>
      <c r="E1942" s="37">
        <v>45425.0</v>
      </c>
      <c r="F1942" s="25">
        <v>0.2111111111111111</v>
      </c>
      <c r="G1942" s="25">
        <v>0.7090277777777778</v>
      </c>
      <c r="H1942" s="27">
        <f t="shared" si="2"/>
        <v>0.4979166667</v>
      </c>
      <c r="I1942" s="28">
        <v>5.0</v>
      </c>
      <c r="J1942" s="29" t="s">
        <v>55</v>
      </c>
      <c r="K1942" s="30" t="s">
        <v>23</v>
      </c>
      <c r="L1942" s="31" t="str">
        <f>IFERROR(__xludf.DUMMYFUNCTION("IF(OR(E1942="""",K1942=""""),"""",IFERROR(IF(K1942="""","""",query('tbl user'!$A$2:$D10975,""SELECT A WHERE D = '""&amp;K1942&amp;""'"")),""USER TIDAK DIKETAHUI""))"),"#REF!")</f>
        <v>#REF!</v>
      </c>
    </row>
    <row r="1943">
      <c r="A1943" s="21">
        <f t="shared" si="1"/>
        <v>0</v>
      </c>
      <c r="B1943" s="32" t="s">
        <v>284</v>
      </c>
      <c r="C1943" s="23" t="s">
        <v>285</v>
      </c>
      <c r="D1943" s="23" t="s">
        <v>21</v>
      </c>
      <c r="E1943" s="37">
        <v>45425.0</v>
      </c>
      <c r="F1943" s="25">
        <v>0.2875</v>
      </c>
      <c r="G1943" s="25">
        <v>0.4173611111111111</v>
      </c>
      <c r="H1943" s="27">
        <f t="shared" si="2"/>
        <v>0.1298611111</v>
      </c>
      <c r="I1943" s="28">
        <v>1.0</v>
      </c>
      <c r="J1943" s="29" t="s">
        <v>970</v>
      </c>
      <c r="K1943" s="30" t="s">
        <v>23</v>
      </c>
      <c r="L1943" s="31" t="str">
        <f>IFERROR(__xludf.DUMMYFUNCTION("IF(OR(E1943="""",K1943=""""),"""",IFERROR(IF(K1943="""","""",query('tbl user'!$A$2:$D10975,""SELECT A WHERE D = '""&amp;K1943&amp;""'"")),""USER TIDAK DIKETAHUI""))"),"#REF!")</f>
        <v>#REF!</v>
      </c>
    </row>
    <row r="1944">
      <c r="A1944" s="21">
        <f t="shared" si="1"/>
        <v>0</v>
      </c>
      <c r="B1944" s="32" t="s">
        <v>61</v>
      </c>
      <c r="C1944" s="23" t="s">
        <v>62</v>
      </c>
      <c r="D1944" s="23" t="s">
        <v>21</v>
      </c>
      <c r="E1944" s="37">
        <v>45425.0</v>
      </c>
      <c r="F1944" s="25">
        <v>0.28958333333333336</v>
      </c>
      <c r="G1944" s="25">
        <v>0.6861111111111111</v>
      </c>
      <c r="H1944" s="27">
        <f t="shared" si="2"/>
        <v>0.3965277778</v>
      </c>
      <c r="I1944" s="28">
        <v>3.0</v>
      </c>
      <c r="J1944" s="29" t="s">
        <v>971</v>
      </c>
      <c r="K1944" s="30" t="s">
        <v>23</v>
      </c>
      <c r="L1944" s="31" t="str">
        <f>IFERROR(__xludf.DUMMYFUNCTION("IF(OR(E1944="""",K1944=""""),"""",IFERROR(IF(K1944="""","""",query('tbl user'!$A$2:$D10975,""SELECT A WHERE D = '""&amp;K1944&amp;""'"")),""USER TIDAK DIKETAHUI""))"),"#REF!")</f>
        <v>#REF!</v>
      </c>
    </row>
    <row r="1945">
      <c r="A1945" s="21">
        <f t="shared" si="1"/>
        <v>0</v>
      </c>
      <c r="B1945" s="32" t="s">
        <v>64</v>
      </c>
      <c r="C1945" s="23" t="s">
        <v>65</v>
      </c>
      <c r="D1945" s="23" t="s">
        <v>21</v>
      </c>
      <c r="E1945" s="37">
        <v>45425.0</v>
      </c>
      <c r="F1945" s="25">
        <v>0.3055555555555556</v>
      </c>
      <c r="G1945" s="25">
        <v>0.6756944444444445</v>
      </c>
      <c r="H1945" s="27">
        <f t="shared" si="2"/>
        <v>0.3701388889</v>
      </c>
      <c r="I1945" s="28">
        <v>3.0</v>
      </c>
      <c r="J1945" s="29" t="s">
        <v>972</v>
      </c>
      <c r="K1945" s="30" t="s">
        <v>23</v>
      </c>
      <c r="L1945" s="31" t="str">
        <f>IFERROR(__xludf.DUMMYFUNCTION("IF(OR(E1945="""",K1945=""""),"""",IFERROR(IF(K1945="""","""",query('tbl user'!$A$2:$D10975,""SELECT A WHERE D = '""&amp;K1945&amp;""'"")),""USER TIDAK DIKETAHUI""))"),"#REF!")</f>
        <v>#REF!</v>
      </c>
    </row>
    <row r="1946">
      <c r="A1946" s="21">
        <f t="shared" si="1"/>
        <v>0</v>
      </c>
      <c r="B1946" s="32" t="s">
        <v>51</v>
      </c>
      <c r="C1946" s="23" t="s">
        <v>27</v>
      </c>
      <c r="D1946" s="23" t="s">
        <v>21</v>
      </c>
      <c r="E1946" s="37">
        <v>45425.0</v>
      </c>
      <c r="F1946" s="25">
        <v>0.28958333333333336</v>
      </c>
      <c r="G1946" s="25">
        <v>0.6319444444444444</v>
      </c>
      <c r="H1946" s="27">
        <f t="shared" si="2"/>
        <v>0.3423611111</v>
      </c>
      <c r="I1946" s="28">
        <v>3.0</v>
      </c>
      <c r="J1946" s="29" t="s">
        <v>973</v>
      </c>
      <c r="K1946" s="30" t="s">
        <v>23</v>
      </c>
      <c r="L1946" s="31" t="str">
        <f>IFERROR(__xludf.DUMMYFUNCTION("IF(OR(E1946="""",K1946=""""),"""",IFERROR(IF(K1946="""","""",query('tbl user'!$A$2:$D10975,""SELECT A WHERE D = '""&amp;K1946&amp;""'"")),""USER TIDAK DIKETAHUI""))"),"#REF!")</f>
        <v>#REF!</v>
      </c>
    </row>
    <row r="1947">
      <c r="A1947" s="21">
        <f t="shared" si="1"/>
        <v>0</v>
      </c>
      <c r="B1947" s="32" t="s">
        <v>37</v>
      </c>
      <c r="C1947" s="23" t="s">
        <v>38</v>
      </c>
      <c r="D1947" s="23" t="s">
        <v>21</v>
      </c>
      <c r="E1947" s="37">
        <v>45425.0</v>
      </c>
      <c r="F1947" s="25">
        <v>0.26458333333333334</v>
      </c>
      <c r="G1947" s="25">
        <v>0.6958333333333333</v>
      </c>
      <c r="H1947" s="27">
        <f t="shared" si="2"/>
        <v>0.43125</v>
      </c>
      <c r="I1947" s="28">
        <v>4.0</v>
      </c>
      <c r="J1947" s="29" t="s">
        <v>55</v>
      </c>
      <c r="K1947" s="30" t="s">
        <v>23</v>
      </c>
      <c r="L1947" s="31" t="str">
        <f>IFERROR(__xludf.DUMMYFUNCTION("IF(OR(E1947="""",K1947=""""),"""",IFERROR(IF(K1947="""","""",query('tbl user'!$A$2:$D10975,""SELECT A WHERE D = '""&amp;K1947&amp;""'"")),""USER TIDAK DIKETAHUI""))"),"#REF!")</f>
        <v>#REF!</v>
      </c>
    </row>
    <row r="1948">
      <c r="A1948" s="21">
        <f t="shared" si="1"/>
        <v>0</v>
      </c>
      <c r="B1948" s="32" t="s">
        <v>281</v>
      </c>
      <c r="C1948" s="23" t="s">
        <v>282</v>
      </c>
      <c r="D1948" s="23" t="s">
        <v>21</v>
      </c>
      <c r="E1948" s="37">
        <v>45425.0</v>
      </c>
      <c r="F1948" s="25">
        <v>0.26666666666666666</v>
      </c>
      <c r="G1948" s="25">
        <v>0.6923611111111111</v>
      </c>
      <c r="H1948" s="27">
        <f t="shared" si="2"/>
        <v>0.4256944444</v>
      </c>
      <c r="I1948" s="28">
        <v>4.0</v>
      </c>
      <c r="J1948" s="29" t="s">
        <v>55</v>
      </c>
      <c r="K1948" s="30" t="s">
        <v>23</v>
      </c>
      <c r="L1948" s="31" t="str">
        <f>IFERROR(__xludf.DUMMYFUNCTION("IF(OR(E1948="""",K1948=""""),"""",IFERROR(IF(K1948="""","""",query('tbl user'!$A$2:$D10975,""SELECT A WHERE D = '""&amp;K1948&amp;""'"")),""USER TIDAK DIKETAHUI""))"),"#REF!")</f>
        <v>#REF!</v>
      </c>
    </row>
    <row r="1949">
      <c r="A1949" s="21">
        <f t="shared" si="1"/>
        <v>0</v>
      </c>
      <c r="B1949" s="32" t="s">
        <v>333</v>
      </c>
      <c r="C1949" s="23" t="s">
        <v>334</v>
      </c>
      <c r="D1949" s="23" t="s">
        <v>21</v>
      </c>
      <c r="E1949" s="37">
        <v>45425.0</v>
      </c>
      <c r="F1949" s="25">
        <v>0.2548611111111111</v>
      </c>
      <c r="G1949" s="25">
        <v>0.4201388888888889</v>
      </c>
      <c r="H1949" s="27">
        <f t="shared" si="2"/>
        <v>0.1652777778</v>
      </c>
      <c r="I1949" s="28">
        <v>1.0</v>
      </c>
      <c r="J1949" s="29" t="s">
        <v>974</v>
      </c>
      <c r="K1949" s="30" t="s">
        <v>23</v>
      </c>
      <c r="L1949" s="31" t="str">
        <f>IFERROR(__xludf.DUMMYFUNCTION("IF(OR(E1949="""",K1949=""""),"""",IFERROR(IF(K1949="""","""",query('tbl user'!$A$2:$D10975,""SELECT A WHERE D = '""&amp;K1949&amp;""'"")),""USER TIDAK DIKETAHUI""))"),"#REF!")</f>
        <v>#REF!</v>
      </c>
    </row>
    <row r="1950">
      <c r="A1950" s="21">
        <f t="shared" si="1"/>
        <v>0</v>
      </c>
      <c r="B1950" s="32" t="s">
        <v>601</v>
      </c>
      <c r="C1950" s="23" t="s">
        <v>323</v>
      </c>
      <c r="D1950" s="23" t="s">
        <v>21</v>
      </c>
      <c r="E1950" s="37">
        <v>45425.0</v>
      </c>
      <c r="F1950" s="25">
        <v>0.26944444444444443</v>
      </c>
      <c r="G1950" s="25">
        <v>0.42916666666666664</v>
      </c>
      <c r="H1950" s="27">
        <f t="shared" si="2"/>
        <v>0.1597222222</v>
      </c>
      <c r="I1950" s="28">
        <v>1.0</v>
      </c>
      <c r="J1950" s="29" t="s">
        <v>975</v>
      </c>
      <c r="K1950" s="30" t="s">
        <v>23</v>
      </c>
      <c r="L1950" s="31" t="str">
        <f>IFERROR(__xludf.DUMMYFUNCTION("IF(OR(E1950="""",K1950=""""),"""",IFERROR(IF(K1950="""","""",query('tbl user'!$A$2:$D10975,""SELECT A WHERE D = '""&amp;K1950&amp;""'"")),""USER TIDAK DIKETAHUI""))"),"#REF!")</f>
        <v>#REF!</v>
      </c>
    </row>
    <row r="1951">
      <c r="A1951" s="21">
        <f t="shared" si="1"/>
        <v>0</v>
      </c>
      <c r="B1951" s="32" t="s">
        <v>231</v>
      </c>
      <c r="C1951" s="23" t="s">
        <v>232</v>
      </c>
      <c r="D1951" s="23" t="s">
        <v>21</v>
      </c>
      <c r="E1951" s="37">
        <v>45425.0</v>
      </c>
      <c r="F1951" s="25">
        <v>0.24166666666666667</v>
      </c>
      <c r="G1951" s="25">
        <v>0.4097222222222222</v>
      </c>
      <c r="H1951" s="27">
        <f t="shared" si="2"/>
        <v>0.1680555556</v>
      </c>
      <c r="I1951" s="28">
        <v>1.0</v>
      </c>
      <c r="J1951" s="29" t="s">
        <v>976</v>
      </c>
      <c r="K1951" s="30" t="s">
        <v>23</v>
      </c>
      <c r="L1951" s="31" t="str">
        <f>IFERROR(__xludf.DUMMYFUNCTION("IF(OR(E1951="""",K1951=""""),"""",IFERROR(IF(K1951="""","""",query('tbl user'!$A$2:$D10975,""SELECT A WHERE D = '""&amp;K1951&amp;""'"")),""USER TIDAK DIKETAHUI""))"),"#REF!")</f>
        <v>#REF!</v>
      </c>
    </row>
    <row r="1952">
      <c r="A1952" s="21">
        <f t="shared" si="1"/>
        <v>0</v>
      </c>
      <c r="B1952" s="32" t="s">
        <v>255</v>
      </c>
      <c r="C1952" s="23" t="s">
        <v>256</v>
      </c>
      <c r="D1952" s="23" t="s">
        <v>21</v>
      </c>
      <c r="E1952" s="37">
        <v>45425.0</v>
      </c>
      <c r="F1952" s="25">
        <v>0.26180555555555557</v>
      </c>
      <c r="G1952" s="25">
        <v>0.39444444444444443</v>
      </c>
      <c r="H1952" s="27">
        <f t="shared" si="2"/>
        <v>0.1326388889</v>
      </c>
      <c r="I1952" s="28">
        <v>1.0</v>
      </c>
      <c r="J1952" s="29" t="s">
        <v>977</v>
      </c>
      <c r="K1952" s="30" t="s">
        <v>23</v>
      </c>
      <c r="L1952" s="31" t="str">
        <f>IFERROR(__xludf.DUMMYFUNCTION("IF(OR(E1952="""",K1952=""""),"""",IFERROR(IF(K1952="""","""",query('tbl user'!$A$2:$D10975,""SELECT A WHERE D = '""&amp;K1952&amp;""'"")),""USER TIDAK DIKETAHUI""))"),"#REF!")</f>
        <v>#REF!</v>
      </c>
    </row>
    <row r="1953">
      <c r="A1953" s="21">
        <f t="shared" si="1"/>
        <v>0</v>
      </c>
      <c r="B1953" s="32" t="s">
        <v>81</v>
      </c>
      <c r="C1953" s="23" t="s">
        <v>261</v>
      </c>
      <c r="D1953" s="23" t="s">
        <v>21</v>
      </c>
      <c r="E1953" s="37">
        <v>45425.0</v>
      </c>
      <c r="F1953" s="25">
        <v>0.2611111111111111</v>
      </c>
      <c r="G1953" s="25">
        <v>0.6</v>
      </c>
      <c r="H1953" s="27">
        <f t="shared" si="2"/>
        <v>0.3388888889</v>
      </c>
      <c r="I1953" s="28">
        <v>2.0</v>
      </c>
      <c r="J1953" s="29" t="s">
        <v>978</v>
      </c>
      <c r="K1953" s="30" t="s">
        <v>23</v>
      </c>
      <c r="L1953" s="31" t="str">
        <f>IFERROR(__xludf.DUMMYFUNCTION("IF(OR(E1953="""",K1953=""""),"""",IFERROR(IF(K1953="""","""",query('tbl user'!$A$2:$D10975,""SELECT A WHERE D = '""&amp;K1953&amp;""'"")),""USER TIDAK DIKETAHUI""))"),"#REF!")</f>
        <v>#REF!</v>
      </c>
    </row>
    <row r="1954">
      <c r="A1954" s="21">
        <f t="shared" si="1"/>
        <v>0</v>
      </c>
      <c r="B1954" s="32" t="s">
        <v>328</v>
      </c>
      <c r="C1954" s="23" t="s">
        <v>329</v>
      </c>
      <c r="D1954" s="23" t="s">
        <v>21</v>
      </c>
      <c r="E1954" s="37">
        <v>45425.0</v>
      </c>
      <c r="F1954" s="25">
        <v>0.26180555555555557</v>
      </c>
      <c r="G1954" s="25">
        <v>0.5881944444444445</v>
      </c>
      <c r="H1954" s="27">
        <f t="shared" si="2"/>
        <v>0.3263888889</v>
      </c>
      <c r="I1954" s="28">
        <v>4.0</v>
      </c>
      <c r="J1954" s="29" t="s">
        <v>979</v>
      </c>
      <c r="K1954" s="30" t="s">
        <v>23</v>
      </c>
      <c r="L1954" s="31" t="str">
        <f>IFERROR(__xludf.DUMMYFUNCTION("IF(OR(E1954="""",K1954=""""),"""",IFERROR(IF(K1954="""","""",query('tbl user'!$A$2:$D10975,""SELECT A WHERE D = '""&amp;K1954&amp;""'"")),""USER TIDAK DIKETAHUI""))"),"#REF!")</f>
        <v>#REF!</v>
      </c>
    </row>
    <row r="1955">
      <c r="A1955" s="21">
        <f t="shared" si="1"/>
        <v>0</v>
      </c>
      <c r="B1955" s="32" t="s">
        <v>153</v>
      </c>
      <c r="C1955" s="23" t="s">
        <v>239</v>
      </c>
      <c r="D1955" s="23" t="s">
        <v>21</v>
      </c>
      <c r="E1955" s="37">
        <v>45425.0</v>
      </c>
      <c r="F1955" s="25">
        <v>0.2923611111111111</v>
      </c>
      <c r="G1955" s="25">
        <v>0.6763888888888889</v>
      </c>
      <c r="H1955" s="27">
        <f t="shared" si="2"/>
        <v>0.3840277778</v>
      </c>
      <c r="I1955" s="28">
        <v>4.0</v>
      </c>
      <c r="J1955" s="29" t="s">
        <v>980</v>
      </c>
      <c r="K1955" s="30" t="s">
        <v>23</v>
      </c>
      <c r="L1955" s="31" t="str">
        <f>IFERROR(__xludf.DUMMYFUNCTION("IF(OR(E1955="""",K1955=""""),"""",IFERROR(IF(K1955="""","""",query('tbl user'!$A$2:$D10975,""SELECT A WHERE D = '""&amp;K1955&amp;""'"")),""USER TIDAK DIKETAHUI""))"),"#REF!")</f>
        <v>#REF!</v>
      </c>
    </row>
    <row r="1956">
      <c r="A1956" s="21">
        <f t="shared" si="1"/>
        <v>0</v>
      </c>
      <c r="B1956" s="32" t="s">
        <v>335</v>
      </c>
      <c r="C1956" s="23" t="s">
        <v>336</v>
      </c>
      <c r="D1956" s="23" t="s">
        <v>21</v>
      </c>
      <c r="E1956" s="37">
        <v>45425.0</v>
      </c>
      <c r="F1956" s="25">
        <v>0.28958333333333336</v>
      </c>
      <c r="G1956" s="25">
        <v>0.6944444444444444</v>
      </c>
      <c r="H1956" s="27">
        <f t="shared" si="2"/>
        <v>0.4048611111</v>
      </c>
      <c r="I1956" s="28">
        <v>5.0</v>
      </c>
      <c r="J1956" s="29" t="s">
        <v>55</v>
      </c>
      <c r="K1956" s="30" t="s">
        <v>23</v>
      </c>
      <c r="L1956" s="31" t="str">
        <f>IFERROR(__xludf.DUMMYFUNCTION("IF(OR(E1956="""",K1956=""""),"""",IFERROR(IF(K1956="""","""",query('tbl user'!$A$2:$D10975,""SELECT A WHERE D = '""&amp;K1956&amp;""'"")),""USER TIDAK DIKETAHUI""))"),"#REF!")</f>
        <v>#REF!</v>
      </c>
    </row>
    <row r="1957">
      <c r="A1957" s="21">
        <f t="shared" si="1"/>
        <v>0</v>
      </c>
      <c r="B1957" s="32" t="s">
        <v>716</v>
      </c>
      <c r="C1957" s="23" t="s">
        <v>316</v>
      </c>
      <c r="D1957" s="23" t="s">
        <v>21</v>
      </c>
      <c r="E1957" s="37">
        <v>45425.0</v>
      </c>
      <c r="F1957" s="25">
        <v>0.26180555555555557</v>
      </c>
      <c r="G1957" s="25">
        <v>0.7263888888888889</v>
      </c>
      <c r="H1957" s="27">
        <f t="shared" si="2"/>
        <v>0.4645833333</v>
      </c>
      <c r="I1957" s="28">
        <v>5.0</v>
      </c>
      <c r="J1957" s="29" t="s">
        <v>55</v>
      </c>
      <c r="K1957" s="30" t="s">
        <v>23</v>
      </c>
      <c r="L1957" s="31" t="str">
        <f>IFERROR(__xludf.DUMMYFUNCTION("IF(OR(E1957="""",K1957=""""),"""",IFERROR(IF(K1957="""","""",query('tbl user'!$A$2:$D10975,""SELECT A WHERE D = '""&amp;K1957&amp;""'"")),""USER TIDAK DIKETAHUI""))"),"#REF!")</f>
        <v>#REF!</v>
      </c>
    </row>
    <row r="1958">
      <c r="A1958" s="21">
        <f t="shared" si="1"/>
        <v>0</v>
      </c>
      <c r="B1958" s="32" t="s">
        <v>219</v>
      </c>
      <c r="C1958" s="23" t="s">
        <v>340</v>
      </c>
      <c r="D1958" s="23" t="s">
        <v>21</v>
      </c>
      <c r="E1958" s="37">
        <v>45425.0</v>
      </c>
      <c r="F1958" s="25">
        <v>0.26319444444444445</v>
      </c>
      <c r="G1958" s="25">
        <v>0.6708333333333333</v>
      </c>
      <c r="H1958" s="27">
        <f t="shared" si="2"/>
        <v>0.4076388889</v>
      </c>
      <c r="I1958" s="28">
        <v>5.0</v>
      </c>
      <c r="J1958" s="29" t="s">
        <v>55</v>
      </c>
      <c r="K1958" s="30" t="s">
        <v>23</v>
      </c>
      <c r="L1958" s="31" t="str">
        <f>IFERROR(__xludf.DUMMYFUNCTION("IF(OR(E1958="""",K1958=""""),"""",IFERROR(IF(K1958="""","""",query('tbl user'!$A$2:$D10975,""SELECT A WHERE D = '""&amp;K1958&amp;""'"")),""USER TIDAK DIKETAHUI""))"),"#REF!")</f>
        <v>#REF!</v>
      </c>
    </row>
    <row r="1959">
      <c r="A1959" s="21">
        <f t="shared" si="1"/>
        <v>0</v>
      </c>
      <c r="B1959" s="32" t="s">
        <v>87</v>
      </c>
      <c r="C1959" s="23" t="s">
        <v>88</v>
      </c>
      <c r="D1959" s="23" t="s">
        <v>21</v>
      </c>
      <c r="E1959" s="37">
        <v>45425.0</v>
      </c>
      <c r="F1959" s="25">
        <v>0.24166666666666667</v>
      </c>
      <c r="G1959" s="25">
        <v>0.6430555555555556</v>
      </c>
      <c r="H1959" s="27">
        <f t="shared" si="2"/>
        <v>0.4013888889</v>
      </c>
      <c r="I1959" s="28">
        <v>5.0</v>
      </c>
      <c r="J1959" s="29" t="s">
        <v>55</v>
      </c>
      <c r="K1959" s="30" t="s">
        <v>23</v>
      </c>
      <c r="L1959" s="31" t="str">
        <f>IFERROR(__xludf.DUMMYFUNCTION("IF(OR(E1959="""",K1959=""""),"""",IFERROR(IF(K1959="""","""",query('tbl user'!$A$2:$D10975,""SELECT A WHERE D = '""&amp;K1959&amp;""'"")),""USER TIDAK DIKETAHUI""))"),"#REF!")</f>
        <v>#REF!</v>
      </c>
    </row>
    <row r="1960">
      <c r="A1960" s="21">
        <f t="shared" si="1"/>
        <v>0</v>
      </c>
      <c r="B1960" s="32" t="s">
        <v>325</v>
      </c>
      <c r="C1960" s="23" t="s">
        <v>326</v>
      </c>
      <c r="D1960" s="23" t="s">
        <v>21</v>
      </c>
      <c r="E1960" s="37">
        <v>45425.0</v>
      </c>
      <c r="F1960" s="25">
        <v>0.26875</v>
      </c>
      <c r="G1960" s="25">
        <v>0.66875</v>
      </c>
      <c r="H1960" s="27">
        <f t="shared" si="2"/>
        <v>0.4</v>
      </c>
      <c r="I1960" s="28">
        <v>5.0</v>
      </c>
      <c r="J1960" s="29" t="s">
        <v>55</v>
      </c>
      <c r="K1960" s="30" t="s">
        <v>23</v>
      </c>
      <c r="L1960" s="31" t="str">
        <f>IFERROR(__xludf.DUMMYFUNCTION("IF(OR(E1960="""",K1960=""""),"""",IFERROR(IF(K1960="""","""",query('tbl user'!$A$2:$D10975,""SELECT A WHERE D = '""&amp;K1960&amp;""'"")),""USER TIDAK DIKETAHUI""))"),"#REF!")</f>
        <v>#REF!</v>
      </c>
    </row>
    <row r="1961">
      <c r="A1961" s="21">
        <f t="shared" si="1"/>
        <v>0</v>
      </c>
      <c r="B1961" s="32" t="s">
        <v>243</v>
      </c>
      <c r="C1961" s="23" t="s">
        <v>244</v>
      </c>
      <c r="D1961" s="23" t="s">
        <v>21</v>
      </c>
      <c r="E1961" s="37">
        <v>45425.0</v>
      </c>
      <c r="F1961" s="25">
        <v>0.2902777777777778</v>
      </c>
      <c r="G1961" s="25">
        <v>0.7430555555555556</v>
      </c>
      <c r="H1961" s="27">
        <f t="shared" si="2"/>
        <v>0.4527777778</v>
      </c>
      <c r="I1961" s="28">
        <v>5.0</v>
      </c>
      <c r="J1961" s="29" t="s">
        <v>55</v>
      </c>
      <c r="K1961" s="30" t="s">
        <v>23</v>
      </c>
      <c r="L1961" s="31" t="str">
        <f>IFERROR(__xludf.DUMMYFUNCTION("IF(OR(E1961="""",K1961=""""),"""",IFERROR(IF(K1961="""","""",query('tbl user'!$A$2:$D10975,""SELECT A WHERE D = '""&amp;K1961&amp;""'"")),""USER TIDAK DIKETAHUI""))"),"#REF!")</f>
        <v>#REF!</v>
      </c>
    </row>
    <row r="1962">
      <c r="A1962" s="21">
        <f t="shared" si="1"/>
        <v>0</v>
      </c>
      <c r="B1962" s="32" t="s">
        <v>305</v>
      </c>
      <c r="C1962" s="23" t="s">
        <v>251</v>
      </c>
      <c r="D1962" s="23" t="s">
        <v>21</v>
      </c>
      <c r="E1962" s="37">
        <v>45425.0</v>
      </c>
      <c r="F1962" s="25">
        <v>0.24444444444444444</v>
      </c>
      <c r="G1962" s="25">
        <v>0.6736111111111112</v>
      </c>
      <c r="H1962" s="27">
        <f t="shared" si="2"/>
        <v>0.4291666667</v>
      </c>
      <c r="I1962" s="28">
        <v>5.0</v>
      </c>
      <c r="J1962" s="29" t="s">
        <v>55</v>
      </c>
      <c r="K1962" s="30" t="s">
        <v>23</v>
      </c>
      <c r="L1962" s="31" t="str">
        <f>IFERROR(__xludf.DUMMYFUNCTION("IF(OR(E1962="""",K1962=""""),"""",IFERROR(IF(K1962="""","""",query('tbl user'!$A$2:$D10975,""SELECT A WHERE D = '""&amp;K1962&amp;""'"")),""USER TIDAK DIKETAHUI""))"),"#REF!")</f>
        <v>#REF!</v>
      </c>
    </row>
    <row r="1963">
      <c r="A1963" s="21">
        <f t="shared" si="1"/>
        <v>0</v>
      </c>
      <c r="B1963" s="32" t="s">
        <v>253</v>
      </c>
      <c r="C1963" s="23" t="s">
        <v>102</v>
      </c>
      <c r="D1963" s="23" t="s">
        <v>21</v>
      </c>
      <c r="E1963" s="37">
        <v>45425.0</v>
      </c>
      <c r="F1963" s="25">
        <v>0.25972222222222224</v>
      </c>
      <c r="G1963" s="25">
        <v>0.7263888888888889</v>
      </c>
      <c r="H1963" s="27">
        <f t="shared" si="2"/>
        <v>0.4666666667</v>
      </c>
      <c r="I1963" s="28">
        <v>5.0</v>
      </c>
      <c r="J1963" s="29" t="s">
        <v>55</v>
      </c>
      <c r="K1963" s="30" t="s">
        <v>23</v>
      </c>
      <c r="L1963" s="31" t="str">
        <f>IFERROR(__xludf.DUMMYFUNCTION("IF(OR(E1963="""",K1963=""""),"""",IFERROR(IF(K1963="""","""",query('tbl user'!$A$2:$D10975,""SELECT A WHERE D = '""&amp;K1963&amp;""'"")),""USER TIDAK DIKETAHUI""))"),"#REF!")</f>
        <v>#REF!</v>
      </c>
    </row>
    <row r="1964">
      <c r="A1964" s="21">
        <f t="shared" si="1"/>
        <v>0</v>
      </c>
      <c r="B1964" s="32" t="s">
        <v>662</v>
      </c>
      <c r="C1964" s="23" t="s">
        <v>234</v>
      </c>
      <c r="D1964" s="23" t="s">
        <v>21</v>
      </c>
      <c r="E1964" s="37">
        <v>45425.0</v>
      </c>
      <c r="F1964" s="25">
        <v>0.26875</v>
      </c>
      <c r="G1964" s="25">
        <v>0.7006944444444444</v>
      </c>
      <c r="H1964" s="27">
        <f t="shared" si="2"/>
        <v>0.4319444444</v>
      </c>
      <c r="I1964" s="28">
        <v>5.0</v>
      </c>
      <c r="J1964" s="29" t="s">
        <v>55</v>
      </c>
      <c r="K1964" s="30" t="s">
        <v>23</v>
      </c>
      <c r="L1964" s="31" t="str">
        <f>IFERROR(__xludf.DUMMYFUNCTION("IF(OR(E1964="""",K1964=""""),"""",IFERROR(IF(K1964="""","""",query('tbl user'!$A$2:$D10975,""SELECT A WHERE D = '""&amp;K1964&amp;""'"")),""USER TIDAK DIKETAHUI""))"),"#REF!")</f>
        <v>#REF!</v>
      </c>
    </row>
    <row r="1965">
      <c r="A1965" s="21">
        <f t="shared" si="1"/>
        <v>0</v>
      </c>
      <c r="B1965" s="32" t="s">
        <v>175</v>
      </c>
      <c r="C1965" s="23" t="s">
        <v>259</v>
      </c>
      <c r="D1965" s="23" t="s">
        <v>21</v>
      </c>
      <c r="E1965" s="37">
        <v>45425.0</v>
      </c>
      <c r="F1965" s="25">
        <v>0.2833333333333333</v>
      </c>
      <c r="G1965" s="25">
        <v>0.7076388888888889</v>
      </c>
      <c r="H1965" s="27">
        <f t="shared" si="2"/>
        <v>0.4243055556</v>
      </c>
      <c r="I1965" s="28">
        <v>5.0</v>
      </c>
      <c r="J1965" s="29" t="s">
        <v>55</v>
      </c>
      <c r="K1965" s="30" t="s">
        <v>23</v>
      </c>
      <c r="L1965" s="31" t="str">
        <f>IFERROR(__xludf.DUMMYFUNCTION("IF(OR(E1965="""",K1965=""""),"""",IFERROR(IF(K1965="""","""",query('tbl user'!$A$2:$D10975,""SELECT A WHERE D = '""&amp;K1965&amp;""'"")),""USER TIDAK DIKETAHUI""))"),"#REF!")</f>
        <v>#REF!</v>
      </c>
    </row>
    <row r="1966">
      <c r="A1966" s="21">
        <f t="shared" si="1"/>
        <v>0</v>
      </c>
      <c r="B1966" s="32" t="s">
        <v>131</v>
      </c>
      <c r="C1966" s="23" t="s">
        <v>339</v>
      </c>
      <c r="D1966" s="23" t="s">
        <v>21</v>
      </c>
      <c r="E1966" s="37">
        <v>45425.0</v>
      </c>
      <c r="F1966" s="25">
        <v>0.26180555555555557</v>
      </c>
      <c r="G1966" s="25">
        <v>0.7444444444444445</v>
      </c>
      <c r="H1966" s="27">
        <f t="shared" si="2"/>
        <v>0.4826388889</v>
      </c>
      <c r="I1966" s="28">
        <v>6.0</v>
      </c>
      <c r="J1966" s="29" t="s">
        <v>55</v>
      </c>
      <c r="K1966" s="30" t="s">
        <v>23</v>
      </c>
      <c r="L1966" s="31" t="str">
        <f>IFERROR(__xludf.DUMMYFUNCTION("IF(OR(E1966="""",K1966=""""),"""",IFERROR(IF(K1966="""","""",query('tbl user'!$A$2:$D10975,""SELECT A WHERE D = '""&amp;K1966&amp;""'"")),""USER TIDAK DIKETAHUI""))"),"#REF!")</f>
        <v>#REF!</v>
      </c>
    </row>
    <row r="1967">
      <c r="A1967" s="21">
        <f t="shared" si="1"/>
        <v>0</v>
      </c>
      <c r="B1967" s="32" t="s">
        <v>331</v>
      </c>
      <c r="C1967" s="23" t="s">
        <v>332</v>
      </c>
      <c r="D1967" s="23" t="s">
        <v>21</v>
      </c>
      <c r="E1967" s="37">
        <v>45425.0</v>
      </c>
      <c r="F1967" s="25">
        <v>0.23194444444444445</v>
      </c>
      <c r="G1967" s="25">
        <v>0.6875</v>
      </c>
      <c r="H1967" s="27">
        <f t="shared" si="2"/>
        <v>0.4555555556</v>
      </c>
      <c r="I1967" s="28">
        <v>6.0</v>
      </c>
      <c r="J1967" s="29" t="s">
        <v>55</v>
      </c>
      <c r="K1967" s="30" t="s">
        <v>23</v>
      </c>
      <c r="L1967" s="31" t="str">
        <f>IFERROR(__xludf.DUMMYFUNCTION("IF(OR(E1967="""",K1967=""""),"""",IFERROR(IF(K1967="""","""",query('tbl user'!$A$2:$D10975,""SELECT A WHERE D = '""&amp;K1967&amp;""'"")),""USER TIDAK DIKETAHUI""))"),"#REF!")</f>
        <v>#REF!</v>
      </c>
    </row>
    <row r="1968">
      <c r="A1968" s="21">
        <f t="shared" si="1"/>
        <v>0</v>
      </c>
      <c r="B1968" s="32" t="s">
        <v>53</v>
      </c>
      <c r="C1968" s="23" t="s">
        <v>54</v>
      </c>
      <c r="D1968" s="23" t="s">
        <v>21</v>
      </c>
      <c r="E1968" s="37">
        <v>45425.0</v>
      </c>
      <c r="F1968" s="25">
        <v>0.2625</v>
      </c>
      <c r="G1968" s="25">
        <v>0.7381944444444445</v>
      </c>
      <c r="H1968" s="27">
        <f t="shared" si="2"/>
        <v>0.4756944444</v>
      </c>
      <c r="I1968" s="28">
        <v>6.0</v>
      </c>
      <c r="J1968" s="29" t="s">
        <v>55</v>
      </c>
      <c r="K1968" s="30" t="s">
        <v>23</v>
      </c>
      <c r="L1968" s="31" t="str">
        <f>IFERROR(__xludf.DUMMYFUNCTION("IF(OR(E1968="""",K1968=""""),"""",IFERROR(IF(K1968="""","""",query('tbl user'!$A$2:$D10975,""SELECT A WHERE D = '""&amp;K1968&amp;""'"")),""USER TIDAK DIKETAHUI""))"),"#REF!")</f>
        <v>#REF!</v>
      </c>
    </row>
    <row r="1969">
      <c r="A1969" s="21">
        <f t="shared" si="1"/>
        <v>0</v>
      </c>
      <c r="B1969" s="32" t="s">
        <v>319</v>
      </c>
      <c r="C1969" s="23" t="s">
        <v>320</v>
      </c>
      <c r="D1969" s="23" t="s">
        <v>21</v>
      </c>
      <c r="E1969" s="37">
        <v>45425.0</v>
      </c>
      <c r="F1969" s="25">
        <v>0.2513888888888889</v>
      </c>
      <c r="G1969" s="25">
        <v>0.6965277777777777</v>
      </c>
      <c r="H1969" s="27">
        <f t="shared" si="2"/>
        <v>0.4451388889</v>
      </c>
      <c r="I1969" s="28">
        <v>6.0</v>
      </c>
      <c r="J1969" s="29" t="s">
        <v>55</v>
      </c>
      <c r="K1969" s="30" t="s">
        <v>23</v>
      </c>
      <c r="L1969" s="31" t="str">
        <f>IFERROR(__xludf.DUMMYFUNCTION("IF(OR(E1969="""",K1969=""""),"""",IFERROR(IF(K1969="""","""",query('tbl user'!$A$2:$D10975,""SELECT A WHERE D = '""&amp;K1969&amp;""'"")),""USER TIDAK DIKETAHUI""))"),"#REF!")</f>
        <v>#REF!</v>
      </c>
    </row>
    <row r="1970">
      <c r="A1970" s="21">
        <f t="shared" si="1"/>
        <v>0</v>
      </c>
      <c r="B1970" s="32" t="s">
        <v>577</v>
      </c>
      <c r="C1970" s="23" t="s">
        <v>330</v>
      </c>
      <c r="D1970" s="23" t="s">
        <v>21</v>
      </c>
      <c r="E1970" s="37">
        <v>45425.0</v>
      </c>
      <c r="F1970" s="25">
        <v>0.2569444444444444</v>
      </c>
      <c r="G1970" s="25">
        <v>0.7416666666666667</v>
      </c>
      <c r="H1970" s="27">
        <f t="shared" si="2"/>
        <v>0.4847222222</v>
      </c>
      <c r="I1970" s="28">
        <v>6.0</v>
      </c>
      <c r="J1970" s="29" t="s">
        <v>55</v>
      </c>
      <c r="K1970" s="30" t="s">
        <v>23</v>
      </c>
      <c r="L1970" s="31" t="str">
        <f>IFERROR(__xludf.DUMMYFUNCTION("IF(OR(E1970="""",K1970=""""),"""",IFERROR(IF(K1970="""","""",query('tbl user'!$A$2:$D10975,""SELECT A WHERE D = '""&amp;K1970&amp;""'"")),""USER TIDAK DIKETAHUI""))"),"#REF!")</f>
        <v>#REF!</v>
      </c>
    </row>
    <row r="1971">
      <c r="A1971" s="21">
        <f t="shared" si="1"/>
        <v>0</v>
      </c>
      <c r="B1971" s="32" t="s">
        <v>337</v>
      </c>
      <c r="C1971" s="23" t="s">
        <v>338</v>
      </c>
      <c r="D1971" s="23" t="s">
        <v>21</v>
      </c>
      <c r="E1971" s="37">
        <v>45425.0</v>
      </c>
      <c r="F1971" s="25">
        <v>0.2701388888888889</v>
      </c>
      <c r="G1971" s="25">
        <v>0.7444444444444445</v>
      </c>
      <c r="H1971" s="27">
        <f t="shared" si="2"/>
        <v>0.4743055556</v>
      </c>
      <c r="I1971" s="28">
        <v>6.0</v>
      </c>
      <c r="J1971" s="29" t="s">
        <v>55</v>
      </c>
      <c r="K1971" s="30" t="s">
        <v>23</v>
      </c>
      <c r="L1971" s="31" t="str">
        <f>IFERROR(__xludf.DUMMYFUNCTION("IF(OR(E1971="""",K1971=""""),"""",IFERROR(IF(K1971="""","""",query('tbl user'!$A$2:$D10975,""SELECT A WHERE D = '""&amp;K1971&amp;""'"")),""USER TIDAK DIKETAHUI""))"),"#REF!")</f>
        <v>#REF!</v>
      </c>
    </row>
    <row r="1972">
      <c r="A1972" s="21">
        <f t="shared" si="1"/>
        <v>0</v>
      </c>
      <c r="B1972" s="32" t="s">
        <v>34</v>
      </c>
      <c r="C1972" s="23" t="s">
        <v>35</v>
      </c>
      <c r="D1972" s="23" t="s">
        <v>21</v>
      </c>
      <c r="E1972" s="37">
        <v>45425.0</v>
      </c>
      <c r="F1972" s="25">
        <v>0.27291666666666664</v>
      </c>
      <c r="G1972" s="25">
        <v>0.7430555555555556</v>
      </c>
      <c r="H1972" s="27">
        <f t="shared" si="2"/>
        <v>0.4701388889</v>
      </c>
      <c r="I1972" s="28">
        <v>6.0</v>
      </c>
      <c r="J1972" s="29" t="s">
        <v>55</v>
      </c>
      <c r="K1972" s="30" t="s">
        <v>23</v>
      </c>
      <c r="L1972" s="31" t="str">
        <f>IFERROR(__xludf.DUMMYFUNCTION("IF(OR(E1972="""",K1972=""""),"""",IFERROR(IF(K1972="""","""",query('tbl user'!$A$2:$D10975,""SELECT A WHERE D = '""&amp;K1972&amp;""'"")),""USER TIDAK DIKETAHUI""))"),"#REF!")</f>
        <v>#REF!</v>
      </c>
    </row>
    <row r="1973">
      <c r="A1973" s="21">
        <f t="shared" si="1"/>
        <v>0</v>
      </c>
      <c r="B1973" s="32" t="s">
        <v>24</v>
      </c>
      <c r="C1973" s="23" t="s">
        <v>25</v>
      </c>
      <c r="D1973" s="23" t="s">
        <v>21</v>
      </c>
      <c r="E1973" s="37">
        <v>45425.0</v>
      </c>
      <c r="F1973" s="25">
        <v>0.25277777777777777</v>
      </c>
      <c r="G1973" s="25">
        <v>0.7430555555555556</v>
      </c>
      <c r="H1973" s="27">
        <f t="shared" si="2"/>
        <v>0.4902777778</v>
      </c>
      <c r="I1973" s="28">
        <v>6.0</v>
      </c>
      <c r="J1973" s="29" t="s">
        <v>55</v>
      </c>
      <c r="K1973" s="30" t="s">
        <v>23</v>
      </c>
      <c r="L1973" s="31" t="str">
        <f>IFERROR(__xludf.DUMMYFUNCTION("IF(OR(E1973="""",K1973=""""),"""",IFERROR(IF(K1973="""","""",query('tbl user'!$A$2:$D10975,""SELECT A WHERE D = '""&amp;K1973&amp;""'"")),""USER TIDAK DIKETAHUI""))"),"#REF!")</f>
        <v>#REF!</v>
      </c>
    </row>
    <row r="1974">
      <c r="A1974" s="21">
        <f t="shared" si="1"/>
        <v>0</v>
      </c>
      <c r="B1974" s="32" t="s">
        <v>43</v>
      </c>
      <c r="C1974" s="23" t="s">
        <v>44</v>
      </c>
      <c r="D1974" s="23" t="s">
        <v>21</v>
      </c>
      <c r="E1974" s="37">
        <v>45425.0</v>
      </c>
      <c r="F1974" s="25">
        <v>0.2604166666666667</v>
      </c>
      <c r="G1974" s="25">
        <v>0.7569444444444444</v>
      </c>
      <c r="H1974" s="27">
        <f t="shared" si="2"/>
        <v>0.4965277778</v>
      </c>
      <c r="I1974" s="28">
        <v>6.0</v>
      </c>
      <c r="J1974" s="29" t="s">
        <v>55</v>
      </c>
      <c r="K1974" s="30" t="s">
        <v>23</v>
      </c>
      <c r="L1974" s="31" t="str">
        <f>IFERROR(__xludf.DUMMYFUNCTION("IF(OR(E1974="""",K1974=""""),"""",IFERROR(IF(K1974="""","""",query('tbl user'!$A$2:$D10975,""SELECT A WHERE D = '""&amp;K1974&amp;""'"")),""USER TIDAK DIKETAHUI""))"),"#REF!")</f>
        <v>#REF!</v>
      </c>
    </row>
    <row r="1975">
      <c r="A1975" s="21">
        <f t="shared" si="1"/>
        <v>0</v>
      </c>
      <c r="B1975" s="32" t="s">
        <v>159</v>
      </c>
      <c r="C1975" s="23" t="s">
        <v>306</v>
      </c>
      <c r="D1975" s="23" t="s">
        <v>21</v>
      </c>
      <c r="E1975" s="37">
        <v>45425.0</v>
      </c>
      <c r="F1975" s="25">
        <v>0.26458333333333334</v>
      </c>
      <c r="G1975" s="25">
        <v>0.7430555555555556</v>
      </c>
      <c r="H1975" s="27">
        <f t="shared" si="2"/>
        <v>0.4784722222</v>
      </c>
      <c r="I1975" s="28">
        <v>6.0</v>
      </c>
      <c r="J1975" s="29" t="s">
        <v>55</v>
      </c>
      <c r="K1975" s="30" t="s">
        <v>23</v>
      </c>
      <c r="L1975" s="31" t="str">
        <f>IFERROR(__xludf.DUMMYFUNCTION("IF(OR(E1975="""",K1975=""""),"""",IFERROR(IF(K1975="""","""",query('tbl user'!$A$2:$D10975,""SELECT A WHERE D = '""&amp;K1975&amp;""'"")),""USER TIDAK DIKETAHUI""))"),"#REF!")</f>
        <v>#REF!</v>
      </c>
    </row>
    <row r="1976">
      <c r="A1976" s="21">
        <f t="shared" si="1"/>
        <v>0</v>
      </c>
      <c r="B1976" s="32" t="s">
        <v>593</v>
      </c>
      <c r="C1976" s="23" t="s">
        <v>236</v>
      </c>
      <c r="D1976" s="23" t="s">
        <v>21</v>
      </c>
      <c r="E1976" s="37">
        <v>45425.0</v>
      </c>
      <c r="F1976" s="25">
        <v>0.22083333333333333</v>
      </c>
      <c r="G1976" s="25">
        <v>0.7493055555555556</v>
      </c>
      <c r="H1976" s="27">
        <f t="shared" si="2"/>
        <v>0.5284722222</v>
      </c>
      <c r="I1976" s="28">
        <v>6.0</v>
      </c>
      <c r="J1976" s="29" t="s">
        <v>55</v>
      </c>
      <c r="K1976" s="30" t="s">
        <v>23</v>
      </c>
      <c r="L1976" s="31" t="str">
        <f>IFERROR(__xludf.DUMMYFUNCTION("IF(OR(E1976="""",K1976=""""),"""",IFERROR(IF(K1976="""","""",query('tbl user'!$A$2:$D10975,""SELECT A WHERE D = '""&amp;K1976&amp;""'"")),""USER TIDAK DIKETAHUI""))"),"#REF!")</f>
        <v>#REF!</v>
      </c>
    </row>
    <row r="1977">
      <c r="A1977" s="21">
        <f t="shared" si="1"/>
        <v>0</v>
      </c>
      <c r="B1977" s="32" t="s">
        <v>127</v>
      </c>
      <c r="C1977" s="23" t="s">
        <v>128</v>
      </c>
      <c r="D1977" s="23" t="s">
        <v>32</v>
      </c>
      <c r="E1977" s="37">
        <v>45425.0</v>
      </c>
      <c r="F1977" s="25">
        <v>0.2965277777777778</v>
      </c>
      <c r="G1977" s="25">
        <v>0.7152777777777778</v>
      </c>
      <c r="H1977" s="27">
        <f t="shared" si="2"/>
        <v>0.41875</v>
      </c>
      <c r="I1977" s="28">
        <v>4.0</v>
      </c>
      <c r="J1977" s="29" t="s">
        <v>55</v>
      </c>
      <c r="K1977" s="30" t="s">
        <v>23</v>
      </c>
      <c r="L1977" s="31" t="str">
        <f>IFERROR(__xludf.DUMMYFUNCTION("IF(OR(E1977="""",K1977=""""),"""",IFERROR(IF(K1977="""","""",query('tbl user'!$A$2:$D10975,""SELECT A WHERE D = '""&amp;K1977&amp;""'"")),""USER TIDAK DIKETAHUI""))"),"#REF!")</f>
        <v>#REF!</v>
      </c>
    </row>
    <row r="1978">
      <c r="A1978" s="21">
        <f t="shared" si="1"/>
        <v>0</v>
      </c>
      <c r="B1978" s="32" t="s">
        <v>269</v>
      </c>
      <c r="C1978" s="23" t="s">
        <v>270</v>
      </c>
      <c r="D1978" s="23" t="s">
        <v>32</v>
      </c>
      <c r="E1978" s="37">
        <v>45425.0</v>
      </c>
      <c r="F1978" s="25">
        <v>0.2590277777777778</v>
      </c>
      <c r="G1978" s="25">
        <v>0.6888888888888889</v>
      </c>
      <c r="H1978" s="27">
        <f t="shared" si="2"/>
        <v>0.4298611111</v>
      </c>
      <c r="I1978" s="28">
        <v>4.0</v>
      </c>
      <c r="J1978" s="29" t="s">
        <v>55</v>
      </c>
      <c r="K1978" s="30" t="s">
        <v>23</v>
      </c>
      <c r="L1978" s="31" t="str">
        <f>IFERROR(__xludf.DUMMYFUNCTION("IF(OR(E1978="""",K1978=""""),"""",IFERROR(IF(K1978="""","""",query('tbl user'!$A$2:$D10975,""SELECT A WHERE D = '""&amp;K1978&amp;""'"")),""USER TIDAK DIKETAHUI""))"),"#REF!")</f>
        <v>#REF!</v>
      </c>
    </row>
    <row r="1979">
      <c r="A1979" s="21">
        <f t="shared" si="1"/>
        <v>0</v>
      </c>
      <c r="B1979" s="32" t="s">
        <v>277</v>
      </c>
      <c r="C1979" s="23" t="s">
        <v>278</v>
      </c>
      <c r="D1979" s="23" t="s">
        <v>32</v>
      </c>
      <c r="E1979" s="37">
        <v>45425.0</v>
      </c>
      <c r="F1979" s="25">
        <v>0.24791666666666667</v>
      </c>
      <c r="G1979" s="25">
        <v>0.6819444444444445</v>
      </c>
      <c r="H1979" s="27">
        <f t="shared" si="2"/>
        <v>0.4340277778</v>
      </c>
      <c r="I1979" s="28">
        <v>4.0</v>
      </c>
      <c r="J1979" s="29" t="s">
        <v>55</v>
      </c>
      <c r="K1979" s="30" t="s">
        <v>23</v>
      </c>
      <c r="L1979" s="31" t="str">
        <f>IFERROR(__xludf.DUMMYFUNCTION("IF(OR(E1979="""",K1979=""""),"""",IFERROR(IF(K1979="""","""",query('tbl user'!$A$2:$D10975,""SELECT A WHERE D = '""&amp;K1979&amp;""'"")),""USER TIDAK DIKETAHUI""))"),"#REF!")</f>
        <v>#REF!</v>
      </c>
    </row>
    <row r="1980">
      <c r="A1980" s="21">
        <f t="shared" si="1"/>
        <v>0</v>
      </c>
      <c r="B1980" s="32" t="s">
        <v>312</v>
      </c>
      <c r="C1980" s="23" t="s">
        <v>313</v>
      </c>
      <c r="D1980" s="23" t="s">
        <v>32</v>
      </c>
      <c r="E1980" s="37">
        <v>45425.0</v>
      </c>
      <c r="F1980" s="25">
        <v>0.20902777777777778</v>
      </c>
      <c r="G1980" s="25">
        <v>0.6847222222222222</v>
      </c>
      <c r="H1980" s="27">
        <f t="shared" si="2"/>
        <v>0.4756944444</v>
      </c>
      <c r="I1980" s="28">
        <v>4.0</v>
      </c>
      <c r="J1980" s="29" t="s">
        <v>55</v>
      </c>
      <c r="K1980" s="30" t="s">
        <v>23</v>
      </c>
      <c r="L1980" s="31" t="str">
        <f>IFERROR(__xludf.DUMMYFUNCTION("IF(OR(E1980="""",K1980=""""),"""",IFERROR(IF(K1980="""","""",query('tbl user'!$A$2:$D10975,""SELECT A WHERE D = '""&amp;K1980&amp;""'"")),""USER TIDAK DIKETAHUI""))"),"#REF!")</f>
        <v>#REF!</v>
      </c>
    </row>
    <row r="1981">
      <c r="A1981" s="21">
        <f t="shared" si="1"/>
        <v>0</v>
      </c>
      <c r="B1981" s="32" t="s">
        <v>279</v>
      </c>
      <c r="C1981" s="23" t="s">
        <v>280</v>
      </c>
      <c r="D1981" s="23" t="s">
        <v>32</v>
      </c>
      <c r="E1981" s="37">
        <v>45425.0</v>
      </c>
      <c r="F1981" s="25">
        <v>0.26875</v>
      </c>
      <c r="G1981" s="25">
        <v>0.6347222222222222</v>
      </c>
      <c r="H1981" s="27">
        <f t="shared" si="2"/>
        <v>0.3659722222</v>
      </c>
      <c r="I1981" s="28">
        <v>4.0</v>
      </c>
      <c r="J1981" s="29" t="s">
        <v>55</v>
      </c>
      <c r="K1981" s="30" t="s">
        <v>23</v>
      </c>
      <c r="L1981" s="31" t="str">
        <f>IFERROR(__xludf.DUMMYFUNCTION("IF(OR(E1981="""",K1981=""""),"""",IFERROR(IF(K1981="""","""",query('tbl user'!$A$2:$D10975,""SELECT A WHERE D = '""&amp;K1981&amp;""'"")),""USER TIDAK DIKETAHUI""))"),"#REF!")</f>
        <v>#REF!</v>
      </c>
    </row>
    <row r="1982">
      <c r="A1982" s="21">
        <f t="shared" si="1"/>
        <v>0</v>
      </c>
      <c r="B1982" s="32" t="s">
        <v>135</v>
      </c>
      <c r="C1982" s="23" t="s">
        <v>136</v>
      </c>
      <c r="D1982" s="23" t="s">
        <v>32</v>
      </c>
      <c r="E1982" s="37">
        <v>45425.0</v>
      </c>
      <c r="F1982" s="25">
        <v>0.25833333333333336</v>
      </c>
      <c r="G1982" s="25">
        <v>0.7222222222222222</v>
      </c>
      <c r="H1982" s="27">
        <f t="shared" si="2"/>
        <v>0.4638888889</v>
      </c>
      <c r="I1982" s="28">
        <v>5.0</v>
      </c>
      <c r="J1982" s="29" t="s">
        <v>55</v>
      </c>
      <c r="K1982" s="30" t="s">
        <v>23</v>
      </c>
      <c r="L1982" s="31" t="str">
        <f>IFERROR(__xludf.DUMMYFUNCTION("IF(OR(E1982="""",K1982=""""),"""",IFERROR(IF(K1982="""","""",query('tbl user'!$A$2:$D10975,""SELECT A WHERE D = '""&amp;K1982&amp;""'"")),""USER TIDAK DIKETAHUI""))"),"#REF!")</f>
        <v>#REF!</v>
      </c>
    </row>
    <row r="1983">
      <c r="A1983" s="21">
        <f t="shared" si="1"/>
        <v>0</v>
      </c>
      <c r="B1983" s="32" t="s">
        <v>30</v>
      </c>
      <c r="C1983" s="23" t="s">
        <v>31</v>
      </c>
      <c r="D1983" s="23" t="s">
        <v>32</v>
      </c>
      <c r="E1983" s="37">
        <v>45425.0</v>
      </c>
      <c r="F1983" s="25">
        <v>0.21041666666666667</v>
      </c>
      <c r="G1983" s="25">
        <v>0.6986111111111111</v>
      </c>
      <c r="H1983" s="27">
        <f t="shared" si="2"/>
        <v>0.4881944444</v>
      </c>
      <c r="I1983" s="28">
        <v>5.0</v>
      </c>
      <c r="J1983" s="29" t="s">
        <v>55</v>
      </c>
      <c r="K1983" s="30" t="s">
        <v>23</v>
      </c>
      <c r="L1983" s="31" t="str">
        <f>IFERROR(__xludf.DUMMYFUNCTION("IF(OR(E1983="""",K1983=""""),"""",IFERROR(IF(K1983="""","""",query('tbl user'!$A$2:$D10975,""SELECT A WHERE D = '""&amp;K1983&amp;""'"")),""USER TIDAK DIKETAHUI""))"),"#REF!")</f>
        <v>#REF!</v>
      </c>
    </row>
    <row r="1984">
      <c r="A1984" s="21">
        <f t="shared" si="1"/>
        <v>0</v>
      </c>
      <c r="B1984" s="32" t="s">
        <v>40</v>
      </c>
      <c r="C1984" s="23" t="s">
        <v>41</v>
      </c>
      <c r="D1984" s="23" t="s">
        <v>32</v>
      </c>
      <c r="E1984" s="37">
        <v>45425.0</v>
      </c>
      <c r="F1984" s="25">
        <v>0.2298611111111111</v>
      </c>
      <c r="G1984" s="25">
        <v>0.6923611111111111</v>
      </c>
      <c r="H1984" s="27">
        <f t="shared" si="2"/>
        <v>0.4625</v>
      </c>
      <c r="I1984" s="28">
        <v>5.0</v>
      </c>
      <c r="J1984" s="29" t="s">
        <v>55</v>
      </c>
      <c r="K1984" s="30" t="s">
        <v>23</v>
      </c>
      <c r="L1984" s="31" t="str">
        <f>IFERROR(__xludf.DUMMYFUNCTION("IF(OR(E1984="""",K1984=""""),"""",IFERROR(IF(K1984="""","""",query('tbl user'!$A$2:$D10975,""SELECT A WHERE D = '""&amp;K1984&amp;""'"")),""USER TIDAK DIKETAHUI""))"),"#REF!")</f>
        <v>#REF!</v>
      </c>
    </row>
    <row r="1985">
      <c r="A1985" s="21">
        <f t="shared" si="1"/>
        <v>0</v>
      </c>
      <c r="B1985" s="32" t="s">
        <v>137</v>
      </c>
      <c r="C1985" s="23" t="s">
        <v>138</v>
      </c>
      <c r="D1985" s="23" t="s">
        <v>32</v>
      </c>
      <c r="E1985" s="37">
        <v>45425.0</v>
      </c>
      <c r="F1985" s="25">
        <v>0.2534722222222222</v>
      </c>
      <c r="G1985" s="25">
        <v>0.6916666666666667</v>
      </c>
      <c r="H1985" s="27">
        <f t="shared" si="2"/>
        <v>0.4381944444</v>
      </c>
      <c r="I1985" s="28">
        <v>5.0</v>
      </c>
      <c r="J1985" s="29" t="s">
        <v>55</v>
      </c>
      <c r="K1985" s="30" t="s">
        <v>23</v>
      </c>
      <c r="L1985" s="31" t="str">
        <f>IFERROR(__xludf.DUMMYFUNCTION("IF(OR(E1985="""",K1985=""""),"""",IFERROR(IF(K1985="""","""",query('tbl user'!$A$2:$D10975,""SELECT A WHERE D = '""&amp;K1985&amp;""'"")),""USER TIDAK DIKETAHUI""))"),"#REF!")</f>
        <v>#REF!</v>
      </c>
    </row>
    <row r="1986">
      <c r="A1986" s="21">
        <f t="shared" si="1"/>
        <v>0</v>
      </c>
      <c r="B1986" s="32" t="s">
        <v>139</v>
      </c>
      <c r="C1986" s="23" t="s">
        <v>96</v>
      </c>
      <c r="D1986" s="23" t="s">
        <v>32</v>
      </c>
      <c r="E1986" s="37">
        <v>45425.0</v>
      </c>
      <c r="F1986" s="25">
        <v>0.24027777777777778</v>
      </c>
      <c r="G1986" s="25">
        <v>0.7465277777777778</v>
      </c>
      <c r="H1986" s="27">
        <f t="shared" si="2"/>
        <v>0.50625</v>
      </c>
      <c r="I1986" s="28">
        <v>5.0</v>
      </c>
      <c r="J1986" s="29" t="s">
        <v>55</v>
      </c>
      <c r="K1986" s="30" t="s">
        <v>23</v>
      </c>
      <c r="L1986" s="31" t="str">
        <f>IFERROR(__xludf.DUMMYFUNCTION("IF(OR(E1986="""",K1986=""""),"""",IFERROR(IF(K1986="""","""",query('tbl user'!$A$2:$D10975,""SELECT A WHERE D = '""&amp;K1986&amp;""'"")),""USER TIDAK DIKETAHUI""))"),"#REF!")</f>
        <v>#REF!</v>
      </c>
    </row>
    <row r="1987">
      <c r="A1987" s="21">
        <f t="shared" si="1"/>
        <v>0</v>
      </c>
      <c r="B1987" s="32" t="s">
        <v>220</v>
      </c>
      <c r="C1987" s="23" t="s">
        <v>211</v>
      </c>
      <c r="D1987" s="23" t="s">
        <v>58</v>
      </c>
      <c r="E1987" s="37">
        <v>45426.0</v>
      </c>
      <c r="F1987" s="25">
        <v>0.23402777777777778</v>
      </c>
      <c r="G1987" s="25">
        <v>0.6381944444444444</v>
      </c>
      <c r="H1987" s="27">
        <f t="shared" si="2"/>
        <v>0.4041666667</v>
      </c>
      <c r="I1987" s="28">
        <v>2.0</v>
      </c>
      <c r="J1987" s="29" t="s">
        <v>349</v>
      </c>
      <c r="K1987" s="30" t="s">
        <v>23</v>
      </c>
      <c r="L1987" s="31" t="str">
        <f>IFERROR(__xludf.DUMMYFUNCTION("IF(OR(E1987="""",K1987=""""),"""",IFERROR(IF(K1987="""","""",query('tbl user'!$A$2:$D10975,""SELECT A WHERE D = '""&amp;K1987&amp;""'"")),""USER TIDAK DIKETAHUI""))"),"#REF!")</f>
        <v>#REF!</v>
      </c>
    </row>
    <row r="1988">
      <c r="A1988" s="21">
        <f t="shared" si="1"/>
        <v>0</v>
      </c>
      <c r="B1988" s="32" t="s">
        <v>101</v>
      </c>
      <c r="C1988" s="23" t="s">
        <v>93</v>
      </c>
      <c r="D1988" s="23" t="s">
        <v>58</v>
      </c>
      <c r="E1988" s="37">
        <v>45426.0</v>
      </c>
      <c r="F1988" s="25">
        <v>0.30486111111111114</v>
      </c>
      <c r="G1988" s="25">
        <v>0.6180555555555556</v>
      </c>
      <c r="H1988" s="27">
        <f t="shared" si="2"/>
        <v>0.3131944444</v>
      </c>
      <c r="I1988" s="28">
        <v>2.0</v>
      </c>
      <c r="J1988" s="29" t="s">
        <v>981</v>
      </c>
      <c r="K1988" s="30" t="s">
        <v>23</v>
      </c>
      <c r="L1988" s="31" t="str">
        <f>IFERROR(__xludf.DUMMYFUNCTION("IF(OR(E1988="""",K1988=""""),"""",IFERROR(IF(K1988="""","""",query('tbl user'!$A$2:$D10975,""SELECT A WHERE D = '""&amp;K1988&amp;""'"")),""USER TIDAK DIKETAHUI""))"),"#REF!")</f>
        <v>#REF!</v>
      </c>
    </row>
    <row r="1989">
      <c r="A1989" s="21">
        <f t="shared" si="1"/>
        <v>0</v>
      </c>
      <c r="B1989" s="32" t="s">
        <v>67</v>
      </c>
      <c r="C1989" s="23" t="s">
        <v>68</v>
      </c>
      <c r="D1989" s="23" t="s">
        <v>58</v>
      </c>
      <c r="E1989" s="37">
        <v>45426.0</v>
      </c>
      <c r="F1989" s="25">
        <v>0.26875</v>
      </c>
      <c r="G1989" s="25">
        <v>0.64375</v>
      </c>
      <c r="H1989" s="27">
        <f t="shared" si="2"/>
        <v>0.375</v>
      </c>
      <c r="I1989" s="28">
        <v>3.0</v>
      </c>
      <c r="J1989" s="29" t="s">
        <v>982</v>
      </c>
      <c r="K1989" s="30" t="s">
        <v>23</v>
      </c>
      <c r="L1989" s="31" t="str">
        <f>IFERROR(__xludf.DUMMYFUNCTION("IF(OR(E1989="""",K1989=""""),"""",IFERROR(IF(K1989="""","""",query('tbl user'!$A$2:$D10975,""SELECT A WHERE D = '""&amp;K1989&amp;""'"")),""USER TIDAK DIKETAHUI""))"),"#REF!")</f>
        <v>#REF!</v>
      </c>
    </row>
    <row r="1990">
      <c r="A1990" s="21">
        <f t="shared" si="1"/>
        <v>0</v>
      </c>
      <c r="B1990" s="32" t="s">
        <v>167</v>
      </c>
      <c r="C1990" s="23" t="s">
        <v>168</v>
      </c>
      <c r="D1990" s="23" t="s">
        <v>58</v>
      </c>
      <c r="E1990" s="37">
        <v>45426.0</v>
      </c>
      <c r="F1990" s="25">
        <v>0.22291666666666668</v>
      </c>
      <c r="G1990" s="25">
        <v>0.6298611111111111</v>
      </c>
      <c r="H1990" s="27">
        <f t="shared" si="2"/>
        <v>0.4069444444</v>
      </c>
      <c r="I1990" s="28">
        <v>3.0</v>
      </c>
      <c r="J1990" s="29" t="s">
        <v>983</v>
      </c>
      <c r="K1990" s="30" t="s">
        <v>23</v>
      </c>
      <c r="L1990" s="31" t="str">
        <f>IFERROR(__xludf.DUMMYFUNCTION("IF(OR(E1990="""",K1990=""""),"""",IFERROR(IF(K1990="""","""",query('tbl user'!$A$2:$D10975,""SELECT A WHERE D = '""&amp;K1990&amp;""'"")),""USER TIDAK DIKETAHUI""))"),"#REF!")</f>
        <v>#REF!</v>
      </c>
    </row>
    <row r="1991">
      <c r="A1991" s="21">
        <f t="shared" si="1"/>
        <v>0</v>
      </c>
      <c r="B1991" s="32" t="s">
        <v>214</v>
      </c>
      <c r="C1991" s="23" t="s">
        <v>170</v>
      </c>
      <c r="D1991" s="23" t="s">
        <v>58</v>
      </c>
      <c r="E1991" s="37">
        <v>45426.0</v>
      </c>
      <c r="F1991" s="25">
        <v>0.28958333333333336</v>
      </c>
      <c r="G1991" s="25">
        <v>0.6638888888888889</v>
      </c>
      <c r="H1991" s="27">
        <f t="shared" si="2"/>
        <v>0.3743055556</v>
      </c>
      <c r="I1991" s="28">
        <v>3.0</v>
      </c>
      <c r="J1991" s="29" t="s">
        <v>984</v>
      </c>
      <c r="K1991" s="30" t="s">
        <v>23</v>
      </c>
      <c r="L1991" s="31" t="str">
        <f>IFERROR(__xludf.DUMMYFUNCTION("IF(OR(E1991="""",K1991=""""),"""",IFERROR(IF(K1991="""","""",query('tbl user'!$A$2:$D10975,""SELECT A WHERE D = '""&amp;K1991&amp;""'"")),""USER TIDAK DIKETAHUI""))"),"#REF!")</f>
        <v>#REF!</v>
      </c>
    </row>
    <row r="1992">
      <c r="A1992" s="21">
        <f t="shared" si="1"/>
        <v>0</v>
      </c>
      <c r="B1992" s="32" t="s">
        <v>178</v>
      </c>
      <c r="C1992" s="23" t="s">
        <v>82</v>
      </c>
      <c r="D1992" s="23" t="s">
        <v>58</v>
      </c>
      <c r="E1992" s="37">
        <v>45426.0</v>
      </c>
      <c r="F1992" s="25">
        <v>0.26875</v>
      </c>
      <c r="G1992" s="25">
        <v>0.6826388888888889</v>
      </c>
      <c r="H1992" s="27">
        <f t="shared" si="2"/>
        <v>0.4138888889</v>
      </c>
      <c r="I1992" s="28">
        <v>3.0</v>
      </c>
      <c r="J1992" s="29" t="s">
        <v>982</v>
      </c>
      <c r="K1992" s="30" t="s">
        <v>23</v>
      </c>
      <c r="L1992" s="31" t="str">
        <f>IFERROR(__xludf.DUMMYFUNCTION("IF(OR(E1992="""",K1992=""""),"""",IFERROR(IF(K1992="""","""",query('tbl user'!$A$2:$D10975,""SELECT A WHERE D = '""&amp;K1992&amp;""'"")),""USER TIDAK DIKETAHUI""))"),"#REF!")</f>
        <v>#REF!</v>
      </c>
    </row>
    <row r="1993">
      <c r="A1993" s="21">
        <f t="shared" si="1"/>
        <v>0</v>
      </c>
      <c r="B1993" s="32" t="s">
        <v>184</v>
      </c>
      <c r="C1993" s="23" t="s">
        <v>185</v>
      </c>
      <c r="D1993" s="23" t="s">
        <v>58</v>
      </c>
      <c r="E1993" s="37">
        <v>45426.0</v>
      </c>
      <c r="F1993" s="25">
        <v>0.24722222222222223</v>
      </c>
      <c r="G1993" s="25">
        <v>0.6111111111111112</v>
      </c>
      <c r="H1993" s="27">
        <f t="shared" si="2"/>
        <v>0.3638888889</v>
      </c>
      <c r="I1993" s="28">
        <v>3.0</v>
      </c>
      <c r="J1993" s="29" t="s">
        <v>985</v>
      </c>
      <c r="K1993" s="30" t="s">
        <v>23</v>
      </c>
      <c r="L1993" s="31" t="str">
        <f>IFERROR(__xludf.DUMMYFUNCTION("IF(OR(E1993="""",K1993=""""),"""",IFERROR(IF(K1993="""","""",query('tbl user'!$A$2:$D10975,""SELECT A WHERE D = '""&amp;K1993&amp;""'"")),""USER TIDAK DIKETAHUI""))"),"#REF!")</f>
        <v>#REF!</v>
      </c>
    </row>
    <row r="1994">
      <c r="A1994" s="21">
        <f t="shared" si="1"/>
        <v>0</v>
      </c>
      <c r="B1994" s="32" t="s">
        <v>189</v>
      </c>
      <c r="C1994" s="23" t="s">
        <v>190</v>
      </c>
      <c r="D1994" s="23" t="s">
        <v>58</v>
      </c>
      <c r="E1994" s="37">
        <v>45426.0</v>
      </c>
      <c r="F1994" s="25">
        <v>0.2722222222222222</v>
      </c>
      <c r="G1994" s="25">
        <v>0.6555555555555556</v>
      </c>
      <c r="H1994" s="27">
        <f t="shared" si="2"/>
        <v>0.3833333333</v>
      </c>
      <c r="I1994" s="28">
        <v>3.0</v>
      </c>
      <c r="J1994" s="29" t="s">
        <v>986</v>
      </c>
      <c r="K1994" s="30" t="s">
        <v>23</v>
      </c>
      <c r="L1994" s="31" t="str">
        <f>IFERROR(__xludf.DUMMYFUNCTION("IF(OR(E1994="""",K1994=""""),"""",IFERROR(IF(K1994="""","""",query('tbl user'!$A$2:$D10975,""SELECT A WHERE D = '""&amp;K1994&amp;""'"")),""USER TIDAK DIKETAHUI""))"),"#REF!")</f>
        <v>#REF!</v>
      </c>
    </row>
    <row r="1995">
      <c r="A1995" s="21">
        <f t="shared" si="1"/>
        <v>0</v>
      </c>
      <c r="B1995" s="32" t="s">
        <v>104</v>
      </c>
      <c r="C1995" s="23" t="s">
        <v>105</v>
      </c>
      <c r="D1995" s="23" t="s">
        <v>58</v>
      </c>
      <c r="E1995" s="37">
        <v>45426.0</v>
      </c>
      <c r="F1995" s="25">
        <v>0.23958333333333334</v>
      </c>
      <c r="G1995" s="25">
        <v>0.6923611111111111</v>
      </c>
      <c r="H1995" s="27">
        <f t="shared" si="2"/>
        <v>0.4527777778</v>
      </c>
      <c r="I1995" s="28">
        <v>3.0</v>
      </c>
      <c r="J1995" s="29" t="s">
        <v>982</v>
      </c>
      <c r="K1995" s="30" t="s">
        <v>23</v>
      </c>
      <c r="L1995" s="31" t="str">
        <f>IFERROR(__xludf.DUMMYFUNCTION("IF(OR(E1995="""",K1995=""""),"""",IFERROR(IF(K1995="""","""",query('tbl user'!$A$2:$D10975,""SELECT A WHERE D = '""&amp;K1995&amp;""'"")),""USER TIDAK DIKETAHUI""))"),"#REF!")</f>
        <v>#REF!</v>
      </c>
    </row>
    <row r="1996">
      <c r="A1996" s="21">
        <f t="shared" si="1"/>
        <v>0</v>
      </c>
      <c r="B1996" s="32" t="s">
        <v>202</v>
      </c>
      <c r="C1996" s="23" t="s">
        <v>203</v>
      </c>
      <c r="D1996" s="23" t="s">
        <v>58</v>
      </c>
      <c r="E1996" s="37">
        <v>45426.0</v>
      </c>
      <c r="F1996" s="25">
        <v>0.23541666666666666</v>
      </c>
      <c r="G1996" s="25">
        <v>0.6333333333333333</v>
      </c>
      <c r="H1996" s="27">
        <f t="shared" si="2"/>
        <v>0.3979166667</v>
      </c>
      <c r="I1996" s="28">
        <v>3.0</v>
      </c>
      <c r="J1996" s="29" t="s">
        <v>982</v>
      </c>
      <c r="K1996" s="30" t="s">
        <v>23</v>
      </c>
      <c r="L1996" s="31" t="str">
        <f>IFERROR(__xludf.DUMMYFUNCTION("IF(OR(E1996="""",K1996=""""),"""",IFERROR(IF(K1996="""","""",query('tbl user'!$A$2:$D10975,""SELECT A WHERE D = '""&amp;K1996&amp;""'"")),""USER TIDAK DIKETAHUI""))"),"#REF!")</f>
        <v>#REF!</v>
      </c>
    </row>
    <row r="1997">
      <c r="A1997" s="21">
        <f t="shared" si="1"/>
        <v>0</v>
      </c>
      <c r="B1997" s="32" t="s">
        <v>297</v>
      </c>
      <c r="C1997" s="23" t="s">
        <v>348</v>
      </c>
      <c r="D1997" s="23" t="s">
        <v>58</v>
      </c>
      <c r="E1997" s="37">
        <v>45426.0</v>
      </c>
      <c r="F1997" s="25">
        <v>0.25069444444444444</v>
      </c>
      <c r="G1997" s="25">
        <v>0.6458333333333334</v>
      </c>
      <c r="H1997" s="27">
        <f t="shared" si="2"/>
        <v>0.3951388889</v>
      </c>
      <c r="I1997" s="28">
        <v>3.0</v>
      </c>
      <c r="J1997" s="29" t="s">
        <v>982</v>
      </c>
      <c r="K1997" s="30" t="s">
        <v>23</v>
      </c>
      <c r="L1997" s="31" t="str">
        <f>IFERROR(__xludf.DUMMYFUNCTION("IF(OR(E1997="""",K1997=""""),"""",IFERROR(IF(K1997="""","""",query('tbl user'!$A$2:$D10975,""SELECT A WHERE D = '""&amp;K1997&amp;""'"")),""USER TIDAK DIKETAHUI""))"),"#REF!")</f>
        <v>#REF!</v>
      </c>
    </row>
    <row r="1998">
      <c r="A1998" s="21">
        <f t="shared" si="1"/>
        <v>0</v>
      </c>
      <c r="B1998" s="32" t="s">
        <v>205</v>
      </c>
      <c r="C1998" s="23" t="s">
        <v>206</v>
      </c>
      <c r="D1998" s="23" t="s">
        <v>58</v>
      </c>
      <c r="E1998" s="37">
        <v>45426.0</v>
      </c>
      <c r="F1998" s="25">
        <v>0.2361111111111111</v>
      </c>
      <c r="G1998" s="25">
        <v>0.6569444444444444</v>
      </c>
      <c r="H1998" s="27">
        <f t="shared" si="2"/>
        <v>0.4208333333</v>
      </c>
      <c r="I1998" s="28">
        <v>3.0</v>
      </c>
      <c r="J1998" s="29" t="s">
        <v>982</v>
      </c>
      <c r="K1998" s="30" t="s">
        <v>23</v>
      </c>
      <c r="L1998" s="31" t="str">
        <f>IFERROR(__xludf.DUMMYFUNCTION("IF(OR(E1998="""",K1998=""""),"""",IFERROR(IF(K1998="""","""",query('tbl user'!$A$2:$D10975,""SELECT A WHERE D = '""&amp;K1998&amp;""'"")),""USER TIDAK DIKETAHUI""))"),"#REF!")</f>
        <v>#REF!</v>
      </c>
    </row>
    <row r="1999">
      <c r="A1999" s="21">
        <f t="shared" si="1"/>
        <v>0</v>
      </c>
      <c r="B1999" s="32" t="s">
        <v>224</v>
      </c>
      <c r="C1999" s="23" t="s">
        <v>208</v>
      </c>
      <c r="D1999" s="23" t="s">
        <v>58</v>
      </c>
      <c r="E1999" s="37">
        <v>45426.0</v>
      </c>
      <c r="F1999" s="25">
        <v>0.3055555555555556</v>
      </c>
      <c r="G1999" s="25">
        <v>0.6923611111111111</v>
      </c>
      <c r="H1999" s="27">
        <f t="shared" si="2"/>
        <v>0.3868055556</v>
      </c>
      <c r="I1999" s="28">
        <v>3.0</v>
      </c>
      <c r="J1999" s="29" t="s">
        <v>397</v>
      </c>
      <c r="K1999" s="30" t="s">
        <v>23</v>
      </c>
      <c r="L1999" s="31" t="str">
        <f>IFERROR(__xludf.DUMMYFUNCTION("IF(OR(E1999="""",K1999=""""),"""",IFERROR(IF(K1999="""","""",query('tbl user'!$A$2:$D10975,""SELECT A WHERE D = '""&amp;K1999&amp;""'"")),""USER TIDAK DIKETAHUI""))"),"#REF!")</f>
        <v>#REF!</v>
      </c>
    </row>
    <row r="2000">
      <c r="A2000" s="21">
        <f t="shared" si="1"/>
        <v>0</v>
      </c>
      <c r="B2000" s="32" t="s">
        <v>180</v>
      </c>
      <c r="C2000" s="23" t="s">
        <v>181</v>
      </c>
      <c r="D2000" s="23" t="s">
        <v>58</v>
      </c>
      <c r="E2000" s="37">
        <v>45426.0</v>
      </c>
      <c r="F2000" s="25">
        <v>0.2361111111111111</v>
      </c>
      <c r="G2000" s="25">
        <v>0.7006944444444444</v>
      </c>
      <c r="H2000" s="27">
        <f t="shared" si="2"/>
        <v>0.4645833333</v>
      </c>
      <c r="I2000" s="28">
        <v>4.0</v>
      </c>
      <c r="J2000" s="29" t="s">
        <v>55</v>
      </c>
      <c r="K2000" s="30" t="s">
        <v>23</v>
      </c>
      <c r="L2000" s="31" t="str">
        <f>IFERROR(__xludf.DUMMYFUNCTION("IF(OR(E2000="""",K2000=""""),"""",IFERROR(IF(K2000="""","""",query('tbl user'!$A$2:$D10975,""SELECT A WHERE D = '""&amp;K2000&amp;""'"")),""USER TIDAK DIKETAHUI""))"),"#REF!")</f>
        <v>#REF!</v>
      </c>
    </row>
    <row r="2001">
      <c r="A2001" s="21">
        <f t="shared" si="1"/>
        <v>0</v>
      </c>
      <c r="B2001" s="32" t="s">
        <v>182</v>
      </c>
      <c r="C2001" s="23" t="s">
        <v>183</v>
      </c>
      <c r="D2001" s="23" t="s">
        <v>58</v>
      </c>
      <c r="E2001" s="37">
        <v>45426.0</v>
      </c>
      <c r="F2001" s="25">
        <v>0.2152777777777778</v>
      </c>
      <c r="G2001" s="25">
        <v>0.6645833333333333</v>
      </c>
      <c r="H2001" s="27">
        <f t="shared" si="2"/>
        <v>0.4493055556</v>
      </c>
      <c r="I2001" s="28">
        <v>4.0</v>
      </c>
      <c r="J2001" s="29" t="s">
        <v>55</v>
      </c>
      <c r="K2001" s="30" t="s">
        <v>23</v>
      </c>
      <c r="L2001" s="31" t="str">
        <f>IFERROR(__xludf.DUMMYFUNCTION("IF(OR(E2001="""",K2001=""""),"""",IFERROR(IF(K2001="""","""",query('tbl user'!$A$2:$D10975,""SELECT A WHERE D = '""&amp;K2001&amp;""'"")),""USER TIDAK DIKETAHUI""))"),"#REF!")</f>
        <v>#REF!</v>
      </c>
    </row>
    <row r="2002">
      <c r="A2002" s="21">
        <f t="shared" si="1"/>
        <v>0</v>
      </c>
      <c r="B2002" s="32" t="s">
        <v>187</v>
      </c>
      <c r="C2002" s="23" t="s">
        <v>188</v>
      </c>
      <c r="D2002" s="23" t="s">
        <v>58</v>
      </c>
      <c r="E2002" s="37">
        <v>45426.0</v>
      </c>
      <c r="F2002" s="25">
        <v>0.22013888888888888</v>
      </c>
      <c r="G2002" s="25">
        <v>0.6930555555555555</v>
      </c>
      <c r="H2002" s="27">
        <f t="shared" si="2"/>
        <v>0.4729166667</v>
      </c>
      <c r="I2002" s="28">
        <v>4.0</v>
      </c>
      <c r="J2002" s="29" t="s">
        <v>55</v>
      </c>
      <c r="K2002" s="30" t="s">
        <v>23</v>
      </c>
      <c r="L2002" s="31" t="str">
        <f>IFERROR(__xludf.DUMMYFUNCTION("IF(OR(E2002="""",K2002=""""),"""",IFERROR(IF(K2002="""","""",query('tbl user'!$A$2:$D10975,""SELECT A WHERE D = '""&amp;K2002&amp;""'"")),""USER TIDAK DIKETAHUI""))"),"#REF!")</f>
        <v>#REF!</v>
      </c>
    </row>
    <row r="2003">
      <c r="A2003" s="21">
        <f t="shared" si="1"/>
        <v>0</v>
      </c>
      <c r="B2003" s="32" t="s">
        <v>191</v>
      </c>
      <c r="C2003" s="23" t="s">
        <v>192</v>
      </c>
      <c r="D2003" s="23" t="s">
        <v>58</v>
      </c>
      <c r="E2003" s="37">
        <v>45426.0</v>
      </c>
      <c r="F2003" s="25">
        <v>0.2590277777777778</v>
      </c>
      <c r="G2003" s="25">
        <v>0.6902777777777778</v>
      </c>
      <c r="H2003" s="27">
        <f t="shared" si="2"/>
        <v>0.43125</v>
      </c>
      <c r="I2003" s="28">
        <v>4.0</v>
      </c>
      <c r="J2003" s="29" t="s">
        <v>55</v>
      </c>
      <c r="K2003" s="30" t="s">
        <v>23</v>
      </c>
      <c r="L2003" s="31" t="str">
        <f>IFERROR(__xludf.DUMMYFUNCTION("IF(OR(E2003="""",K2003=""""),"""",IFERROR(IF(K2003="""","""",query('tbl user'!$A$2:$D10975,""SELECT A WHERE D = '""&amp;K2003&amp;""'"")),""USER TIDAK DIKETAHUI""))"),"#REF!")</f>
        <v>#REF!</v>
      </c>
    </row>
    <row r="2004">
      <c r="A2004" s="21">
        <f t="shared" si="1"/>
        <v>0</v>
      </c>
      <c r="B2004" s="32" t="s">
        <v>194</v>
      </c>
      <c r="C2004" s="23" t="s">
        <v>195</v>
      </c>
      <c r="D2004" s="23" t="s">
        <v>58</v>
      </c>
      <c r="E2004" s="37">
        <v>45426.0</v>
      </c>
      <c r="F2004" s="25">
        <v>0.22708333333333333</v>
      </c>
      <c r="G2004" s="25">
        <v>0.6784722222222223</v>
      </c>
      <c r="H2004" s="27">
        <f t="shared" si="2"/>
        <v>0.4513888889</v>
      </c>
      <c r="I2004" s="28">
        <v>4.0</v>
      </c>
      <c r="J2004" s="29" t="s">
        <v>55</v>
      </c>
      <c r="K2004" s="30" t="s">
        <v>23</v>
      </c>
      <c r="L2004" s="31" t="str">
        <f>IFERROR(__xludf.DUMMYFUNCTION("IF(OR(E2004="""",K2004=""""),"""",IFERROR(IF(K2004="""","""",query('tbl user'!$A$2:$D10975,""SELECT A WHERE D = '""&amp;K2004&amp;""'"")),""USER TIDAK DIKETAHUI""))"),"#REF!")</f>
        <v>#REF!</v>
      </c>
    </row>
    <row r="2005">
      <c r="A2005" s="21">
        <f t="shared" si="1"/>
        <v>0</v>
      </c>
      <c r="B2005" s="32" t="s">
        <v>216</v>
      </c>
      <c r="C2005" s="23" t="s">
        <v>198</v>
      </c>
      <c r="D2005" s="23" t="s">
        <v>58</v>
      </c>
      <c r="E2005" s="37">
        <v>45426.0</v>
      </c>
      <c r="F2005" s="25">
        <v>0.22013888888888888</v>
      </c>
      <c r="G2005" s="25">
        <v>0.6736111111111112</v>
      </c>
      <c r="H2005" s="27">
        <f t="shared" si="2"/>
        <v>0.4534722222</v>
      </c>
      <c r="I2005" s="28">
        <v>4.0</v>
      </c>
      <c r="J2005" s="29" t="s">
        <v>55</v>
      </c>
      <c r="K2005" s="30" t="s">
        <v>23</v>
      </c>
      <c r="L2005" s="31" t="str">
        <f>IFERROR(__xludf.DUMMYFUNCTION("IF(OR(E2005="""",K2005=""""),"""",IFERROR(IF(K2005="""","""",query('tbl user'!$A$2:$D10975,""SELECT A WHERE D = '""&amp;K2005&amp;""'"")),""USER TIDAK DIKETAHUI""))"),"#REF!")</f>
        <v>#REF!</v>
      </c>
    </row>
    <row r="2006">
      <c r="A2006" s="21">
        <f t="shared" si="1"/>
        <v>0</v>
      </c>
      <c r="B2006" s="32" t="s">
        <v>200</v>
      </c>
      <c r="C2006" s="23" t="s">
        <v>201</v>
      </c>
      <c r="D2006" s="23" t="s">
        <v>58</v>
      </c>
      <c r="E2006" s="37">
        <v>45426.0</v>
      </c>
      <c r="F2006" s="25">
        <v>0.20902777777777778</v>
      </c>
      <c r="G2006" s="25">
        <v>0.675</v>
      </c>
      <c r="H2006" s="27">
        <f t="shared" si="2"/>
        <v>0.4659722222</v>
      </c>
      <c r="I2006" s="28">
        <v>4.0</v>
      </c>
      <c r="J2006" s="29" t="s">
        <v>55</v>
      </c>
      <c r="K2006" s="30" t="s">
        <v>23</v>
      </c>
      <c r="L2006" s="31" t="str">
        <f>IFERROR(__xludf.DUMMYFUNCTION("IF(OR(E2006="""",K2006=""""),"""",IFERROR(IF(K2006="""","""",query('tbl user'!$A$2:$D10975,""SELECT A WHERE D = '""&amp;K2006&amp;""'"")),""USER TIDAK DIKETAHUI""))"),"#REF!")</f>
        <v>#REF!</v>
      </c>
    </row>
    <row r="2007">
      <c r="A2007" s="21">
        <f t="shared" si="1"/>
        <v>0</v>
      </c>
      <c r="B2007" s="32" t="s">
        <v>267</v>
      </c>
      <c r="C2007" s="23" t="s">
        <v>85</v>
      </c>
      <c r="D2007" s="23" t="s">
        <v>58</v>
      </c>
      <c r="E2007" s="37">
        <v>45426.0</v>
      </c>
      <c r="F2007" s="25">
        <v>0.20208333333333334</v>
      </c>
      <c r="G2007" s="25">
        <v>0.7125</v>
      </c>
      <c r="H2007" s="27">
        <f t="shared" si="2"/>
        <v>0.5104166667</v>
      </c>
      <c r="I2007" s="28">
        <v>4.0</v>
      </c>
      <c r="J2007" s="29" t="s">
        <v>55</v>
      </c>
      <c r="K2007" s="30" t="s">
        <v>23</v>
      </c>
      <c r="L2007" s="31" t="str">
        <f>IFERROR(__xludf.DUMMYFUNCTION("IF(OR(E2007="""",K2007=""""),"""",IFERROR(IF(K2007="""","""",query('tbl user'!$A$2:$D10975,""SELECT A WHERE D = '""&amp;K2007&amp;""'"")),""USER TIDAK DIKETAHUI""))"),"#REF!")</f>
        <v>#REF!</v>
      </c>
    </row>
    <row r="2008">
      <c r="A2008" s="21">
        <f t="shared" si="1"/>
        <v>0</v>
      </c>
      <c r="B2008" s="32" t="s">
        <v>61</v>
      </c>
      <c r="C2008" s="23" t="s">
        <v>62</v>
      </c>
      <c r="D2008" s="23" t="s">
        <v>21</v>
      </c>
      <c r="E2008" s="37">
        <v>45426.0</v>
      </c>
      <c r="F2008" s="25">
        <v>0.2569444444444444</v>
      </c>
      <c r="G2008" s="25">
        <v>0.39166666666666666</v>
      </c>
      <c r="H2008" s="27">
        <f t="shared" si="2"/>
        <v>0.1347222222</v>
      </c>
      <c r="I2008" s="28">
        <v>1.0</v>
      </c>
      <c r="J2008" s="29" t="s">
        <v>987</v>
      </c>
      <c r="K2008" s="30" t="s">
        <v>23</v>
      </c>
      <c r="L2008" s="31" t="str">
        <f>IFERROR(__xludf.DUMMYFUNCTION("IF(OR(E2008="""",K2008=""""),"""",IFERROR(IF(K2008="""","""",query('tbl user'!$A$2:$D10975,""SELECT A WHERE D = '""&amp;K2008&amp;""'"")),""USER TIDAK DIKETAHUI""))"),"#REF!")</f>
        <v>#REF!</v>
      </c>
    </row>
    <row r="2009">
      <c r="A2009" s="21">
        <f t="shared" si="1"/>
        <v>0</v>
      </c>
      <c r="B2009" s="32" t="s">
        <v>284</v>
      </c>
      <c r="C2009" s="23" t="s">
        <v>285</v>
      </c>
      <c r="D2009" s="23" t="s">
        <v>21</v>
      </c>
      <c r="E2009" s="37">
        <v>45426.0</v>
      </c>
      <c r="F2009" s="25">
        <v>0.2923611111111111</v>
      </c>
      <c r="G2009" s="25">
        <v>0.6118055555555556</v>
      </c>
      <c r="H2009" s="27">
        <f t="shared" si="2"/>
        <v>0.3194444444</v>
      </c>
      <c r="I2009" s="28">
        <v>2.0</v>
      </c>
      <c r="J2009" s="29" t="s">
        <v>988</v>
      </c>
      <c r="K2009" s="30" t="s">
        <v>23</v>
      </c>
      <c r="L2009" s="31" t="str">
        <f>IFERROR(__xludf.DUMMYFUNCTION("IF(OR(E2009="""",K2009=""""),"""",IFERROR(IF(K2009="""","""",query('tbl user'!$A$2:$D10975,""SELECT A WHERE D = '""&amp;K2009&amp;""'"")),""USER TIDAK DIKETAHUI""))"),"#REF!")</f>
        <v>#REF!</v>
      </c>
    </row>
    <row r="2010">
      <c r="A2010" s="21">
        <f t="shared" si="1"/>
        <v>0</v>
      </c>
      <c r="B2010" s="32" t="s">
        <v>37</v>
      </c>
      <c r="C2010" s="23" t="s">
        <v>38</v>
      </c>
      <c r="D2010" s="23" t="s">
        <v>21</v>
      </c>
      <c r="E2010" s="37">
        <v>45426.0</v>
      </c>
      <c r="F2010" s="25">
        <v>0.25972222222222224</v>
      </c>
      <c r="G2010" s="25">
        <v>0.6090277777777777</v>
      </c>
      <c r="H2010" s="27">
        <f t="shared" si="2"/>
        <v>0.3493055556</v>
      </c>
      <c r="I2010" s="28">
        <v>3.0</v>
      </c>
      <c r="J2010" s="29" t="s">
        <v>989</v>
      </c>
      <c r="K2010" s="30" t="s">
        <v>23</v>
      </c>
      <c r="L2010" s="31" t="str">
        <f>IFERROR(__xludf.DUMMYFUNCTION("IF(OR(E2010="""",K2010=""""),"""",IFERROR(IF(K2010="""","""",query('tbl user'!$A$2:$D10975,""SELECT A WHERE D = '""&amp;K2010&amp;""'"")),""USER TIDAK DIKETAHUI""))"),"#REF!")</f>
        <v>#REF!</v>
      </c>
    </row>
    <row r="2011">
      <c r="A2011" s="21">
        <f t="shared" si="1"/>
        <v>0</v>
      </c>
      <c r="B2011" s="32" t="s">
        <v>64</v>
      </c>
      <c r="C2011" s="23" t="s">
        <v>65</v>
      </c>
      <c r="D2011" s="23" t="s">
        <v>21</v>
      </c>
      <c r="E2011" s="37">
        <v>45426.0</v>
      </c>
      <c r="F2011" s="25">
        <v>0.2701388888888889</v>
      </c>
      <c r="G2011" s="25">
        <v>0.6145833333333334</v>
      </c>
      <c r="H2011" s="27">
        <f t="shared" si="2"/>
        <v>0.3444444444</v>
      </c>
      <c r="I2011" s="28">
        <v>3.0</v>
      </c>
      <c r="J2011" s="29" t="s">
        <v>990</v>
      </c>
      <c r="K2011" s="30" t="s">
        <v>23</v>
      </c>
      <c r="L2011" s="31" t="str">
        <f>IFERROR(__xludf.DUMMYFUNCTION("IF(OR(E2011="""",K2011=""""),"""",IFERROR(IF(K2011="""","""",query('tbl user'!$A$2:$D10975,""SELECT A WHERE D = '""&amp;K2011&amp;""'"")),""USER TIDAK DIKETAHUI""))"),"#REF!")</f>
        <v>#REF!</v>
      </c>
    </row>
    <row r="2012">
      <c r="A2012" s="21">
        <f t="shared" si="1"/>
        <v>0</v>
      </c>
      <c r="B2012" s="32" t="s">
        <v>51</v>
      </c>
      <c r="C2012" s="23" t="s">
        <v>27</v>
      </c>
      <c r="D2012" s="23" t="s">
        <v>21</v>
      </c>
      <c r="E2012" s="37">
        <v>45426.0</v>
      </c>
      <c r="F2012" s="25">
        <v>0.25416666666666665</v>
      </c>
      <c r="G2012" s="25">
        <v>0.6347222222222222</v>
      </c>
      <c r="H2012" s="27">
        <f t="shared" si="2"/>
        <v>0.3805555556</v>
      </c>
      <c r="I2012" s="28">
        <v>3.0</v>
      </c>
      <c r="J2012" s="29" t="s">
        <v>791</v>
      </c>
      <c r="K2012" s="30" t="s">
        <v>23</v>
      </c>
      <c r="L2012" s="31" t="str">
        <f>IFERROR(__xludf.DUMMYFUNCTION("IF(OR(E2012="""",K2012=""""),"""",IFERROR(IF(K2012="""","""",query('tbl user'!$A$2:$D10975,""SELECT A WHERE D = '""&amp;K2012&amp;""'"")),""USER TIDAK DIKETAHUI""))"),"#REF!")</f>
        <v>#REF!</v>
      </c>
    </row>
    <row r="2013">
      <c r="A2013" s="21">
        <f t="shared" si="1"/>
        <v>0</v>
      </c>
      <c r="B2013" s="32" t="s">
        <v>286</v>
      </c>
      <c r="C2013" s="23" t="s">
        <v>287</v>
      </c>
      <c r="D2013" s="23" t="s">
        <v>21</v>
      </c>
      <c r="E2013" s="37">
        <v>45426.0</v>
      </c>
      <c r="F2013" s="25">
        <v>0.2625</v>
      </c>
      <c r="G2013" s="25">
        <v>0.6222222222222222</v>
      </c>
      <c r="H2013" s="27">
        <f t="shared" si="2"/>
        <v>0.3597222222</v>
      </c>
      <c r="I2013" s="28">
        <v>3.0</v>
      </c>
      <c r="J2013" s="29" t="s">
        <v>991</v>
      </c>
      <c r="K2013" s="30" t="s">
        <v>23</v>
      </c>
      <c r="L2013" s="31" t="str">
        <f>IFERROR(__xludf.DUMMYFUNCTION("IF(OR(E2013="""",K2013=""""),"""",IFERROR(IF(K2013="""","""",query('tbl user'!$A$2:$D10975,""SELECT A WHERE D = '""&amp;K2013&amp;""'"")),""USER TIDAK DIKETAHUI""))"),"#REF!")</f>
        <v>#REF!</v>
      </c>
    </row>
    <row r="2014">
      <c r="A2014" s="21">
        <f t="shared" si="1"/>
        <v>0</v>
      </c>
      <c r="B2014" s="32" t="s">
        <v>305</v>
      </c>
      <c r="C2014" s="23" t="s">
        <v>251</v>
      </c>
      <c r="D2014" s="23" t="s">
        <v>21</v>
      </c>
      <c r="E2014" s="37">
        <v>45426.0</v>
      </c>
      <c r="F2014" s="25">
        <v>0.22152777777777777</v>
      </c>
      <c r="G2014" s="25">
        <v>0.46319444444444446</v>
      </c>
      <c r="H2014" s="27">
        <f t="shared" si="2"/>
        <v>0.2416666667</v>
      </c>
      <c r="I2014" s="28">
        <v>1.0</v>
      </c>
      <c r="J2014" s="29" t="s">
        <v>992</v>
      </c>
      <c r="K2014" s="30" t="s">
        <v>23</v>
      </c>
      <c r="L2014" s="31" t="str">
        <f>IFERROR(__xludf.DUMMYFUNCTION("IF(OR(E2014="""",K2014=""""),"""",IFERROR(IF(K2014="""","""",query('tbl user'!$A$2:$D10975,""SELECT A WHERE D = '""&amp;K2014&amp;""'"")),""USER TIDAK DIKETAHUI""))"),"#REF!")</f>
        <v>#REF!</v>
      </c>
    </row>
    <row r="2015">
      <c r="A2015" s="21">
        <f t="shared" si="1"/>
        <v>0</v>
      </c>
      <c r="B2015" s="32" t="s">
        <v>43</v>
      </c>
      <c r="C2015" s="23" t="s">
        <v>44</v>
      </c>
      <c r="D2015" s="23" t="s">
        <v>21</v>
      </c>
      <c r="E2015" s="37">
        <v>45426.0</v>
      </c>
      <c r="F2015" s="25">
        <v>0.2826388888888889</v>
      </c>
      <c r="G2015" s="25">
        <v>0.68125</v>
      </c>
      <c r="H2015" s="27">
        <f t="shared" si="2"/>
        <v>0.3986111111</v>
      </c>
      <c r="I2015" s="28">
        <v>2.0</v>
      </c>
      <c r="J2015" s="29" t="s">
        <v>993</v>
      </c>
      <c r="K2015" s="30" t="s">
        <v>23</v>
      </c>
      <c r="L2015" s="31" t="str">
        <f>IFERROR(__xludf.DUMMYFUNCTION("IF(OR(E2015="""",K2015=""""),"""",IFERROR(IF(K2015="""","""",query('tbl user'!$A$2:$D10975,""SELECT A WHERE D = '""&amp;K2015&amp;""'"")),""USER TIDAK DIKETAHUI""))"),"#REF!")</f>
        <v>#REF!</v>
      </c>
    </row>
    <row r="2016">
      <c r="A2016" s="21">
        <f t="shared" si="1"/>
        <v>0</v>
      </c>
      <c r="B2016" s="32" t="s">
        <v>253</v>
      </c>
      <c r="C2016" s="23" t="s">
        <v>102</v>
      </c>
      <c r="D2016" s="23" t="s">
        <v>21</v>
      </c>
      <c r="E2016" s="37">
        <v>45426.0</v>
      </c>
      <c r="F2016" s="25">
        <v>0.26875</v>
      </c>
      <c r="G2016" s="25">
        <v>0.6409722222222223</v>
      </c>
      <c r="H2016" s="27">
        <f t="shared" si="2"/>
        <v>0.3722222222</v>
      </c>
      <c r="I2016" s="28">
        <v>2.0</v>
      </c>
      <c r="J2016" s="29" t="s">
        <v>994</v>
      </c>
      <c r="K2016" s="30" t="s">
        <v>23</v>
      </c>
      <c r="L2016" s="31" t="str">
        <f>IFERROR(__xludf.DUMMYFUNCTION("IF(OR(E2016="""",K2016=""""),"""",IFERROR(IF(K2016="""","""",query('tbl user'!$A$2:$D10975,""SELECT A WHERE D = '""&amp;K2016&amp;""'"")),""USER TIDAK DIKETAHUI""))"),"#REF!")</f>
        <v>#REF!</v>
      </c>
    </row>
    <row r="2017">
      <c r="A2017" s="21">
        <f t="shared" si="1"/>
        <v>0</v>
      </c>
      <c r="B2017" s="32" t="s">
        <v>131</v>
      </c>
      <c r="C2017" s="23" t="s">
        <v>339</v>
      </c>
      <c r="D2017" s="23" t="s">
        <v>21</v>
      </c>
      <c r="E2017" s="37">
        <v>45426.0</v>
      </c>
      <c r="F2017" s="25">
        <v>0.2625</v>
      </c>
      <c r="G2017" s="25">
        <v>0.4618055555555556</v>
      </c>
      <c r="H2017" s="27">
        <f t="shared" si="2"/>
        <v>0.1993055556</v>
      </c>
      <c r="I2017" s="28">
        <v>2.0</v>
      </c>
      <c r="J2017" s="29" t="s">
        <v>995</v>
      </c>
      <c r="K2017" s="30" t="s">
        <v>23</v>
      </c>
      <c r="L2017" s="31" t="str">
        <f>IFERROR(__xludf.DUMMYFUNCTION("IF(OR(E2017="""",K2017=""""),"""",IFERROR(IF(K2017="""","""",query('tbl user'!$A$2:$D10975,""SELECT A WHERE D = '""&amp;K2017&amp;""'"")),""USER TIDAK DIKETAHUI""))"),"#REF!")</f>
        <v>#REF!</v>
      </c>
    </row>
    <row r="2018">
      <c r="A2018" s="21">
        <f t="shared" si="1"/>
        <v>0</v>
      </c>
      <c r="B2018" s="32" t="s">
        <v>333</v>
      </c>
      <c r="C2018" s="23" t="s">
        <v>334</v>
      </c>
      <c r="D2018" s="23" t="s">
        <v>21</v>
      </c>
      <c r="E2018" s="37">
        <v>45426.0</v>
      </c>
      <c r="F2018" s="25">
        <v>0.26875</v>
      </c>
      <c r="G2018" s="25">
        <v>0.5736111111111111</v>
      </c>
      <c r="H2018" s="27">
        <f t="shared" si="2"/>
        <v>0.3048611111</v>
      </c>
      <c r="I2018" s="28">
        <v>2.0</v>
      </c>
      <c r="J2018" s="29" t="s">
        <v>996</v>
      </c>
      <c r="K2018" s="30" t="s">
        <v>23</v>
      </c>
      <c r="L2018" s="31" t="str">
        <f>IFERROR(__xludf.DUMMYFUNCTION("IF(OR(E2018="""",K2018=""""),"""",IFERROR(IF(K2018="""","""",query('tbl user'!$A$2:$D10975,""SELECT A WHERE D = '""&amp;K2018&amp;""'"")),""USER TIDAK DIKETAHUI""))"),"#REF!")</f>
        <v>#REF!</v>
      </c>
    </row>
    <row r="2019">
      <c r="A2019" s="21">
        <f t="shared" si="1"/>
        <v>0</v>
      </c>
      <c r="B2019" s="32" t="s">
        <v>319</v>
      </c>
      <c r="C2019" s="23" t="s">
        <v>320</v>
      </c>
      <c r="D2019" s="23" t="s">
        <v>21</v>
      </c>
      <c r="E2019" s="37">
        <v>45426.0</v>
      </c>
      <c r="F2019" s="25">
        <v>0.2652777777777778</v>
      </c>
      <c r="G2019" s="25">
        <v>0.5881944444444445</v>
      </c>
      <c r="H2019" s="27">
        <f t="shared" si="2"/>
        <v>0.3229166667</v>
      </c>
      <c r="I2019" s="28">
        <v>2.0</v>
      </c>
      <c r="J2019" s="29" t="s">
        <v>997</v>
      </c>
      <c r="K2019" s="30" t="s">
        <v>23</v>
      </c>
      <c r="L2019" s="31" t="str">
        <f>IFERROR(__xludf.DUMMYFUNCTION("IF(OR(E2019="""",K2019=""""),"""",IFERROR(IF(K2019="""","""",query('tbl user'!$A$2:$D10975,""SELECT A WHERE D = '""&amp;K2019&amp;""'"")),""USER TIDAK DIKETAHUI""))"),"#REF!")</f>
        <v>#REF!</v>
      </c>
    </row>
    <row r="2020">
      <c r="A2020" s="21">
        <f t="shared" si="1"/>
        <v>0</v>
      </c>
      <c r="B2020" s="28" t="b">
        <v>0</v>
      </c>
      <c r="C2020" s="23" t="s">
        <v>336</v>
      </c>
      <c r="D2020" s="23" t="s">
        <v>21</v>
      </c>
      <c r="E2020" s="37">
        <v>45426.0</v>
      </c>
      <c r="F2020" s="25">
        <v>0.29097222222222224</v>
      </c>
      <c r="G2020" s="25">
        <v>0.6333333333333333</v>
      </c>
      <c r="H2020" s="27">
        <f t="shared" si="2"/>
        <v>0.3423611111</v>
      </c>
      <c r="I2020" s="28">
        <v>3.0</v>
      </c>
      <c r="J2020" s="29" t="s">
        <v>998</v>
      </c>
      <c r="K2020" s="30" t="s">
        <v>23</v>
      </c>
      <c r="L2020" s="31" t="str">
        <f>IFERROR(__xludf.DUMMYFUNCTION("IF(OR(E2020="""",K2020=""""),"""",IFERROR(IF(K2020="""","""",query('tbl user'!$A$2:$D10975,""SELECT A WHERE D = '""&amp;K2020&amp;""'"")),""USER TIDAK DIKETAHUI""))"),"#REF!")</f>
        <v>#REF!</v>
      </c>
    </row>
    <row r="2021">
      <c r="A2021" s="21">
        <f t="shared" si="1"/>
        <v>0</v>
      </c>
      <c r="B2021" s="32" t="s">
        <v>325</v>
      </c>
      <c r="C2021" s="23" t="s">
        <v>326</v>
      </c>
      <c r="D2021" s="23" t="s">
        <v>21</v>
      </c>
      <c r="E2021" s="37">
        <v>45426.0</v>
      </c>
      <c r="F2021" s="25">
        <v>0.21805555555555556</v>
      </c>
      <c r="G2021" s="25">
        <v>0.5430555555555555</v>
      </c>
      <c r="H2021" s="27">
        <f t="shared" si="2"/>
        <v>0.325</v>
      </c>
      <c r="I2021" s="28">
        <v>3.0</v>
      </c>
      <c r="J2021" s="29" t="s">
        <v>999</v>
      </c>
      <c r="K2021" s="30" t="s">
        <v>23</v>
      </c>
      <c r="L2021" s="31" t="str">
        <f>IFERROR(__xludf.DUMMYFUNCTION("IF(OR(E2021="""",K2021=""""),"""",IFERROR(IF(K2021="""","""",query('tbl user'!$A$2:$D10975,""SELECT A WHERE D = '""&amp;K2021&amp;""'"")),""USER TIDAK DIKETAHUI""))"),"#REF!")</f>
        <v>#REF!</v>
      </c>
    </row>
    <row r="2022">
      <c r="A2022" s="21">
        <f t="shared" si="1"/>
        <v>0</v>
      </c>
      <c r="B2022" s="32" t="s">
        <v>331</v>
      </c>
      <c r="C2022" s="23" t="s">
        <v>332</v>
      </c>
      <c r="D2022" s="23" t="s">
        <v>21</v>
      </c>
      <c r="E2022" s="37">
        <v>45426.0</v>
      </c>
      <c r="F2022" s="25">
        <v>0.20972222222222223</v>
      </c>
      <c r="G2022" s="25">
        <v>0.64375</v>
      </c>
      <c r="H2022" s="27">
        <f t="shared" si="2"/>
        <v>0.4340277778</v>
      </c>
      <c r="I2022" s="28">
        <v>4.0</v>
      </c>
      <c r="J2022" s="29" t="s">
        <v>1000</v>
      </c>
      <c r="K2022" s="30" t="s">
        <v>23</v>
      </c>
      <c r="L2022" s="31" t="str">
        <f>IFERROR(__xludf.DUMMYFUNCTION("IF(OR(E2022="""",K2022=""""),"""",IFERROR(IF(K2022="""","""",query('tbl user'!$A$2:$D10975,""SELECT A WHERE D = '""&amp;K2022&amp;""'"")),""USER TIDAK DIKETAHUI""))"),"#REF!")</f>
        <v>#REF!</v>
      </c>
    </row>
    <row r="2023">
      <c r="A2023" s="21">
        <f t="shared" si="1"/>
        <v>0</v>
      </c>
      <c r="B2023" s="32" t="s">
        <v>175</v>
      </c>
      <c r="C2023" s="23" t="s">
        <v>259</v>
      </c>
      <c r="D2023" s="23" t="s">
        <v>21</v>
      </c>
      <c r="E2023" s="37">
        <v>45426.0</v>
      </c>
      <c r="F2023" s="25">
        <v>0.2826388888888889</v>
      </c>
      <c r="G2023" s="25">
        <v>0.6972222222222222</v>
      </c>
      <c r="H2023" s="27">
        <f t="shared" si="2"/>
        <v>0.4145833333</v>
      </c>
      <c r="I2023" s="28">
        <v>4.0</v>
      </c>
      <c r="J2023" s="29" t="s">
        <v>1001</v>
      </c>
      <c r="K2023" s="30" t="s">
        <v>23</v>
      </c>
      <c r="L2023" s="31" t="str">
        <f>IFERROR(__xludf.DUMMYFUNCTION("IF(OR(E2023="""",K2023=""""),"""",IFERROR(IF(K2023="""","""",query('tbl user'!$A$2:$D10975,""SELECT A WHERE D = '""&amp;K2023&amp;""'"")),""USER TIDAK DIKETAHUI""))"),"#REF!")</f>
        <v>#REF!</v>
      </c>
    </row>
    <row r="2024">
      <c r="A2024" s="21">
        <f t="shared" si="1"/>
        <v>0</v>
      </c>
      <c r="B2024" s="32" t="s">
        <v>209</v>
      </c>
      <c r="C2024" s="23" t="s">
        <v>340</v>
      </c>
      <c r="D2024" s="23" t="s">
        <v>21</v>
      </c>
      <c r="E2024" s="37">
        <v>45426.0</v>
      </c>
      <c r="F2024" s="25">
        <v>0.28125</v>
      </c>
      <c r="G2024" s="33">
        <v>0.6243055555555556</v>
      </c>
      <c r="H2024" s="27">
        <f t="shared" si="2"/>
        <v>0.3430555556</v>
      </c>
      <c r="I2024" s="28">
        <v>4.0</v>
      </c>
      <c r="J2024" s="29" t="s">
        <v>1002</v>
      </c>
      <c r="K2024" s="30" t="s">
        <v>23</v>
      </c>
      <c r="L2024" s="31" t="str">
        <f>IFERROR(__xludf.DUMMYFUNCTION("IF(OR(E2024="""",K2024=""""),"""",IFERROR(IF(K2024="""","""",query('tbl user'!$A$2:$D10975,""SELECT A WHERE D = '""&amp;K2024&amp;""'"")),""USER TIDAK DIKETAHUI""))"),"#REF!")</f>
        <v>#REF!</v>
      </c>
    </row>
    <row r="2025">
      <c r="A2025" s="21">
        <f t="shared" si="1"/>
        <v>0</v>
      </c>
      <c r="B2025" s="32" t="s">
        <v>577</v>
      </c>
      <c r="C2025" s="23" t="s">
        <v>330</v>
      </c>
      <c r="D2025" s="23" t="s">
        <v>21</v>
      </c>
      <c r="E2025" s="37">
        <v>45426.0</v>
      </c>
      <c r="F2025" s="25">
        <v>0.2548611111111111</v>
      </c>
      <c r="G2025" s="25">
        <v>0.6347222222222222</v>
      </c>
      <c r="H2025" s="27">
        <f t="shared" si="2"/>
        <v>0.3798611111</v>
      </c>
      <c r="I2025" s="28">
        <v>4.0</v>
      </c>
      <c r="J2025" s="29" t="s">
        <v>1003</v>
      </c>
      <c r="K2025" s="30" t="s">
        <v>23</v>
      </c>
      <c r="L2025" s="31" t="str">
        <f>IFERROR(__xludf.DUMMYFUNCTION("IF(OR(E2025="""",K2025=""""),"""",IFERROR(IF(K2025="""","""",query('tbl user'!$A$2:$D10975,""SELECT A WHERE D = '""&amp;K2025&amp;""'"")),""USER TIDAK DIKETAHUI""))"),"#REF!")</f>
        <v>#REF!</v>
      </c>
    </row>
    <row r="2026">
      <c r="A2026" s="21">
        <f t="shared" si="1"/>
        <v>0</v>
      </c>
      <c r="B2026" s="32" t="s">
        <v>601</v>
      </c>
      <c r="C2026" s="23" t="s">
        <v>323</v>
      </c>
      <c r="D2026" s="23" t="s">
        <v>21</v>
      </c>
      <c r="E2026" s="37">
        <v>45426.0</v>
      </c>
      <c r="F2026" s="25">
        <v>0.2652777777777778</v>
      </c>
      <c r="G2026" s="25">
        <v>0.6819444444444445</v>
      </c>
      <c r="H2026" s="27">
        <f t="shared" si="2"/>
        <v>0.4166666667</v>
      </c>
      <c r="I2026" s="28">
        <v>4.0</v>
      </c>
      <c r="J2026" s="29" t="s">
        <v>782</v>
      </c>
      <c r="K2026" s="30" t="s">
        <v>23</v>
      </c>
      <c r="L2026" s="31" t="str">
        <f>IFERROR(__xludf.DUMMYFUNCTION("IF(OR(E2026="""",K2026=""""),"""",IFERROR(IF(K2026="""","""",query('tbl user'!$A$2:$D10975,""SELECT A WHERE D = '""&amp;K2026&amp;""'"")),""USER TIDAK DIKETAHUI""))"),"#REF!")</f>
        <v>#REF!</v>
      </c>
    </row>
    <row r="2027">
      <c r="A2027" s="21">
        <f t="shared" si="1"/>
        <v>0</v>
      </c>
      <c r="B2027" s="32" t="s">
        <v>24</v>
      </c>
      <c r="C2027" s="23" t="s">
        <v>25</v>
      </c>
      <c r="D2027" s="23" t="s">
        <v>21</v>
      </c>
      <c r="E2027" s="37">
        <v>45426.0</v>
      </c>
      <c r="F2027" s="25">
        <v>0.2569444444444444</v>
      </c>
      <c r="G2027" s="25">
        <v>0.6895833333333333</v>
      </c>
      <c r="H2027" s="27">
        <f t="shared" si="2"/>
        <v>0.4326388889</v>
      </c>
      <c r="I2027" s="28">
        <v>5.0</v>
      </c>
      <c r="J2027" s="29" t="s">
        <v>55</v>
      </c>
      <c r="K2027" s="30" t="s">
        <v>23</v>
      </c>
      <c r="L2027" s="31" t="str">
        <f>IFERROR(__xludf.DUMMYFUNCTION("IF(OR(E2027="""",K2027=""""),"""",IFERROR(IF(K2027="""","""",query('tbl user'!$A$2:$D10975,""SELECT A WHERE D = '""&amp;K2027&amp;""'"")),""USER TIDAK DIKETAHUI""))"),"#REF!")</f>
        <v>#REF!</v>
      </c>
    </row>
    <row r="2028">
      <c r="A2028" s="21">
        <f t="shared" si="1"/>
        <v>0</v>
      </c>
      <c r="B2028" s="32" t="s">
        <v>231</v>
      </c>
      <c r="C2028" s="23" t="s">
        <v>232</v>
      </c>
      <c r="D2028" s="23" t="s">
        <v>21</v>
      </c>
      <c r="E2028" s="37">
        <v>45426.0</v>
      </c>
      <c r="F2028" s="25">
        <v>0.2875</v>
      </c>
      <c r="G2028" s="25">
        <v>0.7430555555555556</v>
      </c>
      <c r="H2028" s="27">
        <f t="shared" si="2"/>
        <v>0.4555555556</v>
      </c>
      <c r="I2028" s="28">
        <v>5.0</v>
      </c>
      <c r="J2028" s="29" t="s">
        <v>55</v>
      </c>
      <c r="K2028" s="30" t="s">
        <v>23</v>
      </c>
      <c r="L2028" s="31" t="str">
        <f>IFERROR(__xludf.DUMMYFUNCTION("IF(OR(E2028="""",K2028=""""),"""",IFERROR(IF(K2028="""","""",query('tbl user'!$A$2:$D10975,""SELECT A WHERE D = '""&amp;K2028&amp;""'"")),""USER TIDAK DIKETAHUI""))"),"#REF!")</f>
        <v>#REF!</v>
      </c>
    </row>
    <row r="2029">
      <c r="A2029" s="21">
        <f t="shared" si="1"/>
        <v>0</v>
      </c>
      <c r="B2029" s="32" t="s">
        <v>662</v>
      </c>
      <c r="C2029" s="23" t="s">
        <v>234</v>
      </c>
      <c r="D2029" s="23" t="s">
        <v>21</v>
      </c>
      <c r="E2029" s="37">
        <v>45426.0</v>
      </c>
      <c r="F2029" s="25">
        <v>0.25833333333333336</v>
      </c>
      <c r="G2029" s="25">
        <v>0.7166666666666667</v>
      </c>
      <c r="H2029" s="27">
        <f t="shared" si="2"/>
        <v>0.4583333333</v>
      </c>
      <c r="I2029" s="28">
        <v>5.0</v>
      </c>
      <c r="J2029" s="29" t="s">
        <v>55</v>
      </c>
      <c r="K2029" s="30" t="s">
        <v>23</v>
      </c>
      <c r="L2029" s="31" t="str">
        <f>IFERROR(__xludf.DUMMYFUNCTION("IF(OR(E2029="""",K2029=""""),"""",IFERROR(IF(K2029="""","""",query('tbl user'!$A$2:$D10975,""SELECT A WHERE D = '""&amp;K2029&amp;""'"")),""USER TIDAK DIKETAHUI""))"),"#REF!")</f>
        <v>#REF!</v>
      </c>
    </row>
    <row r="2030">
      <c r="A2030" s="21">
        <f t="shared" si="1"/>
        <v>0</v>
      </c>
      <c r="B2030" s="32" t="s">
        <v>159</v>
      </c>
      <c r="C2030" s="23" t="s">
        <v>306</v>
      </c>
      <c r="D2030" s="23" t="s">
        <v>21</v>
      </c>
      <c r="E2030" s="37">
        <v>45426.0</v>
      </c>
      <c r="F2030" s="25">
        <v>0.2722222222222222</v>
      </c>
      <c r="G2030" s="25">
        <v>0.7340277777777777</v>
      </c>
      <c r="H2030" s="27">
        <f t="shared" si="2"/>
        <v>0.4618055556</v>
      </c>
      <c r="I2030" s="28">
        <v>5.0</v>
      </c>
      <c r="J2030" s="29" t="s">
        <v>55</v>
      </c>
      <c r="K2030" s="30" t="s">
        <v>23</v>
      </c>
      <c r="L2030" s="31" t="str">
        <f>IFERROR(__xludf.DUMMYFUNCTION("IF(OR(E2030="""",K2030=""""),"""",IFERROR(IF(K2030="""","""",query('tbl user'!$A$2:$D10975,""SELECT A WHERE D = '""&amp;K2030&amp;""'"")),""USER TIDAK DIKETAHUI""))"),"#REF!")</f>
        <v>#REF!</v>
      </c>
    </row>
    <row r="2031">
      <c r="A2031" s="21">
        <f t="shared" si="1"/>
        <v>0</v>
      </c>
      <c r="B2031" s="32" t="s">
        <v>593</v>
      </c>
      <c r="C2031" s="23" t="s">
        <v>236</v>
      </c>
      <c r="D2031" s="23" t="s">
        <v>21</v>
      </c>
      <c r="E2031" s="37">
        <v>45426.0</v>
      </c>
      <c r="F2031" s="25">
        <v>0.24930555555555556</v>
      </c>
      <c r="G2031" s="25">
        <v>0.6979166666666666</v>
      </c>
      <c r="H2031" s="27">
        <f t="shared" si="2"/>
        <v>0.4486111111</v>
      </c>
      <c r="I2031" s="28">
        <v>5.0</v>
      </c>
      <c r="J2031" s="29" t="s">
        <v>55</v>
      </c>
      <c r="K2031" s="30" t="s">
        <v>23</v>
      </c>
      <c r="L2031" s="31" t="str">
        <f>IFERROR(__xludf.DUMMYFUNCTION("IF(OR(E2031="""",K2031=""""),"""",IFERROR(IF(K2031="""","""",query('tbl user'!$A$2:$D10975,""SELECT A WHERE D = '""&amp;K2031&amp;""'"")),""USER TIDAK DIKETAHUI""))"),"#REF!")</f>
        <v>#REF!</v>
      </c>
    </row>
    <row r="2032">
      <c r="A2032" s="21">
        <f t="shared" si="1"/>
        <v>0</v>
      </c>
      <c r="B2032" s="32" t="s">
        <v>87</v>
      </c>
      <c r="C2032" s="23" t="s">
        <v>88</v>
      </c>
      <c r="D2032" s="23" t="s">
        <v>21</v>
      </c>
      <c r="E2032" s="37">
        <v>45426.0</v>
      </c>
      <c r="F2032" s="25">
        <v>0.27569444444444446</v>
      </c>
      <c r="G2032" s="25">
        <v>0.7208333333333333</v>
      </c>
      <c r="H2032" s="27">
        <f t="shared" si="2"/>
        <v>0.4451388889</v>
      </c>
      <c r="I2032" s="28">
        <v>5.0</v>
      </c>
      <c r="J2032" s="29" t="s">
        <v>55</v>
      </c>
      <c r="K2032" s="30" t="s">
        <v>23</v>
      </c>
      <c r="L2032" s="31" t="str">
        <f>IFERROR(__xludf.DUMMYFUNCTION("IF(OR(E2032="""",K2032=""""),"""",IFERROR(IF(K2032="""","""",query('tbl user'!$A$2:$D10975,""SELECT A WHERE D = '""&amp;K2032&amp;""'"")),""USER TIDAK DIKETAHUI""))"),"#REF!")</f>
        <v>#REF!</v>
      </c>
    </row>
    <row r="2033">
      <c r="A2033" s="21">
        <f t="shared" si="1"/>
        <v>0</v>
      </c>
      <c r="B2033" s="32" t="s">
        <v>34</v>
      </c>
      <c r="C2033" s="23" t="s">
        <v>35</v>
      </c>
      <c r="D2033" s="23" t="s">
        <v>21</v>
      </c>
      <c r="E2033" s="37">
        <v>45426.0</v>
      </c>
      <c r="F2033" s="25">
        <v>0.29097222222222224</v>
      </c>
      <c r="G2033" s="25">
        <v>0.7402777777777778</v>
      </c>
      <c r="H2033" s="27">
        <f t="shared" si="2"/>
        <v>0.4493055556</v>
      </c>
      <c r="I2033" s="28">
        <v>6.0</v>
      </c>
      <c r="J2033" s="29" t="s">
        <v>55</v>
      </c>
      <c r="K2033" s="30" t="s">
        <v>23</v>
      </c>
      <c r="L2033" s="31" t="str">
        <f>IFERROR(__xludf.DUMMYFUNCTION("IF(OR(E2033="""",K2033=""""),"""",IFERROR(IF(K2033="""","""",query('tbl user'!$A$2:$D10975,""SELECT A WHERE D = '""&amp;K2033&amp;""'"")),""USER TIDAK DIKETAHUI""))"),"#REF!")</f>
        <v>#REF!</v>
      </c>
    </row>
    <row r="2034">
      <c r="A2034" s="21">
        <f t="shared" si="1"/>
        <v>0</v>
      </c>
      <c r="B2034" s="28" t="b">
        <v>0</v>
      </c>
      <c r="C2034" s="23" t="s">
        <v>256</v>
      </c>
      <c r="D2034" s="23" t="s">
        <v>21</v>
      </c>
      <c r="E2034" s="37">
        <v>45426.0</v>
      </c>
      <c r="F2034" s="25">
        <v>0.25277777777777777</v>
      </c>
      <c r="G2034" s="25">
        <v>0.7263888888888889</v>
      </c>
      <c r="H2034" s="27">
        <f t="shared" si="2"/>
        <v>0.4736111111</v>
      </c>
      <c r="I2034" s="28">
        <v>6.0</v>
      </c>
      <c r="J2034" s="29" t="s">
        <v>55</v>
      </c>
      <c r="K2034" s="30" t="s">
        <v>23</v>
      </c>
      <c r="L2034" s="31" t="str">
        <f>IFERROR(__xludf.DUMMYFUNCTION("IF(OR(E2034="""",K2034=""""),"""",IFERROR(IF(K2034="""","""",query('tbl user'!$A$2:$D10975,""SELECT A WHERE D = '""&amp;K2034&amp;""'"")),""USER TIDAK DIKETAHUI""))"),"#REF!")</f>
        <v>#REF!</v>
      </c>
    </row>
    <row r="2035">
      <c r="A2035" s="21">
        <f t="shared" si="1"/>
        <v>0</v>
      </c>
      <c r="B2035" s="32" t="s">
        <v>716</v>
      </c>
      <c r="C2035" s="23" t="s">
        <v>316</v>
      </c>
      <c r="D2035" s="23" t="s">
        <v>21</v>
      </c>
      <c r="E2035" s="37">
        <v>45426.0</v>
      </c>
      <c r="F2035" s="25">
        <v>0.26458333333333334</v>
      </c>
      <c r="G2035" s="25">
        <v>0.7347222222222223</v>
      </c>
      <c r="H2035" s="27">
        <f t="shared" si="2"/>
        <v>0.4701388889</v>
      </c>
      <c r="I2035" s="28">
        <v>6.0</v>
      </c>
      <c r="J2035" s="29" t="s">
        <v>55</v>
      </c>
      <c r="K2035" s="30" t="s">
        <v>23</v>
      </c>
      <c r="L2035" s="31" t="str">
        <f>IFERROR(__xludf.DUMMYFUNCTION("IF(OR(E2035="""",K2035=""""),"""",IFERROR(IF(K2035="""","""",query('tbl user'!$A$2:$D10975,""SELECT A WHERE D = '""&amp;K2035&amp;""'"")),""USER TIDAK DIKETAHUI""))"),"#REF!")</f>
        <v>#REF!</v>
      </c>
    </row>
    <row r="2036">
      <c r="A2036" s="21">
        <f t="shared" si="1"/>
        <v>0</v>
      </c>
      <c r="B2036" s="32" t="s">
        <v>53</v>
      </c>
      <c r="C2036" s="23" t="s">
        <v>54</v>
      </c>
      <c r="D2036" s="23" t="s">
        <v>21</v>
      </c>
      <c r="E2036" s="37">
        <v>45426.0</v>
      </c>
      <c r="F2036" s="25">
        <v>0.25069444444444444</v>
      </c>
      <c r="G2036" s="25">
        <v>0.7243055555555555</v>
      </c>
      <c r="H2036" s="27">
        <f t="shared" si="2"/>
        <v>0.4736111111</v>
      </c>
      <c r="I2036" s="28">
        <v>6.0</v>
      </c>
      <c r="J2036" s="29" t="s">
        <v>55</v>
      </c>
      <c r="K2036" s="30" t="s">
        <v>23</v>
      </c>
      <c r="L2036" s="31" t="str">
        <f>IFERROR(__xludf.DUMMYFUNCTION("IF(OR(E2036="""",K2036=""""),"""",IFERROR(IF(K2036="""","""",query('tbl user'!$A$2:$D10975,""SELECT A WHERE D = '""&amp;K2036&amp;""'"")),""USER TIDAK DIKETAHUI""))"),"#REF!")</f>
        <v>#REF!</v>
      </c>
    </row>
    <row r="2037">
      <c r="A2037" s="21">
        <f t="shared" si="1"/>
        <v>0</v>
      </c>
      <c r="B2037" s="32" t="s">
        <v>337</v>
      </c>
      <c r="C2037" s="23" t="s">
        <v>338</v>
      </c>
      <c r="D2037" s="23" t="s">
        <v>21</v>
      </c>
      <c r="E2037" s="37">
        <v>45426.0</v>
      </c>
      <c r="F2037" s="25">
        <v>0.27152777777777776</v>
      </c>
      <c r="G2037" s="25">
        <v>0.74375</v>
      </c>
      <c r="H2037" s="27">
        <f t="shared" si="2"/>
        <v>0.4722222222</v>
      </c>
      <c r="I2037" s="28">
        <v>6.0</v>
      </c>
      <c r="J2037" s="29" t="s">
        <v>55</v>
      </c>
      <c r="K2037" s="30" t="s">
        <v>23</v>
      </c>
      <c r="L2037" s="31" t="str">
        <f>IFERROR(__xludf.DUMMYFUNCTION("IF(OR(E2037="""",K2037=""""),"""",IFERROR(IF(K2037="""","""",query('tbl user'!$A$2:$D10975,""SELECT A WHERE D = '""&amp;K2037&amp;""'"")),""USER TIDAK DIKETAHUI""))"),"#REF!")</f>
        <v>#REF!</v>
      </c>
    </row>
    <row r="2038">
      <c r="A2038" s="21">
        <f t="shared" si="1"/>
        <v>0</v>
      </c>
      <c r="B2038" s="32" t="s">
        <v>149</v>
      </c>
      <c r="C2038" s="23" t="s">
        <v>150</v>
      </c>
      <c r="D2038" s="23" t="s">
        <v>32</v>
      </c>
      <c r="E2038" s="37">
        <v>45426.0</v>
      </c>
      <c r="F2038" s="25">
        <v>0.24305555555555555</v>
      </c>
      <c r="G2038" s="25">
        <v>0.7090277777777778</v>
      </c>
      <c r="H2038" s="27">
        <f t="shared" si="2"/>
        <v>0.4659722222</v>
      </c>
      <c r="I2038" s="28">
        <v>3.0</v>
      </c>
      <c r="J2038" s="29" t="s">
        <v>1004</v>
      </c>
      <c r="K2038" s="30" t="s">
        <v>23</v>
      </c>
      <c r="L2038" s="31" t="str">
        <f>IFERROR(__xludf.DUMMYFUNCTION("IF(OR(E2038="""",K2038=""""),"""",IFERROR(IF(K2038="""","""",query('tbl user'!$A$2:$D10975,""SELECT A WHERE D = '""&amp;K2038&amp;""'"")),""USER TIDAK DIKETAHUI""))"),"#REF!")</f>
        <v>#REF!</v>
      </c>
    </row>
    <row r="2039">
      <c r="A2039" s="21">
        <f t="shared" si="1"/>
        <v>0</v>
      </c>
      <c r="B2039" s="32" t="s">
        <v>110</v>
      </c>
      <c r="C2039" s="23" t="s">
        <v>111</v>
      </c>
      <c r="D2039" s="23" t="s">
        <v>32</v>
      </c>
      <c r="E2039" s="37">
        <v>45426.0</v>
      </c>
      <c r="F2039" s="25">
        <v>0.2722222222222222</v>
      </c>
      <c r="G2039" s="25">
        <v>0.6430555555555556</v>
      </c>
      <c r="H2039" s="27">
        <f t="shared" si="2"/>
        <v>0.3708333333</v>
      </c>
      <c r="I2039" s="28">
        <v>4.0</v>
      </c>
      <c r="J2039" s="29" t="s">
        <v>55</v>
      </c>
      <c r="K2039" s="30" t="s">
        <v>23</v>
      </c>
      <c r="L2039" s="31" t="str">
        <f>IFERROR(__xludf.DUMMYFUNCTION("IF(OR(E2039="""",K2039=""""),"""",IFERROR(IF(K2039="""","""",query('tbl user'!$A$2:$D10975,""SELECT A WHERE D = '""&amp;K2039&amp;""'"")),""USER TIDAK DIKETAHUI""))"),"#REF!")</f>
        <v>#REF!</v>
      </c>
    </row>
    <row r="2040">
      <c r="A2040" s="21">
        <f t="shared" si="1"/>
        <v>0</v>
      </c>
      <c r="B2040" s="32" t="s">
        <v>113</v>
      </c>
      <c r="C2040" s="23" t="s">
        <v>114</v>
      </c>
      <c r="D2040" s="23" t="s">
        <v>32</v>
      </c>
      <c r="E2040" s="37">
        <v>45426.0</v>
      </c>
      <c r="F2040" s="25">
        <v>0.2986111111111111</v>
      </c>
      <c r="G2040" s="25">
        <v>0.6555555555555556</v>
      </c>
      <c r="H2040" s="27">
        <f t="shared" si="2"/>
        <v>0.3569444444</v>
      </c>
      <c r="I2040" s="28">
        <v>4.0</v>
      </c>
      <c r="J2040" s="29" t="s">
        <v>1005</v>
      </c>
      <c r="K2040" s="30" t="s">
        <v>23</v>
      </c>
      <c r="L2040" s="31" t="str">
        <f>IFERROR(__xludf.DUMMYFUNCTION("IF(OR(E2040="""",K2040=""""),"""",IFERROR(IF(K2040="""","""",query('tbl user'!$A$2:$D10975,""SELECT A WHERE D = '""&amp;K2040&amp;""'"")),""USER TIDAK DIKETAHUI""))"),"#REF!")</f>
        <v>#REF!</v>
      </c>
    </row>
    <row r="2041">
      <c r="A2041" s="21">
        <f t="shared" si="1"/>
        <v>0</v>
      </c>
      <c r="B2041" s="32" t="s">
        <v>125</v>
      </c>
      <c r="C2041" s="23" t="s">
        <v>126</v>
      </c>
      <c r="D2041" s="23" t="s">
        <v>32</v>
      </c>
      <c r="E2041" s="37">
        <v>45426.0</v>
      </c>
      <c r="F2041" s="25">
        <v>0.32430555555555557</v>
      </c>
      <c r="G2041" s="25">
        <v>0.6715277777777777</v>
      </c>
      <c r="H2041" s="27">
        <f t="shared" si="2"/>
        <v>0.3472222222</v>
      </c>
      <c r="I2041" s="28">
        <v>4.0</v>
      </c>
      <c r="J2041" s="29" t="s">
        <v>1006</v>
      </c>
      <c r="K2041" s="30" t="s">
        <v>23</v>
      </c>
      <c r="L2041" s="31" t="str">
        <f>IFERROR(__xludf.DUMMYFUNCTION("IF(OR(E2041="""",K2041=""""),"""",IFERROR(IF(K2041="""","""",query('tbl user'!$A$2:$D10975,""SELECT A WHERE D = '""&amp;K2041&amp;""'"")),""USER TIDAK DIKETAHUI""))"),"#REF!")</f>
        <v>#REF!</v>
      </c>
    </row>
    <row r="2042">
      <c r="A2042" s="21">
        <f t="shared" si="1"/>
        <v>0</v>
      </c>
      <c r="B2042" s="32" t="s">
        <v>277</v>
      </c>
      <c r="C2042" s="23" t="s">
        <v>278</v>
      </c>
      <c r="D2042" s="23" t="s">
        <v>32</v>
      </c>
      <c r="E2042" s="37">
        <v>45426.0</v>
      </c>
      <c r="F2042" s="25">
        <v>0.32083333333333336</v>
      </c>
      <c r="G2042" s="25">
        <v>0.7006944444444444</v>
      </c>
      <c r="H2042" s="27">
        <f t="shared" si="2"/>
        <v>0.3798611111</v>
      </c>
      <c r="I2042" s="28">
        <v>4.0</v>
      </c>
      <c r="J2042" s="29" t="s">
        <v>1007</v>
      </c>
      <c r="K2042" s="30" t="s">
        <v>23</v>
      </c>
      <c r="L2042" s="31" t="str">
        <f>IFERROR(__xludf.DUMMYFUNCTION("IF(OR(E2042="""",K2042=""""),"""",IFERROR(IF(K2042="""","""",query('tbl user'!$A$2:$D10975,""SELECT A WHERE D = '""&amp;K2042&amp;""'"")),""USER TIDAK DIKETAHUI""))"),"#REF!")</f>
        <v>#REF!</v>
      </c>
    </row>
    <row r="2043">
      <c r="A2043" s="21">
        <f t="shared" si="1"/>
        <v>0</v>
      </c>
      <c r="B2043" s="32" t="s">
        <v>146</v>
      </c>
      <c r="C2043" s="23" t="s">
        <v>147</v>
      </c>
      <c r="D2043" s="23" t="s">
        <v>32</v>
      </c>
      <c r="E2043" s="37">
        <v>45426.0</v>
      </c>
      <c r="F2043" s="25">
        <v>0.27361111111111114</v>
      </c>
      <c r="G2043" s="25">
        <v>0.6583333333333333</v>
      </c>
      <c r="H2043" s="27">
        <f t="shared" si="2"/>
        <v>0.3847222222</v>
      </c>
      <c r="I2043" s="28">
        <v>4.0</v>
      </c>
      <c r="J2043" s="29" t="s">
        <v>55</v>
      </c>
      <c r="K2043" s="30" t="s">
        <v>23</v>
      </c>
      <c r="L2043" s="31" t="str">
        <f>IFERROR(__xludf.DUMMYFUNCTION("IF(OR(E2043="""",K2043=""""),"""",IFERROR(IF(K2043="""","""",query('tbl user'!$A$2:$D10975,""SELECT A WHERE D = '""&amp;K2043&amp;""'"")),""USER TIDAK DIKETAHUI""))"),"#REF!")</f>
        <v>#REF!</v>
      </c>
    </row>
    <row r="2044">
      <c r="A2044" s="21">
        <f t="shared" si="1"/>
        <v>0</v>
      </c>
      <c r="B2044" s="32" t="s">
        <v>78</v>
      </c>
      <c r="C2044" s="23" t="s">
        <v>79</v>
      </c>
      <c r="D2044" s="23" t="s">
        <v>32</v>
      </c>
      <c r="E2044" s="37">
        <v>45426.0</v>
      </c>
      <c r="F2044" s="25">
        <v>0.27152777777777776</v>
      </c>
      <c r="G2044" s="25">
        <v>0.7076388888888889</v>
      </c>
      <c r="H2044" s="27">
        <f t="shared" si="2"/>
        <v>0.4361111111</v>
      </c>
      <c r="I2044" s="28">
        <v>5.0</v>
      </c>
      <c r="J2044" s="29" t="s">
        <v>55</v>
      </c>
      <c r="K2044" s="30" t="s">
        <v>23</v>
      </c>
      <c r="L2044" s="31" t="str">
        <f>IFERROR(__xludf.DUMMYFUNCTION("IF(OR(E2044="""",K2044=""""),"""",IFERROR(IF(K2044="""","""",query('tbl user'!$A$2:$D10975,""SELECT A WHERE D = '""&amp;K2044&amp;""'"")),""USER TIDAK DIKETAHUI""))"),"#REF!")</f>
        <v>#REF!</v>
      </c>
    </row>
    <row r="2045">
      <c r="A2045" s="21">
        <f t="shared" si="1"/>
        <v>0</v>
      </c>
      <c r="B2045" s="32" t="s">
        <v>144</v>
      </c>
      <c r="C2045" s="23" t="s">
        <v>145</v>
      </c>
      <c r="D2045" s="23" t="s">
        <v>32</v>
      </c>
      <c r="E2045" s="37">
        <v>45426.0</v>
      </c>
      <c r="F2045" s="25">
        <v>0.26180555555555557</v>
      </c>
      <c r="G2045" s="25">
        <v>0.7229166666666667</v>
      </c>
      <c r="H2045" s="27">
        <f t="shared" si="2"/>
        <v>0.4611111111</v>
      </c>
      <c r="I2045" s="28">
        <v>5.0</v>
      </c>
      <c r="J2045" s="29" t="s">
        <v>55</v>
      </c>
      <c r="K2045" s="30" t="s">
        <v>23</v>
      </c>
      <c r="L2045" s="31" t="str">
        <f>IFERROR(__xludf.DUMMYFUNCTION("IF(OR(E2045="""",K2045=""""),"""",IFERROR(IF(K2045="""","""",query('tbl user'!$A$2:$D10975,""SELECT A WHERE D = '""&amp;K2045&amp;""'"")),""USER TIDAK DIKETAHUI""))"),"#REF!")</f>
        <v>#REF!</v>
      </c>
    </row>
    <row r="2046">
      <c r="A2046" s="21">
        <f t="shared" si="1"/>
        <v>0</v>
      </c>
      <c r="B2046" s="32" t="s">
        <v>151</v>
      </c>
      <c r="C2046" s="23" t="s">
        <v>152</v>
      </c>
      <c r="D2046" s="23" t="s">
        <v>32</v>
      </c>
      <c r="E2046" s="37">
        <v>45426.0</v>
      </c>
      <c r="F2046" s="25">
        <v>0.26458333333333334</v>
      </c>
      <c r="G2046" s="25">
        <v>0.7076388888888889</v>
      </c>
      <c r="H2046" s="27">
        <f t="shared" si="2"/>
        <v>0.4430555556</v>
      </c>
      <c r="I2046" s="28">
        <v>5.0</v>
      </c>
      <c r="J2046" s="29" t="s">
        <v>55</v>
      </c>
      <c r="K2046" s="30" t="s">
        <v>23</v>
      </c>
      <c r="L2046" s="31" t="str">
        <f>IFERROR(__xludf.DUMMYFUNCTION("IF(OR(E2046="""",K2046=""""),"""",IFERROR(IF(K2046="""","""",query('tbl user'!$A$2:$D10975,""SELECT A WHERE D = '""&amp;K2046&amp;""'"")),""USER TIDAK DIKETAHUI""))"),"#REF!")</f>
        <v>#REF!</v>
      </c>
    </row>
    <row r="2047">
      <c r="A2047" s="21">
        <f t="shared" si="1"/>
        <v>0</v>
      </c>
      <c r="B2047" s="32" t="s">
        <v>250</v>
      </c>
      <c r="C2047" s="23" t="s">
        <v>315</v>
      </c>
      <c r="D2047" s="23" t="s">
        <v>32</v>
      </c>
      <c r="E2047" s="37">
        <v>45426.0</v>
      </c>
      <c r="F2047" s="25">
        <v>0.21319444444444444</v>
      </c>
      <c r="G2047" s="25">
        <v>0.7326388888888888</v>
      </c>
      <c r="H2047" s="27">
        <f t="shared" si="2"/>
        <v>0.5194444444</v>
      </c>
      <c r="I2047" s="28">
        <v>6.0</v>
      </c>
      <c r="J2047" s="29" t="s">
        <v>55</v>
      </c>
      <c r="K2047" s="30" t="s">
        <v>23</v>
      </c>
      <c r="L2047" s="31" t="str">
        <f>IFERROR(__xludf.DUMMYFUNCTION("IF(OR(E2047="""",K2047=""""),"""",IFERROR(IF(K2047="""","""",query('tbl user'!$A$2:$D10975,""SELECT A WHERE D = '""&amp;K2047&amp;""'"")),""USER TIDAK DIKETAHUI""))"),"#REF!")</f>
        <v>#REF!</v>
      </c>
    </row>
    <row r="2048">
      <c r="A2048" s="21">
        <f t="shared" si="1"/>
        <v>0</v>
      </c>
      <c r="B2048" s="32" t="s">
        <v>92</v>
      </c>
      <c r="C2048" s="23" t="s">
        <v>93</v>
      </c>
      <c r="D2048" s="23" t="s">
        <v>58</v>
      </c>
      <c r="E2048" s="37">
        <v>45427.0</v>
      </c>
      <c r="F2048" s="25">
        <v>0.2798611111111111</v>
      </c>
      <c r="G2048" s="25">
        <v>0.4444444444444444</v>
      </c>
      <c r="H2048" s="27">
        <f t="shared" si="2"/>
        <v>0.1645833333</v>
      </c>
      <c r="I2048" s="28">
        <v>1.0</v>
      </c>
      <c r="J2048" s="29" t="s">
        <v>1008</v>
      </c>
      <c r="K2048" s="30" t="s">
        <v>23</v>
      </c>
      <c r="L2048" s="31" t="str">
        <f>IFERROR(__xludf.DUMMYFUNCTION("IF(OR(E2048="""",K2048=""""),"""",IFERROR(IF(K2048="""","""",query('tbl user'!$A$2:$D10975,""SELECT A WHERE D = '""&amp;K2048&amp;""'"")),""USER TIDAK DIKETAHUI""))"),"#REF!")</f>
        <v>#REF!</v>
      </c>
    </row>
    <row r="2049">
      <c r="A2049" s="21">
        <f t="shared" si="1"/>
        <v>0</v>
      </c>
      <c r="B2049" s="32" t="s">
        <v>216</v>
      </c>
      <c r="C2049" s="23" t="s">
        <v>198</v>
      </c>
      <c r="D2049" s="23" t="s">
        <v>58</v>
      </c>
      <c r="E2049" s="37">
        <v>45427.0</v>
      </c>
      <c r="F2049" s="25">
        <v>0.2708333333333333</v>
      </c>
      <c r="G2049" s="25">
        <v>0.6395833333333333</v>
      </c>
      <c r="H2049" s="27">
        <f t="shared" si="2"/>
        <v>0.36875</v>
      </c>
      <c r="I2049" s="28">
        <v>2.0</v>
      </c>
      <c r="J2049" s="29" t="s">
        <v>69</v>
      </c>
      <c r="K2049" s="30" t="s">
        <v>23</v>
      </c>
      <c r="L2049" s="31" t="str">
        <f>IFERROR(__xludf.DUMMYFUNCTION("IF(OR(E2049="""",K2049=""""),"""",IFERROR(IF(K2049="""","""",query('tbl user'!$A$2:$D10975,""SELECT A WHERE D = '""&amp;K2049&amp;""'"")),""USER TIDAK DIKETAHUI""))"),"#REF!")</f>
        <v>#REF!</v>
      </c>
    </row>
    <row r="2050">
      <c r="A2050" s="21">
        <f t="shared" si="1"/>
        <v>0</v>
      </c>
      <c r="B2050" s="32" t="s">
        <v>220</v>
      </c>
      <c r="C2050" s="23" t="s">
        <v>211</v>
      </c>
      <c r="D2050" s="23" t="s">
        <v>58</v>
      </c>
      <c r="E2050" s="37">
        <v>45427.0</v>
      </c>
      <c r="F2050" s="25">
        <v>0.2625</v>
      </c>
      <c r="G2050" s="25">
        <v>0.6284722222222222</v>
      </c>
      <c r="H2050" s="27">
        <f t="shared" si="2"/>
        <v>0.3659722222</v>
      </c>
      <c r="I2050" s="28">
        <v>3.0</v>
      </c>
      <c r="J2050" s="29" t="s">
        <v>1009</v>
      </c>
      <c r="K2050" s="30" t="s">
        <v>23</v>
      </c>
      <c r="L2050" s="31" t="str">
        <f>IFERROR(__xludf.DUMMYFUNCTION("IF(OR(E2050="""",K2050=""""),"""",IFERROR(IF(K2050="""","""",query('tbl user'!$A$2:$D10975,""SELECT A WHERE D = '""&amp;K2050&amp;""'"")),""USER TIDAK DIKETAHUI""))"),"#REF!")</f>
        <v>#REF!</v>
      </c>
    </row>
    <row r="2051">
      <c r="A2051" s="21">
        <f t="shared" si="1"/>
        <v>0</v>
      </c>
      <c r="B2051" s="32" t="s">
        <v>214</v>
      </c>
      <c r="C2051" s="23" t="s">
        <v>170</v>
      </c>
      <c r="D2051" s="23" t="s">
        <v>58</v>
      </c>
      <c r="E2051" s="37">
        <v>45427.0</v>
      </c>
      <c r="F2051" s="25">
        <v>0.3541666666666667</v>
      </c>
      <c r="G2051" s="25">
        <v>0.7111111111111111</v>
      </c>
      <c r="H2051" s="27">
        <f t="shared" si="2"/>
        <v>0.3569444444</v>
      </c>
      <c r="I2051" s="28">
        <v>3.0</v>
      </c>
      <c r="J2051" s="29" t="s">
        <v>1010</v>
      </c>
      <c r="K2051" s="30" t="s">
        <v>23</v>
      </c>
      <c r="L2051" s="31" t="str">
        <f>IFERROR(__xludf.DUMMYFUNCTION("IF(OR(E2051="""",K2051=""""),"""",IFERROR(IF(K2051="""","""",query('tbl user'!$A$2:$D10975,""SELECT A WHERE D = '""&amp;K2051&amp;""'"")),""USER TIDAK DIKETAHUI""))"),"#REF!")</f>
        <v>#REF!</v>
      </c>
    </row>
    <row r="2052">
      <c r="A2052" s="21">
        <f t="shared" si="1"/>
        <v>0</v>
      </c>
      <c r="B2052" s="32" t="s">
        <v>215</v>
      </c>
      <c r="C2052" s="23" t="s">
        <v>176</v>
      </c>
      <c r="D2052" s="23" t="s">
        <v>58</v>
      </c>
      <c r="E2052" s="37">
        <v>45427.0</v>
      </c>
      <c r="F2052" s="25">
        <v>0.2638888888888889</v>
      </c>
      <c r="G2052" s="25">
        <v>0.6673611111111111</v>
      </c>
      <c r="H2052" s="27">
        <f t="shared" si="2"/>
        <v>0.4034722222</v>
      </c>
      <c r="I2052" s="28">
        <v>3.0</v>
      </c>
      <c r="J2052" s="29" t="s">
        <v>618</v>
      </c>
      <c r="K2052" s="30" t="s">
        <v>23</v>
      </c>
      <c r="L2052" s="31" t="str">
        <f>IFERROR(__xludf.DUMMYFUNCTION("IF(OR(E2052="""",K2052=""""),"""",IFERROR(IF(K2052="""","""",query('tbl user'!$A$2:$D10975,""SELECT A WHERE D = '""&amp;K2052&amp;""'"")),""USER TIDAK DIKETAHUI""))"),"#REF!")</f>
        <v>#REF!</v>
      </c>
    </row>
    <row r="2053">
      <c r="A2053" s="21">
        <f t="shared" si="1"/>
        <v>0</v>
      </c>
      <c r="B2053" s="32" t="s">
        <v>56</v>
      </c>
      <c r="C2053" s="23" t="s">
        <v>57</v>
      </c>
      <c r="D2053" s="23" t="s">
        <v>58</v>
      </c>
      <c r="E2053" s="37">
        <v>45427.0</v>
      </c>
      <c r="F2053" s="25">
        <v>0.26875</v>
      </c>
      <c r="G2053" s="25">
        <v>0.6527777777777778</v>
      </c>
      <c r="H2053" s="27">
        <f t="shared" si="2"/>
        <v>0.3840277778</v>
      </c>
      <c r="I2053" s="28">
        <v>3.0</v>
      </c>
      <c r="J2053" s="29" t="s">
        <v>69</v>
      </c>
      <c r="K2053" s="30" t="s">
        <v>23</v>
      </c>
      <c r="L2053" s="31" t="str">
        <f>IFERROR(__xludf.DUMMYFUNCTION("IF(OR(E2053="""",K2053=""""),"""",IFERROR(IF(K2053="""","""",query('tbl user'!$A$2:$D10975,""SELECT A WHERE D = '""&amp;K2053&amp;""'"")),""USER TIDAK DIKETAHUI""))"),"#REF!")</f>
        <v>#REF!</v>
      </c>
    </row>
    <row r="2054">
      <c r="A2054" s="21">
        <f t="shared" si="1"/>
        <v>0</v>
      </c>
      <c r="B2054" s="32" t="s">
        <v>178</v>
      </c>
      <c r="C2054" s="23" t="s">
        <v>82</v>
      </c>
      <c r="D2054" s="23" t="s">
        <v>58</v>
      </c>
      <c r="E2054" s="37">
        <v>45427.0</v>
      </c>
      <c r="F2054" s="25">
        <v>0.2881944444444444</v>
      </c>
      <c r="G2054" s="25">
        <v>0.6486111111111111</v>
      </c>
      <c r="H2054" s="27">
        <f t="shared" si="2"/>
        <v>0.3604166667</v>
      </c>
      <c r="I2054" s="28">
        <v>3.0</v>
      </c>
      <c r="J2054" s="29" t="s">
        <v>1011</v>
      </c>
      <c r="K2054" s="30" t="s">
        <v>23</v>
      </c>
      <c r="L2054" s="31" t="str">
        <f>IFERROR(__xludf.DUMMYFUNCTION("IF(OR(E2054="""",K2054=""""),"""",IFERROR(IF(K2054="""","""",query('tbl user'!$A$2:$D10975,""SELECT A WHERE D = '""&amp;K2054&amp;""'"")),""USER TIDAK DIKETAHUI""))"),"#REF!")</f>
        <v>#REF!</v>
      </c>
    </row>
    <row r="2055">
      <c r="A2055" s="21">
        <f t="shared" si="1"/>
        <v>0</v>
      </c>
      <c r="B2055" s="32" t="s">
        <v>187</v>
      </c>
      <c r="C2055" s="23" t="s">
        <v>188</v>
      </c>
      <c r="D2055" s="23" t="s">
        <v>58</v>
      </c>
      <c r="E2055" s="37">
        <v>45427.0</v>
      </c>
      <c r="F2055" s="25">
        <v>0.22916666666666666</v>
      </c>
      <c r="G2055" s="25">
        <v>0.6020833333333333</v>
      </c>
      <c r="H2055" s="27">
        <f t="shared" si="2"/>
        <v>0.3729166667</v>
      </c>
      <c r="I2055" s="28">
        <v>3.0</v>
      </c>
      <c r="J2055" s="29" t="s">
        <v>1012</v>
      </c>
      <c r="K2055" s="30" t="s">
        <v>23</v>
      </c>
      <c r="L2055" s="31" t="str">
        <f>IFERROR(__xludf.DUMMYFUNCTION("IF(OR(E2055="""",K2055=""""),"""",IFERROR(IF(K2055="""","""",query('tbl user'!$A$2:$D10975,""SELECT A WHERE D = '""&amp;K2055&amp;""'"")),""USER TIDAK DIKETAHUI""))"),"#REF!")</f>
        <v>#REF!</v>
      </c>
    </row>
    <row r="2056">
      <c r="A2056" s="21">
        <f t="shared" si="1"/>
        <v>0</v>
      </c>
      <c r="B2056" s="32" t="s">
        <v>189</v>
      </c>
      <c r="C2056" s="23" t="s">
        <v>190</v>
      </c>
      <c r="D2056" s="23" t="s">
        <v>58</v>
      </c>
      <c r="E2056" s="37">
        <v>45427.0</v>
      </c>
      <c r="F2056" s="25">
        <v>0.26875</v>
      </c>
      <c r="G2056" s="25">
        <v>0.6673611111111111</v>
      </c>
      <c r="H2056" s="27">
        <f t="shared" si="2"/>
        <v>0.3986111111</v>
      </c>
      <c r="I2056" s="28">
        <v>3.0</v>
      </c>
      <c r="J2056" s="29" t="s">
        <v>69</v>
      </c>
      <c r="K2056" s="30" t="s">
        <v>23</v>
      </c>
      <c r="L2056" s="31" t="str">
        <f>IFERROR(__xludf.DUMMYFUNCTION("IF(OR(E2056="""",K2056=""""),"""",IFERROR(IF(K2056="""","""",query('tbl user'!$A$2:$D10975,""SELECT A WHERE D = '""&amp;K2056&amp;""'"")),""USER TIDAK DIKETAHUI""))"),"#REF!")</f>
        <v>#REF!</v>
      </c>
    </row>
    <row r="2057">
      <c r="A2057" s="21">
        <f t="shared" si="1"/>
        <v>0</v>
      </c>
      <c r="B2057" s="32" t="s">
        <v>104</v>
      </c>
      <c r="C2057" s="23" t="s">
        <v>105</v>
      </c>
      <c r="D2057" s="23" t="s">
        <v>58</v>
      </c>
      <c r="E2057" s="37">
        <v>45427.0</v>
      </c>
      <c r="F2057" s="25">
        <v>0.23958333333333334</v>
      </c>
      <c r="G2057" s="25">
        <v>0.6270833333333333</v>
      </c>
      <c r="H2057" s="27">
        <f t="shared" si="2"/>
        <v>0.3875</v>
      </c>
      <c r="I2057" s="28">
        <v>3.0</v>
      </c>
      <c r="J2057" s="29" t="s">
        <v>69</v>
      </c>
      <c r="K2057" s="30" t="s">
        <v>23</v>
      </c>
      <c r="L2057" s="31" t="str">
        <f>IFERROR(__xludf.DUMMYFUNCTION("IF(OR(E2057="""",K2057=""""),"""",IFERROR(IF(K2057="""","""",query('tbl user'!$A$2:$D10975,""SELECT A WHERE D = '""&amp;K2057&amp;""'"")),""USER TIDAK DIKETAHUI""))"),"#REF!")</f>
        <v>#REF!</v>
      </c>
    </row>
    <row r="2058">
      <c r="A2058" s="21">
        <f t="shared" si="1"/>
        <v>0</v>
      </c>
      <c r="B2058" s="32" t="s">
        <v>297</v>
      </c>
      <c r="C2058" s="23" t="s">
        <v>348</v>
      </c>
      <c r="D2058" s="23" t="s">
        <v>58</v>
      </c>
      <c r="E2058" s="37">
        <v>45427.0</v>
      </c>
      <c r="F2058" s="25">
        <v>0.28402777777777777</v>
      </c>
      <c r="G2058" s="25">
        <v>0.6715277777777777</v>
      </c>
      <c r="H2058" s="27">
        <f t="shared" si="2"/>
        <v>0.3875</v>
      </c>
      <c r="I2058" s="28">
        <v>3.0</v>
      </c>
      <c r="J2058" s="29" t="s">
        <v>69</v>
      </c>
      <c r="K2058" s="30" t="s">
        <v>23</v>
      </c>
      <c r="L2058" s="31" t="str">
        <f>IFERROR(__xludf.DUMMYFUNCTION("IF(OR(E2058="""",K2058=""""),"""",IFERROR(IF(K2058="""","""",query('tbl user'!$A$2:$D10975,""SELECT A WHERE D = '""&amp;K2058&amp;""'"")),""USER TIDAK DIKETAHUI""))"),"#REF!")</f>
        <v>#REF!</v>
      </c>
    </row>
    <row r="2059">
      <c r="A2059" s="21">
        <f t="shared" si="1"/>
        <v>0</v>
      </c>
      <c r="B2059" s="32" t="s">
        <v>267</v>
      </c>
      <c r="C2059" s="23" t="s">
        <v>85</v>
      </c>
      <c r="D2059" s="23" t="s">
        <v>58</v>
      </c>
      <c r="E2059" s="37">
        <v>45427.0</v>
      </c>
      <c r="F2059" s="25">
        <v>0.21041666666666667</v>
      </c>
      <c r="G2059" s="25">
        <v>0.6680555555555555</v>
      </c>
      <c r="H2059" s="27">
        <f t="shared" si="2"/>
        <v>0.4576388889</v>
      </c>
      <c r="I2059" s="28">
        <v>3.0</v>
      </c>
      <c r="J2059" s="29" t="s">
        <v>69</v>
      </c>
      <c r="K2059" s="30" t="s">
        <v>23</v>
      </c>
      <c r="L2059" s="31" t="str">
        <f>IFERROR(__xludf.DUMMYFUNCTION("IF(OR(E2059="""",K2059=""""),"""",IFERROR(IF(K2059="""","""",query('tbl user'!$A$2:$D10975,""SELECT A WHERE D = '""&amp;K2059&amp;""'"")),""USER TIDAK DIKETAHUI""))"),"#REF!")</f>
        <v>#REF!</v>
      </c>
    </row>
    <row r="2060">
      <c r="A2060" s="21">
        <f t="shared" si="1"/>
        <v>0</v>
      </c>
      <c r="B2060" s="32" t="s">
        <v>180</v>
      </c>
      <c r="C2060" s="23" t="s">
        <v>181</v>
      </c>
      <c r="D2060" s="23" t="s">
        <v>58</v>
      </c>
      <c r="E2060" s="37">
        <v>45427.0</v>
      </c>
      <c r="F2060" s="25">
        <v>0.24305555555555555</v>
      </c>
      <c r="G2060" s="25">
        <v>0.6854166666666667</v>
      </c>
      <c r="H2060" s="27">
        <f t="shared" si="2"/>
        <v>0.4423611111</v>
      </c>
      <c r="I2060" s="28">
        <v>4.0</v>
      </c>
      <c r="J2060" s="29" t="s">
        <v>55</v>
      </c>
      <c r="K2060" s="30" t="s">
        <v>23</v>
      </c>
      <c r="L2060" s="31" t="str">
        <f>IFERROR(__xludf.DUMMYFUNCTION("IF(OR(E2060="""",K2060=""""),"""",IFERROR(IF(K2060="""","""",query('tbl user'!$A$2:$D10975,""SELECT A WHERE D = '""&amp;K2060&amp;""'"")),""USER TIDAK DIKETAHUI""))"),"#REF!")</f>
        <v>#REF!</v>
      </c>
    </row>
    <row r="2061">
      <c r="A2061" s="21">
        <f t="shared" si="1"/>
        <v>0</v>
      </c>
      <c r="B2061" s="32" t="s">
        <v>182</v>
      </c>
      <c r="C2061" s="23" t="s">
        <v>183</v>
      </c>
      <c r="D2061" s="23" t="s">
        <v>58</v>
      </c>
      <c r="E2061" s="37">
        <v>45427.0</v>
      </c>
      <c r="F2061" s="25">
        <v>0.20902777777777778</v>
      </c>
      <c r="G2061" s="25">
        <v>0.6972222222222222</v>
      </c>
      <c r="H2061" s="27">
        <f t="shared" si="2"/>
        <v>0.4881944444</v>
      </c>
      <c r="I2061" s="28">
        <v>4.0</v>
      </c>
      <c r="J2061" s="29" t="s">
        <v>55</v>
      </c>
      <c r="K2061" s="30" t="s">
        <v>23</v>
      </c>
      <c r="L2061" s="31" t="str">
        <f>IFERROR(__xludf.DUMMYFUNCTION("IF(OR(E2061="""",K2061=""""),"""",IFERROR(IF(K2061="""","""",query('tbl user'!$A$2:$D10975,""SELECT A WHERE D = '""&amp;K2061&amp;""'"")),""USER TIDAK DIKETAHUI""))"),"#REF!")</f>
        <v>#REF!</v>
      </c>
    </row>
    <row r="2062">
      <c r="A2062" s="21">
        <f t="shared" si="1"/>
        <v>0</v>
      </c>
      <c r="B2062" s="32" t="s">
        <v>191</v>
      </c>
      <c r="C2062" s="23" t="s">
        <v>192</v>
      </c>
      <c r="D2062" s="23" t="s">
        <v>58</v>
      </c>
      <c r="E2062" s="37">
        <v>45427.0</v>
      </c>
      <c r="F2062" s="25">
        <v>0.2569444444444444</v>
      </c>
      <c r="G2062" s="25">
        <v>0.7152777777777778</v>
      </c>
      <c r="H2062" s="27">
        <f t="shared" si="2"/>
        <v>0.4583333333</v>
      </c>
      <c r="I2062" s="28">
        <v>4.0</v>
      </c>
      <c r="J2062" s="29" t="s">
        <v>55</v>
      </c>
      <c r="K2062" s="30" t="s">
        <v>23</v>
      </c>
      <c r="L2062" s="31" t="str">
        <f>IFERROR(__xludf.DUMMYFUNCTION("IF(OR(E2062="""",K2062=""""),"""",IFERROR(IF(K2062="""","""",query('tbl user'!$A$2:$D10975,""SELECT A WHERE D = '""&amp;K2062&amp;""'"")),""USER TIDAK DIKETAHUI""))"),"#REF!")</f>
        <v>#REF!</v>
      </c>
    </row>
    <row r="2063">
      <c r="A2063" s="21">
        <f t="shared" si="1"/>
        <v>0</v>
      </c>
      <c r="B2063" s="32" t="s">
        <v>194</v>
      </c>
      <c r="C2063" s="23" t="s">
        <v>195</v>
      </c>
      <c r="D2063" s="23" t="s">
        <v>58</v>
      </c>
      <c r="E2063" s="37">
        <v>45427.0</v>
      </c>
      <c r="F2063" s="25">
        <v>0.24027777777777778</v>
      </c>
      <c r="G2063" s="25">
        <v>0.6770833333333334</v>
      </c>
      <c r="H2063" s="27">
        <f t="shared" si="2"/>
        <v>0.4368055556</v>
      </c>
      <c r="I2063" s="28">
        <v>4.0</v>
      </c>
      <c r="J2063" s="29" t="s">
        <v>55</v>
      </c>
      <c r="K2063" s="30" t="s">
        <v>23</v>
      </c>
      <c r="L2063" s="31" t="str">
        <f>IFERROR(__xludf.DUMMYFUNCTION("IF(OR(E2063="""",K2063=""""),"""",IFERROR(IF(K2063="""","""",query('tbl user'!$A$2:$D10975,""SELECT A WHERE D = '""&amp;K2063&amp;""'"")),""USER TIDAK DIKETAHUI""))"),"#REF!")</f>
        <v>#REF!</v>
      </c>
    </row>
    <row r="2064">
      <c r="A2064" s="21">
        <f t="shared" si="1"/>
        <v>0</v>
      </c>
      <c r="B2064" s="32" t="s">
        <v>200</v>
      </c>
      <c r="C2064" s="23" t="s">
        <v>201</v>
      </c>
      <c r="D2064" s="23" t="s">
        <v>58</v>
      </c>
      <c r="E2064" s="37">
        <v>45427.0</v>
      </c>
      <c r="F2064" s="25">
        <v>0.2111111111111111</v>
      </c>
      <c r="G2064" s="25">
        <v>0.7263888888888889</v>
      </c>
      <c r="H2064" s="27">
        <f t="shared" si="2"/>
        <v>0.5152777778</v>
      </c>
      <c r="I2064" s="28">
        <v>4.0</v>
      </c>
      <c r="J2064" s="29" t="s">
        <v>55</v>
      </c>
      <c r="K2064" s="30" t="s">
        <v>23</v>
      </c>
      <c r="L2064" s="31" t="str">
        <f>IFERROR(__xludf.DUMMYFUNCTION("IF(OR(E2064="""",K2064=""""),"""",IFERROR(IF(K2064="""","""",query('tbl user'!$A$2:$D10975,""SELECT A WHERE D = '""&amp;K2064&amp;""'"")),""USER TIDAK DIKETAHUI""))"),"#REF!")</f>
        <v>#REF!</v>
      </c>
    </row>
    <row r="2065">
      <c r="A2065" s="21">
        <f t="shared" si="1"/>
        <v>0</v>
      </c>
      <c r="B2065" s="32" t="s">
        <v>202</v>
      </c>
      <c r="C2065" s="23" t="s">
        <v>203</v>
      </c>
      <c r="D2065" s="23" t="s">
        <v>58</v>
      </c>
      <c r="E2065" s="37">
        <v>45427.0</v>
      </c>
      <c r="F2065" s="25">
        <v>0.22916666666666666</v>
      </c>
      <c r="G2065" s="25">
        <v>0.7090277777777778</v>
      </c>
      <c r="H2065" s="27">
        <f t="shared" si="2"/>
        <v>0.4798611111</v>
      </c>
      <c r="I2065" s="28">
        <v>4.0</v>
      </c>
      <c r="J2065" s="29" t="s">
        <v>55</v>
      </c>
      <c r="K2065" s="30" t="s">
        <v>23</v>
      </c>
      <c r="L2065" s="31" t="str">
        <f>IFERROR(__xludf.DUMMYFUNCTION("IF(OR(E2065="""",K2065=""""),"""",IFERROR(IF(K2065="""","""",query('tbl user'!$A$2:$D10975,""SELECT A WHERE D = '""&amp;K2065&amp;""'"")),""USER TIDAK DIKETAHUI""))"),"#REF!")</f>
        <v>#REF!</v>
      </c>
    </row>
    <row r="2066">
      <c r="A2066" s="21">
        <f t="shared" si="1"/>
        <v>0</v>
      </c>
      <c r="B2066" s="32" t="s">
        <v>205</v>
      </c>
      <c r="C2066" s="23" t="s">
        <v>206</v>
      </c>
      <c r="D2066" s="23" t="s">
        <v>58</v>
      </c>
      <c r="E2066" s="37">
        <v>45427.0</v>
      </c>
      <c r="F2066" s="25">
        <v>0.28402777777777777</v>
      </c>
      <c r="G2066" s="25">
        <v>0.7395833333333334</v>
      </c>
      <c r="H2066" s="27">
        <f t="shared" si="2"/>
        <v>0.4555555556</v>
      </c>
      <c r="I2066" s="28">
        <v>4.0</v>
      </c>
      <c r="J2066" s="29" t="s">
        <v>55</v>
      </c>
      <c r="K2066" s="30" t="s">
        <v>23</v>
      </c>
      <c r="L2066" s="31" t="str">
        <f>IFERROR(__xludf.DUMMYFUNCTION("IF(OR(E2066="""",K2066=""""),"""",IFERROR(IF(K2066="""","""",query('tbl user'!$A$2:$D10975,""SELECT A WHERE D = '""&amp;K2066&amp;""'"")),""USER TIDAK DIKETAHUI""))"),"#REF!")</f>
        <v>#REF!</v>
      </c>
    </row>
    <row r="2067">
      <c r="A2067" s="21">
        <f t="shared" si="1"/>
        <v>0</v>
      </c>
      <c r="B2067" s="32" t="s">
        <v>224</v>
      </c>
      <c r="C2067" s="23" t="s">
        <v>208</v>
      </c>
      <c r="D2067" s="23" t="s">
        <v>58</v>
      </c>
      <c r="E2067" s="37">
        <v>45427.0</v>
      </c>
      <c r="F2067" s="25">
        <v>0.2590277777777778</v>
      </c>
      <c r="G2067" s="25">
        <v>0.7402777777777778</v>
      </c>
      <c r="H2067" s="27">
        <f t="shared" si="2"/>
        <v>0.48125</v>
      </c>
      <c r="I2067" s="28">
        <v>4.0</v>
      </c>
      <c r="J2067" s="29" t="s">
        <v>55</v>
      </c>
      <c r="K2067" s="30" t="s">
        <v>23</v>
      </c>
      <c r="L2067" s="31" t="str">
        <f>IFERROR(__xludf.DUMMYFUNCTION("IF(OR(E2067="""",K2067=""""),"""",IFERROR(IF(K2067="""","""",query('tbl user'!$A$2:$D10975,""SELECT A WHERE D = '""&amp;K2067&amp;""'"")),""USER TIDAK DIKETAHUI""))"),"#REF!")</f>
        <v>#REF!</v>
      </c>
    </row>
    <row r="2068">
      <c r="A2068" s="21">
        <f t="shared" si="1"/>
        <v>0</v>
      </c>
      <c r="B2068" s="32" t="s">
        <v>286</v>
      </c>
      <c r="C2068" s="23" t="s">
        <v>287</v>
      </c>
      <c r="D2068" s="23" t="s">
        <v>21</v>
      </c>
      <c r="E2068" s="37">
        <v>45427.0</v>
      </c>
      <c r="F2068" s="25">
        <v>0.29444444444444445</v>
      </c>
      <c r="G2068" s="25">
        <v>0.4354166666666667</v>
      </c>
      <c r="H2068" s="27">
        <f t="shared" si="2"/>
        <v>0.1409722222</v>
      </c>
      <c r="I2068" s="28">
        <v>1.0</v>
      </c>
      <c r="J2068" s="29" t="s">
        <v>1013</v>
      </c>
      <c r="K2068" s="30" t="s">
        <v>23</v>
      </c>
      <c r="L2068" s="31" t="str">
        <f>IFERROR(__xludf.DUMMYFUNCTION("IF(OR(E2068="""",K2068=""""),"""",IFERROR(IF(K2068="""","""",query('tbl user'!$A$2:$D10975,""SELECT A WHERE D = '""&amp;K2068&amp;""'"")),""USER TIDAK DIKETAHUI""))"),"#REF!")</f>
        <v>#REF!</v>
      </c>
    </row>
    <row r="2069">
      <c r="A2069" s="21">
        <f t="shared" si="1"/>
        <v>0</v>
      </c>
      <c r="B2069" s="32" t="s">
        <v>281</v>
      </c>
      <c r="C2069" s="23" t="s">
        <v>282</v>
      </c>
      <c r="D2069" s="23" t="s">
        <v>21</v>
      </c>
      <c r="E2069" s="37">
        <v>45427.0</v>
      </c>
      <c r="F2069" s="25">
        <v>0.29583333333333334</v>
      </c>
      <c r="G2069" s="25">
        <v>0.68125</v>
      </c>
      <c r="H2069" s="27">
        <f t="shared" si="2"/>
        <v>0.3854166667</v>
      </c>
      <c r="I2069" s="28">
        <v>2.0</v>
      </c>
      <c r="J2069" s="29" t="s">
        <v>1014</v>
      </c>
      <c r="K2069" s="30" t="s">
        <v>23</v>
      </c>
      <c r="L2069" s="31" t="str">
        <f>IFERROR(__xludf.DUMMYFUNCTION("IF(OR(E2069="""",K2069=""""),"""",IFERROR(IF(K2069="""","""",query('tbl user'!$A$2:$D10975,""SELECT A WHERE D = '""&amp;K2069&amp;""'"")),""USER TIDAK DIKETAHUI""))"),"#REF!")</f>
        <v>#REF!</v>
      </c>
    </row>
    <row r="2070">
      <c r="A2070" s="21">
        <f t="shared" si="1"/>
        <v>0</v>
      </c>
      <c r="B2070" s="32" t="s">
        <v>37</v>
      </c>
      <c r="C2070" s="23" t="s">
        <v>38</v>
      </c>
      <c r="D2070" s="23" t="s">
        <v>21</v>
      </c>
      <c r="E2070" s="37">
        <v>45427.0</v>
      </c>
      <c r="F2070" s="25">
        <v>0.27569444444444446</v>
      </c>
      <c r="G2070" s="25">
        <v>0.6430555555555556</v>
      </c>
      <c r="H2070" s="27">
        <f t="shared" si="2"/>
        <v>0.3673611111</v>
      </c>
      <c r="I2070" s="28">
        <v>3.0</v>
      </c>
      <c r="J2070" s="29" t="s">
        <v>171</v>
      </c>
      <c r="K2070" s="30" t="s">
        <v>23</v>
      </c>
      <c r="L2070" s="31" t="str">
        <f>IFERROR(__xludf.DUMMYFUNCTION("IF(OR(E2070="""",K2070=""""),"""",IFERROR(IF(K2070="""","""",query('tbl user'!$A$2:$D10975,""SELECT A WHERE D = '""&amp;K2070&amp;""'"")),""USER TIDAK DIKETAHUI""))"),"#REF!")</f>
        <v>#REF!</v>
      </c>
    </row>
    <row r="2071">
      <c r="A2071" s="21">
        <f t="shared" si="1"/>
        <v>0</v>
      </c>
      <c r="B2071" s="32" t="s">
        <v>289</v>
      </c>
      <c r="C2071" s="23" t="s">
        <v>290</v>
      </c>
      <c r="D2071" s="23" t="s">
        <v>21</v>
      </c>
      <c r="E2071" s="37">
        <v>45427.0</v>
      </c>
      <c r="F2071" s="25">
        <v>0.2875</v>
      </c>
      <c r="G2071" s="25">
        <v>0.6736111111111112</v>
      </c>
      <c r="H2071" s="27">
        <f t="shared" si="2"/>
        <v>0.3861111111</v>
      </c>
      <c r="I2071" s="28">
        <v>3.0</v>
      </c>
      <c r="J2071" s="29" t="s">
        <v>171</v>
      </c>
      <c r="K2071" s="30" t="s">
        <v>23</v>
      </c>
      <c r="L2071" s="31" t="str">
        <f>IFERROR(__xludf.DUMMYFUNCTION("IF(OR(E2071="""",K2071=""""),"""",IFERROR(IF(K2071="""","""",query('tbl user'!$A$2:$D10975,""SELECT A WHERE D = '""&amp;K2071&amp;""'"")),""USER TIDAK DIKETAHUI""))"),"#REF!")</f>
        <v>#REF!</v>
      </c>
    </row>
    <row r="2072">
      <c r="A2072" s="21">
        <f t="shared" si="1"/>
        <v>0</v>
      </c>
      <c r="B2072" s="32" t="s">
        <v>51</v>
      </c>
      <c r="C2072" s="23" t="s">
        <v>27</v>
      </c>
      <c r="D2072" s="23" t="s">
        <v>21</v>
      </c>
      <c r="E2072" s="37">
        <v>45427.0</v>
      </c>
      <c r="F2072" s="25">
        <v>0.26180555555555557</v>
      </c>
      <c r="G2072" s="25">
        <v>0.6256944444444444</v>
      </c>
      <c r="H2072" s="27">
        <f t="shared" si="2"/>
        <v>0.3638888889</v>
      </c>
      <c r="I2072" s="28">
        <v>3.0</v>
      </c>
      <c r="J2072" s="29" t="s">
        <v>1015</v>
      </c>
      <c r="K2072" s="30" t="s">
        <v>23</v>
      </c>
      <c r="L2072" s="31" t="str">
        <f>IFERROR(__xludf.DUMMYFUNCTION("IF(OR(E2072="""",K2072=""""),"""",IFERROR(IF(K2072="""","""",query('tbl user'!$A$2:$D10975,""SELECT A WHERE D = '""&amp;K2072&amp;""'"")),""USER TIDAK DIKETAHUI""))"),"#REF!")</f>
        <v>#REF!</v>
      </c>
    </row>
    <row r="2073">
      <c r="A2073" s="21">
        <f t="shared" si="1"/>
        <v>0</v>
      </c>
      <c r="B2073" s="32" t="s">
        <v>284</v>
      </c>
      <c r="C2073" s="23" t="s">
        <v>285</v>
      </c>
      <c r="D2073" s="23" t="s">
        <v>21</v>
      </c>
      <c r="E2073" s="37">
        <v>45427.0</v>
      </c>
      <c r="F2073" s="25">
        <v>0.2875</v>
      </c>
      <c r="G2073" s="25">
        <v>0.6222222222222222</v>
      </c>
      <c r="H2073" s="27">
        <f t="shared" si="2"/>
        <v>0.3347222222</v>
      </c>
      <c r="I2073" s="28">
        <v>3.0</v>
      </c>
      <c r="J2073" s="29" t="s">
        <v>1016</v>
      </c>
      <c r="K2073" s="30" t="s">
        <v>23</v>
      </c>
      <c r="L2073" s="31" t="str">
        <f>IFERROR(__xludf.DUMMYFUNCTION("IF(OR(E2073="""",K2073=""""),"""",IFERROR(IF(K2073="""","""",query('tbl user'!$A$2:$D10975,""SELECT A WHERE D = '""&amp;K2073&amp;""'"")),""USER TIDAK DIKETAHUI""))"),"#REF!")</f>
        <v>#REF!</v>
      </c>
    </row>
    <row r="2074">
      <c r="A2074" s="21">
        <f t="shared" si="1"/>
        <v>0</v>
      </c>
      <c r="B2074" s="32" t="s">
        <v>175</v>
      </c>
      <c r="C2074" s="23" t="s">
        <v>336</v>
      </c>
      <c r="D2074" s="23" t="s">
        <v>21</v>
      </c>
      <c r="E2074" s="37">
        <v>45427.0</v>
      </c>
      <c r="F2074" s="25">
        <v>0.2986111111111111</v>
      </c>
      <c r="G2074" s="25">
        <v>0.4444444444444444</v>
      </c>
      <c r="H2074" s="27">
        <f t="shared" si="2"/>
        <v>0.1458333333</v>
      </c>
      <c r="I2074" s="28">
        <v>1.0</v>
      </c>
      <c r="J2074" s="29" t="s">
        <v>1017</v>
      </c>
      <c r="K2074" s="30" t="s">
        <v>23</v>
      </c>
      <c r="L2074" s="31" t="str">
        <f>IFERROR(__xludf.DUMMYFUNCTION("IF(OR(E2074="""",K2074=""""),"""",IFERROR(IF(K2074="""","""",query('tbl user'!$A$2:$D10975,""SELECT A WHERE D = '""&amp;K2074&amp;""'"")),""USER TIDAK DIKETAHUI""))"),"#REF!")</f>
        <v>#REF!</v>
      </c>
    </row>
    <row r="2075">
      <c r="A2075" s="21">
        <f t="shared" si="1"/>
        <v>0</v>
      </c>
      <c r="B2075" s="32" t="s">
        <v>716</v>
      </c>
      <c r="C2075" s="23" t="s">
        <v>316</v>
      </c>
      <c r="D2075" s="23" t="s">
        <v>21</v>
      </c>
      <c r="E2075" s="37">
        <v>45427.0</v>
      </c>
      <c r="F2075" s="25">
        <v>0.2638888888888889</v>
      </c>
      <c r="G2075" s="25">
        <v>0.4173611111111111</v>
      </c>
      <c r="H2075" s="27">
        <f t="shared" si="2"/>
        <v>0.1534722222</v>
      </c>
      <c r="I2075" s="28">
        <v>1.0</v>
      </c>
      <c r="J2075" s="29" t="s">
        <v>1018</v>
      </c>
      <c r="K2075" s="30" t="s">
        <v>23</v>
      </c>
      <c r="L2075" s="31" t="str">
        <f>IFERROR(__xludf.DUMMYFUNCTION("IF(OR(E2075="""",K2075=""""),"""",IFERROR(IF(K2075="""","""",query('tbl user'!$A$2:$D10975,""SELECT A WHERE D = '""&amp;K2075&amp;""'"")),""USER TIDAK DIKETAHUI""))"),"#REF!")</f>
        <v>#REF!</v>
      </c>
    </row>
    <row r="2076">
      <c r="A2076" s="21">
        <f t="shared" si="1"/>
        <v>0</v>
      </c>
      <c r="B2076" s="32" t="s">
        <v>53</v>
      </c>
      <c r="C2076" s="23" t="s">
        <v>54</v>
      </c>
      <c r="D2076" s="23" t="s">
        <v>21</v>
      </c>
      <c r="E2076" s="37">
        <v>45427.0</v>
      </c>
      <c r="F2076" s="25">
        <v>0.25069444444444444</v>
      </c>
      <c r="G2076" s="25">
        <v>0.4027777777777778</v>
      </c>
      <c r="H2076" s="27">
        <f t="shared" si="2"/>
        <v>0.1520833333</v>
      </c>
      <c r="I2076" s="28">
        <v>1.0</v>
      </c>
      <c r="J2076" s="29" t="s">
        <v>1019</v>
      </c>
      <c r="K2076" s="30" t="s">
        <v>23</v>
      </c>
      <c r="L2076" s="31" t="str">
        <f>IFERROR(__xludf.DUMMYFUNCTION("IF(OR(E2076="""",K2076=""""),"""",IFERROR(IF(K2076="""","""",query('tbl user'!$A$2:$D10975,""SELECT A WHERE D = '""&amp;K2076&amp;""'"")),""USER TIDAK DIKETAHUI""))"),"#REF!")</f>
        <v>#REF!</v>
      </c>
    </row>
    <row r="2077">
      <c r="A2077" s="21">
        <f t="shared" si="1"/>
        <v>0</v>
      </c>
      <c r="B2077" s="32" t="s">
        <v>131</v>
      </c>
      <c r="C2077" s="23" t="s">
        <v>339</v>
      </c>
      <c r="D2077" s="23" t="s">
        <v>21</v>
      </c>
      <c r="E2077" s="37">
        <v>45427.0</v>
      </c>
      <c r="F2077" s="25">
        <v>0.2777777777777778</v>
      </c>
      <c r="G2077" s="25">
        <v>0.4791666666666667</v>
      </c>
      <c r="H2077" s="27">
        <f t="shared" si="2"/>
        <v>0.2013888889</v>
      </c>
      <c r="I2077" s="28">
        <v>2.0</v>
      </c>
      <c r="J2077" s="29" t="s">
        <v>1020</v>
      </c>
      <c r="K2077" s="30" t="s">
        <v>23</v>
      </c>
      <c r="L2077" s="31" t="str">
        <f>IFERROR(__xludf.DUMMYFUNCTION("IF(OR(E2077="""",K2077=""""),"""",IFERROR(IF(K2077="""","""",query('tbl user'!$A$2:$D10975,""SELECT A WHERE D = '""&amp;K2077&amp;""'"")),""USER TIDAK DIKETAHUI""))"),"#REF!")</f>
        <v>#REF!</v>
      </c>
    </row>
    <row r="2078">
      <c r="A2078" s="21">
        <f t="shared" si="1"/>
        <v>0</v>
      </c>
      <c r="B2078" s="32" t="s">
        <v>328</v>
      </c>
      <c r="C2078" s="23" t="s">
        <v>329</v>
      </c>
      <c r="D2078" s="23" t="s">
        <v>21</v>
      </c>
      <c r="E2078" s="37">
        <v>45427.0</v>
      </c>
      <c r="F2078" s="25">
        <v>0.2875</v>
      </c>
      <c r="G2078" s="25">
        <v>0.4791666666666667</v>
      </c>
      <c r="H2078" s="27">
        <f t="shared" si="2"/>
        <v>0.1916666667</v>
      </c>
      <c r="I2078" s="28">
        <v>2.0</v>
      </c>
      <c r="J2078" s="29" t="s">
        <v>1021</v>
      </c>
      <c r="K2078" s="30" t="s">
        <v>23</v>
      </c>
      <c r="L2078" s="31" t="str">
        <f>IFERROR(__xludf.DUMMYFUNCTION("IF(OR(E2078="""",K2078=""""),"""",IFERROR(IF(K2078="""","""",query('tbl user'!$A$2:$D10975,""SELECT A WHERE D = '""&amp;K2078&amp;""'"")),""USER TIDAK DIKETAHUI""))"),"#REF!")</f>
        <v>#REF!</v>
      </c>
    </row>
    <row r="2079">
      <c r="A2079" s="21">
        <f t="shared" si="1"/>
        <v>0</v>
      </c>
      <c r="B2079" s="32" t="s">
        <v>24</v>
      </c>
      <c r="C2079" s="23" t="s">
        <v>25</v>
      </c>
      <c r="D2079" s="23" t="s">
        <v>21</v>
      </c>
      <c r="E2079" s="37">
        <v>45427.0</v>
      </c>
      <c r="F2079" s="25">
        <v>0.41805555555555557</v>
      </c>
      <c r="G2079" s="25">
        <v>0.6930555555555555</v>
      </c>
      <c r="H2079" s="27">
        <f t="shared" si="2"/>
        <v>0.275</v>
      </c>
      <c r="I2079" s="28">
        <v>3.0</v>
      </c>
      <c r="J2079" s="29" t="s">
        <v>410</v>
      </c>
      <c r="K2079" s="30" t="s">
        <v>23</v>
      </c>
      <c r="L2079" s="31" t="str">
        <f>IFERROR(__xludf.DUMMYFUNCTION("IF(OR(E2079="""",K2079=""""),"""",IFERROR(IF(K2079="""","""",query('tbl user'!$A$2:$D10975,""SELECT A WHERE D = '""&amp;K2079&amp;""'"")),""USER TIDAK DIKETAHUI""))"),"#REF!")</f>
        <v>#REF!</v>
      </c>
    </row>
    <row r="2080">
      <c r="A2080" s="21">
        <f t="shared" si="1"/>
        <v>0</v>
      </c>
      <c r="B2080" s="32" t="s">
        <v>34</v>
      </c>
      <c r="C2080" s="23" t="s">
        <v>35</v>
      </c>
      <c r="D2080" s="23" t="s">
        <v>21</v>
      </c>
      <c r="E2080" s="37">
        <v>45427.0</v>
      </c>
      <c r="F2080" s="25">
        <v>0.28958333333333336</v>
      </c>
      <c r="G2080" s="25">
        <v>0.6215277777777778</v>
      </c>
      <c r="H2080" s="27">
        <f t="shared" si="2"/>
        <v>0.3319444444</v>
      </c>
      <c r="I2080" s="28">
        <v>4.0</v>
      </c>
      <c r="J2080" s="29" t="s">
        <v>1022</v>
      </c>
      <c r="K2080" s="30" t="s">
        <v>23</v>
      </c>
      <c r="L2080" s="31" t="str">
        <f>IFERROR(__xludf.DUMMYFUNCTION("IF(OR(E2080="""",K2080=""""),"""",IFERROR(IF(K2080="""","""",query('tbl user'!$A$2:$D10975,""SELECT A WHERE D = '""&amp;K2080&amp;""'"")),""USER TIDAK DIKETAHUI""))"),"#REF!")</f>
        <v>#REF!</v>
      </c>
    </row>
    <row r="2081">
      <c r="A2081" s="21">
        <f t="shared" si="1"/>
        <v>0</v>
      </c>
      <c r="B2081" s="32" t="s">
        <v>153</v>
      </c>
      <c r="C2081" s="23" t="s">
        <v>239</v>
      </c>
      <c r="D2081" s="23" t="s">
        <v>21</v>
      </c>
      <c r="E2081" s="37">
        <v>45427.0</v>
      </c>
      <c r="F2081" s="25">
        <v>0.29791666666666666</v>
      </c>
      <c r="G2081" s="25">
        <v>0.6819444444444445</v>
      </c>
      <c r="H2081" s="27">
        <f t="shared" si="2"/>
        <v>0.3840277778</v>
      </c>
      <c r="I2081" s="28">
        <v>4.0</v>
      </c>
      <c r="J2081" s="29" t="s">
        <v>213</v>
      </c>
      <c r="K2081" s="30" t="s">
        <v>23</v>
      </c>
      <c r="L2081" s="31" t="str">
        <f>IFERROR(__xludf.DUMMYFUNCTION("IF(OR(E2081="""",K2081=""""),"""",IFERROR(IF(K2081="""","""",query('tbl user'!$A$2:$D10975,""SELECT A WHERE D = '""&amp;K2081&amp;""'"")),""USER TIDAK DIKETAHUI""))"),"#REF!")</f>
        <v>#REF!</v>
      </c>
    </row>
    <row r="2082">
      <c r="A2082" s="21">
        <f t="shared" si="1"/>
        <v>0</v>
      </c>
      <c r="B2082" s="32" t="s">
        <v>305</v>
      </c>
      <c r="C2082" s="23" t="s">
        <v>251</v>
      </c>
      <c r="D2082" s="23" t="s">
        <v>21</v>
      </c>
      <c r="E2082" s="37">
        <v>45427.0</v>
      </c>
      <c r="F2082" s="25">
        <v>0.35625</v>
      </c>
      <c r="G2082" s="25">
        <v>0.6881944444444444</v>
      </c>
      <c r="H2082" s="27">
        <f t="shared" si="2"/>
        <v>0.3319444444</v>
      </c>
      <c r="I2082" s="28">
        <v>4.0</v>
      </c>
      <c r="J2082" s="29" t="s">
        <v>1023</v>
      </c>
      <c r="K2082" s="30" t="s">
        <v>23</v>
      </c>
      <c r="L2082" s="31" t="str">
        <f>IFERROR(__xludf.DUMMYFUNCTION("IF(OR(E2082="""",K2082=""""),"""",IFERROR(IF(K2082="""","""",query('tbl user'!$A$2:$D10975,""SELECT A WHERE D = '""&amp;K2082&amp;""'"")),""USER TIDAK DIKETAHUI""))"),"#REF!")</f>
        <v>#REF!</v>
      </c>
    </row>
    <row r="2083">
      <c r="A2083" s="21">
        <f t="shared" si="1"/>
        <v>0</v>
      </c>
      <c r="B2083" s="32" t="s">
        <v>209</v>
      </c>
      <c r="C2083" s="23" t="s">
        <v>232</v>
      </c>
      <c r="D2083" s="23" t="s">
        <v>21</v>
      </c>
      <c r="E2083" s="37">
        <v>45427.0</v>
      </c>
      <c r="F2083" s="25">
        <v>0.29444444444444445</v>
      </c>
      <c r="G2083" s="25">
        <v>0.6618055555555555</v>
      </c>
      <c r="H2083" s="27">
        <f t="shared" si="2"/>
        <v>0.3673611111</v>
      </c>
      <c r="I2083" s="28">
        <v>4.0</v>
      </c>
      <c r="J2083" s="29" t="s">
        <v>213</v>
      </c>
      <c r="K2083" s="30" t="s">
        <v>23</v>
      </c>
      <c r="L2083" s="31" t="str">
        <f>IFERROR(__xludf.DUMMYFUNCTION("IF(OR(E2083="""",K2083=""""),"""",IFERROR(IF(K2083="""","""",query('tbl user'!$A$2:$D10975,""SELECT A WHERE D = '""&amp;K2083&amp;""'"")),""USER TIDAK DIKETAHUI""))"),"#REF!")</f>
        <v>#REF!</v>
      </c>
    </row>
    <row r="2084">
      <c r="A2084" s="21">
        <f t="shared" si="1"/>
        <v>0</v>
      </c>
      <c r="B2084" s="32" t="s">
        <v>331</v>
      </c>
      <c r="C2084" s="23" t="s">
        <v>332</v>
      </c>
      <c r="D2084" s="23" t="s">
        <v>21</v>
      </c>
      <c r="E2084" s="37">
        <v>45427.0</v>
      </c>
      <c r="F2084" s="25">
        <v>0.21041666666666667</v>
      </c>
      <c r="G2084" s="25">
        <v>0.7756944444444445</v>
      </c>
      <c r="H2084" s="27">
        <f t="shared" si="2"/>
        <v>0.5652777778</v>
      </c>
      <c r="I2084" s="28">
        <v>4.0</v>
      </c>
      <c r="J2084" s="29" t="s">
        <v>1024</v>
      </c>
      <c r="K2084" s="30" t="s">
        <v>23</v>
      </c>
      <c r="L2084" s="31" t="str">
        <f>IFERROR(__xludf.DUMMYFUNCTION("IF(OR(E2084="""",K2084=""""),"""",IFERROR(IF(K2084="""","""",query('tbl user'!$A$2:$D10975,""SELECT A WHERE D = '""&amp;K2084&amp;""'"")),""USER TIDAK DIKETAHUI""))"),"#REF!")</f>
        <v>#REF!</v>
      </c>
    </row>
    <row r="2085">
      <c r="A2085" s="21">
        <f t="shared" si="1"/>
        <v>0</v>
      </c>
      <c r="B2085" s="32" t="s">
        <v>258</v>
      </c>
      <c r="C2085" s="23" t="s">
        <v>259</v>
      </c>
      <c r="D2085" s="23" t="s">
        <v>21</v>
      </c>
      <c r="E2085" s="37">
        <v>45427.0</v>
      </c>
      <c r="F2085" s="25">
        <v>0.25069444444444444</v>
      </c>
      <c r="G2085" s="25">
        <v>0.7472222222222222</v>
      </c>
      <c r="H2085" s="27">
        <f t="shared" si="2"/>
        <v>0.4965277778</v>
      </c>
      <c r="I2085" s="28">
        <v>4.0</v>
      </c>
      <c r="J2085" s="29" t="s">
        <v>1025</v>
      </c>
      <c r="K2085" s="30" t="s">
        <v>23</v>
      </c>
      <c r="L2085" s="31" t="str">
        <f>IFERROR(__xludf.DUMMYFUNCTION("IF(OR(E2085="""",K2085=""""),"""",IFERROR(IF(K2085="""","""",query('tbl user'!$A$2:$D10975,""SELECT A WHERE D = '""&amp;K2085&amp;""'"")),""USER TIDAK DIKETAHUI""))"),"#REF!")</f>
        <v>#REF!</v>
      </c>
    </row>
    <row r="2086">
      <c r="A2086" s="21">
        <f t="shared" si="1"/>
        <v>0</v>
      </c>
      <c r="B2086" s="32" t="s">
        <v>601</v>
      </c>
      <c r="C2086" s="23" t="s">
        <v>323</v>
      </c>
      <c r="D2086" s="23" t="s">
        <v>21</v>
      </c>
      <c r="E2086" s="37">
        <v>45427.0</v>
      </c>
      <c r="F2086" s="25">
        <v>0.26875</v>
      </c>
      <c r="G2086" s="25">
        <v>0.6645833333333333</v>
      </c>
      <c r="H2086" s="27">
        <f t="shared" si="2"/>
        <v>0.3958333333</v>
      </c>
      <c r="I2086" s="28">
        <v>4.0</v>
      </c>
      <c r="J2086" s="29" t="s">
        <v>213</v>
      </c>
      <c r="K2086" s="30" t="s">
        <v>23</v>
      </c>
      <c r="L2086" s="31" t="str">
        <f>IFERROR(__xludf.DUMMYFUNCTION("IF(OR(E2086="""",K2086=""""),"""",IFERROR(IF(K2086="""","""",query('tbl user'!$A$2:$D10975,""SELECT A WHERE D = '""&amp;K2086&amp;""'"")),""USER TIDAK DIKETAHUI""))"),"#REF!")</f>
        <v>#REF!</v>
      </c>
    </row>
    <row r="2087">
      <c r="A2087" s="21">
        <f t="shared" si="1"/>
        <v>0</v>
      </c>
      <c r="B2087" s="32" t="s">
        <v>246</v>
      </c>
      <c r="C2087" s="23" t="s">
        <v>99</v>
      </c>
      <c r="D2087" s="23" t="s">
        <v>21</v>
      </c>
      <c r="E2087" s="37">
        <v>45427.0</v>
      </c>
      <c r="F2087" s="25">
        <v>0.2951388888888889</v>
      </c>
      <c r="G2087" s="25">
        <v>0.7055555555555556</v>
      </c>
      <c r="H2087" s="27">
        <f t="shared" si="2"/>
        <v>0.4104166667</v>
      </c>
      <c r="I2087" s="28">
        <v>5.0</v>
      </c>
      <c r="J2087" s="29" t="s">
        <v>55</v>
      </c>
      <c r="K2087" s="30" t="s">
        <v>23</v>
      </c>
      <c r="L2087" s="31" t="str">
        <f>IFERROR(__xludf.DUMMYFUNCTION("IF(OR(E2087="""",K2087=""""),"""",IFERROR(IF(K2087="""","""",query('tbl user'!$A$2:$D10975,""SELECT A WHERE D = '""&amp;K2087&amp;""'"")),""USER TIDAK DIKETAHUI""))"),"#REF!")</f>
        <v>#REF!</v>
      </c>
    </row>
    <row r="2088">
      <c r="A2088" s="21">
        <f t="shared" si="1"/>
        <v>0</v>
      </c>
      <c r="B2088" s="32" t="s">
        <v>43</v>
      </c>
      <c r="C2088" s="23" t="s">
        <v>44</v>
      </c>
      <c r="D2088" s="23" t="s">
        <v>21</v>
      </c>
      <c r="E2088" s="37">
        <v>45427.0</v>
      </c>
      <c r="F2088" s="25">
        <v>0.28541666666666665</v>
      </c>
      <c r="G2088" s="25">
        <v>0.7416666666666667</v>
      </c>
      <c r="H2088" s="27">
        <f t="shared" si="2"/>
        <v>0.45625</v>
      </c>
      <c r="I2088" s="28">
        <v>5.0</v>
      </c>
      <c r="J2088" s="29" t="s">
        <v>55</v>
      </c>
      <c r="K2088" s="30" t="s">
        <v>23</v>
      </c>
      <c r="L2088" s="31" t="str">
        <f>IFERROR(__xludf.DUMMYFUNCTION("IF(OR(E2088="""",K2088=""""),"""",IFERROR(IF(K2088="""","""",query('tbl user'!$A$2:$D10975,""SELECT A WHERE D = '""&amp;K2088&amp;""'"")),""USER TIDAK DIKETAHUI""))"),"#REF!")</f>
        <v>#REF!</v>
      </c>
    </row>
    <row r="2089">
      <c r="A2089" s="21">
        <f t="shared" si="1"/>
        <v>0</v>
      </c>
      <c r="B2089" s="32" t="s">
        <v>253</v>
      </c>
      <c r="C2089" s="23" t="s">
        <v>102</v>
      </c>
      <c r="D2089" s="23" t="s">
        <v>21</v>
      </c>
      <c r="E2089" s="37">
        <v>45427.0</v>
      </c>
      <c r="F2089" s="25">
        <v>0.2777777777777778</v>
      </c>
      <c r="G2089" s="25">
        <v>0.7</v>
      </c>
      <c r="H2089" s="27">
        <f t="shared" si="2"/>
        <v>0.4222222222</v>
      </c>
      <c r="I2089" s="28">
        <v>5.0</v>
      </c>
      <c r="J2089" s="29" t="s">
        <v>55</v>
      </c>
      <c r="K2089" s="30" t="s">
        <v>23</v>
      </c>
      <c r="L2089" s="31" t="str">
        <f>IFERROR(__xludf.DUMMYFUNCTION("IF(OR(E2089="""",K2089=""""),"""",IFERROR(IF(K2089="""","""",query('tbl user'!$A$2:$D10975,""SELECT A WHERE D = '""&amp;K2089&amp;""'"")),""USER TIDAK DIKETAHUI""))"),"#REF!")</f>
        <v>#REF!</v>
      </c>
    </row>
    <row r="2090">
      <c r="A2090" s="21">
        <f t="shared" si="1"/>
        <v>0</v>
      </c>
      <c r="B2090" s="32" t="s">
        <v>159</v>
      </c>
      <c r="C2090" s="23" t="s">
        <v>306</v>
      </c>
      <c r="D2090" s="23" t="s">
        <v>21</v>
      </c>
      <c r="E2090" s="37">
        <v>45427.0</v>
      </c>
      <c r="F2090" s="25">
        <v>0.26875</v>
      </c>
      <c r="G2090" s="25">
        <v>0.7270833333333333</v>
      </c>
      <c r="H2090" s="27">
        <f t="shared" si="2"/>
        <v>0.4583333333</v>
      </c>
      <c r="I2090" s="28">
        <v>5.0</v>
      </c>
      <c r="J2090" s="29" t="s">
        <v>55</v>
      </c>
      <c r="K2090" s="30" t="s">
        <v>23</v>
      </c>
      <c r="L2090" s="31" t="str">
        <f>IFERROR(__xludf.DUMMYFUNCTION("IF(OR(E2090="""",K2090=""""),"""",IFERROR(IF(K2090="""","""",query('tbl user'!$A$2:$D10975,""SELECT A WHERE D = '""&amp;K2090&amp;""'"")),""USER TIDAK DIKETAHUI""))"),"#REF!")</f>
        <v>#REF!</v>
      </c>
    </row>
    <row r="2091">
      <c r="A2091" s="21">
        <f t="shared" si="1"/>
        <v>0</v>
      </c>
      <c r="B2091" s="32" t="s">
        <v>333</v>
      </c>
      <c r="C2091" s="23" t="s">
        <v>334</v>
      </c>
      <c r="D2091" s="23" t="s">
        <v>21</v>
      </c>
      <c r="E2091" s="37">
        <v>45427.0</v>
      </c>
      <c r="F2091" s="25">
        <v>0.27569444444444446</v>
      </c>
      <c r="G2091" s="25">
        <v>0.7</v>
      </c>
      <c r="H2091" s="27">
        <f t="shared" si="2"/>
        <v>0.4243055556</v>
      </c>
      <c r="I2091" s="28">
        <v>5.0</v>
      </c>
      <c r="J2091" s="29" t="s">
        <v>55</v>
      </c>
      <c r="K2091" s="30" t="s">
        <v>23</v>
      </c>
      <c r="L2091" s="31" t="str">
        <f>IFERROR(__xludf.DUMMYFUNCTION("IF(OR(E2091="""",K2091=""""),"""",IFERROR(IF(K2091="""","""",query('tbl user'!$A$2:$D10975,""SELECT A WHERE D = '""&amp;K2091&amp;""'"")),""USER TIDAK DIKETAHUI""))"),"#REF!")</f>
        <v>#REF!</v>
      </c>
    </row>
    <row r="2092">
      <c r="A2092" s="21">
        <f t="shared" si="1"/>
        <v>0</v>
      </c>
      <c r="B2092" s="32" t="s">
        <v>87</v>
      </c>
      <c r="C2092" s="23" t="s">
        <v>88</v>
      </c>
      <c r="D2092" s="23" t="s">
        <v>21</v>
      </c>
      <c r="E2092" s="37">
        <v>45427.0</v>
      </c>
      <c r="F2092" s="25">
        <v>0.24166666666666667</v>
      </c>
      <c r="G2092" s="25">
        <v>0.6875</v>
      </c>
      <c r="H2092" s="27">
        <f t="shared" si="2"/>
        <v>0.4458333333</v>
      </c>
      <c r="I2092" s="28">
        <v>5.0</v>
      </c>
      <c r="J2092" s="29" t="s">
        <v>55</v>
      </c>
      <c r="K2092" s="30" t="s">
        <v>23</v>
      </c>
      <c r="L2092" s="31" t="str">
        <f>IFERROR(__xludf.DUMMYFUNCTION("IF(OR(E2092="""",K2092=""""),"""",IFERROR(IF(K2092="""","""",query('tbl user'!$A$2:$D10975,""SELECT A WHERE D = '""&amp;K2092&amp;""'"")),""USER TIDAK DIKETAHUI""))"),"#REF!")</f>
        <v>#REF!</v>
      </c>
    </row>
    <row r="2093">
      <c r="A2093" s="21">
        <f t="shared" si="1"/>
        <v>0</v>
      </c>
      <c r="B2093" s="32" t="s">
        <v>325</v>
      </c>
      <c r="C2093" s="23" t="s">
        <v>326</v>
      </c>
      <c r="D2093" s="23" t="s">
        <v>21</v>
      </c>
      <c r="E2093" s="37">
        <v>45427.0</v>
      </c>
      <c r="F2093" s="25">
        <v>0.25416666666666665</v>
      </c>
      <c r="G2093" s="25">
        <v>0.6680555555555555</v>
      </c>
      <c r="H2093" s="27">
        <f t="shared" si="2"/>
        <v>0.4138888889</v>
      </c>
      <c r="I2093" s="28">
        <v>5.0</v>
      </c>
      <c r="J2093" s="29" t="s">
        <v>55</v>
      </c>
      <c r="K2093" s="30" t="s">
        <v>23</v>
      </c>
      <c r="L2093" s="31" t="str">
        <f>IFERROR(__xludf.DUMMYFUNCTION("IF(OR(E2093="""",K2093=""""),"""",IFERROR(IF(K2093="""","""",query('tbl user'!$A$2:$D10975,""SELECT A WHERE D = '""&amp;K2093&amp;""'"")),""USER TIDAK DIKETAHUI""))"),"#REF!")</f>
        <v>#REF!</v>
      </c>
    </row>
    <row r="2094">
      <c r="A2094" s="21">
        <f t="shared" si="1"/>
        <v>0</v>
      </c>
      <c r="B2094" s="32" t="s">
        <v>577</v>
      </c>
      <c r="C2094" s="23" t="s">
        <v>330</v>
      </c>
      <c r="D2094" s="23" t="s">
        <v>21</v>
      </c>
      <c r="E2094" s="37">
        <v>45427.0</v>
      </c>
      <c r="F2094" s="25">
        <v>0.2548611111111111</v>
      </c>
      <c r="G2094" s="25">
        <v>0.6951388888888889</v>
      </c>
      <c r="H2094" s="27">
        <f t="shared" si="2"/>
        <v>0.4402777778</v>
      </c>
      <c r="I2094" s="28">
        <v>5.0</v>
      </c>
      <c r="J2094" s="29" t="s">
        <v>55</v>
      </c>
      <c r="K2094" s="30" t="s">
        <v>23</v>
      </c>
      <c r="L2094" s="31" t="str">
        <f>IFERROR(__xludf.DUMMYFUNCTION("IF(OR(E2094="""",K2094=""""),"""",IFERROR(IF(K2094="""","""",query('tbl user'!$A$2:$D10975,""SELECT A WHERE D = '""&amp;K2094&amp;""'"")),""USER TIDAK DIKETAHUI""))"),"#REF!")</f>
        <v>#REF!</v>
      </c>
    </row>
    <row r="2095">
      <c r="A2095" s="21">
        <f t="shared" si="1"/>
        <v>0</v>
      </c>
      <c r="B2095" s="32" t="s">
        <v>337</v>
      </c>
      <c r="C2095" s="23" t="s">
        <v>338</v>
      </c>
      <c r="D2095" s="23" t="s">
        <v>21</v>
      </c>
      <c r="E2095" s="37">
        <v>45427.0</v>
      </c>
      <c r="F2095" s="25">
        <v>0.21180555555555555</v>
      </c>
      <c r="G2095" s="25">
        <v>0.6673611111111111</v>
      </c>
      <c r="H2095" s="27">
        <f t="shared" si="2"/>
        <v>0.4555555556</v>
      </c>
      <c r="I2095" s="28">
        <v>5.0</v>
      </c>
      <c r="J2095" s="29" t="s">
        <v>55</v>
      </c>
      <c r="K2095" s="30" t="s">
        <v>23</v>
      </c>
      <c r="L2095" s="31" t="str">
        <f>IFERROR(__xludf.DUMMYFUNCTION("IF(OR(E2095="""",K2095=""""),"""",IFERROR(IF(K2095="""","""",query('tbl user'!$A$2:$D10975,""SELECT A WHERE D = '""&amp;K2095&amp;""'"")),""USER TIDAK DIKETAHUI""))"),"#REF!")</f>
        <v>#REF!</v>
      </c>
    </row>
    <row r="2096">
      <c r="A2096" s="21">
        <f t="shared" si="1"/>
        <v>0</v>
      </c>
      <c r="B2096" s="32" t="s">
        <v>81</v>
      </c>
      <c r="C2096" s="23" t="s">
        <v>261</v>
      </c>
      <c r="D2096" s="23" t="s">
        <v>21</v>
      </c>
      <c r="E2096" s="37">
        <v>45427.0</v>
      </c>
      <c r="F2096" s="25">
        <v>0.2763888888888889</v>
      </c>
      <c r="G2096" s="25">
        <v>0.7479166666666667</v>
      </c>
      <c r="H2096" s="27">
        <f t="shared" si="2"/>
        <v>0.4715277778</v>
      </c>
      <c r="I2096" s="28">
        <v>5.0</v>
      </c>
      <c r="J2096" s="29" t="s">
        <v>55</v>
      </c>
      <c r="K2096" s="30" t="s">
        <v>23</v>
      </c>
      <c r="L2096" s="31" t="str">
        <f>IFERROR(__xludf.DUMMYFUNCTION("IF(OR(E2096="""",K2096=""""),"""",IFERROR(IF(K2096="""","""",query('tbl user'!$A$2:$D10975,""SELECT A WHERE D = '""&amp;K2096&amp;""'"")),""USER TIDAK DIKETAHUI""))"),"#REF!")</f>
        <v>#REF!</v>
      </c>
    </row>
    <row r="2097">
      <c r="A2097" s="21">
        <f t="shared" si="1"/>
        <v>0</v>
      </c>
      <c r="B2097" s="32" t="s">
        <v>255</v>
      </c>
      <c r="C2097" s="23" t="s">
        <v>256</v>
      </c>
      <c r="D2097" s="23" t="s">
        <v>21</v>
      </c>
      <c r="E2097" s="37">
        <v>45427.0</v>
      </c>
      <c r="F2097" s="25">
        <v>0.26666666666666666</v>
      </c>
      <c r="G2097" s="25">
        <v>0.7638888888888888</v>
      </c>
      <c r="H2097" s="27">
        <f t="shared" si="2"/>
        <v>0.4972222222</v>
      </c>
      <c r="I2097" s="28">
        <v>6.0</v>
      </c>
      <c r="J2097" s="29" t="s">
        <v>55</v>
      </c>
      <c r="K2097" s="30" t="s">
        <v>23</v>
      </c>
      <c r="L2097" s="31" t="str">
        <f>IFERROR(__xludf.DUMMYFUNCTION("IF(OR(E2097="""",K2097=""""),"""",IFERROR(IF(K2097="""","""",query('tbl user'!$A$2:$D10975,""SELECT A WHERE D = '""&amp;K2097&amp;""'"")),""USER TIDAK DIKETAHUI""))"),"#REF!")</f>
        <v>#REF!</v>
      </c>
    </row>
    <row r="2098">
      <c r="A2098" s="21">
        <f t="shared" si="1"/>
        <v>0</v>
      </c>
      <c r="B2098" s="32" t="s">
        <v>319</v>
      </c>
      <c r="C2098" s="23" t="s">
        <v>320</v>
      </c>
      <c r="D2098" s="23" t="s">
        <v>21</v>
      </c>
      <c r="E2098" s="37">
        <v>45427.0</v>
      </c>
      <c r="F2098" s="25">
        <v>0.2548611111111111</v>
      </c>
      <c r="G2098" s="25">
        <v>0.7131944444444445</v>
      </c>
      <c r="H2098" s="27">
        <f t="shared" si="2"/>
        <v>0.4583333333</v>
      </c>
      <c r="I2098" s="28">
        <v>6.0</v>
      </c>
      <c r="J2098" s="29" t="s">
        <v>55</v>
      </c>
      <c r="K2098" s="30" t="s">
        <v>23</v>
      </c>
      <c r="L2098" s="31" t="str">
        <f>IFERROR(__xludf.DUMMYFUNCTION("IF(OR(E2098="""",K2098=""""),"""",IFERROR(IF(K2098="""","""",query('tbl user'!$A$2:$D10975,""SELECT A WHERE D = '""&amp;K2098&amp;""'"")),""USER TIDAK DIKETAHUI""))"),"#REF!")</f>
        <v>#REF!</v>
      </c>
    </row>
    <row r="2099">
      <c r="A2099" s="21">
        <f t="shared" si="1"/>
        <v>0</v>
      </c>
      <c r="B2099" s="32" t="s">
        <v>46</v>
      </c>
      <c r="C2099" s="23" t="s">
        <v>47</v>
      </c>
      <c r="D2099" s="23" t="s">
        <v>32</v>
      </c>
      <c r="E2099" s="37">
        <v>45427.0</v>
      </c>
      <c r="F2099" s="25">
        <v>0.2569444444444444</v>
      </c>
      <c r="G2099" s="25">
        <v>0.4791666666666667</v>
      </c>
      <c r="H2099" s="27">
        <f t="shared" si="2"/>
        <v>0.2222222222</v>
      </c>
      <c r="I2099" s="28">
        <v>2.0</v>
      </c>
      <c r="J2099" s="29" t="s">
        <v>1026</v>
      </c>
      <c r="K2099" s="30" t="s">
        <v>23</v>
      </c>
      <c r="L2099" s="31" t="str">
        <f>IFERROR(__xludf.DUMMYFUNCTION("IF(OR(E2099="""",K2099=""""),"""",IFERROR(IF(K2099="""","""",query('tbl user'!$A$2:$D10975,""SELECT A WHERE D = '""&amp;K2099&amp;""'"")),""USER TIDAK DIKETAHUI""))"),"#REF!")</f>
        <v>#REF!</v>
      </c>
    </row>
    <row r="2100">
      <c r="A2100" s="21">
        <f t="shared" si="1"/>
        <v>0</v>
      </c>
      <c r="B2100" s="32" t="s">
        <v>75</v>
      </c>
      <c r="C2100" s="23" t="s">
        <v>76</v>
      </c>
      <c r="D2100" s="23" t="s">
        <v>32</v>
      </c>
      <c r="E2100" s="37">
        <v>45427.0</v>
      </c>
      <c r="F2100" s="25">
        <v>0.25069444444444444</v>
      </c>
      <c r="G2100" s="25">
        <v>0.5444444444444444</v>
      </c>
      <c r="H2100" s="27">
        <f t="shared" si="2"/>
        <v>0.29375</v>
      </c>
      <c r="I2100" s="28">
        <v>2.0</v>
      </c>
      <c r="J2100" s="29" t="s">
        <v>1027</v>
      </c>
      <c r="K2100" s="30" t="s">
        <v>23</v>
      </c>
      <c r="L2100" s="31" t="str">
        <f>IFERROR(__xludf.DUMMYFUNCTION("IF(OR(E2100="""",K2100=""""),"""",IFERROR(IF(K2100="""","""",query('tbl user'!$A$2:$D10975,""SELECT A WHERE D = '""&amp;K2100&amp;""'"")),""USER TIDAK DIKETAHUI""))"),"#REF!")</f>
        <v>#REF!</v>
      </c>
    </row>
    <row r="2101">
      <c r="A2101" s="21">
        <f t="shared" si="1"/>
        <v>0</v>
      </c>
      <c r="B2101" s="32" t="s">
        <v>72</v>
      </c>
      <c r="C2101" s="23" t="s">
        <v>73</v>
      </c>
      <c r="D2101" s="23" t="s">
        <v>32</v>
      </c>
      <c r="E2101" s="37">
        <v>45427.0</v>
      </c>
      <c r="F2101" s="25">
        <v>0.25069444444444444</v>
      </c>
      <c r="G2101" s="25">
        <v>0.6791666666666667</v>
      </c>
      <c r="H2101" s="27">
        <f t="shared" si="2"/>
        <v>0.4284722222</v>
      </c>
      <c r="I2101" s="28">
        <v>3.0</v>
      </c>
      <c r="J2101" s="29" t="s">
        <v>1028</v>
      </c>
      <c r="K2101" s="30" t="s">
        <v>23</v>
      </c>
      <c r="L2101" s="31" t="str">
        <f>IFERROR(__xludf.DUMMYFUNCTION("IF(OR(E2101="""",K2101=""""),"""",IFERROR(IF(K2101="""","""",query('tbl user'!$A$2:$D10975,""SELECT A WHERE D = '""&amp;K2101&amp;""'"")),""USER TIDAK DIKETAHUI""))"),"#REF!")</f>
        <v>#REF!</v>
      </c>
    </row>
    <row r="2102">
      <c r="A2102" s="21">
        <f t="shared" si="1"/>
        <v>0</v>
      </c>
      <c r="B2102" s="32" t="s">
        <v>113</v>
      </c>
      <c r="C2102" s="23" t="s">
        <v>114</v>
      </c>
      <c r="D2102" s="23" t="s">
        <v>32</v>
      </c>
      <c r="E2102" s="37">
        <v>45427.0</v>
      </c>
      <c r="F2102" s="25">
        <v>0.25</v>
      </c>
      <c r="G2102" s="25">
        <v>0.6895833333333333</v>
      </c>
      <c r="H2102" s="27">
        <f t="shared" si="2"/>
        <v>0.4395833333</v>
      </c>
      <c r="I2102" s="28">
        <v>4.0</v>
      </c>
      <c r="J2102" s="29" t="s">
        <v>55</v>
      </c>
      <c r="K2102" s="30" t="s">
        <v>23</v>
      </c>
      <c r="L2102" s="31" t="str">
        <f>IFERROR(__xludf.DUMMYFUNCTION("IF(OR(E2102="""",K2102=""""),"""",IFERROR(IF(K2102="""","""",query('tbl user'!$A$2:$D10975,""SELECT A WHERE D = '""&amp;K2102&amp;""'"")),""USER TIDAK DIKETAHUI""))"),"#REF!")</f>
        <v>#REF!</v>
      </c>
    </row>
    <row r="2103">
      <c r="A2103" s="21">
        <f t="shared" si="1"/>
        <v>0</v>
      </c>
      <c r="B2103" s="32" t="s">
        <v>115</v>
      </c>
      <c r="C2103" s="23" t="s">
        <v>116</v>
      </c>
      <c r="D2103" s="23" t="s">
        <v>32</v>
      </c>
      <c r="E2103" s="37">
        <v>45427.0</v>
      </c>
      <c r="F2103" s="25">
        <v>0.2791666666666667</v>
      </c>
      <c r="G2103" s="25">
        <v>0.6527777777777778</v>
      </c>
      <c r="H2103" s="27">
        <f t="shared" si="2"/>
        <v>0.3736111111</v>
      </c>
      <c r="I2103" s="28">
        <v>4.0</v>
      </c>
      <c r="J2103" s="29" t="s">
        <v>55</v>
      </c>
      <c r="K2103" s="30" t="s">
        <v>23</v>
      </c>
      <c r="L2103" s="31" t="str">
        <f>IFERROR(__xludf.DUMMYFUNCTION("IF(OR(E2103="""",K2103=""""),"""",IFERROR(IF(K2103="""","""",query('tbl user'!$A$2:$D10975,""SELECT A WHERE D = '""&amp;K2103&amp;""'"")),""USER TIDAK DIKETAHUI""))"),"#REF!")</f>
        <v>#REF!</v>
      </c>
    </row>
    <row r="2104">
      <c r="A2104" s="21">
        <f t="shared" si="1"/>
        <v>0</v>
      </c>
      <c r="B2104" s="32" t="s">
        <v>118</v>
      </c>
      <c r="C2104" s="23" t="s">
        <v>119</v>
      </c>
      <c r="D2104" s="23" t="s">
        <v>32</v>
      </c>
      <c r="E2104" s="37">
        <v>45427.0</v>
      </c>
      <c r="F2104" s="25">
        <v>0.24305555555555555</v>
      </c>
      <c r="G2104" s="25">
        <v>0.6715277777777777</v>
      </c>
      <c r="H2104" s="27">
        <f t="shared" si="2"/>
        <v>0.4284722222</v>
      </c>
      <c r="I2104" s="28">
        <v>4.0</v>
      </c>
      <c r="J2104" s="29" t="s">
        <v>55</v>
      </c>
      <c r="K2104" s="30" t="s">
        <v>23</v>
      </c>
      <c r="L2104" s="31" t="str">
        <f>IFERROR(__xludf.DUMMYFUNCTION("IF(OR(E2104="""",K2104=""""),"""",IFERROR(IF(K2104="""","""",query('tbl user'!$A$2:$D10975,""SELECT A WHERE D = '""&amp;K2104&amp;""'"")),""USER TIDAK DIKETAHUI""))"),"#REF!")</f>
        <v>#REF!</v>
      </c>
    </row>
    <row r="2105">
      <c r="A2105" s="21">
        <f t="shared" si="1"/>
        <v>0</v>
      </c>
      <c r="B2105" s="32" t="s">
        <v>263</v>
      </c>
      <c r="C2105" s="23" t="s">
        <v>264</v>
      </c>
      <c r="D2105" s="23" t="s">
        <v>32</v>
      </c>
      <c r="E2105" s="37">
        <v>45427.0</v>
      </c>
      <c r="F2105" s="25">
        <v>0.26458333333333334</v>
      </c>
      <c r="G2105" s="25">
        <v>0.6979166666666666</v>
      </c>
      <c r="H2105" s="27">
        <f t="shared" si="2"/>
        <v>0.4333333333</v>
      </c>
      <c r="I2105" s="28">
        <v>4.0</v>
      </c>
      <c r="J2105" s="29" t="s">
        <v>55</v>
      </c>
      <c r="K2105" s="30" t="s">
        <v>23</v>
      </c>
      <c r="L2105" s="31" t="str">
        <f>IFERROR(__xludf.DUMMYFUNCTION("IF(OR(E2105="""",K2105=""""),"""",IFERROR(IF(K2105="""","""",query('tbl user'!$A$2:$D10975,""SELECT A WHERE D = '""&amp;K2105&amp;""'"")),""USER TIDAK DIKETAHUI""))"),"#REF!")</f>
        <v>#REF!</v>
      </c>
    </row>
    <row r="2106">
      <c r="A2106" s="21">
        <f t="shared" si="1"/>
        <v>0</v>
      </c>
      <c r="B2106" s="32" t="s">
        <v>123</v>
      </c>
      <c r="C2106" s="23" t="s">
        <v>124</v>
      </c>
      <c r="D2106" s="23" t="s">
        <v>32</v>
      </c>
      <c r="E2106" s="37">
        <v>45427.0</v>
      </c>
      <c r="F2106" s="25">
        <v>0.2548611111111111</v>
      </c>
      <c r="G2106" s="25">
        <v>0.6958333333333333</v>
      </c>
      <c r="H2106" s="27">
        <f t="shared" si="2"/>
        <v>0.4409722222</v>
      </c>
      <c r="I2106" s="28">
        <v>4.0</v>
      </c>
      <c r="J2106" s="29" t="s">
        <v>55</v>
      </c>
      <c r="K2106" s="30" t="s">
        <v>23</v>
      </c>
      <c r="L2106" s="31" t="str">
        <f>IFERROR(__xludf.DUMMYFUNCTION("IF(OR(E2106="""",K2106=""""),"""",IFERROR(IF(K2106="""","""",query('tbl user'!$A$2:$D10975,""SELECT A WHERE D = '""&amp;K2106&amp;""'"")),""USER TIDAK DIKETAHUI""))"),"#REF!")</f>
        <v>#REF!</v>
      </c>
    </row>
    <row r="2107">
      <c r="A2107" s="21">
        <f t="shared" si="1"/>
        <v>0</v>
      </c>
      <c r="B2107" s="32" t="s">
        <v>125</v>
      </c>
      <c r="C2107" s="23" t="s">
        <v>126</v>
      </c>
      <c r="D2107" s="23" t="s">
        <v>32</v>
      </c>
      <c r="E2107" s="37">
        <v>45427.0</v>
      </c>
      <c r="F2107" s="25">
        <v>0.2965277777777778</v>
      </c>
      <c r="G2107" s="33">
        <v>0.7048611111111112</v>
      </c>
      <c r="H2107" s="27">
        <f t="shared" si="2"/>
        <v>0.4083333333</v>
      </c>
      <c r="I2107" s="28">
        <v>4.0</v>
      </c>
      <c r="J2107" s="29" t="s">
        <v>55</v>
      </c>
      <c r="K2107" s="30" t="s">
        <v>23</v>
      </c>
      <c r="L2107" s="31" t="str">
        <f>IFERROR(__xludf.DUMMYFUNCTION("IF(OR(E2107="""",K2107=""""),"""",IFERROR(IF(K2107="""","""",query('tbl user'!$A$2:$D10975,""SELECT A WHERE D = '""&amp;K2107&amp;""'"")),""USER TIDAK DIKETAHUI""))"),"#REF!")</f>
        <v>#REF!</v>
      </c>
    </row>
    <row r="2108">
      <c r="A2108" s="21">
        <f t="shared" si="1"/>
        <v>0</v>
      </c>
      <c r="B2108" s="32" t="s">
        <v>127</v>
      </c>
      <c r="C2108" s="23" t="s">
        <v>128</v>
      </c>
      <c r="D2108" s="23" t="s">
        <v>32</v>
      </c>
      <c r="E2108" s="37">
        <v>45427.0</v>
      </c>
      <c r="F2108" s="25">
        <v>0.2875</v>
      </c>
      <c r="G2108" s="25">
        <v>0.7263888888888889</v>
      </c>
      <c r="H2108" s="27">
        <f t="shared" si="2"/>
        <v>0.4388888889</v>
      </c>
      <c r="I2108" s="28">
        <v>4.0</v>
      </c>
      <c r="J2108" s="29" t="s">
        <v>55</v>
      </c>
      <c r="K2108" s="30" t="s">
        <v>23</v>
      </c>
      <c r="L2108" s="31" t="str">
        <f>IFERROR(__xludf.DUMMYFUNCTION("IF(OR(E2108="""",K2108=""""),"""",IFERROR(IF(K2108="""","""",query('tbl user'!$A$2:$D10975,""SELECT A WHERE D = '""&amp;K2108&amp;""'"")),""USER TIDAK DIKETAHUI""))"),"#REF!")</f>
        <v>#REF!</v>
      </c>
    </row>
    <row r="2109">
      <c r="A2109" s="21" t="str">
        <f t="shared" si="1"/>
        <v/>
      </c>
      <c r="B2109" s="35"/>
      <c r="C2109" s="23" t="s">
        <v>201</v>
      </c>
      <c r="D2109" s="23" t="s">
        <v>58</v>
      </c>
      <c r="E2109" s="37">
        <v>45428.0</v>
      </c>
      <c r="F2109" s="25">
        <v>0.26666666666666666</v>
      </c>
      <c r="G2109" s="25">
        <v>0.4215277777777778</v>
      </c>
      <c r="H2109" s="27">
        <f t="shared" si="2"/>
        <v>0.1548611111</v>
      </c>
      <c r="I2109" s="28">
        <v>0.0</v>
      </c>
      <c r="J2109" s="29" t="s">
        <v>1029</v>
      </c>
      <c r="K2109" s="30" t="s">
        <v>23</v>
      </c>
      <c r="L2109" s="31" t="str">
        <f>IFERROR(__xludf.DUMMYFUNCTION("IF(OR(E2109="""",K2109=""""),"""",IFERROR(IF(K2109="""","""",query('tbl user'!$A$2:$D10975,""SELECT A WHERE D = '""&amp;K2109&amp;""'"")),""USER TIDAK DIKETAHUI""))"),"#REF!")</f>
        <v>#REF!</v>
      </c>
    </row>
    <row r="2110">
      <c r="A2110" s="21">
        <f t="shared" si="1"/>
        <v>0</v>
      </c>
      <c r="B2110" s="32" t="s">
        <v>184</v>
      </c>
      <c r="C2110" s="23" t="s">
        <v>185</v>
      </c>
      <c r="D2110" s="23" t="s">
        <v>58</v>
      </c>
      <c r="E2110" s="37">
        <v>45428.0</v>
      </c>
      <c r="F2110" s="25">
        <v>0.3055555555555556</v>
      </c>
      <c r="G2110" s="25">
        <v>0.5423611111111111</v>
      </c>
      <c r="H2110" s="27">
        <f t="shared" si="2"/>
        <v>0.2368055556</v>
      </c>
      <c r="I2110" s="28">
        <v>1.0</v>
      </c>
      <c r="J2110" s="29" t="s">
        <v>1030</v>
      </c>
      <c r="K2110" s="30" t="s">
        <v>23</v>
      </c>
      <c r="L2110" s="31" t="str">
        <f>IFERROR(__xludf.DUMMYFUNCTION("IF(OR(E2110="""",K2110=""""),"""",IFERROR(IF(K2110="""","""",query('tbl user'!$A$2:$D10975,""SELECT A WHERE D = '""&amp;K2110&amp;""'"")),""USER TIDAK DIKETAHUI""))"),"#REF!")</f>
        <v>#REF!</v>
      </c>
    </row>
    <row r="2111">
      <c r="A2111" s="21">
        <f t="shared" si="1"/>
        <v>0</v>
      </c>
      <c r="B2111" s="32" t="s">
        <v>297</v>
      </c>
      <c r="C2111" s="23" t="s">
        <v>348</v>
      </c>
      <c r="D2111" s="23" t="s">
        <v>58</v>
      </c>
      <c r="E2111" s="37">
        <v>45428.0</v>
      </c>
      <c r="F2111" s="25">
        <v>0.2625</v>
      </c>
      <c r="G2111" s="25">
        <v>0.3645833333333333</v>
      </c>
      <c r="H2111" s="27">
        <f t="shared" si="2"/>
        <v>0.1020833333</v>
      </c>
      <c r="I2111" s="28">
        <v>1.0</v>
      </c>
      <c r="J2111" s="29" t="s">
        <v>1031</v>
      </c>
      <c r="K2111" s="30" t="s">
        <v>23</v>
      </c>
      <c r="L2111" s="31" t="str">
        <f>IFERROR(__xludf.DUMMYFUNCTION("IF(OR(E2111="""",K2111=""""),"""",IFERROR(IF(K2111="""","""",query('tbl user'!$A$2:$D10975,""SELECT A WHERE D = '""&amp;K2111&amp;""'"")),""USER TIDAK DIKETAHUI""))"),"#REF!")</f>
        <v>#REF!</v>
      </c>
    </row>
    <row r="2112">
      <c r="A2112" s="21">
        <f t="shared" si="1"/>
        <v>0</v>
      </c>
      <c r="B2112" s="32" t="s">
        <v>220</v>
      </c>
      <c r="C2112" s="23" t="s">
        <v>211</v>
      </c>
      <c r="D2112" s="23" t="s">
        <v>58</v>
      </c>
      <c r="E2112" s="37">
        <v>45428.0</v>
      </c>
      <c r="F2112" s="25">
        <v>0.27847222222222223</v>
      </c>
      <c r="G2112" s="25">
        <v>0.6</v>
      </c>
      <c r="H2112" s="27">
        <f t="shared" si="2"/>
        <v>0.3215277778</v>
      </c>
      <c r="I2112" s="28">
        <v>2.0</v>
      </c>
      <c r="J2112" s="29" t="s">
        <v>643</v>
      </c>
      <c r="K2112" s="30" t="s">
        <v>23</v>
      </c>
      <c r="L2112" s="31" t="str">
        <f>IFERROR(__xludf.DUMMYFUNCTION("IF(OR(E2112="""",K2112=""""),"""",IFERROR(IF(K2112="""","""",query('tbl user'!$A$2:$D10975,""SELECT A WHERE D = '""&amp;K2112&amp;""'"")),""USER TIDAK DIKETAHUI""))"),"#REF!")</f>
        <v>#REF!</v>
      </c>
    </row>
    <row r="2113">
      <c r="A2113" s="21">
        <f t="shared" si="1"/>
        <v>0</v>
      </c>
      <c r="B2113" s="32" t="s">
        <v>214</v>
      </c>
      <c r="C2113" s="23" t="s">
        <v>170</v>
      </c>
      <c r="D2113" s="23" t="s">
        <v>58</v>
      </c>
      <c r="E2113" s="37">
        <v>45428.0</v>
      </c>
      <c r="F2113" s="25">
        <v>0.2902777777777778</v>
      </c>
      <c r="G2113" s="25">
        <v>0.5923611111111111</v>
      </c>
      <c r="H2113" s="27">
        <f t="shared" si="2"/>
        <v>0.3020833333</v>
      </c>
      <c r="I2113" s="28">
        <v>2.0</v>
      </c>
      <c r="J2113" s="29" t="s">
        <v>1032</v>
      </c>
      <c r="K2113" s="30" t="s">
        <v>23</v>
      </c>
      <c r="L2113" s="31" t="str">
        <f>IFERROR(__xludf.DUMMYFUNCTION("IF(OR(E2113="""",K2113=""""),"""",IFERROR(IF(K2113="""","""",query('tbl user'!$A$2:$D10975,""SELECT A WHERE D = '""&amp;K2113&amp;""'"")),""USER TIDAK DIKETAHUI""))"),"#REF!")</f>
        <v>#REF!</v>
      </c>
    </row>
    <row r="2114">
      <c r="A2114" s="21">
        <f t="shared" si="1"/>
        <v>0</v>
      </c>
      <c r="B2114" s="32" t="s">
        <v>178</v>
      </c>
      <c r="C2114" s="23" t="s">
        <v>82</v>
      </c>
      <c r="D2114" s="23" t="s">
        <v>58</v>
      </c>
      <c r="E2114" s="37">
        <v>45428.0</v>
      </c>
      <c r="F2114" s="25">
        <v>0.2875</v>
      </c>
      <c r="G2114" s="25">
        <v>0.6236111111111111</v>
      </c>
      <c r="H2114" s="27">
        <f t="shared" si="2"/>
        <v>0.3361111111</v>
      </c>
      <c r="I2114" s="28">
        <v>2.0</v>
      </c>
      <c r="J2114" s="29" t="s">
        <v>1032</v>
      </c>
      <c r="K2114" s="30" t="s">
        <v>23</v>
      </c>
      <c r="L2114" s="31" t="str">
        <f>IFERROR(__xludf.DUMMYFUNCTION("IF(OR(E2114="""",K2114=""""),"""",IFERROR(IF(K2114="""","""",query('tbl user'!$A$2:$D10975,""SELECT A WHERE D = '""&amp;K2114&amp;""'"")),""USER TIDAK DIKETAHUI""))"),"#REF!")</f>
        <v>#REF!</v>
      </c>
    </row>
    <row r="2115">
      <c r="A2115" s="21">
        <f t="shared" si="1"/>
        <v>0</v>
      </c>
      <c r="B2115" s="32" t="s">
        <v>189</v>
      </c>
      <c r="C2115" s="23" t="s">
        <v>190</v>
      </c>
      <c r="D2115" s="23" t="s">
        <v>58</v>
      </c>
      <c r="E2115" s="37">
        <v>45428.0</v>
      </c>
      <c r="F2115" s="25">
        <v>0.27569444444444446</v>
      </c>
      <c r="G2115" s="25">
        <v>0.6013888888888889</v>
      </c>
      <c r="H2115" s="27">
        <f t="shared" si="2"/>
        <v>0.3256944444</v>
      </c>
      <c r="I2115" s="28">
        <v>2.0</v>
      </c>
      <c r="J2115" s="29" t="s">
        <v>1032</v>
      </c>
      <c r="K2115" s="30" t="s">
        <v>23</v>
      </c>
      <c r="L2115" s="31" t="str">
        <f>IFERROR(__xludf.DUMMYFUNCTION("IF(OR(E2115="""",K2115=""""),"""",IFERROR(IF(K2115="""","""",query('tbl user'!$A$2:$D10975,""SELECT A WHERE D = '""&amp;K2115&amp;""'"")),""USER TIDAK DIKETAHUI""))"),"#REF!")</f>
        <v>#REF!</v>
      </c>
    </row>
    <row r="2116">
      <c r="A2116" s="21">
        <f t="shared" si="1"/>
        <v>0</v>
      </c>
      <c r="B2116" s="32" t="s">
        <v>104</v>
      </c>
      <c r="C2116" s="23" t="s">
        <v>105</v>
      </c>
      <c r="D2116" s="23" t="s">
        <v>58</v>
      </c>
      <c r="E2116" s="37">
        <v>45428.0</v>
      </c>
      <c r="F2116" s="25">
        <v>0.26666666666666666</v>
      </c>
      <c r="G2116" s="25">
        <v>0.6416666666666667</v>
      </c>
      <c r="H2116" s="27">
        <f t="shared" si="2"/>
        <v>0.375</v>
      </c>
      <c r="I2116" s="28">
        <v>2.0</v>
      </c>
      <c r="J2116" s="29" t="s">
        <v>1032</v>
      </c>
      <c r="K2116" s="30" t="s">
        <v>23</v>
      </c>
      <c r="L2116" s="31" t="str">
        <f>IFERROR(__xludf.DUMMYFUNCTION("IF(OR(E2116="""",K2116=""""),"""",IFERROR(IF(K2116="""","""",query('tbl user'!$A$2:$D10975,""SELECT A WHERE D = '""&amp;K2116&amp;""'"")),""USER TIDAK DIKETAHUI""))"),"#REF!")</f>
        <v>#REF!</v>
      </c>
    </row>
    <row r="2117">
      <c r="A2117" s="21">
        <f t="shared" si="1"/>
        <v>0</v>
      </c>
      <c r="B2117" s="32" t="s">
        <v>202</v>
      </c>
      <c r="C2117" s="23" t="s">
        <v>203</v>
      </c>
      <c r="D2117" s="23" t="s">
        <v>58</v>
      </c>
      <c r="E2117" s="37">
        <v>45428.0</v>
      </c>
      <c r="F2117" s="25">
        <v>0.2708333333333333</v>
      </c>
      <c r="G2117" s="25">
        <v>0.7041666666666667</v>
      </c>
      <c r="H2117" s="27">
        <f t="shared" si="2"/>
        <v>0.4333333333</v>
      </c>
      <c r="I2117" s="28">
        <v>2.0</v>
      </c>
      <c r="J2117" s="29" t="s">
        <v>1033</v>
      </c>
      <c r="K2117" s="30" t="s">
        <v>23</v>
      </c>
      <c r="L2117" s="31" t="str">
        <f>IFERROR(__xludf.DUMMYFUNCTION("IF(OR(E2117="""",K2117=""""),"""",IFERROR(IF(K2117="""","""",query('tbl user'!$A$2:$D10975,""SELECT A WHERE D = '""&amp;K2117&amp;""'"")),""USER TIDAK DIKETAHUI""))"),"#REF!")</f>
        <v>#REF!</v>
      </c>
    </row>
    <row r="2118">
      <c r="A2118" s="21">
        <f t="shared" si="1"/>
        <v>0</v>
      </c>
      <c r="B2118" s="32" t="s">
        <v>205</v>
      </c>
      <c r="C2118" s="23" t="s">
        <v>206</v>
      </c>
      <c r="D2118" s="23" t="s">
        <v>58</v>
      </c>
      <c r="E2118" s="37">
        <v>45428.0</v>
      </c>
      <c r="F2118" s="25">
        <v>0.2777777777777778</v>
      </c>
      <c r="G2118" s="25">
        <v>0.5923611111111111</v>
      </c>
      <c r="H2118" s="27">
        <f t="shared" si="2"/>
        <v>0.3145833333</v>
      </c>
      <c r="I2118" s="28">
        <v>2.0</v>
      </c>
      <c r="J2118" s="29" t="s">
        <v>1034</v>
      </c>
      <c r="K2118" s="30" t="s">
        <v>23</v>
      </c>
      <c r="L2118" s="31" t="str">
        <f>IFERROR(__xludf.DUMMYFUNCTION("IF(OR(E2118="""",K2118=""""),"""",IFERROR(IF(K2118="""","""",query('tbl user'!$A$2:$D10975,""SELECT A WHERE D = '""&amp;K2118&amp;""'"")),""USER TIDAK DIKETAHUI""))"),"#REF!")</f>
        <v>#REF!</v>
      </c>
    </row>
    <row r="2119">
      <c r="A2119" s="21">
        <f t="shared" si="1"/>
        <v>0</v>
      </c>
      <c r="B2119" s="32" t="s">
        <v>224</v>
      </c>
      <c r="C2119" s="23" t="s">
        <v>208</v>
      </c>
      <c r="D2119" s="23" t="s">
        <v>58</v>
      </c>
      <c r="E2119" s="37">
        <v>45428.0</v>
      </c>
      <c r="F2119" s="25">
        <v>0.26666666666666666</v>
      </c>
      <c r="G2119" s="25">
        <v>0.6111111111111112</v>
      </c>
      <c r="H2119" s="27">
        <f t="shared" si="2"/>
        <v>0.3444444444</v>
      </c>
      <c r="I2119" s="28">
        <v>2.0</v>
      </c>
      <c r="J2119" s="29" t="s">
        <v>1035</v>
      </c>
      <c r="K2119" s="30" t="s">
        <v>23</v>
      </c>
      <c r="L2119" s="31" t="str">
        <f>IFERROR(__xludf.DUMMYFUNCTION("IF(OR(E2119="""",K2119=""""),"""",IFERROR(IF(K2119="""","""",query('tbl user'!$A$2:$D10975,""SELECT A WHERE D = '""&amp;K2119&amp;""'"")),""USER TIDAK DIKETAHUI""))"),"#REF!")</f>
        <v>#REF!</v>
      </c>
    </row>
    <row r="2120">
      <c r="A2120" s="21">
        <f t="shared" si="1"/>
        <v>0</v>
      </c>
      <c r="B2120" s="32" t="s">
        <v>67</v>
      </c>
      <c r="C2120" s="23" t="s">
        <v>68</v>
      </c>
      <c r="D2120" s="23" t="s">
        <v>58</v>
      </c>
      <c r="E2120" s="37">
        <v>45428.0</v>
      </c>
      <c r="F2120" s="25">
        <v>0.26458333333333334</v>
      </c>
      <c r="G2120" s="25">
        <v>0.6048611111111111</v>
      </c>
      <c r="H2120" s="27">
        <f t="shared" si="2"/>
        <v>0.3402777778</v>
      </c>
      <c r="I2120" s="28">
        <v>3.0</v>
      </c>
      <c r="J2120" s="29" t="s">
        <v>1036</v>
      </c>
      <c r="K2120" s="30" t="s">
        <v>23</v>
      </c>
      <c r="L2120" s="31" t="str">
        <f>IFERROR(__xludf.DUMMYFUNCTION("IF(OR(E2120="""",K2120=""""),"""",IFERROR(IF(K2120="""","""",query('tbl user'!$A$2:$D10975,""SELECT A WHERE D = '""&amp;K2120&amp;""'"")),""USER TIDAK DIKETAHUI""))"),"#REF!")</f>
        <v>#REF!</v>
      </c>
    </row>
    <row r="2121">
      <c r="A2121" s="21">
        <f t="shared" si="1"/>
        <v>0</v>
      </c>
      <c r="B2121" s="32" t="s">
        <v>95</v>
      </c>
      <c r="C2121" s="23" t="s">
        <v>93</v>
      </c>
      <c r="D2121" s="23" t="s">
        <v>58</v>
      </c>
      <c r="E2121" s="37">
        <v>45428.0</v>
      </c>
      <c r="F2121" s="25">
        <v>0.30069444444444443</v>
      </c>
      <c r="G2121" s="25">
        <v>0.7048611111111112</v>
      </c>
      <c r="H2121" s="27">
        <f t="shared" si="2"/>
        <v>0.4041666667</v>
      </c>
      <c r="I2121" s="28">
        <v>3.0</v>
      </c>
      <c r="J2121" s="29" t="s">
        <v>1001</v>
      </c>
      <c r="K2121" s="30" t="s">
        <v>23</v>
      </c>
      <c r="L2121" s="31" t="str">
        <f>IFERROR(__xludf.DUMMYFUNCTION("IF(OR(E2121="""",K2121=""""),"""",IFERROR(IF(K2121="""","""",query('tbl user'!$A$2:$D10975,""SELECT A WHERE D = '""&amp;K2121&amp;""'"")),""USER TIDAK DIKETAHUI""))"),"#REF!")</f>
        <v>#REF!</v>
      </c>
    </row>
    <row r="2122">
      <c r="A2122" s="21">
        <f t="shared" si="1"/>
        <v>0</v>
      </c>
      <c r="B2122" s="32" t="s">
        <v>215</v>
      </c>
      <c r="C2122" s="23" t="s">
        <v>176</v>
      </c>
      <c r="D2122" s="23" t="s">
        <v>58</v>
      </c>
      <c r="E2122" s="37">
        <v>45428.0</v>
      </c>
      <c r="F2122" s="25">
        <v>0.2902777777777778</v>
      </c>
      <c r="G2122" s="25">
        <v>0.6604166666666667</v>
      </c>
      <c r="H2122" s="27">
        <f t="shared" si="2"/>
        <v>0.3701388889</v>
      </c>
      <c r="I2122" s="28">
        <v>3.0</v>
      </c>
      <c r="J2122" s="29" t="s">
        <v>585</v>
      </c>
      <c r="K2122" s="30" t="s">
        <v>23</v>
      </c>
      <c r="L2122" s="31" t="str">
        <f>IFERROR(__xludf.DUMMYFUNCTION("IF(OR(E2122="""",K2122=""""),"""",IFERROR(IF(K2122="""","""",query('tbl user'!$A$2:$D10975,""SELECT A WHERE D = '""&amp;K2122&amp;""'"")),""USER TIDAK DIKETAHUI""))"),"#REF!")</f>
        <v>#REF!</v>
      </c>
    </row>
    <row r="2123">
      <c r="A2123" s="21">
        <f t="shared" si="1"/>
        <v>0</v>
      </c>
      <c r="B2123" s="32" t="s">
        <v>56</v>
      </c>
      <c r="C2123" s="23" t="s">
        <v>57</v>
      </c>
      <c r="D2123" s="23" t="s">
        <v>58</v>
      </c>
      <c r="E2123" s="37">
        <v>45428.0</v>
      </c>
      <c r="F2123" s="25">
        <v>0.2722222222222222</v>
      </c>
      <c r="G2123" s="25">
        <v>0.6673611111111111</v>
      </c>
      <c r="H2123" s="27">
        <f t="shared" si="2"/>
        <v>0.3951388889</v>
      </c>
      <c r="I2123" s="28">
        <v>3.0</v>
      </c>
      <c r="J2123" s="29" t="s">
        <v>1032</v>
      </c>
      <c r="K2123" s="30" t="s">
        <v>23</v>
      </c>
      <c r="L2123" s="31" t="str">
        <f>IFERROR(__xludf.DUMMYFUNCTION("IF(OR(E2123="""",K2123=""""),"""",IFERROR(IF(K2123="""","""",query('tbl user'!$A$2:$D10975,""SELECT A WHERE D = '""&amp;K2123&amp;""'"")),""USER TIDAK DIKETAHUI""))"),"#REF!")</f>
        <v>#REF!</v>
      </c>
    </row>
    <row r="2124">
      <c r="A2124" s="21">
        <f t="shared" si="1"/>
        <v>0</v>
      </c>
      <c r="B2124" s="32" t="s">
        <v>182</v>
      </c>
      <c r="C2124" s="23" t="s">
        <v>183</v>
      </c>
      <c r="D2124" s="23" t="s">
        <v>58</v>
      </c>
      <c r="E2124" s="37">
        <v>45428.0</v>
      </c>
      <c r="F2124" s="25">
        <v>0.2638888888888889</v>
      </c>
      <c r="G2124" s="25">
        <v>0.6118055555555556</v>
      </c>
      <c r="H2124" s="27">
        <f t="shared" si="2"/>
        <v>0.3479166667</v>
      </c>
      <c r="I2124" s="28">
        <v>3.0</v>
      </c>
      <c r="J2124" s="29" t="s">
        <v>1037</v>
      </c>
      <c r="K2124" s="30" t="s">
        <v>23</v>
      </c>
      <c r="L2124" s="31" t="str">
        <f>IFERROR(__xludf.DUMMYFUNCTION("IF(OR(E2124="""",K2124=""""),"""",IFERROR(IF(K2124="""","""",query('tbl user'!$A$2:$D10975,""SELECT A WHERE D = '""&amp;K2124&amp;""'"")),""USER TIDAK DIKETAHUI""))"),"#REF!")</f>
        <v>#REF!</v>
      </c>
    </row>
    <row r="2125">
      <c r="A2125" s="21">
        <f t="shared" si="1"/>
        <v>0</v>
      </c>
      <c r="B2125" s="32" t="s">
        <v>187</v>
      </c>
      <c r="C2125" s="23" t="s">
        <v>188</v>
      </c>
      <c r="D2125" s="23" t="s">
        <v>58</v>
      </c>
      <c r="E2125" s="37">
        <v>45428.0</v>
      </c>
      <c r="F2125" s="25">
        <v>0.2875</v>
      </c>
      <c r="G2125" s="25">
        <v>0.7027777777777777</v>
      </c>
      <c r="H2125" s="27">
        <f t="shared" si="2"/>
        <v>0.4152777778</v>
      </c>
      <c r="I2125" s="28">
        <v>3.0</v>
      </c>
      <c r="J2125" s="29" t="s">
        <v>1038</v>
      </c>
      <c r="K2125" s="30" t="s">
        <v>23</v>
      </c>
      <c r="L2125" s="31" t="str">
        <f>IFERROR(__xludf.DUMMYFUNCTION("IF(OR(E2125="""",K2125=""""),"""",IFERROR(IF(K2125="""","""",query('tbl user'!$A$2:$D10975,""SELECT A WHERE D = '""&amp;K2125&amp;""'"")),""USER TIDAK DIKETAHUI""))"),"#REF!")</f>
        <v>#REF!</v>
      </c>
    </row>
    <row r="2126">
      <c r="A2126" s="21">
        <f t="shared" si="1"/>
        <v>0</v>
      </c>
      <c r="B2126" s="32" t="s">
        <v>209</v>
      </c>
      <c r="C2126" s="23" t="s">
        <v>198</v>
      </c>
      <c r="D2126" s="23" t="s">
        <v>58</v>
      </c>
      <c r="E2126" s="37">
        <v>45428.0</v>
      </c>
      <c r="F2126" s="25">
        <v>0.29097222222222224</v>
      </c>
      <c r="G2126" s="25">
        <v>0.7076388888888889</v>
      </c>
      <c r="H2126" s="27">
        <f t="shared" si="2"/>
        <v>0.4166666667</v>
      </c>
      <c r="I2126" s="28">
        <v>3.0</v>
      </c>
      <c r="J2126" s="29" t="s">
        <v>1032</v>
      </c>
      <c r="K2126" s="30" t="s">
        <v>23</v>
      </c>
      <c r="L2126" s="31" t="str">
        <f>IFERROR(__xludf.DUMMYFUNCTION("IF(OR(E2126="""",K2126=""""),"""",IFERROR(IF(K2126="""","""",query('tbl user'!$A$2:$D10975,""SELECT A WHERE D = '""&amp;K2126&amp;""'"")),""USER TIDAK DIKETAHUI""))"),"#REF!")</f>
        <v>#REF!</v>
      </c>
    </row>
    <row r="2127">
      <c r="A2127" s="21">
        <f t="shared" si="1"/>
        <v>0</v>
      </c>
      <c r="B2127" s="32" t="s">
        <v>267</v>
      </c>
      <c r="C2127" s="23" t="s">
        <v>85</v>
      </c>
      <c r="D2127" s="23" t="s">
        <v>58</v>
      </c>
      <c r="E2127" s="37">
        <v>45428.0</v>
      </c>
      <c r="F2127" s="25">
        <v>0.2652777777777778</v>
      </c>
      <c r="G2127" s="25">
        <v>0.7243055555555555</v>
      </c>
      <c r="H2127" s="27">
        <f t="shared" si="2"/>
        <v>0.4590277778</v>
      </c>
      <c r="I2127" s="28">
        <v>3.0</v>
      </c>
      <c r="J2127" s="29" t="s">
        <v>1039</v>
      </c>
      <c r="K2127" s="30" t="s">
        <v>23</v>
      </c>
      <c r="L2127" s="31" t="str">
        <f>IFERROR(__xludf.DUMMYFUNCTION("IF(OR(E2127="""",K2127=""""),"""",IFERROR(IF(K2127="""","""",query('tbl user'!$A$2:$D10975,""SELECT A WHERE D = '""&amp;K2127&amp;""'"")),""USER TIDAK DIKETAHUI""))"),"#REF!")</f>
        <v>#REF!</v>
      </c>
    </row>
    <row r="2128">
      <c r="A2128" s="21">
        <f t="shared" si="1"/>
        <v>0</v>
      </c>
      <c r="B2128" s="32" t="s">
        <v>180</v>
      </c>
      <c r="C2128" s="23" t="s">
        <v>181</v>
      </c>
      <c r="D2128" s="23" t="s">
        <v>58</v>
      </c>
      <c r="E2128" s="37">
        <v>45428.0</v>
      </c>
      <c r="F2128" s="25">
        <v>0.2625</v>
      </c>
      <c r="G2128" s="25">
        <v>0.7069444444444445</v>
      </c>
      <c r="H2128" s="27">
        <f t="shared" si="2"/>
        <v>0.4444444444</v>
      </c>
      <c r="I2128" s="28">
        <v>4.0</v>
      </c>
      <c r="J2128" s="29" t="s">
        <v>55</v>
      </c>
      <c r="K2128" s="30" t="s">
        <v>23</v>
      </c>
      <c r="L2128" s="31" t="str">
        <f>IFERROR(__xludf.DUMMYFUNCTION("IF(OR(E2128="""",K2128=""""),"""",IFERROR(IF(K2128="""","""",query('tbl user'!$A$2:$D10975,""SELECT A WHERE D = '""&amp;K2128&amp;""'"")),""USER TIDAK DIKETAHUI""))"),"#REF!")</f>
        <v>#REF!</v>
      </c>
    </row>
    <row r="2129">
      <c r="A2129" s="21">
        <f t="shared" si="1"/>
        <v>0</v>
      </c>
      <c r="B2129" s="32" t="s">
        <v>191</v>
      </c>
      <c r="C2129" s="23" t="s">
        <v>192</v>
      </c>
      <c r="D2129" s="23" t="s">
        <v>58</v>
      </c>
      <c r="E2129" s="37">
        <v>45428.0</v>
      </c>
      <c r="F2129" s="25">
        <v>0.26875</v>
      </c>
      <c r="G2129" s="25">
        <v>0.7166666666666667</v>
      </c>
      <c r="H2129" s="27">
        <f t="shared" si="2"/>
        <v>0.4479166667</v>
      </c>
      <c r="I2129" s="28">
        <v>4.0</v>
      </c>
      <c r="J2129" s="29" t="s">
        <v>55</v>
      </c>
      <c r="K2129" s="30" t="s">
        <v>23</v>
      </c>
      <c r="L2129" s="31" t="str">
        <f>IFERROR(__xludf.DUMMYFUNCTION("IF(OR(E2129="""",K2129=""""),"""",IFERROR(IF(K2129="""","""",query('tbl user'!$A$2:$D10975,""SELECT A WHERE D = '""&amp;K2129&amp;""'"")),""USER TIDAK DIKETAHUI""))"),"#REF!")</f>
        <v>#REF!</v>
      </c>
    </row>
    <row r="2130">
      <c r="A2130" s="21">
        <f t="shared" si="1"/>
        <v>0</v>
      </c>
      <c r="B2130" s="32" t="s">
        <v>194</v>
      </c>
      <c r="C2130" s="23" t="s">
        <v>195</v>
      </c>
      <c r="D2130" s="23" t="s">
        <v>58</v>
      </c>
      <c r="E2130" s="37">
        <v>45428.0</v>
      </c>
      <c r="F2130" s="25">
        <v>0.27569444444444446</v>
      </c>
      <c r="G2130" s="25">
        <v>0.6972222222222222</v>
      </c>
      <c r="H2130" s="27">
        <f t="shared" si="2"/>
        <v>0.4215277778</v>
      </c>
      <c r="I2130" s="28">
        <v>4.0</v>
      </c>
      <c r="J2130" s="29" t="s">
        <v>55</v>
      </c>
      <c r="K2130" s="30" t="s">
        <v>23</v>
      </c>
      <c r="L2130" s="31" t="str">
        <f>IFERROR(__xludf.DUMMYFUNCTION("IF(OR(E2130="""",K2130=""""),"""",IFERROR(IF(K2130="""","""",query('tbl user'!$A$2:$D10975,""SELECT A WHERE D = '""&amp;K2130&amp;""'"")),""USER TIDAK DIKETAHUI""))"),"#REF!")</f>
        <v>#REF!</v>
      </c>
    </row>
    <row r="2131">
      <c r="A2131" s="21">
        <f t="shared" si="1"/>
        <v>0</v>
      </c>
      <c r="B2131" s="32" t="s">
        <v>61</v>
      </c>
      <c r="C2131" s="23" t="s">
        <v>62</v>
      </c>
      <c r="D2131" s="23" t="s">
        <v>21</v>
      </c>
      <c r="E2131" s="37">
        <v>45428.0</v>
      </c>
      <c r="F2131" s="25">
        <v>0.60625</v>
      </c>
      <c r="G2131" s="25">
        <v>0.6479166666666667</v>
      </c>
      <c r="H2131" s="27">
        <f t="shared" si="2"/>
        <v>0.04166666667</v>
      </c>
      <c r="I2131" s="28">
        <v>1.0</v>
      </c>
      <c r="J2131" s="29" t="s">
        <v>1040</v>
      </c>
      <c r="K2131" s="30" t="s">
        <v>23</v>
      </c>
      <c r="L2131" s="31" t="str">
        <f>IFERROR(__xludf.DUMMYFUNCTION("IF(OR(E2131="""",K2131=""""),"""",IFERROR(IF(K2131="""","""",query('tbl user'!$A$2:$D10975,""SELECT A WHERE D = '""&amp;K2131&amp;""'"")),""USER TIDAK DIKETAHUI""))"),"#REF!")</f>
        <v>#REF!</v>
      </c>
    </row>
    <row r="2132">
      <c r="A2132" s="21">
        <f t="shared" si="1"/>
        <v>0</v>
      </c>
      <c r="B2132" s="32" t="s">
        <v>281</v>
      </c>
      <c r="C2132" s="23" t="s">
        <v>282</v>
      </c>
      <c r="D2132" s="23" t="s">
        <v>21</v>
      </c>
      <c r="E2132" s="37">
        <v>45428.0</v>
      </c>
      <c r="F2132" s="25">
        <v>0.3020833333333333</v>
      </c>
      <c r="G2132" s="25">
        <v>0.6673611111111111</v>
      </c>
      <c r="H2132" s="27">
        <f t="shared" si="2"/>
        <v>0.3652777778</v>
      </c>
      <c r="I2132" s="28">
        <v>3.0</v>
      </c>
      <c r="J2132" s="29" t="s">
        <v>736</v>
      </c>
      <c r="K2132" s="30" t="s">
        <v>23</v>
      </c>
      <c r="L2132" s="31" t="str">
        <f>IFERROR(__xludf.DUMMYFUNCTION("IF(OR(E2132="""",K2132=""""),"""",IFERROR(IF(K2132="""","""",query('tbl user'!$A$2:$D10975,""SELECT A WHERE D = '""&amp;K2132&amp;""'"")),""USER TIDAK DIKETAHUI""))"),"#REF!")</f>
        <v>#REF!</v>
      </c>
    </row>
    <row r="2133">
      <c r="A2133" s="21">
        <f t="shared" si="1"/>
        <v>0</v>
      </c>
      <c r="B2133" s="32" t="s">
        <v>51</v>
      </c>
      <c r="C2133" s="23" t="s">
        <v>27</v>
      </c>
      <c r="D2133" s="23" t="s">
        <v>21</v>
      </c>
      <c r="E2133" s="37">
        <v>45428.0</v>
      </c>
      <c r="F2133" s="25">
        <v>0.25555555555555554</v>
      </c>
      <c r="G2133" s="25">
        <v>0.6409722222222223</v>
      </c>
      <c r="H2133" s="27">
        <f t="shared" si="2"/>
        <v>0.3854166667</v>
      </c>
      <c r="I2133" s="28">
        <v>3.0</v>
      </c>
      <c r="J2133" s="29" t="s">
        <v>1041</v>
      </c>
      <c r="K2133" s="30" t="s">
        <v>23</v>
      </c>
      <c r="L2133" s="31" t="str">
        <f>IFERROR(__xludf.DUMMYFUNCTION("IF(OR(E2133="""",K2133=""""),"""",IFERROR(IF(K2133="""","""",query('tbl user'!$A$2:$D10975,""SELECT A WHERE D = '""&amp;K2133&amp;""'"")),""USER TIDAK DIKETAHUI""))"),"#REF!")</f>
        <v>#REF!</v>
      </c>
    </row>
    <row r="2134">
      <c r="A2134" s="21">
        <f t="shared" si="1"/>
        <v>0</v>
      </c>
      <c r="B2134" s="32" t="s">
        <v>289</v>
      </c>
      <c r="C2134" s="23" t="s">
        <v>290</v>
      </c>
      <c r="D2134" s="23" t="s">
        <v>21</v>
      </c>
      <c r="E2134" s="37">
        <v>45428.0</v>
      </c>
      <c r="F2134" s="25">
        <v>0.27847222222222223</v>
      </c>
      <c r="G2134" s="25">
        <v>0.7131944444444445</v>
      </c>
      <c r="H2134" s="27">
        <f t="shared" si="2"/>
        <v>0.4347222222</v>
      </c>
      <c r="I2134" s="28">
        <v>4.0</v>
      </c>
      <c r="J2134" s="29" t="s">
        <v>55</v>
      </c>
      <c r="K2134" s="30" t="s">
        <v>23</v>
      </c>
      <c r="L2134" s="31" t="str">
        <f>IFERROR(__xludf.DUMMYFUNCTION("IF(OR(E2134="""",K2134=""""),"""",IFERROR(IF(K2134="""","""",query('tbl user'!$A$2:$D10975,""SELECT A WHERE D = '""&amp;K2134&amp;""'"")),""USER TIDAK DIKETAHUI""))"),"#REF!")</f>
        <v>#REF!</v>
      </c>
    </row>
    <row r="2135">
      <c r="A2135" s="21">
        <f t="shared" si="1"/>
        <v>0</v>
      </c>
      <c r="B2135" s="32" t="s">
        <v>662</v>
      </c>
      <c r="C2135" s="23" t="s">
        <v>234</v>
      </c>
      <c r="D2135" s="23" t="s">
        <v>21</v>
      </c>
      <c r="E2135" s="37">
        <v>45428.0</v>
      </c>
      <c r="F2135" s="25">
        <v>0.2861111111111111</v>
      </c>
      <c r="G2135" s="25">
        <v>0.5465277777777777</v>
      </c>
      <c r="H2135" s="27">
        <f t="shared" si="2"/>
        <v>0.2604166667</v>
      </c>
      <c r="I2135" s="28">
        <v>2.0</v>
      </c>
      <c r="J2135" s="29" t="s">
        <v>1042</v>
      </c>
      <c r="K2135" s="30" t="s">
        <v>23</v>
      </c>
      <c r="L2135" s="31" t="str">
        <f>IFERROR(__xludf.DUMMYFUNCTION("IF(OR(E2135="""",K2135=""""),"""",IFERROR(IF(K2135="""","""",query('tbl user'!$A$2:$D10975,""SELECT A WHERE D = '""&amp;K2135&amp;""'"")),""USER TIDAK DIKETAHUI""))"),"#REF!")</f>
        <v>#REF!</v>
      </c>
    </row>
    <row r="2136">
      <c r="A2136" s="21">
        <f t="shared" si="1"/>
        <v>0</v>
      </c>
      <c r="B2136" s="32" t="s">
        <v>34</v>
      </c>
      <c r="C2136" s="23" t="s">
        <v>35</v>
      </c>
      <c r="D2136" s="23" t="s">
        <v>21</v>
      </c>
      <c r="E2136" s="37">
        <v>45428.0</v>
      </c>
      <c r="F2136" s="25">
        <v>0.4201388888888889</v>
      </c>
      <c r="G2136" s="25">
        <v>0.6819444444444445</v>
      </c>
      <c r="H2136" s="27">
        <f t="shared" si="2"/>
        <v>0.2618055556</v>
      </c>
      <c r="I2136" s="28">
        <v>3.0</v>
      </c>
      <c r="J2136" s="29" t="s">
        <v>1043</v>
      </c>
      <c r="K2136" s="30" t="s">
        <v>23</v>
      </c>
      <c r="L2136" s="31" t="str">
        <f>IFERROR(__xludf.DUMMYFUNCTION("IF(OR(E2136="""",K2136=""""),"""",IFERROR(IF(K2136="""","""",query('tbl user'!$A$2:$D10975,""SELECT A WHERE D = '""&amp;K2136&amp;""'"")),""USER TIDAK DIKETAHUI""))"),"#REF!")</f>
        <v>#REF!</v>
      </c>
    </row>
    <row r="2137">
      <c r="A2137" s="21">
        <f t="shared" si="1"/>
        <v>0</v>
      </c>
      <c r="B2137" s="32" t="s">
        <v>43</v>
      </c>
      <c r="C2137" s="23" t="s">
        <v>44</v>
      </c>
      <c r="D2137" s="23" t="s">
        <v>21</v>
      </c>
      <c r="E2137" s="37">
        <v>45428.0</v>
      </c>
      <c r="F2137" s="25">
        <v>0.2833333333333333</v>
      </c>
      <c r="G2137" s="25">
        <v>0.5465277777777777</v>
      </c>
      <c r="H2137" s="27">
        <f t="shared" si="2"/>
        <v>0.2631944444</v>
      </c>
      <c r="I2137" s="28">
        <v>3.0</v>
      </c>
      <c r="J2137" s="29" t="s">
        <v>1044</v>
      </c>
      <c r="K2137" s="30" t="s">
        <v>23</v>
      </c>
      <c r="L2137" s="31" t="str">
        <f>IFERROR(__xludf.DUMMYFUNCTION("IF(OR(E2137="""",K2137=""""),"""",IFERROR(IF(K2137="""","""",query('tbl user'!$A$2:$D10975,""SELECT A WHERE D = '""&amp;K2137&amp;""'"")),""USER TIDAK DIKETAHUI""))"),"#REF!")</f>
        <v>#REF!</v>
      </c>
    </row>
    <row r="2138">
      <c r="A2138" s="21">
        <f t="shared" si="1"/>
        <v>0</v>
      </c>
      <c r="B2138" s="32" t="s">
        <v>246</v>
      </c>
      <c r="C2138" s="23" t="s">
        <v>99</v>
      </c>
      <c r="D2138" s="23" t="s">
        <v>21</v>
      </c>
      <c r="E2138" s="37">
        <v>45428.0</v>
      </c>
      <c r="F2138" s="25">
        <v>0.2798611111111111</v>
      </c>
      <c r="G2138" s="25">
        <v>0.6861111111111111</v>
      </c>
      <c r="H2138" s="27">
        <f t="shared" si="2"/>
        <v>0.40625</v>
      </c>
      <c r="I2138" s="28">
        <v>4.0</v>
      </c>
      <c r="J2138" s="29" t="s">
        <v>349</v>
      </c>
      <c r="K2138" s="30" t="s">
        <v>23</v>
      </c>
      <c r="L2138" s="31" t="str">
        <f>IFERROR(__xludf.DUMMYFUNCTION("IF(OR(E2138="""",K2138=""""),"""",IFERROR(IF(K2138="""","""",query('tbl user'!$A$2:$D10975,""SELECT A WHERE D = '""&amp;K2138&amp;""'"")),""USER TIDAK DIKETAHUI""))"),"#REF!")</f>
        <v>#REF!</v>
      </c>
    </row>
    <row r="2139">
      <c r="A2139" s="21">
        <f t="shared" si="1"/>
        <v>0</v>
      </c>
      <c r="B2139" s="32" t="s">
        <v>243</v>
      </c>
      <c r="C2139" s="23" t="s">
        <v>244</v>
      </c>
      <c r="D2139" s="23" t="s">
        <v>21</v>
      </c>
      <c r="E2139" s="37">
        <v>45428.0</v>
      </c>
      <c r="F2139" s="25">
        <v>0.2923611111111111</v>
      </c>
      <c r="G2139" s="25">
        <v>0.6659722222222222</v>
      </c>
      <c r="H2139" s="27">
        <f t="shared" si="2"/>
        <v>0.3736111111</v>
      </c>
      <c r="I2139" s="28">
        <v>4.0</v>
      </c>
      <c r="J2139" s="29" t="s">
        <v>1045</v>
      </c>
      <c r="K2139" s="30" t="s">
        <v>23</v>
      </c>
      <c r="L2139" s="31" t="str">
        <f>IFERROR(__xludf.DUMMYFUNCTION("IF(OR(E2139="""",K2139=""""),"""",IFERROR(IF(K2139="""","""",query('tbl user'!$A$2:$D10975,""SELECT A WHERE D = '""&amp;K2139&amp;""'"")),""USER TIDAK DIKETAHUI""))"),"#REF!")</f>
        <v>#REF!</v>
      </c>
    </row>
    <row r="2140">
      <c r="A2140" s="21">
        <f t="shared" si="1"/>
        <v>0</v>
      </c>
      <c r="B2140" s="32" t="s">
        <v>231</v>
      </c>
      <c r="C2140" s="23" t="s">
        <v>232</v>
      </c>
      <c r="D2140" s="23" t="s">
        <v>21</v>
      </c>
      <c r="E2140" s="37">
        <v>45428.0</v>
      </c>
      <c r="F2140" s="25">
        <v>0.26666666666666666</v>
      </c>
      <c r="G2140" s="25">
        <v>0.6659722222222222</v>
      </c>
      <c r="H2140" s="27">
        <f t="shared" si="2"/>
        <v>0.3993055556</v>
      </c>
      <c r="I2140" s="28">
        <v>4.0</v>
      </c>
      <c r="J2140" s="29" t="s">
        <v>1046</v>
      </c>
      <c r="K2140" s="30" t="s">
        <v>23</v>
      </c>
      <c r="L2140" s="31" t="str">
        <f>IFERROR(__xludf.DUMMYFUNCTION("IF(OR(E2140="""",K2140=""""),"""",IFERROR(IF(K2140="""","""",query('tbl user'!$A$2:$D10975,""SELECT A WHERE D = '""&amp;K2140&amp;""'"")),""USER TIDAK DIKETAHUI""))"),"#REF!")</f>
        <v>#REF!</v>
      </c>
    </row>
    <row r="2141">
      <c r="A2141" s="21">
        <f t="shared" si="1"/>
        <v>0</v>
      </c>
      <c r="B2141" s="32" t="s">
        <v>255</v>
      </c>
      <c r="C2141" s="23" t="s">
        <v>256</v>
      </c>
      <c r="D2141" s="23" t="s">
        <v>21</v>
      </c>
      <c r="E2141" s="37">
        <v>45428.0</v>
      </c>
      <c r="F2141" s="25">
        <v>0.4</v>
      </c>
      <c r="G2141" s="25">
        <v>0.7430555555555556</v>
      </c>
      <c r="H2141" s="27">
        <f t="shared" si="2"/>
        <v>0.3430555556</v>
      </c>
      <c r="I2141" s="28">
        <v>4.0</v>
      </c>
      <c r="J2141" s="29" t="s">
        <v>1047</v>
      </c>
      <c r="K2141" s="30" t="s">
        <v>23</v>
      </c>
      <c r="L2141" s="31" t="str">
        <f>IFERROR(__xludf.DUMMYFUNCTION("IF(OR(E2141="""",K2141=""""),"""",IFERROR(IF(K2141="""","""",query('tbl user'!$A$2:$D10975,""SELECT A WHERE D = '""&amp;K2141&amp;""'"")),""USER TIDAK DIKETAHUI""))"),"#REF!")</f>
        <v>#REF!</v>
      </c>
    </row>
    <row r="2142">
      <c r="A2142" s="21">
        <f t="shared" si="1"/>
        <v>0</v>
      </c>
      <c r="B2142" s="32" t="s">
        <v>328</v>
      </c>
      <c r="C2142" s="23" t="s">
        <v>329</v>
      </c>
      <c r="D2142" s="23" t="s">
        <v>21</v>
      </c>
      <c r="E2142" s="37">
        <v>45428.0</v>
      </c>
      <c r="F2142" s="25">
        <v>0.28541666666666665</v>
      </c>
      <c r="G2142" s="25">
        <v>0.6645833333333333</v>
      </c>
      <c r="H2142" s="27">
        <f t="shared" si="2"/>
        <v>0.3791666667</v>
      </c>
      <c r="I2142" s="28">
        <v>4.0</v>
      </c>
      <c r="J2142" s="29" t="s">
        <v>1048</v>
      </c>
      <c r="K2142" s="30" t="s">
        <v>23</v>
      </c>
      <c r="L2142" s="31" t="str">
        <f>IFERROR(__xludf.DUMMYFUNCTION("IF(OR(E2142="""",K2142=""""),"""",IFERROR(IF(K2142="""","""",query('tbl user'!$A$2:$D10975,""SELECT A WHERE D = '""&amp;K2142&amp;""'"")),""USER TIDAK DIKETAHUI""))"),"#REF!")</f>
        <v>#REF!</v>
      </c>
    </row>
    <row r="2143">
      <c r="A2143" s="21">
        <f t="shared" si="1"/>
        <v>0</v>
      </c>
      <c r="B2143" s="32" t="s">
        <v>319</v>
      </c>
      <c r="C2143" s="23" t="s">
        <v>320</v>
      </c>
      <c r="D2143" s="23" t="s">
        <v>21</v>
      </c>
      <c r="E2143" s="37">
        <v>45428.0</v>
      </c>
      <c r="F2143" s="25">
        <v>0.2625</v>
      </c>
      <c r="G2143" s="25">
        <v>0.5944444444444444</v>
      </c>
      <c r="H2143" s="27">
        <f t="shared" si="2"/>
        <v>0.3319444444</v>
      </c>
      <c r="I2143" s="28">
        <v>4.0</v>
      </c>
      <c r="J2143" s="29" t="s">
        <v>353</v>
      </c>
      <c r="K2143" s="30" t="s">
        <v>23</v>
      </c>
      <c r="L2143" s="31" t="str">
        <f>IFERROR(__xludf.DUMMYFUNCTION("IF(OR(E2143="""",K2143=""""),"""",IFERROR(IF(K2143="""","""",query('tbl user'!$A$2:$D10975,""SELECT A WHERE D = '""&amp;K2143&amp;""'"")),""USER TIDAK DIKETAHUI""))"),"#REF!")</f>
        <v>#REF!</v>
      </c>
    </row>
    <row r="2144">
      <c r="A2144" s="21">
        <f t="shared" si="1"/>
        <v>0</v>
      </c>
      <c r="B2144" s="32" t="s">
        <v>325</v>
      </c>
      <c r="C2144" s="23" t="s">
        <v>326</v>
      </c>
      <c r="D2144" s="23" t="s">
        <v>21</v>
      </c>
      <c r="E2144" s="37">
        <v>45428.0</v>
      </c>
      <c r="F2144" s="25">
        <v>0.26319444444444445</v>
      </c>
      <c r="G2144" s="25">
        <v>0.59375</v>
      </c>
      <c r="H2144" s="27">
        <f t="shared" si="2"/>
        <v>0.3305555556</v>
      </c>
      <c r="I2144" s="28">
        <v>4.0</v>
      </c>
      <c r="J2144" s="29" t="s">
        <v>1049</v>
      </c>
      <c r="K2144" s="30" t="s">
        <v>23</v>
      </c>
      <c r="L2144" s="31" t="str">
        <f>IFERROR(__xludf.DUMMYFUNCTION("IF(OR(E2144="""",K2144=""""),"""",IFERROR(IF(K2144="""","""",query('tbl user'!$A$2:$D10975,""SELECT A WHERE D = '""&amp;K2144&amp;""'"")),""USER TIDAK DIKETAHUI""))"),"#REF!")</f>
        <v>#REF!</v>
      </c>
    </row>
    <row r="2145">
      <c r="A2145" s="21">
        <f t="shared" si="1"/>
        <v>0</v>
      </c>
      <c r="B2145" s="32" t="s">
        <v>601</v>
      </c>
      <c r="C2145" s="23" t="s">
        <v>323</v>
      </c>
      <c r="D2145" s="23" t="s">
        <v>21</v>
      </c>
      <c r="E2145" s="37">
        <v>45428.0</v>
      </c>
      <c r="F2145" s="25">
        <v>0.2708333333333333</v>
      </c>
      <c r="G2145" s="25">
        <v>0.6527777777777778</v>
      </c>
      <c r="H2145" s="27">
        <f t="shared" si="2"/>
        <v>0.3819444444</v>
      </c>
      <c r="I2145" s="28">
        <v>4.0</v>
      </c>
      <c r="J2145" s="29" t="s">
        <v>1048</v>
      </c>
      <c r="K2145" s="30" t="s">
        <v>23</v>
      </c>
      <c r="L2145" s="31" t="str">
        <f>IFERROR(__xludf.DUMMYFUNCTION("IF(OR(E2145="""",K2145=""""),"""",IFERROR(IF(K2145="""","""",query('tbl user'!$A$2:$D10975,""SELECT A WHERE D = '""&amp;K2145&amp;""'"")),""USER TIDAK DIKETAHUI""))"),"#REF!")</f>
        <v>#REF!</v>
      </c>
    </row>
    <row r="2146">
      <c r="A2146" s="21">
        <f t="shared" si="1"/>
        <v>0</v>
      </c>
      <c r="B2146" s="32" t="s">
        <v>81</v>
      </c>
      <c r="C2146" s="23" t="s">
        <v>261</v>
      </c>
      <c r="D2146" s="23" t="s">
        <v>21</v>
      </c>
      <c r="E2146" s="37">
        <v>45428.0</v>
      </c>
      <c r="F2146" s="25">
        <v>0.27361111111111114</v>
      </c>
      <c r="G2146" s="25">
        <v>0.6430555555555556</v>
      </c>
      <c r="H2146" s="27">
        <f t="shared" si="2"/>
        <v>0.3694444444</v>
      </c>
      <c r="I2146" s="28">
        <v>4.0</v>
      </c>
      <c r="J2146" s="29" t="s">
        <v>301</v>
      </c>
      <c r="K2146" s="30" t="s">
        <v>23</v>
      </c>
      <c r="L2146" s="31" t="str">
        <f>IFERROR(__xludf.DUMMYFUNCTION("IF(OR(E2146="""",K2146=""""),"""",IFERROR(IF(K2146="""","""",query('tbl user'!$A$2:$D10975,""SELECT A WHERE D = '""&amp;K2146&amp;""'"")),""USER TIDAK DIKETAHUI""))"),"#REF!")</f>
        <v>#REF!</v>
      </c>
    </row>
    <row r="2147">
      <c r="A2147" s="21">
        <f t="shared" si="1"/>
        <v>0</v>
      </c>
      <c r="B2147" s="32" t="s">
        <v>238</v>
      </c>
      <c r="C2147" s="23" t="s">
        <v>239</v>
      </c>
      <c r="D2147" s="23" t="s">
        <v>21</v>
      </c>
      <c r="E2147" s="37">
        <v>45428.0</v>
      </c>
      <c r="F2147" s="25">
        <v>0.2923611111111111</v>
      </c>
      <c r="G2147" s="25">
        <v>0.6770833333333334</v>
      </c>
      <c r="H2147" s="27">
        <f t="shared" si="2"/>
        <v>0.3847222222</v>
      </c>
      <c r="I2147" s="28">
        <v>5.0</v>
      </c>
      <c r="J2147" s="29" t="s">
        <v>55</v>
      </c>
      <c r="K2147" s="30" t="s">
        <v>23</v>
      </c>
      <c r="L2147" s="31" t="str">
        <f>IFERROR(__xludf.DUMMYFUNCTION("IF(OR(E2147="""",K2147=""""),"""",IFERROR(IF(K2147="""","""",query('tbl user'!$A$2:$D10975,""SELECT A WHERE D = '""&amp;K2147&amp;""'"")),""USER TIDAK DIKETAHUI""))"),"#REF!")</f>
        <v>#REF!</v>
      </c>
    </row>
    <row r="2148">
      <c r="A2148" s="21">
        <f t="shared" si="1"/>
        <v>0</v>
      </c>
      <c r="B2148" s="32" t="s">
        <v>24</v>
      </c>
      <c r="C2148" s="23" t="s">
        <v>25</v>
      </c>
      <c r="D2148" s="23" t="s">
        <v>21</v>
      </c>
      <c r="E2148" s="37">
        <v>45428.0</v>
      </c>
      <c r="F2148" s="25">
        <v>0.26458333333333334</v>
      </c>
      <c r="G2148" s="25">
        <v>0.6902777777777778</v>
      </c>
      <c r="H2148" s="27">
        <f t="shared" si="2"/>
        <v>0.4256944444</v>
      </c>
      <c r="I2148" s="28">
        <v>5.0</v>
      </c>
      <c r="J2148" s="29" t="s">
        <v>55</v>
      </c>
      <c r="K2148" s="30" t="s">
        <v>23</v>
      </c>
      <c r="L2148" s="31" t="str">
        <f>IFERROR(__xludf.DUMMYFUNCTION("IF(OR(E2148="""",K2148=""""),"""",IFERROR(IF(K2148="""","""",query('tbl user'!$A$2:$D10975,""SELECT A WHERE D = '""&amp;K2148&amp;""'"")),""USER TIDAK DIKETAHUI""))"),"#REF!")</f>
        <v>#REF!</v>
      </c>
    </row>
    <row r="2149">
      <c r="A2149" s="21">
        <f t="shared" si="1"/>
        <v>0</v>
      </c>
      <c r="B2149" s="32" t="s">
        <v>305</v>
      </c>
      <c r="C2149" s="23" t="s">
        <v>251</v>
      </c>
      <c r="D2149" s="23" t="s">
        <v>21</v>
      </c>
      <c r="E2149" s="37">
        <v>45428.0</v>
      </c>
      <c r="F2149" s="25">
        <v>0.2638888888888889</v>
      </c>
      <c r="G2149" s="25">
        <v>0.7506944444444444</v>
      </c>
      <c r="H2149" s="27">
        <f t="shared" si="2"/>
        <v>0.4868055556</v>
      </c>
      <c r="I2149" s="28">
        <v>5.0</v>
      </c>
      <c r="J2149" s="29" t="s">
        <v>55</v>
      </c>
      <c r="K2149" s="30" t="s">
        <v>23</v>
      </c>
      <c r="L2149" s="31" t="str">
        <f>IFERROR(__xludf.DUMMYFUNCTION("IF(OR(E2149="""",K2149=""""),"""",IFERROR(IF(K2149="""","""",query('tbl user'!$A$2:$D10975,""SELECT A WHERE D = '""&amp;K2149&amp;""'"")),""USER TIDAK DIKETAHUI""))"),"#REF!")</f>
        <v>#REF!</v>
      </c>
    </row>
    <row r="2150">
      <c r="A2150" s="21">
        <f t="shared" si="1"/>
        <v>0</v>
      </c>
      <c r="B2150" s="32" t="s">
        <v>131</v>
      </c>
      <c r="C2150" s="23" t="s">
        <v>339</v>
      </c>
      <c r="D2150" s="23" t="s">
        <v>21</v>
      </c>
      <c r="E2150" s="37">
        <v>45428.0</v>
      </c>
      <c r="F2150" s="25">
        <v>0.32222222222222224</v>
      </c>
      <c r="G2150" s="25">
        <v>0.6798611111111111</v>
      </c>
      <c r="H2150" s="27">
        <f t="shared" si="2"/>
        <v>0.3576388889</v>
      </c>
      <c r="I2150" s="28">
        <v>5.0</v>
      </c>
      <c r="J2150" s="29" t="s">
        <v>55</v>
      </c>
      <c r="K2150" s="30" t="s">
        <v>23</v>
      </c>
      <c r="L2150" s="31" t="str">
        <f>IFERROR(__xludf.DUMMYFUNCTION("IF(OR(E2150="""",K2150=""""),"""",IFERROR(IF(K2150="""","""",query('tbl user'!$A$2:$D10975,""SELECT A WHERE D = '""&amp;K2150&amp;""'"")),""USER TIDAK DIKETAHUI""))"),"#REF!")</f>
        <v>#REF!</v>
      </c>
    </row>
    <row r="2151">
      <c r="A2151" s="21">
        <f t="shared" si="1"/>
        <v>0</v>
      </c>
      <c r="B2151" s="32" t="s">
        <v>716</v>
      </c>
      <c r="C2151" s="23" t="s">
        <v>316</v>
      </c>
      <c r="D2151" s="23" t="s">
        <v>21</v>
      </c>
      <c r="E2151" s="37">
        <v>45428.0</v>
      </c>
      <c r="F2151" s="25">
        <v>0.2722222222222222</v>
      </c>
      <c r="G2151" s="25">
        <v>0.7090277777777778</v>
      </c>
      <c r="H2151" s="27">
        <f t="shared" si="2"/>
        <v>0.4368055556</v>
      </c>
      <c r="I2151" s="28">
        <v>5.0</v>
      </c>
      <c r="J2151" s="29" t="s">
        <v>55</v>
      </c>
      <c r="K2151" s="30" t="s">
        <v>23</v>
      </c>
      <c r="L2151" s="31" t="str">
        <f>IFERROR(__xludf.DUMMYFUNCTION("IF(OR(E2151="""",K2151=""""),"""",IFERROR(IF(K2151="""","""",query('tbl user'!$A$2:$D10975,""SELECT A WHERE D = '""&amp;K2151&amp;""'"")),""USER TIDAK DIKETAHUI""))"),"#REF!")</f>
        <v>#REF!</v>
      </c>
    </row>
    <row r="2152">
      <c r="A2152" s="21">
        <f t="shared" si="1"/>
        <v>0</v>
      </c>
      <c r="B2152" s="32" t="s">
        <v>219</v>
      </c>
      <c r="C2152" s="23" t="s">
        <v>340</v>
      </c>
      <c r="D2152" s="23" t="s">
        <v>21</v>
      </c>
      <c r="E2152" s="37">
        <v>45428.0</v>
      </c>
      <c r="F2152" s="25">
        <v>0.27569444444444446</v>
      </c>
      <c r="G2152" s="25">
        <v>0.7527777777777778</v>
      </c>
      <c r="H2152" s="27">
        <f t="shared" si="2"/>
        <v>0.4770833333</v>
      </c>
      <c r="I2152" s="28">
        <v>5.0</v>
      </c>
      <c r="J2152" s="29" t="s">
        <v>55</v>
      </c>
      <c r="K2152" s="30" t="s">
        <v>23</v>
      </c>
      <c r="L2152" s="31" t="str">
        <f>IFERROR(__xludf.DUMMYFUNCTION("IF(OR(E2152="""",K2152=""""),"""",IFERROR(IF(K2152="""","""",query('tbl user'!$A$2:$D10975,""SELECT A WHERE D = '""&amp;K2152&amp;""'"")),""USER TIDAK DIKETAHUI""))"),"#REF!")</f>
        <v>#REF!</v>
      </c>
    </row>
    <row r="2153">
      <c r="A2153" s="21">
        <f t="shared" si="1"/>
        <v>0</v>
      </c>
      <c r="B2153" s="32" t="s">
        <v>225</v>
      </c>
      <c r="C2153" s="23" t="s">
        <v>88</v>
      </c>
      <c r="D2153" s="23" t="s">
        <v>21</v>
      </c>
      <c r="E2153" s="37">
        <v>45428.0</v>
      </c>
      <c r="F2153" s="25">
        <v>0.2833333333333333</v>
      </c>
      <c r="G2153" s="25">
        <v>0.70625</v>
      </c>
      <c r="H2153" s="27">
        <f t="shared" si="2"/>
        <v>0.4229166667</v>
      </c>
      <c r="I2153" s="28">
        <v>5.0</v>
      </c>
      <c r="J2153" s="29" t="s">
        <v>55</v>
      </c>
      <c r="K2153" s="30" t="s">
        <v>23</v>
      </c>
      <c r="L2153" s="31" t="str">
        <f>IFERROR(__xludf.DUMMYFUNCTION("IF(OR(E2153="""",K2153=""""),"""",IFERROR(IF(K2153="""","""",query('tbl user'!$A$2:$D10975,""SELECT A WHERE D = '""&amp;K2153&amp;""'"")),""USER TIDAK DIKETAHUI""))"),"#REF!")</f>
        <v>#REF!</v>
      </c>
    </row>
    <row r="2154">
      <c r="A2154" s="21">
        <f t="shared" si="1"/>
        <v>0</v>
      </c>
      <c r="B2154" s="32" t="s">
        <v>159</v>
      </c>
      <c r="C2154" s="23" t="s">
        <v>306</v>
      </c>
      <c r="D2154" s="23" t="s">
        <v>21</v>
      </c>
      <c r="E2154" s="37">
        <v>45428.0</v>
      </c>
      <c r="F2154" s="25">
        <v>0.28958333333333336</v>
      </c>
      <c r="G2154" s="25">
        <v>0.7534722222222222</v>
      </c>
      <c r="H2154" s="27">
        <f t="shared" si="2"/>
        <v>0.4638888889</v>
      </c>
      <c r="I2154" s="28">
        <v>6.0</v>
      </c>
      <c r="J2154" s="29" t="s">
        <v>55</v>
      </c>
      <c r="K2154" s="30" t="s">
        <v>23</v>
      </c>
      <c r="L2154" s="31" t="str">
        <f>IFERROR(__xludf.DUMMYFUNCTION("IF(OR(E2154="""",K2154=""""),"""",IFERROR(IF(K2154="""","""",query('tbl user'!$A$2:$D10975,""SELECT A WHERE D = '""&amp;K2154&amp;""'"")),""USER TIDAK DIKETAHUI""))"),"#REF!")</f>
        <v>#REF!</v>
      </c>
    </row>
    <row r="2155">
      <c r="A2155" s="21">
        <f t="shared" si="1"/>
        <v>0</v>
      </c>
      <c r="B2155" s="32" t="s">
        <v>593</v>
      </c>
      <c r="C2155" s="23" t="s">
        <v>236</v>
      </c>
      <c r="D2155" s="23" t="s">
        <v>21</v>
      </c>
      <c r="E2155" s="37">
        <v>45428.0</v>
      </c>
      <c r="F2155" s="25">
        <v>0.26666666666666666</v>
      </c>
      <c r="G2155" s="25">
        <v>0.7666666666666667</v>
      </c>
      <c r="H2155" s="27">
        <f t="shared" si="2"/>
        <v>0.5</v>
      </c>
      <c r="I2155" s="28">
        <v>6.0</v>
      </c>
      <c r="J2155" s="29" t="s">
        <v>55</v>
      </c>
      <c r="K2155" s="30" t="s">
        <v>23</v>
      </c>
      <c r="L2155" s="31" t="str">
        <f>IFERROR(__xludf.DUMMYFUNCTION("IF(OR(E2155="""",K2155=""""),"""",IFERROR(IF(K2155="""","""",query('tbl user'!$A$2:$D10975,""SELECT A WHERE D = '""&amp;K2155&amp;""'"")),""USER TIDAK DIKETAHUI""))"),"#REF!")</f>
        <v>#REF!</v>
      </c>
    </row>
    <row r="2156">
      <c r="A2156" s="21">
        <f t="shared" si="1"/>
        <v>0</v>
      </c>
      <c r="B2156" s="32" t="s">
        <v>333</v>
      </c>
      <c r="C2156" s="23" t="s">
        <v>334</v>
      </c>
      <c r="D2156" s="23" t="s">
        <v>21</v>
      </c>
      <c r="E2156" s="37">
        <v>45428.0</v>
      </c>
      <c r="F2156" s="25">
        <v>0.27291666666666664</v>
      </c>
      <c r="G2156" s="25">
        <v>0.7527777777777778</v>
      </c>
      <c r="H2156" s="27">
        <f t="shared" si="2"/>
        <v>0.4798611111</v>
      </c>
      <c r="I2156" s="28">
        <v>6.0</v>
      </c>
      <c r="J2156" s="29" t="s">
        <v>55</v>
      </c>
      <c r="K2156" s="30" t="s">
        <v>23</v>
      </c>
      <c r="L2156" s="31" t="str">
        <f>IFERROR(__xludf.DUMMYFUNCTION("IF(OR(E2156="""",K2156=""""),"""",IFERROR(IF(K2156="""","""",query('tbl user'!$A$2:$D10975,""SELECT A WHERE D = '""&amp;K2156&amp;""'"")),""USER TIDAK DIKETAHUI""))"),"#REF!")</f>
        <v>#REF!</v>
      </c>
    </row>
    <row r="2157">
      <c r="A2157" s="21">
        <f t="shared" si="1"/>
        <v>0</v>
      </c>
      <c r="B2157" s="32" t="s">
        <v>53</v>
      </c>
      <c r="C2157" s="23" t="s">
        <v>54</v>
      </c>
      <c r="D2157" s="23" t="s">
        <v>21</v>
      </c>
      <c r="E2157" s="37">
        <v>45428.0</v>
      </c>
      <c r="F2157" s="25">
        <v>0.2625</v>
      </c>
      <c r="G2157" s="25">
        <v>0.7527777777777778</v>
      </c>
      <c r="H2157" s="27">
        <f t="shared" si="2"/>
        <v>0.4902777778</v>
      </c>
      <c r="I2157" s="28">
        <v>6.0</v>
      </c>
      <c r="J2157" s="29" t="s">
        <v>55</v>
      </c>
      <c r="K2157" s="30" t="s">
        <v>23</v>
      </c>
      <c r="L2157" s="31" t="str">
        <f>IFERROR(__xludf.DUMMYFUNCTION("IF(OR(E2157="""",K2157=""""),"""",IFERROR(IF(K2157="""","""",query('tbl user'!$A$2:$D10975,""SELECT A WHERE D = '""&amp;K2157&amp;""'"")),""USER TIDAK DIKETAHUI""))"),"#REF!")</f>
        <v>#REF!</v>
      </c>
    </row>
    <row r="2158">
      <c r="A2158" s="21">
        <f t="shared" si="1"/>
        <v>0</v>
      </c>
      <c r="B2158" s="32" t="s">
        <v>577</v>
      </c>
      <c r="C2158" s="23" t="s">
        <v>330</v>
      </c>
      <c r="D2158" s="23" t="s">
        <v>21</v>
      </c>
      <c r="E2158" s="37">
        <v>45428.0</v>
      </c>
      <c r="F2158" s="25">
        <v>0.26875</v>
      </c>
      <c r="G2158" s="25">
        <v>0.7527777777777778</v>
      </c>
      <c r="H2158" s="27">
        <f t="shared" si="2"/>
        <v>0.4840277778</v>
      </c>
      <c r="I2158" s="28">
        <v>6.0</v>
      </c>
      <c r="J2158" s="29" t="s">
        <v>55</v>
      </c>
      <c r="K2158" s="30" t="s">
        <v>23</v>
      </c>
      <c r="L2158" s="31" t="str">
        <f>IFERROR(__xludf.DUMMYFUNCTION("IF(OR(E2158="""",K2158=""""),"""",IFERROR(IF(K2158="""","""",query('tbl user'!$A$2:$D10975,""SELECT A WHERE D = '""&amp;K2158&amp;""'"")),""USER TIDAK DIKETAHUI""))"),"#REF!")</f>
        <v>#REF!</v>
      </c>
    </row>
    <row r="2159">
      <c r="A2159" s="21">
        <f t="shared" si="1"/>
        <v>0</v>
      </c>
      <c r="B2159" s="32" t="s">
        <v>337</v>
      </c>
      <c r="C2159" s="23" t="s">
        <v>338</v>
      </c>
      <c r="D2159" s="23" t="s">
        <v>21</v>
      </c>
      <c r="E2159" s="37">
        <v>45428.0</v>
      </c>
      <c r="F2159" s="25">
        <v>0.26666666666666666</v>
      </c>
      <c r="G2159" s="25">
        <v>0.7506944444444444</v>
      </c>
      <c r="H2159" s="27">
        <f t="shared" si="2"/>
        <v>0.4840277778</v>
      </c>
      <c r="I2159" s="28">
        <v>6.0</v>
      </c>
      <c r="J2159" s="29" t="s">
        <v>55</v>
      </c>
      <c r="K2159" s="30" t="s">
        <v>23</v>
      </c>
      <c r="L2159" s="31" t="str">
        <f>IFERROR(__xludf.DUMMYFUNCTION("IF(OR(E2159="""",K2159=""""),"""",IFERROR(IF(K2159="""","""",query('tbl user'!$A$2:$D10975,""SELECT A WHERE D = '""&amp;K2159&amp;""'"")),""USER TIDAK DIKETAHUI""))"),"#REF!")</f>
        <v>#REF!</v>
      </c>
    </row>
    <row r="2160">
      <c r="A2160" s="21">
        <f t="shared" si="1"/>
        <v>0</v>
      </c>
      <c r="B2160" s="32" t="s">
        <v>75</v>
      </c>
      <c r="C2160" s="23" t="s">
        <v>76</v>
      </c>
      <c r="D2160" s="23" t="s">
        <v>32</v>
      </c>
      <c r="E2160" s="37">
        <v>45428.0</v>
      </c>
      <c r="F2160" s="25">
        <v>0.26805555555555555</v>
      </c>
      <c r="G2160" s="25">
        <v>0.6680555555555555</v>
      </c>
      <c r="H2160" s="27">
        <f t="shared" si="2"/>
        <v>0.4</v>
      </c>
      <c r="I2160" s="28">
        <v>3.0</v>
      </c>
      <c r="J2160" s="29" t="s">
        <v>171</v>
      </c>
      <c r="K2160" s="30" t="s">
        <v>23</v>
      </c>
      <c r="L2160" s="31" t="str">
        <f>IFERROR(__xludf.DUMMYFUNCTION("IF(OR(E2160="""",K2160=""""),"""",IFERROR(IF(K2160="""","""",query('tbl user'!$A$2:$D10975,""SELECT A WHERE D = '""&amp;K2160&amp;""'"")),""USER TIDAK DIKETAHUI""))"),"#REF!")</f>
        <v>#REF!</v>
      </c>
    </row>
    <row r="2161">
      <c r="A2161" s="21">
        <f t="shared" si="1"/>
        <v>0</v>
      </c>
      <c r="B2161" s="32" t="s">
        <v>269</v>
      </c>
      <c r="C2161" s="23" t="s">
        <v>270</v>
      </c>
      <c r="D2161" s="23" t="s">
        <v>32</v>
      </c>
      <c r="E2161" s="37">
        <v>45428.0</v>
      </c>
      <c r="F2161" s="25">
        <v>0.26805555555555555</v>
      </c>
      <c r="G2161" s="25">
        <v>0.6819444444444445</v>
      </c>
      <c r="H2161" s="27">
        <f t="shared" si="2"/>
        <v>0.4138888889</v>
      </c>
      <c r="I2161" s="28">
        <v>3.0</v>
      </c>
      <c r="J2161" s="29" t="s">
        <v>171</v>
      </c>
      <c r="K2161" s="30" t="s">
        <v>23</v>
      </c>
      <c r="L2161" s="31" t="str">
        <f>IFERROR(__xludf.DUMMYFUNCTION("IF(OR(E2161="""",K2161=""""),"""",IFERROR(IF(K2161="""","""",query('tbl user'!$A$2:$D10975,""SELECT A WHERE D = '""&amp;K2161&amp;""'"")),""USER TIDAK DIKETAHUI""))"),"#REF!")</f>
        <v>#REF!</v>
      </c>
    </row>
    <row r="2162">
      <c r="A2162" s="21">
        <f t="shared" si="1"/>
        <v>0</v>
      </c>
      <c r="B2162" s="32" t="s">
        <v>312</v>
      </c>
      <c r="C2162" s="23" t="s">
        <v>313</v>
      </c>
      <c r="D2162" s="23" t="s">
        <v>32</v>
      </c>
      <c r="E2162" s="37">
        <v>45428.0</v>
      </c>
      <c r="F2162" s="25">
        <v>0.2652777777777778</v>
      </c>
      <c r="G2162" s="25">
        <v>0.6715277777777777</v>
      </c>
      <c r="H2162" s="27">
        <f t="shared" si="2"/>
        <v>0.40625</v>
      </c>
      <c r="I2162" s="28">
        <v>3.0</v>
      </c>
      <c r="J2162" s="29" t="s">
        <v>1050</v>
      </c>
      <c r="K2162" s="30" t="s">
        <v>23</v>
      </c>
      <c r="L2162" s="31" t="str">
        <f>IFERROR(__xludf.DUMMYFUNCTION("IF(OR(E2162="""",K2162=""""),"""",IFERROR(IF(K2162="""","""",query('tbl user'!$A$2:$D10975,""SELECT A WHERE D = '""&amp;K2162&amp;""'"")),""USER TIDAK DIKETAHUI""))"),"#REF!")</f>
        <v>#REF!</v>
      </c>
    </row>
    <row r="2163">
      <c r="A2163" s="21">
        <f t="shared" si="1"/>
        <v>0</v>
      </c>
      <c r="B2163" s="32" t="s">
        <v>141</v>
      </c>
      <c r="C2163" s="23" t="s">
        <v>142</v>
      </c>
      <c r="D2163" s="23" t="s">
        <v>32</v>
      </c>
      <c r="E2163" s="37">
        <v>45428.0</v>
      </c>
      <c r="F2163" s="25">
        <v>0.2923611111111111</v>
      </c>
      <c r="G2163" s="25">
        <v>0.6708333333333333</v>
      </c>
      <c r="H2163" s="27">
        <f t="shared" si="2"/>
        <v>0.3784722222</v>
      </c>
      <c r="I2163" s="28">
        <v>3.0</v>
      </c>
      <c r="J2163" s="29" t="s">
        <v>1051</v>
      </c>
      <c r="K2163" s="30" t="s">
        <v>23</v>
      </c>
      <c r="L2163" s="31" t="str">
        <f>IFERROR(__xludf.DUMMYFUNCTION("IF(OR(E2163="""",K2163=""""),"""",IFERROR(IF(K2163="""","""",query('tbl user'!$A$2:$D10975,""SELECT A WHERE D = '""&amp;K2163&amp;""'"")),""USER TIDAK DIKETAHUI""))"),"#REF!")</f>
        <v>#REF!</v>
      </c>
    </row>
    <row r="2164">
      <c r="A2164" s="21">
        <f t="shared" si="1"/>
        <v>0</v>
      </c>
      <c r="B2164" s="32" t="s">
        <v>149</v>
      </c>
      <c r="C2164" s="23" t="s">
        <v>150</v>
      </c>
      <c r="D2164" s="23" t="s">
        <v>32</v>
      </c>
      <c r="E2164" s="37">
        <v>45428.0</v>
      </c>
      <c r="F2164" s="25">
        <v>0.27847222222222223</v>
      </c>
      <c r="G2164" s="25">
        <v>0.6854166666666667</v>
      </c>
      <c r="H2164" s="27">
        <f t="shared" si="2"/>
        <v>0.4069444444</v>
      </c>
      <c r="I2164" s="28">
        <v>3.0</v>
      </c>
      <c r="J2164" s="29" t="s">
        <v>171</v>
      </c>
      <c r="K2164" s="30" t="s">
        <v>23</v>
      </c>
      <c r="L2164" s="31" t="str">
        <f>IFERROR(__xludf.DUMMYFUNCTION("IF(OR(E2164="""",K2164=""""),"""",IFERROR(IF(K2164="""","""",query('tbl user'!$A$2:$D10975,""SELECT A WHERE D = '""&amp;K2164&amp;""'"")),""USER TIDAK DIKETAHUI""))"),"#REF!")</f>
        <v>#REF!</v>
      </c>
    </row>
    <row r="2165">
      <c r="A2165" s="21">
        <f t="shared" si="1"/>
        <v>0</v>
      </c>
      <c r="B2165" s="32" t="s">
        <v>274</v>
      </c>
      <c r="C2165" s="23" t="s">
        <v>275</v>
      </c>
      <c r="D2165" s="23" t="s">
        <v>32</v>
      </c>
      <c r="E2165" s="37">
        <v>45428.0</v>
      </c>
      <c r="F2165" s="25">
        <v>0.28402777777777777</v>
      </c>
      <c r="G2165" s="25">
        <v>0.65</v>
      </c>
      <c r="H2165" s="27">
        <f t="shared" si="2"/>
        <v>0.3659722222</v>
      </c>
      <c r="I2165" s="28">
        <v>3.0</v>
      </c>
      <c r="J2165" s="29" t="s">
        <v>1052</v>
      </c>
      <c r="K2165" s="30" t="s">
        <v>23</v>
      </c>
      <c r="L2165" s="31" t="str">
        <f>IFERROR(__xludf.DUMMYFUNCTION("IF(OR(E2165="""",K2165=""""),"""",IFERROR(IF(K2165="""","""",query('tbl user'!$A$2:$D10975,""SELECT A WHERE D = '""&amp;K2165&amp;""'"")),""USER TIDAK DIKETAHUI""))"),"#REF!")</f>
        <v>#REF!</v>
      </c>
    </row>
    <row r="2166">
      <c r="A2166" s="21">
        <f t="shared" si="1"/>
        <v>0</v>
      </c>
      <c r="B2166" s="32" t="s">
        <v>135</v>
      </c>
      <c r="C2166" s="23" t="s">
        <v>136</v>
      </c>
      <c r="D2166" s="23" t="s">
        <v>32</v>
      </c>
      <c r="E2166" s="37">
        <v>45428.0</v>
      </c>
      <c r="F2166" s="25">
        <v>0.2513888888888889</v>
      </c>
      <c r="G2166" s="25">
        <v>0.6993055555555555</v>
      </c>
      <c r="H2166" s="27">
        <f t="shared" si="2"/>
        <v>0.4479166667</v>
      </c>
      <c r="I2166" s="28">
        <v>4.0</v>
      </c>
      <c r="J2166" s="29" t="s">
        <v>55</v>
      </c>
      <c r="K2166" s="30" t="s">
        <v>23</v>
      </c>
      <c r="L2166" s="31" t="str">
        <f>IFERROR(__xludf.DUMMYFUNCTION("IF(OR(E2166="""",K2166=""""),"""",IFERROR(IF(K2166="""","""",query('tbl user'!$A$2:$D10975,""SELECT A WHERE D = '""&amp;K2166&amp;""'"")),""USER TIDAK DIKETAHUI""))"),"#REF!")</f>
        <v>#REF!</v>
      </c>
    </row>
    <row r="2167">
      <c r="A2167" s="21">
        <f t="shared" si="1"/>
        <v>0</v>
      </c>
      <c r="B2167" s="32" t="s">
        <v>30</v>
      </c>
      <c r="C2167" s="23" t="s">
        <v>31</v>
      </c>
      <c r="D2167" s="23" t="s">
        <v>32</v>
      </c>
      <c r="E2167" s="37">
        <v>45428.0</v>
      </c>
      <c r="F2167" s="25">
        <v>0.26458333333333334</v>
      </c>
      <c r="G2167" s="25">
        <v>0.65625</v>
      </c>
      <c r="H2167" s="27">
        <f t="shared" si="2"/>
        <v>0.3916666667</v>
      </c>
      <c r="I2167" s="28">
        <v>4.0</v>
      </c>
      <c r="J2167" s="29" t="s">
        <v>55</v>
      </c>
      <c r="K2167" s="30" t="s">
        <v>23</v>
      </c>
      <c r="L2167" s="31" t="str">
        <f>IFERROR(__xludf.DUMMYFUNCTION("IF(OR(E2167="""",K2167=""""),"""",IFERROR(IF(K2167="""","""",query('tbl user'!$A$2:$D10975,""SELECT A WHERE D = '""&amp;K2167&amp;""'"")),""USER TIDAK DIKETAHUI""))"),"#REF!")</f>
        <v>#REF!</v>
      </c>
    </row>
    <row r="2168">
      <c r="A2168" s="21">
        <f t="shared" si="1"/>
        <v>0</v>
      </c>
      <c r="B2168" s="32" t="s">
        <v>40</v>
      </c>
      <c r="C2168" s="23" t="s">
        <v>41</v>
      </c>
      <c r="D2168" s="23" t="s">
        <v>32</v>
      </c>
      <c r="E2168" s="37">
        <v>45428.0</v>
      </c>
      <c r="F2168" s="25">
        <v>0.26458333333333334</v>
      </c>
      <c r="G2168" s="25">
        <v>0.66875</v>
      </c>
      <c r="H2168" s="27">
        <f t="shared" si="2"/>
        <v>0.4041666667</v>
      </c>
      <c r="I2168" s="28">
        <v>4.0</v>
      </c>
      <c r="J2168" s="29" t="s">
        <v>55</v>
      </c>
      <c r="K2168" s="30" t="s">
        <v>23</v>
      </c>
      <c r="L2168" s="31" t="str">
        <f>IFERROR(__xludf.DUMMYFUNCTION("IF(OR(E2168="""",K2168=""""),"""",IFERROR(IF(K2168="""","""",query('tbl user'!$A$2:$D10975,""SELECT A WHERE D = '""&amp;K2168&amp;""'"")),""USER TIDAK DIKETAHUI""))"),"#REF!")</f>
        <v>#REF!</v>
      </c>
    </row>
    <row r="2169">
      <c r="A2169" s="21">
        <f t="shared" si="1"/>
        <v>0</v>
      </c>
      <c r="B2169" s="32" t="s">
        <v>137</v>
      </c>
      <c r="C2169" s="23" t="s">
        <v>138</v>
      </c>
      <c r="D2169" s="23" t="s">
        <v>32</v>
      </c>
      <c r="E2169" s="37">
        <v>45428.0</v>
      </c>
      <c r="F2169" s="25">
        <v>0.27847222222222223</v>
      </c>
      <c r="G2169" s="25">
        <v>0.7083333333333334</v>
      </c>
      <c r="H2169" s="27">
        <f t="shared" si="2"/>
        <v>0.4298611111</v>
      </c>
      <c r="I2169" s="28">
        <v>4.0</v>
      </c>
      <c r="J2169" s="29" t="s">
        <v>55</v>
      </c>
      <c r="K2169" s="30" t="s">
        <v>23</v>
      </c>
      <c r="L2169" s="31" t="str">
        <f>IFERROR(__xludf.DUMMYFUNCTION("IF(OR(E2169="""",K2169=""""),"""",IFERROR(IF(K2169="""","""",query('tbl user'!$A$2:$D10975,""SELECT A WHERE D = '""&amp;K2169&amp;""'"")),""USER TIDAK DIKETAHUI""))"),"#REF!")</f>
        <v>#REF!</v>
      </c>
    </row>
    <row r="2170">
      <c r="A2170" s="21">
        <f t="shared" si="1"/>
        <v>0</v>
      </c>
      <c r="B2170" s="32" t="s">
        <v>277</v>
      </c>
      <c r="C2170" s="23" t="s">
        <v>278</v>
      </c>
      <c r="D2170" s="23" t="s">
        <v>32</v>
      </c>
      <c r="E2170" s="37">
        <v>45428.0</v>
      </c>
      <c r="F2170" s="25">
        <v>0.26666666666666666</v>
      </c>
      <c r="G2170" s="25">
        <v>0.6902777777777778</v>
      </c>
      <c r="H2170" s="27">
        <f t="shared" si="2"/>
        <v>0.4236111111</v>
      </c>
      <c r="I2170" s="28">
        <v>4.0</v>
      </c>
      <c r="J2170" s="29" t="s">
        <v>55</v>
      </c>
      <c r="K2170" s="30" t="s">
        <v>23</v>
      </c>
      <c r="L2170" s="31" t="str">
        <f>IFERROR(__xludf.DUMMYFUNCTION("IF(OR(E2170="""",K2170=""""),"""",IFERROR(IF(K2170="""","""",query('tbl user'!$A$2:$D10975,""SELECT A WHERE D = '""&amp;K2170&amp;""'"")),""USER TIDAK DIKETAHUI""))"),"#REF!")</f>
        <v>#REF!</v>
      </c>
    </row>
    <row r="2171">
      <c r="A2171" s="21">
        <f t="shared" si="1"/>
        <v>0</v>
      </c>
      <c r="B2171" s="32" t="s">
        <v>279</v>
      </c>
      <c r="C2171" s="23" t="s">
        <v>280</v>
      </c>
      <c r="D2171" s="23" t="s">
        <v>32</v>
      </c>
      <c r="E2171" s="37">
        <v>45428.0</v>
      </c>
      <c r="F2171" s="25">
        <v>0.2701388888888889</v>
      </c>
      <c r="G2171" s="25">
        <v>0.6993055555555555</v>
      </c>
      <c r="H2171" s="27">
        <f t="shared" si="2"/>
        <v>0.4291666667</v>
      </c>
      <c r="I2171" s="28">
        <v>4.0</v>
      </c>
      <c r="J2171" s="29" t="s">
        <v>55</v>
      </c>
      <c r="K2171" s="30" t="s">
        <v>23</v>
      </c>
      <c r="L2171" s="31" t="str">
        <f>IFERROR(__xludf.DUMMYFUNCTION("IF(OR(E2171="""",K2171=""""),"""",IFERROR(IF(K2171="""","""",query('tbl user'!$A$2:$D10975,""SELECT A WHERE D = '""&amp;K2171&amp;""'"")),""USER TIDAK DIKETAHUI""))"),"#REF!")</f>
        <v>#REF!</v>
      </c>
    </row>
    <row r="2172">
      <c r="A2172" s="21">
        <f t="shared" si="1"/>
        <v>0</v>
      </c>
      <c r="B2172" s="32" t="s">
        <v>78</v>
      </c>
      <c r="C2172" s="23" t="s">
        <v>79</v>
      </c>
      <c r="D2172" s="23" t="s">
        <v>32</v>
      </c>
      <c r="E2172" s="37">
        <v>45428.0</v>
      </c>
      <c r="F2172" s="25">
        <v>0.275</v>
      </c>
      <c r="G2172" s="25">
        <v>0.7291666666666666</v>
      </c>
      <c r="H2172" s="27">
        <f t="shared" si="2"/>
        <v>0.4541666667</v>
      </c>
      <c r="I2172" s="28">
        <v>4.0</v>
      </c>
      <c r="J2172" s="29" t="s">
        <v>55</v>
      </c>
      <c r="K2172" s="30" t="s">
        <v>23</v>
      </c>
      <c r="L2172" s="31" t="str">
        <f>IFERROR(__xludf.DUMMYFUNCTION("IF(OR(E2172="""",K2172=""""),"""",IFERROR(IF(K2172="""","""",query('tbl user'!$A$2:$D10975,""SELECT A WHERE D = '""&amp;K2172&amp;""'"")),""USER TIDAK DIKETAHUI""))"),"#REF!")</f>
        <v>#REF!</v>
      </c>
    </row>
    <row r="2173">
      <c r="A2173" s="21">
        <f t="shared" si="1"/>
        <v>0</v>
      </c>
      <c r="B2173" s="32" t="s">
        <v>144</v>
      </c>
      <c r="C2173" s="23" t="s">
        <v>145</v>
      </c>
      <c r="D2173" s="23" t="s">
        <v>32</v>
      </c>
      <c r="E2173" s="37">
        <v>45428.0</v>
      </c>
      <c r="F2173" s="25">
        <v>0.27361111111111114</v>
      </c>
      <c r="G2173" s="25">
        <v>0.7166666666666667</v>
      </c>
      <c r="H2173" s="27">
        <f t="shared" si="2"/>
        <v>0.4430555556</v>
      </c>
      <c r="I2173" s="28">
        <v>4.0</v>
      </c>
      <c r="J2173" s="29" t="s">
        <v>55</v>
      </c>
      <c r="K2173" s="30" t="s">
        <v>23</v>
      </c>
      <c r="L2173" s="31" t="str">
        <f>IFERROR(__xludf.DUMMYFUNCTION("IF(OR(E2173="""",K2173=""""),"""",IFERROR(IF(K2173="""","""",query('tbl user'!$A$2:$D10975,""SELECT A WHERE D = '""&amp;K2173&amp;""'"")),""USER TIDAK DIKETAHUI""))"),"#REF!")</f>
        <v>#REF!</v>
      </c>
    </row>
    <row r="2174">
      <c r="A2174" s="21">
        <f t="shared" si="1"/>
        <v>0</v>
      </c>
      <c r="B2174" s="32" t="s">
        <v>146</v>
      </c>
      <c r="C2174" s="23" t="s">
        <v>147</v>
      </c>
      <c r="D2174" s="23" t="s">
        <v>32</v>
      </c>
      <c r="E2174" s="37">
        <v>45428.0</v>
      </c>
      <c r="F2174" s="25">
        <v>0.27152777777777776</v>
      </c>
      <c r="G2174" s="25">
        <v>0.7229166666666667</v>
      </c>
      <c r="H2174" s="27">
        <f t="shared" si="2"/>
        <v>0.4513888889</v>
      </c>
      <c r="I2174" s="28">
        <v>4.0</v>
      </c>
      <c r="J2174" s="29" t="s">
        <v>55</v>
      </c>
      <c r="K2174" s="30" t="s">
        <v>23</v>
      </c>
      <c r="L2174" s="31" t="str">
        <f>IFERROR(__xludf.DUMMYFUNCTION("IF(OR(E2174="""",K2174=""""),"""",IFERROR(IF(K2174="""","""",query('tbl user'!$A$2:$D10975,""SELECT A WHERE D = '""&amp;K2174&amp;""'"")),""USER TIDAK DIKETAHUI""))"),"#REF!")</f>
        <v>#REF!</v>
      </c>
    </row>
    <row r="2175">
      <c r="A2175" s="21">
        <f t="shared" si="1"/>
        <v>0</v>
      </c>
      <c r="B2175" s="32" t="s">
        <v>180</v>
      </c>
      <c r="C2175" s="23" t="s">
        <v>181</v>
      </c>
      <c r="D2175" s="23" t="s">
        <v>58</v>
      </c>
      <c r="E2175" s="37">
        <v>45429.0</v>
      </c>
      <c r="F2175" s="25">
        <v>0.23125</v>
      </c>
      <c r="G2175" s="25">
        <v>0.5444444444444444</v>
      </c>
      <c r="H2175" s="27">
        <f t="shared" si="2"/>
        <v>0.3131944444</v>
      </c>
      <c r="I2175" s="28">
        <v>2.0</v>
      </c>
      <c r="J2175" s="29" t="s">
        <v>1053</v>
      </c>
      <c r="K2175" s="30" t="s">
        <v>23</v>
      </c>
      <c r="L2175" s="31" t="str">
        <f>IFERROR(__xludf.DUMMYFUNCTION("IF(OR(E2175="""",K2175=""""),"""",IFERROR(IF(K2175="""","""",query('tbl user'!$A$2:$D10975,""SELECT A WHERE D = '""&amp;K2175&amp;""'"")),""USER TIDAK DIKETAHUI""))"),"#REF!")</f>
        <v>#REF!</v>
      </c>
    </row>
    <row r="2176">
      <c r="A2176" s="21">
        <f t="shared" si="1"/>
        <v>0</v>
      </c>
      <c r="B2176" s="32" t="s">
        <v>194</v>
      </c>
      <c r="C2176" s="23" t="s">
        <v>195</v>
      </c>
      <c r="D2176" s="23" t="s">
        <v>58</v>
      </c>
      <c r="E2176" s="37">
        <v>45429.0</v>
      </c>
      <c r="F2176" s="25">
        <v>0.2548611111111111</v>
      </c>
      <c r="G2176" s="25">
        <v>0.5791666666666667</v>
      </c>
      <c r="H2176" s="27">
        <f t="shared" si="2"/>
        <v>0.3243055556</v>
      </c>
      <c r="I2176" s="28">
        <v>2.0</v>
      </c>
      <c r="J2176" s="29" t="s">
        <v>1054</v>
      </c>
      <c r="K2176" s="30" t="s">
        <v>23</v>
      </c>
      <c r="L2176" s="31" t="str">
        <f>IFERROR(__xludf.DUMMYFUNCTION("IF(OR(E2176="""",K2176=""""),"""",IFERROR(IF(K2176="""","""",query('tbl user'!$A$2:$D10975,""SELECT A WHERE D = '""&amp;K2176&amp;""'"")),""USER TIDAK DIKETAHUI""))"),"#REF!")</f>
        <v>#REF!</v>
      </c>
    </row>
    <row r="2177">
      <c r="A2177" s="21">
        <f t="shared" si="1"/>
        <v>0</v>
      </c>
      <c r="B2177" s="32" t="s">
        <v>205</v>
      </c>
      <c r="C2177" s="23" t="s">
        <v>206</v>
      </c>
      <c r="D2177" s="23" t="s">
        <v>58</v>
      </c>
      <c r="E2177" s="37">
        <v>45429.0</v>
      </c>
      <c r="F2177" s="25">
        <v>0.2361111111111111</v>
      </c>
      <c r="G2177" s="25">
        <v>0.5736111111111111</v>
      </c>
      <c r="H2177" s="27">
        <f t="shared" si="2"/>
        <v>0.3375</v>
      </c>
      <c r="I2177" s="28">
        <v>2.0</v>
      </c>
      <c r="J2177" s="29" t="s">
        <v>1055</v>
      </c>
      <c r="K2177" s="30" t="s">
        <v>23</v>
      </c>
      <c r="L2177" s="31" t="str">
        <f>IFERROR(__xludf.DUMMYFUNCTION("IF(OR(E2177="""",K2177=""""),"""",IFERROR(IF(K2177="""","""",query('tbl user'!$A$2:$D10975,""SELECT A WHERE D = '""&amp;K2177&amp;""'"")),""USER TIDAK DIKETAHUI""))"),"#REF!")</f>
        <v>#REF!</v>
      </c>
    </row>
    <row r="2178">
      <c r="A2178" s="21">
        <f t="shared" si="1"/>
        <v>0</v>
      </c>
      <c r="B2178" s="32" t="s">
        <v>214</v>
      </c>
      <c r="C2178" s="23" t="s">
        <v>170</v>
      </c>
      <c r="D2178" s="23" t="s">
        <v>58</v>
      </c>
      <c r="E2178" s="37">
        <v>45429.0</v>
      </c>
      <c r="F2178" s="25">
        <v>0.2923611111111111</v>
      </c>
      <c r="G2178" s="25">
        <v>0.6527777777777778</v>
      </c>
      <c r="H2178" s="27">
        <f t="shared" si="2"/>
        <v>0.3604166667</v>
      </c>
      <c r="I2178" s="28">
        <v>3.0</v>
      </c>
      <c r="J2178" s="29" t="s">
        <v>1056</v>
      </c>
      <c r="K2178" s="30" t="s">
        <v>23</v>
      </c>
      <c r="L2178" s="31" t="str">
        <f>IFERROR(__xludf.DUMMYFUNCTION("IF(OR(E2178="""",K2178=""""),"""",IFERROR(IF(K2178="""","""",query('tbl user'!$A$2:$D10975,""SELECT A WHERE D = '""&amp;K2178&amp;""'"")),""USER TIDAK DIKETAHUI""))"),"#REF!")</f>
        <v>#REF!</v>
      </c>
    </row>
    <row r="2179">
      <c r="A2179" s="21">
        <f t="shared" si="1"/>
        <v>0</v>
      </c>
      <c r="B2179" s="32" t="s">
        <v>215</v>
      </c>
      <c r="C2179" s="23" t="s">
        <v>176</v>
      </c>
      <c r="D2179" s="23" t="s">
        <v>58</v>
      </c>
      <c r="E2179" s="37">
        <v>45429.0</v>
      </c>
      <c r="F2179" s="25">
        <v>0.2569444444444444</v>
      </c>
      <c r="G2179" s="25">
        <v>0.7076388888888889</v>
      </c>
      <c r="H2179" s="27">
        <f t="shared" si="2"/>
        <v>0.4506944444</v>
      </c>
      <c r="I2179" s="28">
        <v>3.0</v>
      </c>
      <c r="J2179" s="29" t="s">
        <v>598</v>
      </c>
      <c r="K2179" s="30" t="s">
        <v>23</v>
      </c>
      <c r="L2179" s="31" t="str">
        <f>IFERROR(__xludf.DUMMYFUNCTION("IF(OR(E2179="""",K2179=""""),"""",IFERROR(IF(K2179="""","""",query('tbl user'!$A$2:$D10975,""SELECT A WHERE D = '""&amp;K2179&amp;""'"")),""USER TIDAK DIKETAHUI""))"),"#REF!")</f>
        <v>#REF!</v>
      </c>
    </row>
    <row r="2180">
      <c r="A2180" s="21">
        <f t="shared" si="1"/>
        <v>0</v>
      </c>
      <c r="B2180" s="32" t="s">
        <v>56</v>
      </c>
      <c r="C2180" s="23" t="s">
        <v>57</v>
      </c>
      <c r="D2180" s="23" t="s">
        <v>58</v>
      </c>
      <c r="E2180" s="37">
        <v>45429.0</v>
      </c>
      <c r="F2180" s="25">
        <v>0.2659722222222222</v>
      </c>
      <c r="G2180" s="25">
        <v>0.6680555555555555</v>
      </c>
      <c r="H2180" s="27">
        <f t="shared" si="2"/>
        <v>0.4020833333</v>
      </c>
      <c r="I2180" s="28">
        <v>3.0</v>
      </c>
      <c r="J2180" s="29" t="s">
        <v>1057</v>
      </c>
      <c r="K2180" s="30" t="s">
        <v>23</v>
      </c>
      <c r="L2180" s="31" t="str">
        <f>IFERROR(__xludf.DUMMYFUNCTION("IF(OR(E2180="""",K2180=""""),"""",IFERROR(IF(K2180="""","""",query('tbl user'!$A$2:$D10975,""SELECT A WHERE D = '""&amp;K2180&amp;""'"")),""USER TIDAK DIKETAHUI""))"),"#REF!")</f>
        <v>#REF!</v>
      </c>
    </row>
    <row r="2181">
      <c r="A2181" s="21">
        <f t="shared" si="1"/>
        <v>0</v>
      </c>
      <c r="B2181" s="32" t="s">
        <v>178</v>
      </c>
      <c r="C2181" s="23" t="s">
        <v>82</v>
      </c>
      <c r="D2181" s="23" t="s">
        <v>58</v>
      </c>
      <c r="E2181" s="37">
        <v>45429.0</v>
      </c>
      <c r="F2181" s="25">
        <v>0.2777777777777778</v>
      </c>
      <c r="G2181" s="25">
        <v>0.6638888888888889</v>
      </c>
      <c r="H2181" s="27">
        <f t="shared" si="2"/>
        <v>0.3861111111</v>
      </c>
      <c r="I2181" s="28">
        <v>3.0</v>
      </c>
      <c r="J2181" s="29" t="s">
        <v>1057</v>
      </c>
      <c r="K2181" s="30" t="s">
        <v>23</v>
      </c>
      <c r="L2181" s="31" t="str">
        <f>IFERROR(__xludf.DUMMYFUNCTION("IF(OR(E2181="""",K2181=""""),"""",IFERROR(IF(K2181="""","""",query('tbl user'!$A$2:$D10975,""SELECT A WHERE D = '""&amp;K2181&amp;""'"")),""USER TIDAK DIKETAHUI""))"),"#REF!")</f>
        <v>#REF!</v>
      </c>
    </row>
    <row r="2182">
      <c r="A2182" s="21">
        <f t="shared" si="1"/>
        <v>0</v>
      </c>
      <c r="B2182" s="32" t="s">
        <v>200</v>
      </c>
      <c r="C2182" s="23" t="s">
        <v>201</v>
      </c>
      <c r="D2182" s="23" t="s">
        <v>58</v>
      </c>
      <c r="E2182" s="37">
        <v>45429.0</v>
      </c>
      <c r="F2182" s="25">
        <v>0.20902777777777778</v>
      </c>
      <c r="G2182" s="25">
        <v>0.5763888888888888</v>
      </c>
      <c r="H2182" s="27">
        <f t="shared" si="2"/>
        <v>0.3673611111</v>
      </c>
      <c r="I2182" s="28">
        <v>3.0</v>
      </c>
      <c r="J2182" s="29" t="s">
        <v>397</v>
      </c>
      <c r="K2182" s="30" t="s">
        <v>23</v>
      </c>
      <c r="L2182" s="31" t="str">
        <f>IFERROR(__xludf.DUMMYFUNCTION("IF(OR(E2182="""",K2182=""""),"""",IFERROR(IF(K2182="""","""",query('tbl user'!$A$2:$D10975,""SELECT A WHERE D = '""&amp;K2182&amp;""'"")),""USER TIDAK DIKETAHUI""))"),"#REF!")</f>
        <v>#REF!</v>
      </c>
    </row>
    <row r="2183">
      <c r="A2183" s="21">
        <f t="shared" si="1"/>
        <v>0</v>
      </c>
      <c r="B2183" s="32" t="s">
        <v>104</v>
      </c>
      <c r="C2183" s="23" t="s">
        <v>105</v>
      </c>
      <c r="D2183" s="23" t="s">
        <v>58</v>
      </c>
      <c r="E2183" s="37">
        <v>45429.0</v>
      </c>
      <c r="F2183" s="25">
        <v>0.23819444444444443</v>
      </c>
      <c r="G2183" s="25">
        <v>0.7104166666666667</v>
      </c>
      <c r="H2183" s="27">
        <f t="shared" si="2"/>
        <v>0.4722222222</v>
      </c>
      <c r="I2183" s="28">
        <v>3.0</v>
      </c>
      <c r="J2183" s="29" t="s">
        <v>420</v>
      </c>
      <c r="K2183" s="30" t="s">
        <v>23</v>
      </c>
      <c r="L2183" s="31" t="str">
        <f>IFERROR(__xludf.DUMMYFUNCTION("IF(OR(E2183="""",K2183=""""),"""",IFERROR(IF(K2183="""","""",query('tbl user'!$A$2:$D10975,""SELECT A WHERE D = '""&amp;K2183&amp;""'"")),""USER TIDAK DIKETAHUI""))"),"#REF!")</f>
        <v>#REF!</v>
      </c>
    </row>
    <row r="2184">
      <c r="A2184" s="21">
        <f t="shared" si="1"/>
        <v>0</v>
      </c>
      <c r="B2184" s="32" t="s">
        <v>202</v>
      </c>
      <c r="C2184" s="23" t="s">
        <v>203</v>
      </c>
      <c r="D2184" s="23" t="s">
        <v>58</v>
      </c>
      <c r="E2184" s="37">
        <v>45429.0</v>
      </c>
      <c r="F2184" s="25">
        <v>0.24027777777777778</v>
      </c>
      <c r="G2184" s="25">
        <v>0.6763888888888889</v>
      </c>
      <c r="H2184" s="27">
        <f t="shared" si="2"/>
        <v>0.4361111111</v>
      </c>
      <c r="I2184" s="28">
        <v>3.0</v>
      </c>
      <c r="J2184" s="29" t="s">
        <v>1058</v>
      </c>
      <c r="K2184" s="30" t="s">
        <v>23</v>
      </c>
      <c r="L2184" s="31" t="str">
        <f>IFERROR(__xludf.DUMMYFUNCTION("IF(OR(E2184="""",K2184=""""),"""",IFERROR(IF(K2184="""","""",query('tbl user'!$A$2:$D10975,""SELECT A WHERE D = '""&amp;K2184&amp;""'"")),""USER TIDAK DIKETAHUI""))"),"#REF!")</f>
        <v>#REF!</v>
      </c>
    </row>
    <row r="2185">
      <c r="A2185" s="21">
        <f t="shared" si="1"/>
        <v>0</v>
      </c>
      <c r="B2185" s="32" t="s">
        <v>95</v>
      </c>
      <c r="C2185" s="23" t="s">
        <v>348</v>
      </c>
      <c r="D2185" s="23" t="s">
        <v>58</v>
      </c>
      <c r="E2185" s="37">
        <v>45429.0</v>
      </c>
      <c r="F2185" s="25">
        <v>0.28680555555555554</v>
      </c>
      <c r="G2185" s="25">
        <v>0.6979166666666666</v>
      </c>
      <c r="H2185" s="27">
        <f t="shared" si="2"/>
        <v>0.4111111111</v>
      </c>
      <c r="I2185" s="28">
        <v>3.0</v>
      </c>
      <c r="J2185" s="29" t="s">
        <v>447</v>
      </c>
      <c r="K2185" s="30" t="s">
        <v>23</v>
      </c>
      <c r="L2185" s="31" t="str">
        <f>IFERROR(__xludf.DUMMYFUNCTION("IF(OR(E2185="""",K2185=""""),"""",IFERROR(IF(K2185="""","""",query('tbl user'!$A$2:$D10975,""SELECT A WHERE D = '""&amp;K2185&amp;""'"")),""USER TIDAK DIKETAHUI""))"),"#REF!")</f>
        <v>#REF!</v>
      </c>
    </row>
    <row r="2186">
      <c r="A2186" s="21">
        <f t="shared" si="1"/>
        <v>0</v>
      </c>
      <c r="B2186" s="32" t="s">
        <v>67</v>
      </c>
      <c r="C2186" s="23" t="s">
        <v>68</v>
      </c>
      <c r="D2186" s="23" t="s">
        <v>58</v>
      </c>
      <c r="E2186" s="37">
        <v>45429.0</v>
      </c>
      <c r="F2186" s="25">
        <v>0.2659722222222222</v>
      </c>
      <c r="G2186" s="25">
        <v>0.6756944444444445</v>
      </c>
      <c r="H2186" s="27">
        <f t="shared" si="2"/>
        <v>0.4097222222</v>
      </c>
      <c r="I2186" s="28">
        <v>4.0</v>
      </c>
      <c r="J2186" s="29" t="s">
        <v>55</v>
      </c>
      <c r="K2186" s="30" t="s">
        <v>23</v>
      </c>
      <c r="L2186" s="31" t="str">
        <f>IFERROR(__xludf.DUMMYFUNCTION("IF(OR(E2186="""",K2186=""""),"""",IFERROR(IF(K2186="""","""",query('tbl user'!$A$2:$D10975,""SELECT A WHERE D = '""&amp;K2186&amp;""'"")),""USER TIDAK DIKETAHUI""))"),"#REF!")</f>
        <v>#REF!</v>
      </c>
    </row>
    <row r="2187">
      <c r="A2187" s="21">
        <f t="shared" si="1"/>
        <v>0</v>
      </c>
      <c r="B2187" s="32" t="s">
        <v>187</v>
      </c>
      <c r="C2187" s="23" t="s">
        <v>188</v>
      </c>
      <c r="D2187" s="23" t="s">
        <v>58</v>
      </c>
      <c r="E2187" s="37">
        <v>45429.0</v>
      </c>
      <c r="F2187" s="25">
        <v>0.23055555555555557</v>
      </c>
      <c r="G2187" s="25">
        <v>0.7152777777777778</v>
      </c>
      <c r="H2187" s="27">
        <f t="shared" si="2"/>
        <v>0.4847222222</v>
      </c>
      <c r="I2187" s="28">
        <v>4.0</v>
      </c>
      <c r="J2187" s="29" t="s">
        <v>55</v>
      </c>
      <c r="K2187" s="30" t="s">
        <v>23</v>
      </c>
      <c r="L2187" s="31" t="str">
        <f>IFERROR(__xludf.DUMMYFUNCTION("IF(OR(E2187="""",K2187=""""),"""",IFERROR(IF(K2187="""","""",query('tbl user'!$A$2:$D10975,""SELECT A WHERE D = '""&amp;K2187&amp;""'"")),""USER TIDAK DIKETAHUI""))"),"#REF!")</f>
        <v>#REF!</v>
      </c>
    </row>
    <row r="2188">
      <c r="A2188" s="21">
        <f t="shared" si="1"/>
        <v>0</v>
      </c>
      <c r="B2188" s="32" t="s">
        <v>191</v>
      </c>
      <c r="C2188" s="23" t="s">
        <v>192</v>
      </c>
      <c r="D2188" s="23" t="s">
        <v>58</v>
      </c>
      <c r="E2188" s="37">
        <v>45429.0</v>
      </c>
      <c r="F2188" s="25">
        <v>0.25277777777777777</v>
      </c>
      <c r="G2188" s="25">
        <v>0.7069444444444445</v>
      </c>
      <c r="H2188" s="27">
        <f t="shared" si="2"/>
        <v>0.4541666667</v>
      </c>
      <c r="I2188" s="28">
        <v>4.0</v>
      </c>
      <c r="J2188" s="29" t="s">
        <v>55</v>
      </c>
      <c r="K2188" s="30" t="s">
        <v>23</v>
      </c>
      <c r="L2188" s="31" t="str">
        <f>IFERROR(__xludf.DUMMYFUNCTION("IF(OR(E2188="""",K2188=""""),"""",IFERROR(IF(K2188="""","""",query('tbl user'!$A$2:$D10975,""SELECT A WHERE D = '""&amp;K2188&amp;""'"")),""USER TIDAK DIKETAHUI""))"),"#REF!")</f>
        <v>#REF!</v>
      </c>
    </row>
    <row r="2189">
      <c r="A2189" s="21">
        <f t="shared" si="1"/>
        <v>0</v>
      </c>
      <c r="B2189" s="32" t="s">
        <v>216</v>
      </c>
      <c r="C2189" s="23" t="s">
        <v>198</v>
      </c>
      <c r="D2189" s="23" t="s">
        <v>58</v>
      </c>
      <c r="E2189" s="37">
        <v>45429.0</v>
      </c>
      <c r="F2189" s="25">
        <v>0.2152777777777778</v>
      </c>
      <c r="G2189" s="25">
        <v>0.6895833333333333</v>
      </c>
      <c r="H2189" s="27">
        <f t="shared" si="2"/>
        <v>0.4743055556</v>
      </c>
      <c r="I2189" s="28">
        <v>4.0</v>
      </c>
      <c r="J2189" s="29" t="s">
        <v>55</v>
      </c>
      <c r="K2189" s="30" t="s">
        <v>23</v>
      </c>
      <c r="L2189" s="31" t="str">
        <f>IFERROR(__xludf.DUMMYFUNCTION("IF(OR(E2189="""",K2189=""""),"""",IFERROR(IF(K2189="""","""",query('tbl user'!$A$2:$D10975,""SELECT A WHERE D = '""&amp;K2189&amp;""'"")),""USER TIDAK DIKETAHUI""))"),"#REF!")</f>
        <v>#REF!</v>
      </c>
    </row>
    <row r="2190">
      <c r="A2190" s="21">
        <f t="shared" si="1"/>
        <v>0</v>
      </c>
      <c r="B2190" s="32" t="s">
        <v>267</v>
      </c>
      <c r="C2190" s="23" t="s">
        <v>85</v>
      </c>
      <c r="D2190" s="23" t="s">
        <v>58</v>
      </c>
      <c r="E2190" s="37">
        <v>45429.0</v>
      </c>
      <c r="F2190" s="25">
        <v>0.21319444444444444</v>
      </c>
      <c r="G2190" s="25">
        <v>0.6819444444444445</v>
      </c>
      <c r="H2190" s="27">
        <f t="shared" si="2"/>
        <v>0.46875</v>
      </c>
      <c r="I2190" s="28">
        <v>4.0</v>
      </c>
      <c r="J2190" s="29" t="s">
        <v>55</v>
      </c>
      <c r="K2190" s="30" t="s">
        <v>23</v>
      </c>
      <c r="L2190" s="31" t="str">
        <f>IFERROR(__xludf.DUMMYFUNCTION("IF(OR(E2190="""",K2190=""""),"""",IFERROR(IF(K2190="""","""",query('tbl user'!$A$2:$D10975,""SELECT A WHERE D = '""&amp;K2190&amp;""'"")),""USER TIDAK DIKETAHUI""))"),"#REF!")</f>
        <v>#REF!</v>
      </c>
    </row>
    <row r="2191">
      <c r="A2191" s="21">
        <f t="shared" si="1"/>
        <v>0</v>
      </c>
      <c r="B2191" s="32" t="s">
        <v>37</v>
      </c>
      <c r="C2191" s="23" t="s">
        <v>38</v>
      </c>
      <c r="D2191" s="23" t="s">
        <v>21</v>
      </c>
      <c r="E2191" s="37">
        <v>45429.0</v>
      </c>
      <c r="F2191" s="25">
        <v>0.3701388888888889</v>
      </c>
      <c r="G2191" s="25">
        <v>0.5506944444444445</v>
      </c>
      <c r="H2191" s="27">
        <f t="shared" si="2"/>
        <v>0.1805555556</v>
      </c>
      <c r="I2191" s="28">
        <v>1.0</v>
      </c>
      <c r="J2191" s="29" t="s">
        <v>1059</v>
      </c>
      <c r="K2191" s="30" t="s">
        <v>23</v>
      </c>
      <c r="L2191" s="31" t="str">
        <f>IFERROR(__xludf.DUMMYFUNCTION("IF(OR(E2191="""",K2191=""""),"""",IFERROR(IF(K2191="""","""",query('tbl user'!$A$2:$D10975,""SELECT A WHERE D = '""&amp;K2191&amp;""'"")),""USER TIDAK DIKETAHUI""))"),"#REF!")</f>
        <v>#REF!</v>
      </c>
    </row>
    <row r="2192">
      <c r="A2192" s="21">
        <f t="shared" si="1"/>
        <v>0</v>
      </c>
      <c r="B2192" s="32" t="s">
        <v>64</v>
      </c>
      <c r="C2192" s="23" t="s">
        <v>65</v>
      </c>
      <c r="D2192" s="23" t="s">
        <v>21</v>
      </c>
      <c r="E2192" s="37">
        <v>45429.0</v>
      </c>
      <c r="F2192" s="25">
        <v>0.30694444444444446</v>
      </c>
      <c r="G2192" s="25">
        <v>0.5555555555555556</v>
      </c>
      <c r="H2192" s="27">
        <f t="shared" si="2"/>
        <v>0.2486111111</v>
      </c>
      <c r="I2192" s="28">
        <v>1.0</v>
      </c>
      <c r="J2192" s="29" t="s">
        <v>1060</v>
      </c>
      <c r="K2192" s="30" t="s">
        <v>23</v>
      </c>
      <c r="L2192" s="31" t="str">
        <f>IFERROR(__xludf.DUMMYFUNCTION("IF(OR(E2192="""",K2192=""""),"""",IFERROR(IF(K2192="""","""",query('tbl user'!$A$2:$D10975,""SELECT A WHERE D = '""&amp;K2192&amp;""'"")),""USER TIDAK DIKETAHUI""))"),"#REF!")</f>
        <v>#REF!</v>
      </c>
    </row>
    <row r="2193">
      <c r="A2193" s="21">
        <f t="shared" si="1"/>
        <v>0</v>
      </c>
      <c r="B2193" s="32" t="s">
        <v>51</v>
      </c>
      <c r="C2193" s="23" t="s">
        <v>27</v>
      </c>
      <c r="D2193" s="23" t="s">
        <v>21</v>
      </c>
      <c r="E2193" s="37">
        <v>45429.0</v>
      </c>
      <c r="F2193" s="25">
        <v>0.27291666666666664</v>
      </c>
      <c r="G2193" s="25">
        <v>0.4083333333333333</v>
      </c>
      <c r="H2193" s="27">
        <f t="shared" si="2"/>
        <v>0.1354166667</v>
      </c>
      <c r="I2193" s="28">
        <v>1.0</v>
      </c>
      <c r="J2193" s="29" t="s">
        <v>1061</v>
      </c>
      <c r="K2193" s="30" t="s">
        <v>23</v>
      </c>
      <c r="L2193" s="31" t="str">
        <f>IFERROR(__xludf.DUMMYFUNCTION("IF(OR(E2193="""",K2193=""""),"""",IFERROR(IF(K2193="""","""",query('tbl user'!$A$2:$D10975,""SELECT A WHERE D = '""&amp;K2193&amp;""'"")),""USER TIDAK DIKETAHUI""))"),"#REF!")</f>
        <v>#REF!</v>
      </c>
    </row>
    <row r="2194">
      <c r="A2194" s="21">
        <f t="shared" si="1"/>
        <v>0</v>
      </c>
      <c r="B2194" s="32" t="s">
        <v>289</v>
      </c>
      <c r="C2194" s="23" t="s">
        <v>290</v>
      </c>
      <c r="D2194" s="23" t="s">
        <v>21</v>
      </c>
      <c r="E2194" s="37">
        <v>45429.0</v>
      </c>
      <c r="F2194" s="25">
        <v>0.2777777777777778</v>
      </c>
      <c r="G2194" s="25">
        <v>0.5736111111111111</v>
      </c>
      <c r="H2194" s="27">
        <f t="shared" si="2"/>
        <v>0.2958333333</v>
      </c>
      <c r="I2194" s="28">
        <v>2.0</v>
      </c>
      <c r="J2194" s="29" t="s">
        <v>1062</v>
      </c>
      <c r="K2194" s="30" t="s">
        <v>23</v>
      </c>
      <c r="L2194" s="31" t="str">
        <f>IFERROR(__xludf.DUMMYFUNCTION("IF(OR(E2194="""",K2194=""""),"""",IFERROR(IF(K2194="""","""",query('tbl user'!$A$2:$D10975,""SELECT A WHERE D = '""&amp;K2194&amp;""'"")),""USER TIDAK DIKETAHUI""))"),"#REF!")</f>
        <v>#REF!</v>
      </c>
    </row>
    <row r="2195">
      <c r="A2195" s="21">
        <f t="shared" si="1"/>
        <v>0</v>
      </c>
      <c r="B2195" s="32" t="s">
        <v>284</v>
      </c>
      <c r="C2195" s="23" t="s">
        <v>285</v>
      </c>
      <c r="D2195" s="23" t="s">
        <v>21</v>
      </c>
      <c r="E2195" s="37">
        <v>45429.0</v>
      </c>
      <c r="F2195" s="25">
        <v>0.2923611111111111</v>
      </c>
      <c r="G2195" s="25">
        <v>0.6298611111111111</v>
      </c>
      <c r="H2195" s="27">
        <f t="shared" si="2"/>
        <v>0.3375</v>
      </c>
      <c r="I2195" s="28">
        <v>2.0</v>
      </c>
      <c r="J2195" s="29" t="s">
        <v>1057</v>
      </c>
      <c r="K2195" s="30" t="s">
        <v>23</v>
      </c>
      <c r="L2195" s="31" t="str">
        <f>IFERROR(__xludf.DUMMYFUNCTION("IF(OR(E2195="""",K2195=""""),"""",IFERROR(IF(K2195="""","""",query('tbl user'!$A$2:$D10975,""SELECT A WHERE D = '""&amp;K2195&amp;""'"")),""USER TIDAK DIKETAHUI""))"),"#REF!")</f>
        <v>#REF!</v>
      </c>
    </row>
    <row r="2196">
      <c r="A2196" s="21">
        <f t="shared" si="1"/>
        <v>0</v>
      </c>
      <c r="B2196" s="32" t="s">
        <v>286</v>
      </c>
      <c r="C2196" s="23" t="s">
        <v>287</v>
      </c>
      <c r="D2196" s="23" t="s">
        <v>21</v>
      </c>
      <c r="E2196" s="37">
        <v>45429.0</v>
      </c>
      <c r="F2196" s="25">
        <v>0.29097222222222224</v>
      </c>
      <c r="G2196" s="25">
        <v>0.6555555555555556</v>
      </c>
      <c r="H2196" s="27">
        <f t="shared" si="2"/>
        <v>0.3645833333</v>
      </c>
      <c r="I2196" s="28">
        <v>2.0</v>
      </c>
      <c r="J2196" s="29" t="s">
        <v>1063</v>
      </c>
      <c r="K2196" s="30" t="s">
        <v>23</v>
      </c>
      <c r="L2196" s="31" t="str">
        <f>IFERROR(__xludf.DUMMYFUNCTION("IF(OR(E2196="""",K2196=""""),"""",IFERROR(IF(K2196="""","""",query('tbl user'!$A$2:$D10975,""SELECT A WHERE D = '""&amp;K2196&amp;""'"")),""USER TIDAK DIKETAHUI""))"),"#REF!")</f>
        <v>#REF!</v>
      </c>
    </row>
    <row r="2197">
      <c r="A2197" s="21">
        <f t="shared" si="1"/>
        <v>0</v>
      </c>
      <c r="B2197" s="32" t="s">
        <v>281</v>
      </c>
      <c r="C2197" s="23" t="s">
        <v>282</v>
      </c>
      <c r="D2197" s="23" t="s">
        <v>21</v>
      </c>
      <c r="E2197" s="37">
        <v>45429.0</v>
      </c>
      <c r="F2197" s="25">
        <v>0.2791666666666667</v>
      </c>
      <c r="G2197" s="25">
        <v>0.6805555555555556</v>
      </c>
      <c r="H2197" s="27">
        <f t="shared" si="2"/>
        <v>0.4013888889</v>
      </c>
      <c r="I2197" s="28">
        <v>3.0</v>
      </c>
      <c r="J2197" s="29" t="s">
        <v>1064</v>
      </c>
      <c r="K2197" s="30" t="s">
        <v>23</v>
      </c>
      <c r="L2197" s="31" t="str">
        <f>IFERROR(__xludf.DUMMYFUNCTION("IF(OR(E2197="""",K2197=""""),"""",IFERROR(IF(K2197="""","""",query('tbl user'!$A$2:$D10975,""SELECT A WHERE D = '""&amp;K2197&amp;""'"")),""USER TIDAK DIKETAHUI""))"),"#REF!")</f>
        <v>#REF!</v>
      </c>
    </row>
    <row r="2198">
      <c r="A2198" s="21">
        <f t="shared" si="1"/>
        <v>0</v>
      </c>
      <c r="B2198" s="32" t="s">
        <v>246</v>
      </c>
      <c r="C2198" s="23" t="s">
        <v>99</v>
      </c>
      <c r="D2198" s="23" t="s">
        <v>21</v>
      </c>
      <c r="E2198" s="37">
        <v>45429.0</v>
      </c>
      <c r="F2198" s="25">
        <v>0.27361111111111114</v>
      </c>
      <c r="G2198" s="25">
        <v>0.4326388888888889</v>
      </c>
      <c r="H2198" s="27">
        <f t="shared" si="2"/>
        <v>0.1590277778</v>
      </c>
      <c r="I2198" s="28">
        <v>1.0</v>
      </c>
      <c r="J2198" s="29" t="s">
        <v>1065</v>
      </c>
      <c r="K2198" s="30" t="s">
        <v>23</v>
      </c>
      <c r="L2198" s="31" t="str">
        <f>IFERROR(__xludf.DUMMYFUNCTION("IF(OR(E2198="""",K2198=""""),"""",IFERROR(IF(K2198="""","""",query('tbl user'!$A$2:$D10975,""SELECT A WHERE D = '""&amp;K2198&amp;""'"")),""USER TIDAK DIKETAHUI""))"),"#REF!")</f>
        <v>#REF!</v>
      </c>
    </row>
    <row r="2199">
      <c r="A2199" s="21">
        <f t="shared" si="1"/>
        <v>0</v>
      </c>
      <c r="B2199" s="32" t="s">
        <v>333</v>
      </c>
      <c r="C2199" s="23" t="s">
        <v>334</v>
      </c>
      <c r="D2199" s="23" t="s">
        <v>21</v>
      </c>
      <c r="E2199" s="37">
        <v>45429.0</v>
      </c>
      <c r="F2199" s="25">
        <v>0.25069444444444444</v>
      </c>
      <c r="G2199" s="25">
        <v>0.41458333333333336</v>
      </c>
      <c r="H2199" s="27">
        <f t="shared" si="2"/>
        <v>0.1638888889</v>
      </c>
      <c r="I2199" s="28">
        <v>1.0</v>
      </c>
      <c r="J2199" s="29" t="s">
        <v>1066</v>
      </c>
      <c r="K2199" s="30" t="s">
        <v>23</v>
      </c>
      <c r="L2199" s="31" t="str">
        <f>IFERROR(__xludf.DUMMYFUNCTION("IF(OR(E2199="""",K2199=""""),"""",IFERROR(IF(K2199="""","""",query('tbl user'!$A$2:$D10975,""SELECT A WHERE D = '""&amp;K2199&amp;""'"")),""USER TIDAK DIKETAHUI""))"),"#REF!")</f>
        <v>#REF!</v>
      </c>
    </row>
    <row r="2200">
      <c r="A2200" s="21">
        <f t="shared" si="1"/>
        <v>0</v>
      </c>
      <c r="B2200" s="32" t="s">
        <v>716</v>
      </c>
      <c r="C2200" s="23" t="s">
        <v>316</v>
      </c>
      <c r="D2200" s="23" t="s">
        <v>21</v>
      </c>
      <c r="E2200" s="37">
        <v>45429.0</v>
      </c>
      <c r="F2200" s="25">
        <v>0.2659722222222222</v>
      </c>
      <c r="G2200" s="25">
        <v>0.4423611111111111</v>
      </c>
      <c r="H2200" s="27">
        <f t="shared" si="2"/>
        <v>0.1763888889</v>
      </c>
      <c r="I2200" s="28">
        <v>1.0</v>
      </c>
      <c r="J2200" s="29" t="s">
        <v>1067</v>
      </c>
      <c r="K2200" s="30" t="s">
        <v>23</v>
      </c>
      <c r="L2200" s="31" t="str">
        <f>IFERROR(__xludf.DUMMYFUNCTION("IF(OR(E2200="""",K2200=""""),"""",IFERROR(IF(K2200="""","""",query('tbl user'!$A$2:$D10975,""SELECT A WHERE D = '""&amp;K2200&amp;""'"")),""USER TIDAK DIKETAHUI""))"),"#REF!")</f>
        <v>#REF!</v>
      </c>
    </row>
    <row r="2201">
      <c r="A2201" s="21">
        <f t="shared" si="1"/>
        <v>0</v>
      </c>
      <c r="B2201" s="32" t="s">
        <v>87</v>
      </c>
      <c r="C2201" s="23" t="s">
        <v>88</v>
      </c>
      <c r="D2201" s="23" t="s">
        <v>21</v>
      </c>
      <c r="E2201" s="37">
        <v>45429.0</v>
      </c>
      <c r="F2201" s="25">
        <v>0.26875</v>
      </c>
      <c r="G2201" s="25">
        <v>0.4513888888888889</v>
      </c>
      <c r="H2201" s="27">
        <f t="shared" si="2"/>
        <v>0.1826388889</v>
      </c>
      <c r="I2201" s="28">
        <v>1.0</v>
      </c>
      <c r="J2201" s="29" t="s">
        <v>1068</v>
      </c>
      <c r="K2201" s="30" t="s">
        <v>23</v>
      </c>
      <c r="L2201" s="31" t="str">
        <f>IFERROR(__xludf.DUMMYFUNCTION("IF(OR(E2201="""",K2201=""""),"""",IFERROR(IF(K2201="""","""",query('tbl user'!$A$2:$D10975,""SELECT A WHERE D = '""&amp;K2201&amp;""'"")),""USER TIDAK DIKETAHUI""))"),"#REF!")</f>
        <v>#REF!</v>
      </c>
    </row>
    <row r="2202">
      <c r="A2202" s="21">
        <f t="shared" si="1"/>
        <v>0</v>
      </c>
      <c r="B2202" s="32" t="s">
        <v>601</v>
      </c>
      <c r="C2202" s="23" t="s">
        <v>323</v>
      </c>
      <c r="D2202" s="23" t="s">
        <v>21</v>
      </c>
      <c r="E2202" s="37">
        <v>45429.0</v>
      </c>
      <c r="F2202" s="25">
        <v>0.2659722222222222</v>
      </c>
      <c r="G2202" s="25">
        <v>0.42916666666666664</v>
      </c>
      <c r="H2202" s="27">
        <f t="shared" si="2"/>
        <v>0.1631944444</v>
      </c>
      <c r="I2202" s="28">
        <v>1.0</v>
      </c>
      <c r="J2202" s="29" t="s">
        <v>449</v>
      </c>
      <c r="K2202" s="30" t="s">
        <v>23</v>
      </c>
      <c r="L2202" s="31" t="str">
        <f>IFERROR(__xludf.DUMMYFUNCTION("IF(OR(E2202="""",K2202=""""),"""",IFERROR(IF(K2202="""","""",query('tbl user'!$A$2:$D10975,""SELECT A WHERE D = '""&amp;K2202&amp;""'"")),""USER TIDAK DIKETAHUI""))"),"#REF!")</f>
        <v>#REF!</v>
      </c>
    </row>
    <row r="2203">
      <c r="A2203" s="21">
        <f t="shared" si="1"/>
        <v>0</v>
      </c>
      <c r="B2203" s="32" t="s">
        <v>662</v>
      </c>
      <c r="C2203" s="23" t="s">
        <v>234</v>
      </c>
      <c r="D2203" s="23" t="s">
        <v>21</v>
      </c>
      <c r="E2203" s="37">
        <v>45429.0</v>
      </c>
      <c r="F2203" s="25">
        <v>0.27361111111111114</v>
      </c>
      <c r="G2203" s="25">
        <v>0.6388888888888888</v>
      </c>
      <c r="H2203" s="27">
        <f t="shared" si="2"/>
        <v>0.3652777778</v>
      </c>
      <c r="I2203" s="28">
        <v>2.0</v>
      </c>
      <c r="J2203" s="29" t="s">
        <v>1069</v>
      </c>
      <c r="K2203" s="30" t="s">
        <v>23</v>
      </c>
      <c r="L2203" s="31" t="str">
        <f>IFERROR(__xludf.DUMMYFUNCTION("IF(OR(E2203="""",K2203=""""),"""",IFERROR(IF(K2203="""","""",query('tbl user'!$A$2:$D10975,""SELECT A WHERE D = '""&amp;K2203&amp;""'"")),""USER TIDAK DIKETAHUI""))"),"#REF!")</f>
        <v>#REF!</v>
      </c>
    </row>
    <row r="2204">
      <c r="A2204" s="21">
        <f t="shared" si="1"/>
        <v>0</v>
      </c>
      <c r="B2204" s="32" t="s">
        <v>219</v>
      </c>
      <c r="C2204" s="23" t="s">
        <v>340</v>
      </c>
      <c r="D2204" s="23" t="s">
        <v>21</v>
      </c>
      <c r="E2204" s="37">
        <v>45429.0</v>
      </c>
      <c r="F2204" s="25">
        <v>0.27569444444444446</v>
      </c>
      <c r="G2204" s="25">
        <v>0.70625</v>
      </c>
      <c r="H2204" s="27">
        <f t="shared" si="2"/>
        <v>0.4305555556</v>
      </c>
      <c r="I2204" s="28">
        <v>2.0</v>
      </c>
      <c r="J2204" s="29" t="s">
        <v>1070</v>
      </c>
      <c r="K2204" s="30" t="s">
        <v>23</v>
      </c>
      <c r="L2204" s="31" t="str">
        <f>IFERROR(__xludf.DUMMYFUNCTION("IF(OR(E2204="""",K2204=""""),"""",IFERROR(IF(K2204="""","""",query('tbl user'!$A$2:$D10975,""SELECT A WHERE D = '""&amp;K2204&amp;""'"")),""USER TIDAK DIKETAHUI""))"),"#REF!")</f>
        <v>#REF!</v>
      </c>
    </row>
    <row r="2205">
      <c r="A2205" s="21">
        <f t="shared" si="1"/>
        <v>0</v>
      </c>
      <c r="B2205" s="32" t="s">
        <v>328</v>
      </c>
      <c r="C2205" s="23" t="s">
        <v>329</v>
      </c>
      <c r="D2205" s="23" t="s">
        <v>21</v>
      </c>
      <c r="E2205" s="37">
        <v>45429.0</v>
      </c>
      <c r="F2205" s="25">
        <v>0.23958333333333334</v>
      </c>
      <c r="G2205" s="25">
        <v>0.5430555555555555</v>
      </c>
      <c r="H2205" s="27">
        <f t="shared" si="2"/>
        <v>0.3034722222</v>
      </c>
      <c r="I2205" s="28">
        <v>2.0</v>
      </c>
      <c r="J2205" s="29" t="s">
        <v>1071</v>
      </c>
      <c r="K2205" s="30" t="s">
        <v>23</v>
      </c>
      <c r="L2205" s="31" t="str">
        <f>IFERROR(__xludf.DUMMYFUNCTION("IF(OR(E2205="""",K2205=""""),"""",IFERROR(IF(K2205="""","""",query('tbl user'!$A$2:$D10975,""SELECT A WHERE D = '""&amp;K2205&amp;""'"")),""USER TIDAK DIKETAHUI""))"),"#REF!")</f>
        <v>#REF!</v>
      </c>
    </row>
    <row r="2206">
      <c r="A2206" s="21">
        <f t="shared" si="1"/>
        <v>0</v>
      </c>
      <c r="B2206" s="32" t="s">
        <v>53</v>
      </c>
      <c r="C2206" s="23" t="s">
        <v>54</v>
      </c>
      <c r="D2206" s="23" t="s">
        <v>21</v>
      </c>
      <c r="E2206" s="37">
        <v>45429.0</v>
      </c>
      <c r="F2206" s="25">
        <v>0.26180555555555557</v>
      </c>
      <c r="G2206" s="25">
        <v>0.5423611111111111</v>
      </c>
      <c r="H2206" s="27">
        <f t="shared" si="2"/>
        <v>0.2805555556</v>
      </c>
      <c r="I2206" s="28">
        <v>2.0</v>
      </c>
      <c r="J2206" s="29" t="s">
        <v>1072</v>
      </c>
      <c r="K2206" s="30" t="s">
        <v>23</v>
      </c>
      <c r="L2206" s="31" t="str">
        <f>IFERROR(__xludf.DUMMYFUNCTION("IF(OR(E2206="""",K2206=""""),"""",IFERROR(IF(K2206="""","""",query('tbl user'!$A$2:$D10975,""SELECT A WHERE D = '""&amp;K2206&amp;""'"")),""USER TIDAK DIKETAHUI""))"),"#REF!")</f>
        <v>#REF!</v>
      </c>
    </row>
    <row r="2207">
      <c r="A2207" s="21">
        <f t="shared" si="1"/>
        <v>0</v>
      </c>
      <c r="B2207" s="32" t="s">
        <v>325</v>
      </c>
      <c r="C2207" s="23" t="s">
        <v>326</v>
      </c>
      <c r="D2207" s="23" t="s">
        <v>21</v>
      </c>
      <c r="E2207" s="37">
        <v>45429.0</v>
      </c>
      <c r="F2207" s="25">
        <v>0.2625</v>
      </c>
      <c r="G2207" s="25">
        <v>0.5465277777777777</v>
      </c>
      <c r="H2207" s="27">
        <f t="shared" si="2"/>
        <v>0.2840277778</v>
      </c>
      <c r="I2207" s="28">
        <v>2.0</v>
      </c>
      <c r="J2207" s="29" t="s">
        <v>1073</v>
      </c>
      <c r="K2207" s="30" t="s">
        <v>23</v>
      </c>
      <c r="L2207" s="31" t="str">
        <f>IFERROR(__xludf.DUMMYFUNCTION("IF(OR(E2207="""",K2207=""""),"""",IFERROR(IF(K2207="""","""",query('tbl user'!$A$2:$D10975,""SELECT A WHERE D = '""&amp;K2207&amp;""'"")),""USER TIDAK DIKETAHUI""))"),"#REF!")</f>
        <v>#REF!</v>
      </c>
    </row>
    <row r="2208">
      <c r="A2208" s="21">
        <f t="shared" si="1"/>
        <v>0</v>
      </c>
      <c r="B2208" s="32" t="s">
        <v>577</v>
      </c>
      <c r="C2208" s="23" t="s">
        <v>330</v>
      </c>
      <c r="D2208" s="23" t="s">
        <v>21</v>
      </c>
      <c r="E2208" s="37">
        <v>45429.0</v>
      </c>
      <c r="F2208" s="25">
        <v>0.26180555555555557</v>
      </c>
      <c r="G2208" s="25">
        <v>0.45625</v>
      </c>
      <c r="H2208" s="27">
        <f t="shared" si="2"/>
        <v>0.1944444444</v>
      </c>
      <c r="I2208" s="28">
        <v>2.0</v>
      </c>
      <c r="J2208" s="29" t="s">
        <v>1074</v>
      </c>
      <c r="K2208" s="30" t="s">
        <v>23</v>
      </c>
      <c r="L2208" s="31" t="str">
        <f>IFERROR(__xludf.DUMMYFUNCTION("IF(OR(E2208="""",K2208=""""),"""",IFERROR(IF(K2208="""","""",query('tbl user'!$A$2:$D10975,""SELECT A WHERE D = '""&amp;K2208&amp;""'"")),""USER TIDAK DIKETAHUI""))"),"#REF!")</f>
        <v>#REF!</v>
      </c>
    </row>
    <row r="2209">
      <c r="A2209" s="21">
        <f t="shared" si="1"/>
        <v>0</v>
      </c>
      <c r="B2209" s="32" t="s">
        <v>238</v>
      </c>
      <c r="C2209" s="23" t="s">
        <v>239</v>
      </c>
      <c r="D2209" s="23" t="s">
        <v>21</v>
      </c>
      <c r="E2209" s="37">
        <v>45429.0</v>
      </c>
      <c r="F2209" s="25">
        <v>0.2965277777777778</v>
      </c>
      <c r="G2209" s="25">
        <v>0.6527777777777778</v>
      </c>
      <c r="H2209" s="27">
        <f t="shared" si="2"/>
        <v>0.35625</v>
      </c>
      <c r="I2209" s="28">
        <v>3.0</v>
      </c>
      <c r="J2209" s="29" t="s">
        <v>1075</v>
      </c>
      <c r="K2209" s="30" t="s">
        <v>23</v>
      </c>
      <c r="L2209" s="31" t="str">
        <f>IFERROR(__xludf.DUMMYFUNCTION("IF(OR(E2209="""",K2209=""""),"""",IFERROR(IF(K2209="""","""",query('tbl user'!$A$2:$D10975,""SELECT A WHERE D = '""&amp;K2209&amp;""'"")),""USER TIDAK DIKETAHUI""))"),"#REF!")</f>
        <v>#REF!</v>
      </c>
    </row>
    <row r="2210">
      <c r="A2210" s="21">
        <f t="shared" si="1"/>
        <v>0</v>
      </c>
      <c r="B2210" s="32" t="s">
        <v>209</v>
      </c>
      <c r="C2210" s="23" t="s">
        <v>244</v>
      </c>
      <c r="D2210" s="23" t="s">
        <v>21</v>
      </c>
      <c r="E2210" s="37">
        <v>45429.0</v>
      </c>
      <c r="F2210" s="25">
        <v>0.2638888888888889</v>
      </c>
      <c r="G2210" s="25">
        <v>0.6416666666666667</v>
      </c>
      <c r="H2210" s="27">
        <f t="shared" si="2"/>
        <v>0.3777777778</v>
      </c>
      <c r="I2210" s="28">
        <v>3.0</v>
      </c>
      <c r="J2210" s="29" t="s">
        <v>1076</v>
      </c>
      <c r="K2210" s="30" t="s">
        <v>23</v>
      </c>
      <c r="L2210" s="31" t="str">
        <f>IFERROR(__xludf.DUMMYFUNCTION("IF(OR(E2210="""",K2210=""""),"""",IFERROR(IF(K2210="""","""",query('tbl user'!$A$2:$D10975,""SELECT A WHERE D = '""&amp;K2210&amp;""'"")),""USER TIDAK DIKETAHUI""))"),"#REF!")</f>
        <v>#REF!</v>
      </c>
    </row>
    <row r="2211">
      <c r="A2211" s="21">
        <f t="shared" si="1"/>
        <v>0</v>
      </c>
      <c r="B2211" s="32" t="s">
        <v>43</v>
      </c>
      <c r="C2211" s="23" t="s">
        <v>44</v>
      </c>
      <c r="D2211" s="23" t="s">
        <v>21</v>
      </c>
      <c r="E2211" s="37">
        <v>45429.0</v>
      </c>
      <c r="F2211" s="25">
        <v>0.3763888888888889</v>
      </c>
      <c r="G2211" s="25">
        <v>0.7215277777777778</v>
      </c>
      <c r="H2211" s="27">
        <f t="shared" si="2"/>
        <v>0.3451388889</v>
      </c>
      <c r="I2211" s="28">
        <v>3.0</v>
      </c>
      <c r="J2211" s="29" t="s">
        <v>1077</v>
      </c>
      <c r="K2211" s="30" t="s">
        <v>23</v>
      </c>
      <c r="L2211" s="31" t="str">
        <f>IFERROR(__xludf.DUMMYFUNCTION("IF(OR(E2211="""",K2211=""""),"""",IFERROR(IF(K2211="""","""",query('tbl user'!$A$2:$D10975,""SELECT A WHERE D = '""&amp;K2211&amp;""'"")),""USER TIDAK DIKETAHUI""))"),"#REF!")</f>
        <v>#REF!</v>
      </c>
    </row>
    <row r="2212">
      <c r="A2212" s="21">
        <f t="shared" si="1"/>
        <v>0</v>
      </c>
      <c r="B2212" s="32" t="s">
        <v>335</v>
      </c>
      <c r="C2212" s="23" t="s">
        <v>336</v>
      </c>
      <c r="D2212" s="23" t="s">
        <v>21</v>
      </c>
      <c r="E2212" s="37">
        <v>45429.0</v>
      </c>
      <c r="F2212" s="25">
        <v>0.2875</v>
      </c>
      <c r="G2212" s="25">
        <v>0.7388888888888889</v>
      </c>
      <c r="H2212" s="27">
        <f t="shared" si="2"/>
        <v>0.4513888889</v>
      </c>
      <c r="I2212" s="28">
        <v>3.0</v>
      </c>
      <c r="J2212" s="29" t="s">
        <v>894</v>
      </c>
      <c r="K2212" s="30" t="s">
        <v>23</v>
      </c>
      <c r="L2212" s="31" t="str">
        <f>IFERROR(__xludf.DUMMYFUNCTION("IF(OR(E2212="""",K2212=""""),"""",IFERROR(IF(K2212="""","""",query('tbl user'!$A$2:$D10975,""SELECT A WHERE D = '""&amp;K2212&amp;""'"")),""USER TIDAK DIKETAHUI""))"),"#REF!")</f>
        <v>#REF!</v>
      </c>
    </row>
    <row r="2213">
      <c r="A2213" s="21">
        <f t="shared" si="1"/>
        <v>0</v>
      </c>
      <c r="B2213" s="32" t="s">
        <v>81</v>
      </c>
      <c r="C2213" s="23" t="s">
        <v>261</v>
      </c>
      <c r="D2213" s="23" t="s">
        <v>21</v>
      </c>
      <c r="E2213" s="37">
        <v>45429.0</v>
      </c>
      <c r="F2213" s="25">
        <v>0.22708333333333333</v>
      </c>
      <c r="G2213" s="25">
        <v>0.7548611111111111</v>
      </c>
      <c r="H2213" s="27">
        <f t="shared" si="2"/>
        <v>0.5277777778</v>
      </c>
      <c r="I2213" s="28">
        <v>3.0</v>
      </c>
      <c r="J2213" s="29" t="s">
        <v>1078</v>
      </c>
      <c r="K2213" s="30" t="s">
        <v>23</v>
      </c>
      <c r="L2213" s="31" t="str">
        <f>IFERROR(__xludf.DUMMYFUNCTION("IF(OR(E2213="""",K2213=""""),"""",IFERROR(IF(K2213="""","""",query('tbl user'!$A$2:$D10975,""SELECT A WHERE D = '""&amp;K2213&amp;""'"")),""USER TIDAK DIKETAHUI""))"),"#REF!")</f>
        <v>#REF!</v>
      </c>
    </row>
    <row r="2214">
      <c r="A2214" s="21">
        <f t="shared" si="1"/>
        <v>0</v>
      </c>
      <c r="B2214" s="32" t="s">
        <v>34</v>
      </c>
      <c r="C2214" s="23" t="s">
        <v>35</v>
      </c>
      <c r="D2214" s="23" t="s">
        <v>21</v>
      </c>
      <c r="E2214" s="37">
        <v>45429.0</v>
      </c>
      <c r="F2214" s="25">
        <v>0.2638888888888889</v>
      </c>
      <c r="G2214" s="25">
        <v>0.725</v>
      </c>
      <c r="H2214" s="27">
        <f t="shared" si="2"/>
        <v>0.4611111111</v>
      </c>
      <c r="I2214" s="28">
        <v>4.0</v>
      </c>
      <c r="J2214" s="29" t="s">
        <v>894</v>
      </c>
      <c r="K2214" s="30" t="s">
        <v>23</v>
      </c>
      <c r="L2214" s="31" t="str">
        <f>IFERROR(__xludf.DUMMYFUNCTION("IF(OR(E2214="""",K2214=""""),"""",IFERROR(IF(K2214="""","""",query('tbl user'!$A$2:$D10975,""SELECT A WHERE D = '""&amp;K2214&amp;""'"")),""USER TIDAK DIKETAHUI""))"),"#REF!")</f>
        <v>#REF!</v>
      </c>
    </row>
    <row r="2215">
      <c r="A2215" s="21">
        <f t="shared" si="1"/>
        <v>0</v>
      </c>
      <c r="B2215" s="32" t="s">
        <v>24</v>
      </c>
      <c r="C2215" s="23" t="s">
        <v>25</v>
      </c>
      <c r="D2215" s="23" t="s">
        <v>21</v>
      </c>
      <c r="E2215" s="37">
        <v>45429.0</v>
      </c>
      <c r="F2215" s="25">
        <v>0.24027777777777778</v>
      </c>
      <c r="G2215" s="25">
        <v>0.6548611111111111</v>
      </c>
      <c r="H2215" s="27">
        <f t="shared" si="2"/>
        <v>0.4145833333</v>
      </c>
      <c r="I2215" s="28">
        <v>4.0</v>
      </c>
      <c r="J2215" s="29" t="s">
        <v>1079</v>
      </c>
      <c r="K2215" s="30" t="s">
        <v>23</v>
      </c>
      <c r="L2215" s="31" t="str">
        <f>IFERROR(__xludf.DUMMYFUNCTION("IF(OR(E2215="""",K2215=""""),"""",IFERROR(IF(K2215="""","""",query('tbl user'!$A$2:$D10975,""SELECT A WHERE D = '""&amp;K2215&amp;""'"")),""USER TIDAK DIKETAHUI""))"),"#REF!")</f>
        <v>#REF!</v>
      </c>
    </row>
    <row r="2216">
      <c r="A2216" s="21">
        <f t="shared" si="1"/>
        <v>0</v>
      </c>
      <c r="B2216" s="32" t="s">
        <v>255</v>
      </c>
      <c r="C2216" s="23" t="s">
        <v>256</v>
      </c>
      <c r="D2216" s="23" t="s">
        <v>21</v>
      </c>
      <c r="E2216" s="37">
        <v>45429.0</v>
      </c>
      <c r="F2216" s="25">
        <v>0.2652777777777778</v>
      </c>
      <c r="G2216" s="25">
        <v>0.7506944444444444</v>
      </c>
      <c r="H2216" s="27">
        <f t="shared" si="2"/>
        <v>0.4854166667</v>
      </c>
      <c r="I2216" s="28">
        <v>4.0</v>
      </c>
      <c r="J2216" s="29" t="s">
        <v>894</v>
      </c>
      <c r="K2216" s="30" t="s">
        <v>23</v>
      </c>
      <c r="L2216" s="31" t="str">
        <f>IFERROR(__xludf.DUMMYFUNCTION("IF(OR(E2216="""",K2216=""""),"""",IFERROR(IF(K2216="""","""",query('tbl user'!$A$2:$D10975,""SELECT A WHERE D = '""&amp;K2216&amp;""'"")),""USER TIDAK DIKETAHUI""))"),"#REF!")</f>
        <v>#REF!</v>
      </c>
    </row>
    <row r="2217">
      <c r="A2217" s="21">
        <f t="shared" si="1"/>
        <v>0</v>
      </c>
      <c r="B2217" s="32" t="s">
        <v>593</v>
      </c>
      <c r="C2217" s="23" t="s">
        <v>236</v>
      </c>
      <c r="D2217" s="23" t="s">
        <v>21</v>
      </c>
      <c r="E2217" s="37">
        <v>45429.0</v>
      </c>
      <c r="F2217" s="25">
        <v>0.22916666666666666</v>
      </c>
      <c r="G2217" s="25">
        <v>0.7409722222222223</v>
      </c>
      <c r="H2217" s="27">
        <f t="shared" si="2"/>
        <v>0.5118055556</v>
      </c>
      <c r="I2217" s="28">
        <v>4.0</v>
      </c>
      <c r="J2217" s="29" t="s">
        <v>1080</v>
      </c>
      <c r="K2217" s="30" t="s">
        <v>23</v>
      </c>
      <c r="L2217" s="31" t="str">
        <f>IFERROR(__xludf.DUMMYFUNCTION("IF(OR(E2217="""",K2217=""""),"""",IFERROR(IF(K2217="""","""",query('tbl user'!$A$2:$D10975,""SELECT A WHERE D = '""&amp;K2217&amp;""'"")),""USER TIDAK DIKETAHUI""))"),"#REF!")</f>
        <v>#REF!</v>
      </c>
    </row>
    <row r="2218">
      <c r="A2218" s="21">
        <f t="shared" si="1"/>
        <v>0</v>
      </c>
      <c r="B2218" s="32" t="s">
        <v>131</v>
      </c>
      <c r="C2218" s="23" t="s">
        <v>339</v>
      </c>
      <c r="D2218" s="23" t="s">
        <v>21</v>
      </c>
      <c r="E2218" s="37">
        <v>45429.0</v>
      </c>
      <c r="F2218" s="25">
        <v>0.2548611111111111</v>
      </c>
      <c r="G2218" s="25">
        <v>0.6895833333333333</v>
      </c>
      <c r="H2218" s="27">
        <f t="shared" si="2"/>
        <v>0.4347222222</v>
      </c>
      <c r="I2218" s="28">
        <v>4.0</v>
      </c>
      <c r="J2218" s="29" t="s">
        <v>1081</v>
      </c>
      <c r="K2218" s="30" t="s">
        <v>23</v>
      </c>
      <c r="L2218" s="31" t="str">
        <f>IFERROR(__xludf.DUMMYFUNCTION("IF(OR(E2218="""",K2218=""""),"""",IFERROR(IF(K2218="""","""",query('tbl user'!$A$2:$D10975,""SELECT A WHERE D = '""&amp;K2218&amp;""'"")),""USER TIDAK DIKETAHUI""))"),"#REF!")</f>
        <v>#REF!</v>
      </c>
    </row>
    <row r="2219">
      <c r="A2219" s="21">
        <f t="shared" si="1"/>
        <v>0</v>
      </c>
      <c r="B2219" s="32" t="s">
        <v>258</v>
      </c>
      <c r="C2219" s="23" t="s">
        <v>259</v>
      </c>
      <c r="D2219" s="23" t="s">
        <v>21</v>
      </c>
      <c r="E2219" s="37">
        <v>45429.0</v>
      </c>
      <c r="F2219" s="25">
        <v>0.2520833333333333</v>
      </c>
      <c r="G2219" s="25">
        <v>0.6854166666666667</v>
      </c>
      <c r="H2219" s="27">
        <f t="shared" si="2"/>
        <v>0.4333333333</v>
      </c>
      <c r="I2219" s="28">
        <v>4.0</v>
      </c>
      <c r="J2219" s="29" t="s">
        <v>1082</v>
      </c>
      <c r="K2219" s="30" t="s">
        <v>23</v>
      </c>
      <c r="L2219" s="31" t="str">
        <f>IFERROR(__xludf.DUMMYFUNCTION("IF(OR(E2219="""",K2219=""""),"""",IFERROR(IF(K2219="""","""",query('tbl user'!$A$2:$D10975,""SELECT A WHERE D = '""&amp;K2219&amp;""'"")),""USER TIDAK DIKETAHUI""))"),"#REF!")</f>
        <v>#REF!</v>
      </c>
    </row>
    <row r="2220">
      <c r="A2220" s="21">
        <f t="shared" si="1"/>
        <v>0</v>
      </c>
      <c r="B2220" s="32" t="s">
        <v>337</v>
      </c>
      <c r="C2220" s="23" t="s">
        <v>338</v>
      </c>
      <c r="D2220" s="23" t="s">
        <v>21</v>
      </c>
      <c r="E2220" s="37">
        <v>45429.0</v>
      </c>
      <c r="F2220" s="25">
        <v>0.4027777777777778</v>
      </c>
      <c r="G2220" s="25">
        <v>0.7715277777777778</v>
      </c>
      <c r="H2220" s="27">
        <f t="shared" si="2"/>
        <v>0.36875</v>
      </c>
      <c r="I2220" s="28">
        <v>4.0</v>
      </c>
      <c r="J2220" s="29" t="s">
        <v>1083</v>
      </c>
      <c r="K2220" s="30" t="s">
        <v>23</v>
      </c>
      <c r="L2220" s="31" t="str">
        <f>IFERROR(__xludf.DUMMYFUNCTION("IF(OR(E2220="""",K2220=""""),"""",IFERROR(IF(K2220="""","""",query('tbl user'!$A$2:$D10975,""SELECT A WHERE D = '""&amp;K2220&amp;""'"")),""USER TIDAK DIKETAHUI""))"),"#REF!")</f>
        <v>#REF!</v>
      </c>
    </row>
    <row r="2221">
      <c r="A2221" s="21">
        <f t="shared" si="1"/>
        <v>0</v>
      </c>
      <c r="B2221" s="32" t="s">
        <v>305</v>
      </c>
      <c r="C2221" s="23" t="s">
        <v>251</v>
      </c>
      <c r="D2221" s="23" t="s">
        <v>21</v>
      </c>
      <c r="E2221" s="37">
        <v>45429.0</v>
      </c>
      <c r="F2221" s="25">
        <v>0.2222222222222222</v>
      </c>
      <c r="G2221" s="25">
        <v>0.7715277777777778</v>
      </c>
      <c r="H2221" s="27">
        <f t="shared" si="2"/>
        <v>0.5493055556</v>
      </c>
      <c r="I2221" s="28">
        <v>5.0</v>
      </c>
      <c r="J2221" s="29" t="s">
        <v>55</v>
      </c>
      <c r="K2221" s="30" t="s">
        <v>23</v>
      </c>
      <c r="L2221" s="31" t="str">
        <f>IFERROR(__xludf.DUMMYFUNCTION("IF(OR(E2221="""",K2221=""""),"""",IFERROR(IF(K2221="""","""",query('tbl user'!$A$2:$D10975,""SELECT A WHERE D = '""&amp;K2221&amp;""'"")),""USER TIDAK DIKETAHUI""))"),"#REF!")</f>
        <v>#REF!</v>
      </c>
    </row>
    <row r="2222">
      <c r="A2222" s="21">
        <f t="shared" si="1"/>
        <v>0</v>
      </c>
      <c r="B2222" s="32" t="s">
        <v>159</v>
      </c>
      <c r="C2222" s="23" t="s">
        <v>306</v>
      </c>
      <c r="D2222" s="23" t="s">
        <v>21</v>
      </c>
      <c r="E2222" s="37">
        <v>45429.0</v>
      </c>
      <c r="F2222" s="25">
        <v>0.2798611111111111</v>
      </c>
      <c r="G2222" s="25">
        <v>0.7805555555555556</v>
      </c>
      <c r="H2222" s="27">
        <f t="shared" si="2"/>
        <v>0.5006944444</v>
      </c>
      <c r="I2222" s="28">
        <v>5.0</v>
      </c>
      <c r="J2222" s="29" t="s">
        <v>55</v>
      </c>
      <c r="K2222" s="30" t="s">
        <v>23</v>
      </c>
      <c r="L2222" s="31" t="str">
        <f>IFERROR(__xludf.DUMMYFUNCTION("IF(OR(E2222="""",K2222=""""),"""",IFERROR(IF(K2222="""","""",query('tbl user'!$A$2:$D10975,""SELECT A WHERE D = '""&amp;K2222&amp;""'"")),""USER TIDAK DIKETAHUI""))"),"#REF!")</f>
        <v>#REF!</v>
      </c>
    </row>
    <row r="2223">
      <c r="A2223" s="21">
        <f t="shared" si="1"/>
        <v>0</v>
      </c>
      <c r="B2223" s="32" t="s">
        <v>319</v>
      </c>
      <c r="C2223" s="23" t="s">
        <v>320</v>
      </c>
      <c r="D2223" s="23" t="s">
        <v>21</v>
      </c>
      <c r="E2223" s="37">
        <v>45429.0</v>
      </c>
      <c r="F2223" s="25">
        <v>0.2361111111111111</v>
      </c>
      <c r="G2223" s="25">
        <v>0.7444444444444445</v>
      </c>
      <c r="H2223" s="27">
        <f t="shared" si="2"/>
        <v>0.5083333333</v>
      </c>
      <c r="I2223" s="28">
        <v>5.0</v>
      </c>
      <c r="J2223" s="29" t="s">
        <v>55</v>
      </c>
      <c r="K2223" s="30" t="s">
        <v>23</v>
      </c>
      <c r="L2223" s="31" t="str">
        <f>IFERROR(__xludf.DUMMYFUNCTION("IF(OR(E2223="""",K2223=""""),"""",IFERROR(IF(K2223="""","""",query('tbl user'!$A$2:$D10975,""SELECT A WHERE D = '""&amp;K2223&amp;""'"")),""USER TIDAK DIKETAHUI""))"),"#REF!")</f>
        <v>#REF!</v>
      </c>
    </row>
    <row r="2224">
      <c r="A2224" s="21">
        <f t="shared" si="1"/>
        <v>0</v>
      </c>
      <c r="B2224" s="32" t="s">
        <v>110</v>
      </c>
      <c r="C2224" s="23" t="s">
        <v>111</v>
      </c>
      <c r="D2224" s="23" t="s">
        <v>32</v>
      </c>
      <c r="E2224" s="37">
        <v>45429.0</v>
      </c>
      <c r="F2224" s="25">
        <v>0.28055555555555556</v>
      </c>
      <c r="G2224" s="25">
        <v>0.43194444444444446</v>
      </c>
      <c r="H2224" s="27">
        <f t="shared" si="2"/>
        <v>0.1513888889</v>
      </c>
      <c r="I2224" s="28">
        <v>1.0</v>
      </c>
      <c r="J2224" s="29" t="s">
        <v>1084</v>
      </c>
      <c r="K2224" s="30" t="s">
        <v>23</v>
      </c>
      <c r="L2224" s="31" t="str">
        <f>IFERROR(__xludf.DUMMYFUNCTION("IF(OR(E2224="""",K2224=""""),"""",IFERROR(IF(K2224="""","""",query('tbl user'!$A$2:$D10975,""SELECT A WHERE D = '""&amp;K2224&amp;""'"")),""USER TIDAK DIKETAHUI""))"),"#REF!")</f>
        <v>#REF!</v>
      </c>
    </row>
    <row r="2225">
      <c r="A2225" s="21">
        <f t="shared" si="1"/>
        <v>0</v>
      </c>
      <c r="B2225" s="32" t="s">
        <v>412</v>
      </c>
      <c r="C2225" s="23" t="s">
        <v>413</v>
      </c>
      <c r="D2225" s="23" t="s">
        <v>32</v>
      </c>
      <c r="E2225" s="37">
        <v>45429.0</v>
      </c>
      <c r="F2225" s="25">
        <v>0.2923611111111111</v>
      </c>
      <c r="G2225" s="25">
        <v>0.6298611111111111</v>
      </c>
      <c r="H2225" s="27">
        <f t="shared" si="2"/>
        <v>0.3375</v>
      </c>
      <c r="I2225" s="28">
        <v>2.0</v>
      </c>
      <c r="J2225" s="29" t="s">
        <v>1085</v>
      </c>
      <c r="K2225" s="30" t="s">
        <v>23</v>
      </c>
      <c r="L2225" s="31" t="str">
        <f>IFERROR(__xludf.DUMMYFUNCTION("IF(OR(E2225="""",K2225=""""),"""",IFERROR(IF(K2225="""","""",query('tbl user'!$A$2:$D10975,""SELECT A WHERE D = '""&amp;K2225&amp;""'"")),""USER TIDAK DIKETAHUI""))"),"#REF!")</f>
        <v>#REF!</v>
      </c>
    </row>
    <row r="2226">
      <c r="A2226" s="21">
        <f t="shared" si="1"/>
        <v>0</v>
      </c>
      <c r="B2226" s="32" t="s">
        <v>46</v>
      </c>
      <c r="C2226" s="23" t="s">
        <v>47</v>
      </c>
      <c r="D2226" s="23" t="s">
        <v>32</v>
      </c>
      <c r="E2226" s="37">
        <v>45429.0</v>
      </c>
      <c r="F2226" s="25">
        <v>0.26875</v>
      </c>
      <c r="G2226" s="25">
        <v>0.6180555555555556</v>
      </c>
      <c r="H2226" s="27">
        <f t="shared" si="2"/>
        <v>0.3493055556</v>
      </c>
      <c r="I2226" s="28">
        <v>2.0</v>
      </c>
      <c r="J2226" s="29" t="s">
        <v>1086</v>
      </c>
      <c r="K2226" s="30" t="s">
        <v>23</v>
      </c>
      <c r="L2226" s="31" t="str">
        <f>IFERROR(__xludf.DUMMYFUNCTION("IF(OR(E2226="""",K2226=""""),"""",IFERROR(IF(K2226="""","""",query('tbl user'!$A$2:$D10975,""SELECT A WHERE D = '""&amp;K2226&amp;""'"")),""USER TIDAK DIKETAHUI""))"),"#REF!")</f>
        <v>#REF!</v>
      </c>
    </row>
    <row r="2227">
      <c r="A2227" s="21">
        <f t="shared" si="1"/>
        <v>0</v>
      </c>
      <c r="B2227" s="32" t="s">
        <v>75</v>
      </c>
      <c r="C2227" s="23" t="s">
        <v>76</v>
      </c>
      <c r="D2227" s="23" t="s">
        <v>32</v>
      </c>
      <c r="E2227" s="37">
        <v>45429.0</v>
      </c>
      <c r="F2227" s="25">
        <v>0.2222222222222222</v>
      </c>
      <c r="G2227" s="25">
        <v>0.6631944444444444</v>
      </c>
      <c r="H2227" s="27">
        <f t="shared" si="2"/>
        <v>0.4409722222</v>
      </c>
      <c r="I2227" s="28">
        <v>2.0</v>
      </c>
      <c r="J2227" s="29" t="s">
        <v>477</v>
      </c>
      <c r="K2227" s="30" t="s">
        <v>23</v>
      </c>
      <c r="L2227" s="31" t="str">
        <f>IFERROR(__xludf.DUMMYFUNCTION("IF(OR(E2227="""",K2227=""""),"""",IFERROR(IF(K2227="""","""",query('tbl user'!$A$2:$D10975,""SELECT A WHERE D = '""&amp;K2227&amp;""'"")),""USER TIDAK DIKETAHUI""))"),"#REF!")</f>
        <v>#REF!</v>
      </c>
    </row>
    <row r="2228">
      <c r="A2228" s="21">
        <f t="shared" si="1"/>
        <v>0</v>
      </c>
      <c r="B2228" s="32" t="s">
        <v>127</v>
      </c>
      <c r="C2228" s="23" t="s">
        <v>128</v>
      </c>
      <c r="D2228" s="23" t="s">
        <v>32</v>
      </c>
      <c r="E2228" s="37">
        <v>45429.0</v>
      </c>
      <c r="F2228" s="25">
        <v>0.28958333333333336</v>
      </c>
      <c r="G2228" s="25">
        <v>0.6291666666666667</v>
      </c>
      <c r="H2228" s="27">
        <f t="shared" si="2"/>
        <v>0.3395833333</v>
      </c>
      <c r="I2228" s="28">
        <v>2.0</v>
      </c>
      <c r="J2228" s="29" t="s">
        <v>1087</v>
      </c>
      <c r="K2228" s="30" t="s">
        <v>23</v>
      </c>
      <c r="L2228" s="31" t="str">
        <f>IFERROR(__xludf.DUMMYFUNCTION("IF(OR(E2228="""",K2228=""""),"""",IFERROR(IF(K2228="""","""",query('tbl user'!$A$2:$D10975,""SELECT A WHERE D = '""&amp;K2228&amp;""'"")),""USER TIDAK DIKETAHUI""))"),"#REF!")</f>
        <v>#REF!</v>
      </c>
    </row>
    <row r="2229">
      <c r="A2229" s="21">
        <f t="shared" si="1"/>
        <v>0</v>
      </c>
      <c r="B2229" s="32" t="s">
        <v>115</v>
      </c>
      <c r="C2229" s="23" t="s">
        <v>116</v>
      </c>
      <c r="D2229" s="23" t="s">
        <v>32</v>
      </c>
      <c r="E2229" s="37">
        <v>45429.0</v>
      </c>
      <c r="F2229" s="25">
        <v>0.225</v>
      </c>
      <c r="G2229" s="25">
        <v>0.74375</v>
      </c>
      <c r="H2229" s="27">
        <f t="shared" si="2"/>
        <v>0.51875</v>
      </c>
      <c r="I2229" s="28">
        <v>3.0</v>
      </c>
      <c r="J2229" s="29" t="s">
        <v>1088</v>
      </c>
      <c r="K2229" s="30" t="s">
        <v>23</v>
      </c>
      <c r="L2229" s="31" t="str">
        <f>IFERROR(__xludf.DUMMYFUNCTION("IF(OR(E2229="""",K2229=""""),"""",IFERROR(IF(K2229="""","""",query('tbl user'!$A$2:$D10975,""SELECT A WHERE D = '""&amp;K2229&amp;""'"")),""USER TIDAK DIKETAHUI""))"),"#REF!")</f>
        <v>#REF!</v>
      </c>
    </row>
    <row r="2230">
      <c r="A2230" s="21">
        <f t="shared" si="1"/>
        <v>0</v>
      </c>
      <c r="B2230" s="32" t="s">
        <v>118</v>
      </c>
      <c r="C2230" s="23" t="s">
        <v>119</v>
      </c>
      <c r="D2230" s="23" t="s">
        <v>32</v>
      </c>
      <c r="E2230" s="37">
        <v>45429.0</v>
      </c>
      <c r="F2230" s="25">
        <v>0.2152777777777778</v>
      </c>
      <c r="G2230" s="25">
        <v>0.6597222222222222</v>
      </c>
      <c r="H2230" s="27">
        <f t="shared" si="2"/>
        <v>0.4444444444</v>
      </c>
      <c r="I2230" s="28">
        <v>3.0</v>
      </c>
      <c r="J2230" s="29" t="s">
        <v>894</v>
      </c>
      <c r="K2230" s="30" t="s">
        <v>23</v>
      </c>
      <c r="L2230" s="31" t="str">
        <f>IFERROR(__xludf.DUMMYFUNCTION("IF(OR(E2230="""",K2230=""""),"""",IFERROR(IF(K2230="""","""",query('tbl user'!$A$2:$D10975,""SELECT A WHERE D = '""&amp;K2230&amp;""'"")),""USER TIDAK DIKETAHUI""))"),"#REF!")</f>
        <v>#REF!</v>
      </c>
    </row>
    <row r="2231">
      <c r="A2231" s="21">
        <f t="shared" si="1"/>
        <v>0</v>
      </c>
      <c r="B2231" s="32" t="s">
        <v>120</v>
      </c>
      <c r="C2231" s="23" t="s">
        <v>121</v>
      </c>
      <c r="D2231" s="23" t="s">
        <v>32</v>
      </c>
      <c r="E2231" s="37">
        <v>45429.0</v>
      </c>
      <c r="F2231" s="25">
        <v>0.26666666666666666</v>
      </c>
      <c r="G2231" s="25">
        <v>0.675</v>
      </c>
      <c r="H2231" s="27">
        <f t="shared" si="2"/>
        <v>0.4083333333</v>
      </c>
      <c r="I2231" s="28">
        <v>3.0</v>
      </c>
      <c r="J2231" s="29" t="s">
        <v>1089</v>
      </c>
      <c r="K2231" s="30" t="s">
        <v>23</v>
      </c>
      <c r="L2231" s="31" t="str">
        <f>IFERROR(__xludf.DUMMYFUNCTION("IF(OR(E2231="""",K2231=""""),"""",IFERROR(IF(K2231="""","""",query('tbl user'!$A$2:$D10975,""SELECT A WHERE D = '""&amp;K2231&amp;""'"")),""USER TIDAK DIKETAHUI""))"),"#REF!")</f>
        <v>#REF!</v>
      </c>
    </row>
    <row r="2232">
      <c r="A2232" s="21">
        <f t="shared" si="1"/>
        <v>0</v>
      </c>
      <c r="B2232" s="32" t="s">
        <v>363</v>
      </c>
      <c r="C2232" s="23" t="s">
        <v>132</v>
      </c>
      <c r="D2232" s="23" t="s">
        <v>32</v>
      </c>
      <c r="E2232" s="37">
        <v>45429.0</v>
      </c>
      <c r="F2232" s="25">
        <v>0.29444444444444445</v>
      </c>
      <c r="G2232" s="25">
        <v>0.6972222222222222</v>
      </c>
      <c r="H2232" s="27">
        <f t="shared" si="2"/>
        <v>0.4027777778</v>
      </c>
      <c r="I2232" s="28">
        <v>3.0</v>
      </c>
      <c r="J2232" s="29" t="s">
        <v>894</v>
      </c>
      <c r="K2232" s="30" t="s">
        <v>23</v>
      </c>
      <c r="L2232" s="31" t="str">
        <f>IFERROR(__xludf.DUMMYFUNCTION("IF(OR(E2232="""",K2232=""""),"""",IFERROR(IF(K2232="""","""",query('tbl user'!$A$2:$D10975,""SELECT A WHERE D = '""&amp;K2232&amp;""'"")),""USER TIDAK DIKETAHUI""))"),"#REF!")</f>
        <v>#REF!</v>
      </c>
    </row>
    <row r="2233">
      <c r="A2233" s="21">
        <f t="shared" si="1"/>
        <v>0</v>
      </c>
      <c r="B2233" s="32" t="s">
        <v>250</v>
      </c>
      <c r="C2233" s="23" t="s">
        <v>315</v>
      </c>
      <c r="D2233" s="23" t="s">
        <v>32</v>
      </c>
      <c r="E2233" s="37">
        <v>45429.0</v>
      </c>
      <c r="F2233" s="25">
        <v>0.2708333333333333</v>
      </c>
      <c r="G2233" s="25">
        <v>0.7430555555555556</v>
      </c>
      <c r="H2233" s="27">
        <f t="shared" si="2"/>
        <v>0.4722222222</v>
      </c>
      <c r="I2233" s="28">
        <v>4.0</v>
      </c>
      <c r="J2233" s="29" t="s">
        <v>55</v>
      </c>
      <c r="K2233" s="30" t="s">
        <v>23</v>
      </c>
      <c r="L2233" s="31" t="str">
        <f>IFERROR(__xludf.DUMMYFUNCTION("IF(OR(E2233="""",K2233=""""),"""",IFERROR(IF(K2233="""","""",query('tbl user'!$A$2:$D10975,""SELECT A WHERE D = '""&amp;K2233&amp;""'"")),""USER TIDAK DIKETAHUI""))"),"#REF!")</f>
        <v>#REF!</v>
      </c>
    </row>
    <row r="2234">
      <c r="A2234" s="21">
        <f t="shared" si="1"/>
        <v>0</v>
      </c>
      <c r="B2234" s="32" t="s">
        <v>113</v>
      </c>
      <c r="C2234" s="23" t="s">
        <v>114</v>
      </c>
      <c r="D2234" s="23" t="s">
        <v>32</v>
      </c>
      <c r="E2234" s="37">
        <v>45429.0</v>
      </c>
      <c r="F2234" s="25">
        <v>0.21666666666666667</v>
      </c>
      <c r="G2234" s="25">
        <v>0.7263888888888889</v>
      </c>
      <c r="H2234" s="27">
        <f t="shared" si="2"/>
        <v>0.5097222222</v>
      </c>
      <c r="I2234" s="28">
        <v>4.0</v>
      </c>
      <c r="J2234" s="29" t="s">
        <v>55</v>
      </c>
      <c r="K2234" s="30" t="s">
        <v>23</v>
      </c>
      <c r="L2234" s="31" t="str">
        <f>IFERROR(__xludf.DUMMYFUNCTION("IF(OR(E2234="""",K2234=""""),"""",IFERROR(IF(K2234="""","""",query('tbl user'!$A$2:$D10975,""SELECT A WHERE D = '""&amp;K2234&amp;""'"")),""USER TIDAK DIKETAHUI""))"),"#REF!")</f>
        <v>#REF!</v>
      </c>
    </row>
    <row r="2235">
      <c r="A2235" s="21">
        <f t="shared" si="1"/>
        <v>0</v>
      </c>
      <c r="B2235" s="32" t="s">
        <v>263</v>
      </c>
      <c r="C2235" s="23" t="s">
        <v>264</v>
      </c>
      <c r="D2235" s="23" t="s">
        <v>32</v>
      </c>
      <c r="E2235" s="37">
        <v>45429.0</v>
      </c>
      <c r="F2235" s="25">
        <v>0.24305555555555555</v>
      </c>
      <c r="G2235" s="25">
        <v>0.7430555555555556</v>
      </c>
      <c r="H2235" s="27">
        <f t="shared" si="2"/>
        <v>0.5</v>
      </c>
      <c r="I2235" s="28">
        <v>4.0</v>
      </c>
      <c r="J2235" s="29" t="s">
        <v>55</v>
      </c>
      <c r="K2235" s="30" t="s">
        <v>23</v>
      </c>
      <c r="L2235" s="31" t="str">
        <f>IFERROR(__xludf.DUMMYFUNCTION("IF(OR(E2235="""",K2235=""""),"""",IFERROR(IF(K2235="""","""",query('tbl user'!$A$2:$D10975,""SELECT A WHERE D = '""&amp;K2235&amp;""'"")),""USER TIDAK DIKETAHUI""))"),"#REF!")</f>
        <v>#REF!</v>
      </c>
    </row>
    <row r="2236">
      <c r="A2236" s="21">
        <f t="shared" si="1"/>
        <v>0</v>
      </c>
      <c r="B2236" s="32" t="s">
        <v>123</v>
      </c>
      <c r="C2236" s="23" t="s">
        <v>124</v>
      </c>
      <c r="D2236" s="23" t="s">
        <v>32</v>
      </c>
      <c r="E2236" s="37">
        <v>45429.0</v>
      </c>
      <c r="F2236" s="25">
        <v>0.2590277777777778</v>
      </c>
      <c r="G2236" s="25">
        <v>0.7652777777777777</v>
      </c>
      <c r="H2236" s="27">
        <f t="shared" si="2"/>
        <v>0.50625</v>
      </c>
      <c r="I2236" s="28">
        <v>4.0</v>
      </c>
      <c r="J2236" s="29" t="s">
        <v>55</v>
      </c>
      <c r="K2236" s="30" t="s">
        <v>23</v>
      </c>
      <c r="L2236" s="31" t="str">
        <f>IFERROR(__xludf.DUMMYFUNCTION("IF(OR(E2236="""",K2236=""""),"""",IFERROR(IF(K2236="""","""",query('tbl user'!$A$2:$D10975,""SELECT A WHERE D = '""&amp;K2236&amp;""'"")),""USER TIDAK DIKETAHUI""))"),"#REF!")</f>
        <v>#REF!</v>
      </c>
    </row>
    <row r="2237">
      <c r="A2237" s="21">
        <f t="shared" si="1"/>
        <v>0</v>
      </c>
      <c r="B2237" s="32" t="s">
        <v>274</v>
      </c>
      <c r="C2237" s="23" t="s">
        <v>275</v>
      </c>
      <c r="D2237" s="23" t="s">
        <v>32</v>
      </c>
      <c r="E2237" s="37">
        <v>45429.0</v>
      </c>
      <c r="F2237" s="25">
        <v>0.26458333333333334</v>
      </c>
      <c r="G2237" s="25">
        <v>0.8388888888888889</v>
      </c>
      <c r="H2237" s="27">
        <f t="shared" si="2"/>
        <v>0.5743055556</v>
      </c>
      <c r="I2237" s="28">
        <v>4.0</v>
      </c>
      <c r="J2237" s="29" t="s">
        <v>55</v>
      </c>
      <c r="K2237" s="30" t="s">
        <v>23</v>
      </c>
      <c r="L2237" s="31" t="str">
        <f>IFERROR(__xludf.DUMMYFUNCTION("IF(OR(E2237="""",K2237=""""),"""",IFERROR(IF(K2237="""","""",query('tbl user'!$A$2:$D10975,""SELECT A WHERE D = '""&amp;K2237&amp;""'"")),""USER TIDAK DIKETAHUI""))"),"#REF!")</f>
        <v>#REF!</v>
      </c>
    </row>
    <row r="2238">
      <c r="A2238" s="21">
        <f t="shared" si="1"/>
        <v>0</v>
      </c>
      <c r="B2238" s="32" t="s">
        <v>151</v>
      </c>
      <c r="C2238" s="23" t="s">
        <v>152</v>
      </c>
      <c r="D2238" s="23" t="s">
        <v>32</v>
      </c>
      <c r="E2238" s="37">
        <v>45429.0</v>
      </c>
      <c r="F2238" s="25">
        <v>0.26875</v>
      </c>
      <c r="G2238" s="25">
        <v>0.7236111111111111</v>
      </c>
      <c r="H2238" s="27">
        <f t="shared" si="2"/>
        <v>0.4548611111</v>
      </c>
      <c r="I2238" s="28">
        <v>4.0</v>
      </c>
      <c r="J2238" s="29" t="s">
        <v>55</v>
      </c>
      <c r="K2238" s="30" t="s">
        <v>23</v>
      </c>
      <c r="L2238" s="31" t="str">
        <f>IFERROR(__xludf.DUMMYFUNCTION("IF(OR(E2238="""",K2238=""""),"""",IFERROR(IF(K2238="""","""",query('tbl user'!$A$2:$D10975,""SELECT A WHERE D = '""&amp;K2238&amp;""'"")),""USER TIDAK DIKETAHUI""))"),"#REF!")</f>
        <v>#REF!</v>
      </c>
    </row>
    <row r="2239">
      <c r="A2239" s="21">
        <f t="shared" si="1"/>
        <v>0</v>
      </c>
      <c r="B2239" s="32" t="s">
        <v>191</v>
      </c>
      <c r="C2239" s="23" t="s">
        <v>192</v>
      </c>
      <c r="D2239" s="23" t="s">
        <v>58</v>
      </c>
      <c r="E2239" s="37">
        <v>45430.0</v>
      </c>
      <c r="F2239" s="25">
        <v>0.2701388888888889</v>
      </c>
      <c r="G2239" s="25">
        <v>0.7</v>
      </c>
      <c r="H2239" s="27">
        <f t="shared" si="2"/>
        <v>0.4298611111</v>
      </c>
      <c r="I2239" s="28">
        <v>1.0</v>
      </c>
      <c r="J2239" s="29" t="s">
        <v>1090</v>
      </c>
      <c r="K2239" s="30" t="s">
        <v>23</v>
      </c>
      <c r="L2239" s="31" t="str">
        <f>IFERROR(__xludf.DUMMYFUNCTION("IF(OR(E2239="""",K2239=""""),"""",IFERROR(IF(K2239="""","""",query('tbl user'!$A$2:$D10975,""SELECT A WHERE D = '""&amp;K2239&amp;""'"")),""USER TIDAK DIKETAHUI""))"),"#REF!")</f>
        <v>#REF!</v>
      </c>
    </row>
    <row r="2240">
      <c r="A2240" s="21">
        <f t="shared" si="1"/>
        <v>0</v>
      </c>
      <c r="B2240" s="32" t="s">
        <v>197</v>
      </c>
      <c r="C2240" s="23" t="s">
        <v>198</v>
      </c>
      <c r="D2240" s="23" t="s">
        <v>58</v>
      </c>
      <c r="E2240" s="37">
        <v>45430.0</v>
      </c>
      <c r="F2240" s="25">
        <v>0.21736111111111112</v>
      </c>
      <c r="G2240" s="25">
        <v>0.35625</v>
      </c>
      <c r="H2240" s="27">
        <f t="shared" si="2"/>
        <v>0.1388888889</v>
      </c>
      <c r="I2240" s="28">
        <v>1.0</v>
      </c>
      <c r="J2240" s="29" t="s">
        <v>1091</v>
      </c>
      <c r="K2240" s="30" t="s">
        <v>23</v>
      </c>
      <c r="L2240" s="31" t="str">
        <f>IFERROR(__xludf.DUMMYFUNCTION("IF(OR(E2240="""",K2240=""""),"""",IFERROR(IF(K2240="""","""",query('tbl user'!$A$2:$D10975,""SELECT A WHERE D = '""&amp;K2240&amp;""'"")),""USER TIDAK DIKETAHUI""))"),"#REF!")</f>
        <v>#REF!</v>
      </c>
    </row>
    <row r="2241">
      <c r="A2241" s="21">
        <f t="shared" si="1"/>
        <v>0</v>
      </c>
      <c r="B2241" s="32" t="s">
        <v>202</v>
      </c>
      <c r="C2241" s="23" t="s">
        <v>203</v>
      </c>
      <c r="D2241" s="23" t="s">
        <v>58</v>
      </c>
      <c r="E2241" s="37">
        <v>45430.0</v>
      </c>
      <c r="F2241" s="25">
        <v>0.24791666666666667</v>
      </c>
      <c r="G2241" s="25">
        <v>0.40902777777777777</v>
      </c>
      <c r="H2241" s="27">
        <f t="shared" si="2"/>
        <v>0.1611111111</v>
      </c>
      <c r="I2241" s="28">
        <v>1.0</v>
      </c>
      <c r="J2241" s="29" t="s">
        <v>1092</v>
      </c>
      <c r="K2241" s="30" t="s">
        <v>23</v>
      </c>
      <c r="L2241" s="31" t="str">
        <f>IFERROR(__xludf.DUMMYFUNCTION("IF(OR(E2241="""",K2241=""""),"""",IFERROR(IF(K2241="""","""",query('tbl user'!$A$2:$D10975,""SELECT A WHERE D = '""&amp;K2241&amp;""'"")),""USER TIDAK DIKETAHUI""))"),"#REF!")</f>
        <v>#REF!</v>
      </c>
    </row>
    <row r="2242">
      <c r="A2242" s="21">
        <f t="shared" si="1"/>
        <v>0</v>
      </c>
      <c r="B2242" s="32" t="s">
        <v>92</v>
      </c>
      <c r="C2242" s="23" t="s">
        <v>93</v>
      </c>
      <c r="D2242" s="23" t="s">
        <v>58</v>
      </c>
      <c r="E2242" s="37">
        <v>45430.0</v>
      </c>
      <c r="F2242" s="25">
        <v>0.23333333333333334</v>
      </c>
      <c r="G2242" s="25">
        <v>0.5541666666666667</v>
      </c>
      <c r="H2242" s="27">
        <f t="shared" si="2"/>
        <v>0.3208333333</v>
      </c>
      <c r="I2242" s="28">
        <v>2.0</v>
      </c>
      <c r="J2242" s="29" t="s">
        <v>1093</v>
      </c>
      <c r="K2242" s="30" t="s">
        <v>23</v>
      </c>
      <c r="L2242" s="31" t="str">
        <f>IFERROR(__xludf.DUMMYFUNCTION("IF(OR(E2242="""",K2242=""""),"""",IFERROR(IF(K2242="""","""",query('tbl user'!$A$2:$D10975,""SELECT A WHERE D = '""&amp;K2242&amp;""'"")),""USER TIDAK DIKETAHUI""))"),"#REF!")</f>
        <v>#REF!</v>
      </c>
    </row>
    <row r="2243">
      <c r="A2243" s="21">
        <f t="shared" si="1"/>
        <v>0</v>
      </c>
      <c r="B2243" s="32" t="s">
        <v>189</v>
      </c>
      <c r="C2243" s="23" t="s">
        <v>190</v>
      </c>
      <c r="D2243" s="23" t="s">
        <v>58</v>
      </c>
      <c r="E2243" s="37">
        <v>45430.0</v>
      </c>
      <c r="F2243" s="25">
        <v>0.46041666666666664</v>
      </c>
      <c r="G2243" s="25">
        <v>0.6854166666666667</v>
      </c>
      <c r="H2243" s="27">
        <f t="shared" si="2"/>
        <v>0.225</v>
      </c>
      <c r="I2243" s="28">
        <v>2.0</v>
      </c>
      <c r="J2243" s="29" t="s">
        <v>618</v>
      </c>
      <c r="K2243" s="30" t="s">
        <v>23</v>
      </c>
      <c r="L2243" s="31" t="str">
        <f>IFERROR(__xludf.DUMMYFUNCTION("IF(OR(E2243="""",K2243=""""),"""",IFERROR(IF(K2243="""","""",query('tbl user'!$A$2:$D10975,""SELECT A WHERE D = '""&amp;K2243&amp;""'"")),""USER TIDAK DIKETAHUI""))"),"#REF!")</f>
        <v>#REF!</v>
      </c>
    </row>
    <row r="2244">
      <c r="A2244" s="21">
        <f t="shared" si="1"/>
        <v>0</v>
      </c>
      <c r="B2244" s="32" t="s">
        <v>200</v>
      </c>
      <c r="C2244" s="23" t="s">
        <v>201</v>
      </c>
      <c r="D2244" s="23" t="s">
        <v>58</v>
      </c>
      <c r="E2244" s="37">
        <v>45430.0</v>
      </c>
      <c r="F2244" s="25">
        <v>0.4041666666666667</v>
      </c>
      <c r="G2244" s="25">
        <v>0.64375</v>
      </c>
      <c r="H2244" s="27">
        <f t="shared" si="2"/>
        <v>0.2395833333</v>
      </c>
      <c r="I2244" s="28">
        <v>2.0</v>
      </c>
      <c r="J2244" s="29" t="s">
        <v>299</v>
      </c>
      <c r="K2244" s="30" t="s">
        <v>23</v>
      </c>
      <c r="L2244" s="31" t="str">
        <f>IFERROR(__xludf.DUMMYFUNCTION("IF(OR(E2244="""",K2244=""""),"""",IFERROR(IF(K2244="""","""",query('tbl user'!$A$2:$D10975,""SELECT A WHERE D = '""&amp;K2244&amp;""'"")),""USER TIDAK DIKETAHUI""))"),"#REF!")</f>
        <v>#REF!</v>
      </c>
    </row>
    <row r="2245">
      <c r="A2245" s="21">
        <f t="shared" si="1"/>
        <v>0</v>
      </c>
      <c r="B2245" s="32" t="s">
        <v>293</v>
      </c>
      <c r="C2245" s="23" t="s">
        <v>211</v>
      </c>
      <c r="D2245" s="23" t="s">
        <v>58</v>
      </c>
      <c r="E2245" s="37">
        <v>45430.0</v>
      </c>
      <c r="F2245" s="25">
        <v>0.27361111111111114</v>
      </c>
      <c r="G2245" s="25">
        <v>0.7020833333333333</v>
      </c>
      <c r="H2245" s="27">
        <f t="shared" si="2"/>
        <v>0.4284722222</v>
      </c>
      <c r="I2245" s="28">
        <v>3.0</v>
      </c>
      <c r="J2245" s="29" t="s">
        <v>171</v>
      </c>
      <c r="K2245" s="30" t="s">
        <v>23</v>
      </c>
      <c r="L2245" s="31" t="str">
        <f>IFERROR(__xludf.DUMMYFUNCTION("IF(OR(E2245="""",K2245=""""),"""",IFERROR(IF(K2245="""","""",query('tbl user'!$A$2:$D10975,""SELECT A WHERE D = '""&amp;K2245&amp;""'"")),""USER TIDAK DIKETAHUI""))"),"#REF!")</f>
        <v>#REF!</v>
      </c>
    </row>
    <row r="2246">
      <c r="A2246" s="21">
        <f t="shared" si="1"/>
        <v>0</v>
      </c>
      <c r="B2246" s="32" t="s">
        <v>167</v>
      </c>
      <c r="C2246" s="23" t="s">
        <v>168</v>
      </c>
      <c r="D2246" s="23" t="s">
        <v>58</v>
      </c>
      <c r="E2246" s="37">
        <v>45430.0</v>
      </c>
      <c r="F2246" s="25">
        <v>0.28888888888888886</v>
      </c>
      <c r="G2246" s="25">
        <v>0.6430555555555556</v>
      </c>
      <c r="H2246" s="27">
        <f t="shared" si="2"/>
        <v>0.3541666667</v>
      </c>
      <c r="I2246" s="28">
        <v>3.0</v>
      </c>
      <c r="J2246" s="29" t="s">
        <v>171</v>
      </c>
      <c r="K2246" s="30" t="s">
        <v>23</v>
      </c>
      <c r="L2246" s="31" t="str">
        <f>IFERROR(__xludf.DUMMYFUNCTION("IF(OR(E2246="""",K2246=""""),"""",IFERROR(IF(K2246="""","""",query('tbl user'!$A$2:$D10975,""SELECT A WHERE D = '""&amp;K2246&amp;""'"")),""USER TIDAK DIKETAHUI""))"),"#REF!")</f>
        <v>#REF!</v>
      </c>
    </row>
    <row r="2247">
      <c r="A2247" s="21">
        <f t="shared" si="1"/>
        <v>0</v>
      </c>
      <c r="B2247" s="32" t="s">
        <v>215</v>
      </c>
      <c r="C2247" s="23" t="s">
        <v>176</v>
      </c>
      <c r="D2247" s="23" t="s">
        <v>58</v>
      </c>
      <c r="E2247" s="37">
        <v>45430.0</v>
      </c>
      <c r="F2247" s="25">
        <v>0.24791666666666667</v>
      </c>
      <c r="G2247" s="25">
        <v>0.7145833333333333</v>
      </c>
      <c r="H2247" s="27">
        <f t="shared" si="2"/>
        <v>0.4666666667</v>
      </c>
      <c r="I2247" s="28">
        <v>3.0</v>
      </c>
      <c r="J2247" s="29" t="s">
        <v>1094</v>
      </c>
      <c r="K2247" s="30" t="s">
        <v>23</v>
      </c>
      <c r="L2247" s="31" t="str">
        <f>IFERROR(__xludf.DUMMYFUNCTION("IF(OR(E2247="""",K2247=""""),"""",IFERROR(IF(K2247="""","""",query('tbl user'!$A$2:$D10975,""SELECT A WHERE D = '""&amp;K2247&amp;""'"")),""USER TIDAK DIKETAHUI""))"),"#REF!")</f>
        <v>#REF!</v>
      </c>
    </row>
    <row r="2248">
      <c r="A2248" s="21">
        <f t="shared" si="1"/>
        <v>0</v>
      </c>
      <c r="B2248" s="32" t="s">
        <v>56</v>
      </c>
      <c r="C2248" s="23" t="s">
        <v>57</v>
      </c>
      <c r="D2248" s="23" t="s">
        <v>58</v>
      </c>
      <c r="E2248" s="37">
        <v>45430.0</v>
      </c>
      <c r="F2248" s="25">
        <v>0.26666666666666666</v>
      </c>
      <c r="G2248" s="25">
        <v>0.6256944444444444</v>
      </c>
      <c r="H2248" s="27">
        <f t="shared" si="2"/>
        <v>0.3590277778</v>
      </c>
      <c r="I2248" s="28">
        <v>3.0</v>
      </c>
      <c r="J2248" s="29" t="s">
        <v>1095</v>
      </c>
      <c r="K2248" s="30" t="s">
        <v>23</v>
      </c>
      <c r="L2248" s="31" t="str">
        <f>IFERROR(__xludf.DUMMYFUNCTION("IF(OR(E2248="""",K2248=""""),"""",IFERROR(IF(K2248="""","""",query('tbl user'!$A$2:$D10975,""SELECT A WHERE D = '""&amp;K2248&amp;""'"")),""USER TIDAK DIKETAHUI""))"),"#REF!")</f>
        <v>#REF!</v>
      </c>
    </row>
    <row r="2249">
      <c r="A2249" s="21">
        <f t="shared" si="1"/>
        <v>0</v>
      </c>
      <c r="B2249" s="32" t="s">
        <v>104</v>
      </c>
      <c r="C2249" s="23" t="s">
        <v>105</v>
      </c>
      <c r="D2249" s="23" t="s">
        <v>58</v>
      </c>
      <c r="E2249" s="37">
        <v>45430.0</v>
      </c>
      <c r="F2249" s="25">
        <v>0.24791666666666667</v>
      </c>
      <c r="G2249" s="25">
        <v>0.6819444444444445</v>
      </c>
      <c r="H2249" s="27">
        <f t="shared" si="2"/>
        <v>0.4340277778</v>
      </c>
      <c r="I2249" s="28">
        <v>3.0</v>
      </c>
      <c r="J2249" s="29" t="s">
        <v>171</v>
      </c>
      <c r="K2249" s="30" t="s">
        <v>23</v>
      </c>
      <c r="L2249" s="31" t="str">
        <f>IFERROR(__xludf.DUMMYFUNCTION("IF(OR(E2249="""",K2249=""""),"""",IFERROR(IF(K2249="""","""",query('tbl user'!$A$2:$D10975,""SELECT A WHERE D = '""&amp;K2249&amp;""'"")),""USER TIDAK DIKETAHUI""))"),"#REF!")</f>
        <v>#REF!</v>
      </c>
    </row>
    <row r="2250">
      <c r="A2250" s="21">
        <f t="shared" si="1"/>
        <v>0</v>
      </c>
      <c r="B2250" s="32" t="s">
        <v>297</v>
      </c>
      <c r="C2250" s="23" t="s">
        <v>348</v>
      </c>
      <c r="D2250" s="23" t="s">
        <v>58</v>
      </c>
      <c r="E2250" s="37">
        <v>45430.0</v>
      </c>
      <c r="F2250" s="25">
        <v>0.25277777777777777</v>
      </c>
      <c r="G2250" s="25">
        <v>0.6326388888888889</v>
      </c>
      <c r="H2250" s="27">
        <f t="shared" si="2"/>
        <v>0.3798611111</v>
      </c>
      <c r="I2250" s="28">
        <v>3.0</v>
      </c>
      <c r="J2250" s="29" t="s">
        <v>171</v>
      </c>
      <c r="K2250" s="30" t="s">
        <v>23</v>
      </c>
      <c r="L2250" s="31" t="str">
        <f>IFERROR(__xludf.DUMMYFUNCTION("IF(OR(E2250="""",K2250=""""),"""",IFERROR(IF(K2250="""","""",query('tbl user'!$A$2:$D10975,""SELECT A WHERE D = '""&amp;K2250&amp;""'"")),""USER TIDAK DIKETAHUI""))"),"#REF!")</f>
        <v>#REF!</v>
      </c>
    </row>
    <row r="2251">
      <c r="A2251" s="21">
        <f t="shared" si="1"/>
        <v>0</v>
      </c>
      <c r="B2251" s="32" t="s">
        <v>205</v>
      </c>
      <c r="C2251" s="23" t="s">
        <v>206</v>
      </c>
      <c r="D2251" s="23" t="s">
        <v>58</v>
      </c>
      <c r="E2251" s="37">
        <v>45430.0</v>
      </c>
      <c r="F2251" s="25">
        <v>0.22361111111111112</v>
      </c>
      <c r="G2251" s="25">
        <v>0.7041666666666667</v>
      </c>
      <c r="H2251" s="27">
        <f t="shared" si="2"/>
        <v>0.4805555556</v>
      </c>
      <c r="I2251" s="28">
        <v>3.0</v>
      </c>
      <c r="J2251" s="29" t="s">
        <v>1096</v>
      </c>
      <c r="K2251" s="30" t="s">
        <v>23</v>
      </c>
      <c r="L2251" s="31" t="str">
        <f>IFERROR(__xludf.DUMMYFUNCTION("IF(OR(E2251="""",K2251=""""),"""",IFERROR(IF(K2251="""","""",query('tbl user'!$A$2:$D10975,""SELECT A WHERE D = '""&amp;K2251&amp;""'"")),""USER TIDAK DIKETAHUI""))"),"#REF!")</f>
        <v>#REF!</v>
      </c>
    </row>
    <row r="2252">
      <c r="A2252" s="21">
        <f t="shared" si="1"/>
        <v>0</v>
      </c>
      <c r="B2252" s="32" t="s">
        <v>67</v>
      </c>
      <c r="C2252" s="23" t="s">
        <v>68</v>
      </c>
      <c r="D2252" s="23" t="s">
        <v>58</v>
      </c>
      <c r="E2252" s="37">
        <v>45430.0</v>
      </c>
      <c r="F2252" s="25">
        <v>0.2673611111111111</v>
      </c>
      <c r="G2252" s="25">
        <v>0.7069444444444445</v>
      </c>
      <c r="H2252" s="27">
        <f t="shared" si="2"/>
        <v>0.4395833333</v>
      </c>
      <c r="I2252" s="28">
        <v>4.0</v>
      </c>
      <c r="J2252" s="29" t="s">
        <v>55</v>
      </c>
      <c r="K2252" s="30" t="s">
        <v>23</v>
      </c>
      <c r="L2252" s="31" t="str">
        <f>IFERROR(__xludf.DUMMYFUNCTION("IF(OR(E2252="""",K2252=""""),"""",IFERROR(IF(K2252="""","""",query('tbl user'!$A$2:$D10975,""SELECT A WHERE D = '""&amp;K2252&amp;""'"")),""USER TIDAK DIKETAHUI""))"),"#REF!")</f>
        <v>#REF!</v>
      </c>
    </row>
    <row r="2253">
      <c r="A2253" s="21">
        <f t="shared" si="1"/>
        <v>0</v>
      </c>
      <c r="B2253" s="32" t="s">
        <v>178</v>
      </c>
      <c r="C2253" s="23" t="s">
        <v>82</v>
      </c>
      <c r="D2253" s="23" t="s">
        <v>58</v>
      </c>
      <c r="E2253" s="37">
        <v>45430.0</v>
      </c>
      <c r="F2253" s="25">
        <v>0.2833333333333333</v>
      </c>
      <c r="G2253" s="25">
        <v>0.7145833333333333</v>
      </c>
      <c r="H2253" s="27">
        <f t="shared" si="2"/>
        <v>0.43125</v>
      </c>
      <c r="I2253" s="28">
        <v>4.0</v>
      </c>
      <c r="J2253" s="29" t="s">
        <v>55</v>
      </c>
      <c r="K2253" s="30" t="s">
        <v>23</v>
      </c>
      <c r="L2253" s="31" t="str">
        <f>IFERROR(__xludf.DUMMYFUNCTION("IF(OR(E2253="""",K2253=""""),"""",IFERROR(IF(K2253="""","""",query('tbl user'!$A$2:$D10975,""SELECT A WHERE D = '""&amp;K2253&amp;""'"")),""USER TIDAK DIKETAHUI""))"),"#REF!")</f>
        <v>#REF!</v>
      </c>
    </row>
    <row r="2254">
      <c r="A2254" s="21">
        <f t="shared" si="1"/>
        <v>0</v>
      </c>
      <c r="B2254" s="32" t="s">
        <v>180</v>
      </c>
      <c r="C2254" s="23" t="s">
        <v>181</v>
      </c>
      <c r="D2254" s="23" t="s">
        <v>58</v>
      </c>
      <c r="E2254" s="37">
        <v>45430.0</v>
      </c>
      <c r="F2254" s="25">
        <v>0.2361111111111111</v>
      </c>
      <c r="G2254" s="25">
        <v>0.6805555555555556</v>
      </c>
      <c r="H2254" s="27">
        <f t="shared" si="2"/>
        <v>0.4444444444</v>
      </c>
      <c r="I2254" s="28">
        <v>4.0</v>
      </c>
      <c r="J2254" s="29" t="s">
        <v>55</v>
      </c>
      <c r="K2254" s="30" t="s">
        <v>23</v>
      </c>
      <c r="L2254" s="31" t="str">
        <f>IFERROR(__xludf.DUMMYFUNCTION("IF(OR(E2254="""",K2254=""""),"""",IFERROR(IF(K2254="""","""",query('tbl user'!$A$2:$D10975,""SELECT A WHERE D = '""&amp;K2254&amp;""'"")),""USER TIDAK DIKETAHUI""))"),"#REF!")</f>
        <v>#REF!</v>
      </c>
    </row>
    <row r="2255">
      <c r="A2255" s="21">
        <f t="shared" si="1"/>
        <v>0</v>
      </c>
      <c r="B2255" s="32" t="s">
        <v>182</v>
      </c>
      <c r="C2255" s="23" t="s">
        <v>183</v>
      </c>
      <c r="D2255" s="23" t="s">
        <v>58</v>
      </c>
      <c r="E2255" s="37">
        <v>45430.0</v>
      </c>
      <c r="F2255" s="25">
        <v>0.21319444444444444</v>
      </c>
      <c r="G2255" s="25">
        <v>0.6673611111111111</v>
      </c>
      <c r="H2255" s="27">
        <f t="shared" si="2"/>
        <v>0.4541666667</v>
      </c>
      <c r="I2255" s="28">
        <v>4.0</v>
      </c>
      <c r="J2255" s="29" t="s">
        <v>55</v>
      </c>
      <c r="K2255" s="30" t="s">
        <v>23</v>
      </c>
      <c r="L2255" s="31" t="str">
        <f>IFERROR(__xludf.DUMMYFUNCTION("IF(OR(E2255="""",K2255=""""),"""",IFERROR(IF(K2255="""","""",query('tbl user'!$A$2:$D10975,""SELECT A WHERE D = '""&amp;K2255&amp;""'"")),""USER TIDAK DIKETAHUI""))"),"#REF!")</f>
        <v>#REF!</v>
      </c>
    </row>
    <row r="2256">
      <c r="A2256" s="21">
        <f t="shared" si="1"/>
        <v>0</v>
      </c>
      <c r="B2256" s="32" t="s">
        <v>187</v>
      </c>
      <c r="C2256" s="23" t="s">
        <v>188</v>
      </c>
      <c r="D2256" s="23" t="s">
        <v>58</v>
      </c>
      <c r="E2256" s="37">
        <v>45430.0</v>
      </c>
      <c r="F2256" s="25">
        <v>0.24166666666666667</v>
      </c>
      <c r="G2256" s="25">
        <v>0.6979166666666666</v>
      </c>
      <c r="H2256" s="27">
        <f t="shared" si="2"/>
        <v>0.45625</v>
      </c>
      <c r="I2256" s="28">
        <v>4.0</v>
      </c>
      <c r="J2256" s="29" t="s">
        <v>55</v>
      </c>
      <c r="K2256" s="30" t="s">
        <v>23</v>
      </c>
      <c r="L2256" s="31" t="str">
        <f>IFERROR(__xludf.DUMMYFUNCTION("IF(OR(E2256="""",K2256=""""),"""",IFERROR(IF(K2256="""","""",query('tbl user'!$A$2:$D10975,""SELECT A WHERE D = '""&amp;K2256&amp;""'"")),""USER TIDAK DIKETAHUI""))"),"#REF!")</f>
        <v>#REF!</v>
      </c>
    </row>
    <row r="2257">
      <c r="A2257" s="21">
        <f t="shared" si="1"/>
        <v>0</v>
      </c>
      <c r="B2257" s="32" t="s">
        <v>194</v>
      </c>
      <c r="C2257" s="23" t="s">
        <v>195</v>
      </c>
      <c r="D2257" s="23" t="s">
        <v>58</v>
      </c>
      <c r="E2257" s="37">
        <v>45430.0</v>
      </c>
      <c r="F2257" s="25">
        <v>0.2361111111111111</v>
      </c>
      <c r="G2257" s="25">
        <v>0.6284722222222222</v>
      </c>
      <c r="H2257" s="27">
        <f t="shared" si="2"/>
        <v>0.3923611111</v>
      </c>
      <c r="I2257" s="28">
        <v>4.0</v>
      </c>
      <c r="J2257" s="29" t="s">
        <v>55</v>
      </c>
      <c r="K2257" s="30" t="s">
        <v>23</v>
      </c>
      <c r="L2257" s="31" t="str">
        <f>IFERROR(__xludf.DUMMYFUNCTION("IF(OR(E2257="""",K2257=""""),"""",IFERROR(IF(K2257="""","""",query('tbl user'!$A$2:$D10975,""SELECT A WHERE D = '""&amp;K2257&amp;""'"")),""USER TIDAK DIKETAHUI""))"),"#REF!")</f>
        <v>#REF!</v>
      </c>
    </row>
    <row r="2258">
      <c r="A2258" s="21">
        <f t="shared" si="1"/>
        <v>0</v>
      </c>
      <c r="B2258" s="32" t="s">
        <v>224</v>
      </c>
      <c r="C2258" s="23" t="s">
        <v>208</v>
      </c>
      <c r="D2258" s="23" t="s">
        <v>58</v>
      </c>
      <c r="E2258" s="37">
        <v>45430.0</v>
      </c>
      <c r="F2258" s="25">
        <v>0.23402777777777778</v>
      </c>
      <c r="G2258" s="25">
        <v>0.68125</v>
      </c>
      <c r="H2258" s="27">
        <f t="shared" si="2"/>
        <v>0.4472222222</v>
      </c>
      <c r="I2258" s="28">
        <v>4.0</v>
      </c>
      <c r="J2258" s="29" t="s">
        <v>55</v>
      </c>
      <c r="K2258" s="30" t="s">
        <v>23</v>
      </c>
      <c r="L2258" s="31" t="str">
        <f>IFERROR(__xludf.DUMMYFUNCTION("IF(OR(E2258="""",K2258=""""),"""",IFERROR(IF(K2258="""","""",query('tbl user'!$A$2:$D10975,""SELECT A WHERE D = '""&amp;K2258&amp;""'"")),""USER TIDAK DIKETAHUI""))"),"#REF!")</f>
        <v>#REF!</v>
      </c>
    </row>
    <row r="2259">
      <c r="A2259" s="21">
        <f t="shared" si="1"/>
        <v>0</v>
      </c>
      <c r="B2259" s="32" t="s">
        <v>267</v>
      </c>
      <c r="C2259" s="23" t="s">
        <v>85</v>
      </c>
      <c r="D2259" s="23" t="s">
        <v>58</v>
      </c>
      <c r="E2259" s="37">
        <v>45430.0</v>
      </c>
      <c r="F2259" s="25">
        <v>0.20972222222222223</v>
      </c>
      <c r="G2259" s="25">
        <v>0.6736111111111112</v>
      </c>
      <c r="H2259" s="27">
        <f t="shared" si="2"/>
        <v>0.4638888889</v>
      </c>
      <c r="I2259" s="28">
        <v>4.0</v>
      </c>
      <c r="J2259" s="29" t="s">
        <v>55</v>
      </c>
      <c r="K2259" s="30" t="s">
        <v>23</v>
      </c>
      <c r="L2259" s="31" t="str">
        <f>IFERROR(__xludf.DUMMYFUNCTION("IF(OR(E2259="""",K2259=""""),"""",IFERROR(IF(K2259="""","""",query('tbl user'!$A$2:$D10975,""SELECT A WHERE D = '""&amp;K2259&amp;""'"")),""USER TIDAK DIKETAHUI""))"),"#REF!")</f>
        <v>#REF!</v>
      </c>
    </row>
    <row r="2260">
      <c r="A2260" s="21">
        <f t="shared" si="1"/>
        <v>0</v>
      </c>
      <c r="B2260" s="32" t="s">
        <v>225</v>
      </c>
      <c r="C2260" s="23" t="s">
        <v>285</v>
      </c>
      <c r="D2260" s="23" t="s">
        <v>21</v>
      </c>
      <c r="E2260" s="37">
        <v>45430.0</v>
      </c>
      <c r="F2260" s="25">
        <v>0.30416666666666664</v>
      </c>
      <c r="G2260" s="25">
        <v>0.4597222222222222</v>
      </c>
      <c r="H2260" s="27">
        <f t="shared" si="2"/>
        <v>0.1555555556</v>
      </c>
      <c r="I2260" s="28">
        <v>1.0</v>
      </c>
      <c r="J2260" s="29" t="s">
        <v>1097</v>
      </c>
      <c r="K2260" s="30" t="s">
        <v>23</v>
      </c>
      <c r="L2260" s="31" t="str">
        <f>IFERROR(__xludf.DUMMYFUNCTION("IF(OR(E2260="""",K2260=""""),"""",IFERROR(IF(K2260="""","""",query('tbl user'!$A$2:$D10975,""SELECT A WHERE D = '""&amp;K2260&amp;""'"")),""USER TIDAK DIKETAHUI""))"),"#REF!")</f>
        <v>#REF!</v>
      </c>
    </row>
    <row r="2261">
      <c r="A2261" s="21">
        <f t="shared" si="1"/>
        <v>0</v>
      </c>
      <c r="B2261" s="32" t="s">
        <v>286</v>
      </c>
      <c r="C2261" s="23" t="s">
        <v>287</v>
      </c>
      <c r="D2261" s="23" t="s">
        <v>21</v>
      </c>
      <c r="E2261" s="37">
        <v>45430.0</v>
      </c>
      <c r="F2261" s="25">
        <v>0.2638888888888889</v>
      </c>
      <c r="G2261" s="25">
        <v>0.39375</v>
      </c>
      <c r="H2261" s="27">
        <f t="shared" si="2"/>
        <v>0.1298611111</v>
      </c>
      <c r="I2261" s="28">
        <v>1.0</v>
      </c>
      <c r="J2261" s="29" t="s">
        <v>1098</v>
      </c>
      <c r="K2261" s="30" t="s">
        <v>23</v>
      </c>
      <c r="L2261" s="31" t="str">
        <f>IFERROR(__xludf.DUMMYFUNCTION("IF(OR(E2261="""",K2261=""""),"""",IFERROR(IF(K2261="""","""",query('tbl user'!$A$2:$D10975,""SELECT A WHERE D = '""&amp;K2261&amp;""'"")),""USER TIDAK DIKETAHUI""))"),"#REF!")</f>
        <v>#REF!</v>
      </c>
    </row>
    <row r="2262">
      <c r="A2262" s="21">
        <f t="shared" si="1"/>
        <v>0</v>
      </c>
      <c r="B2262" s="32" t="s">
        <v>37</v>
      </c>
      <c r="C2262" s="23" t="s">
        <v>38</v>
      </c>
      <c r="D2262" s="23" t="s">
        <v>21</v>
      </c>
      <c r="E2262" s="37">
        <v>45430.0</v>
      </c>
      <c r="F2262" s="25">
        <v>0.26875</v>
      </c>
      <c r="G2262" s="25">
        <v>0.5555555555555556</v>
      </c>
      <c r="H2262" s="27">
        <f t="shared" si="2"/>
        <v>0.2868055556</v>
      </c>
      <c r="I2262" s="28">
        <v>2.0</v>
      </c>
      <c r="J2262" s="29" t="s">
        <v>1099</v>
      </c>
      <c r="K2262" s="30" t="s">
        <v>23</v>
      </c>
      <c r="L2262" s="31" t="str">
        <f>IFERROR(__xludf.DUMMYFUNCTION("IF(OR(E2262="""",K2262=""""),"""",IFERROR(IF(K2262="""","""",query('tbl user'!$A$2:$D10975,""SELECT A WHERE D = '""&amp;K2262&amp;""'"")),""USER TIDAK DIKETAHUI""))"),"#REF!")</f>
        <v>#REF!</v>
      </c>
    </row>
    <row r="2263">
      <c r="A2263" s="21">
        <f t="shared" si="1"/>
        <v>0</v>
      </c>
      <c r="B2263" s="32" t="s">
        <v>281</v>
      </c>
      <c r="C2263" s="23" t="s">
        <v>282</v>
      </c>
      <c r="D2263" s="23" t="s">
        <v>21</v>
      </c>
      <c r="E2263" s="37">
        <v>45430.0</v>
      </c>
      <c r="F2263" s="25">
        <v>0.2923611111111111</v>
      </c>
      <c r="G2263" s="25">
        <v>0.5694444444444444</v>
      </c>
      <c r="H2263" s="27">
        <f t="shared" si="2"/>
        <v>0.2770833333</v>
      </c>
      <c r="I2263" s="28">
        <v>2.0</v>
      </c>
      <c r="J2263" s="29" t="s">
        <v>1100</v>
      </c>
      <c r="K2263" s="30" t="s">
        <v>23</v>
      </c>
      <c r="L2263" s="31" t="str">
        <f>IFERROR(__xludf.DUMMYFUNCTION("IF(OR(E2263="""",K2263=""""),"""",IFERROR(IF(K2263="""","""",query('tbl user'!$A$2:$D10975,""SELECT A WHERE D = '""&amp;K2263&amp;""'"")),""USER TIDAK DIKETAHUI""))"),"#REF!")</f>
        <v>#REF!</v>
      </c>
    </row>
    <row r="2264">
      <c r="A2264" s="21">
        <f t="shared" si="1"/>
        <v>0</v>
      </c>
      <c r="B2264" s="32" t="s">
        <v>289</v>
      </c>
      <c r="C2264" s="23" t="s">
        <v>290</v>
      </c>
      <c r="D2264" s="23" t="s">
        <v>21</v>
      </c>
      <c r="E2264" s="37">
        <v>45430.0</v>
      </c>
      <c r="F2264" s="25">
        <v>0.3055555555555556</v>
      </c>
      <c r="G2264" s="25">
        <v>0.6722222222222223</v>
      </c>
      <c r="H2264" s="27">
        <f t="shared" si="2"/>
        <v>0.3666666667</v>
      </c>
      <c r="I2264" s="28">
        <v>3.0</v>
      </c>
      <c r="J2264" s="29" t="s">
        <v>1101</v>
      </c>
      <c r="K2264" s="30" t="s">
        <v>23</v>
      </c>
      <c r="L2264" s="31" t="str">
        <f>IFERROR(__xludf.DUMMYFUNCTION("IF(OR(E2264="""",K2264=""""),"""",IFERROR(IF(K2264="""","""",query('tbl user'!$A$2:$D10975,""SELECT A WHERE D = '""&amp;K2264&amp;""'"")),""USER TIDAK DIKETAHUI""))"),"#REF!")</f>
        <v>#REF!</v>
      </c>
    </row>
    <row r="2265">
      <c r="A2265" s="21">
        <f t="shared" si="1"/>
        <v>0</v>
      </c>
      <c r="B2265" s="32" t="s">
        <v>64</v>
      </c>
      <c r="C2265" s="23" t="s">
        <v>65</v>
      </c>
      <c r="D2265" s="23" t="s">
        <v>21</v>
      </c>
      <c r="E2265" s="37">
        <v>45430.0</v>
      </c>
      <c r="F2265" s="25">
        <v>0.3104166666666667</v>
      </c>
      <c r="G2265" s="25">
        <v>0.6694444444444444</v>
      </c>
      <c r="H2265" s="27">
        <f t="shared" si="2"/>
        <v>0.3590277778</v>
      </c>
      <c r="I2265" s="28">
        <v>3.0</v>
      </c>
      <c r="J2265" s="29" t="s">
        <v>171</v>
      </c>
      <c r="K2265" s="30" t="s">
        <v>23</v>
      </c>
      <c r="L2265" s="31" t="str">
        <f>IFERROR(__xludf.DUMMYFUNCTION("IF(OR(E2265="""",K2265=""""),"""",IFERROR(IF(K2265="""","""",query('tbl user'!$A$2:$D10975,""SELECT A WHERE D = '""&amp;K2265&amp;""'"")),""USER TIDAK DIKETAHUI""))"),"#REF!")</f>
        <v>#REF!</v>
      </c>
    </row>
    <row r="2266">
      <c r="A2266" s="21">
        <f t="shared" si="1"/>
        <v>0</v>
      </c>
      <c r="B2266" s="32" t="s">
        <v>246</v>
      </c>
      <c r="C2266" s="23" t="s">
        <v>99</v>
      </c>
      <c r="D2266" s="23" t="s">
        <v>21</v>
      </c>
      <c r="E2266" s="37">
        <v>45430.0</v>
      </c>
      <c r="F2266" s="25">
        <v>0.2986111111111111</v>
      </c>
      <c r="G2266" s="25">
        <v>0.5840277777777778</v>
      </c>
      <c r="H2266" s="27">
        <f t="shared" si="2"/>
        <v>0.2854166667</v>
      </c>
      <c r="I2266" s="28">
        <v>1.0</v>
      </c>
      <c r="J2266" s="29" t="s">
        <v>1102</v>
      </c>
      <c r="K2266" s="30" t="s">
        <v>23</v>
      </c>
      <c r="L2266" s="31" t="str">
        <f>IFERROR(__xludf.DUMMYFUNCTION("IF(OR(E2266="""",K2266=""""),"""",IFERROR(IF(K2266="""","""",query('tbl user'!$A$2:$D10975,""SELECT A WHERE D = '""&amp;K2266&amp;""'"")),""USER TIDAK DIKETAHUI""))"),"#REF!")</f>
        <v>#REF!</v>
      </c>
    </row>
    <row r="2267">
      <c r="A2267" s="21">
        <f t="shared" si="1"/>
        <v>0</v>
      </c>
      <c r="B2267" s="32" t="s">
        <v>131</v>
      </c>
      <c r="C2267" s="23" t="s">
        <v>339</v>
      </c>
      <c r="D2267" s="23" t="s">
        <v>21</v>
      </c>
      <c r="E2267" s="37">
        <v>45430.0</v>
      </c>
      <c r="F2267" s="25">
        <v>0.28194444444444444</v>
      </c>
      <c r="G2267" s="25">
        <v>0.4027777777777778</v>
      </c>
      <c r="H2267" s="27">
        <f t="shared" si="2"/>
        <v>0.1208333333</v>
      </c>
      <c r="I2267" s="28">
        <v>1.0</v>
      </c>
      <c r="J2267" s="29" t="s">
        <v>1103</v>
      </c>
      <c r="K2267" s="30" t="s">
        <v>23</v>
      </c>
      <c r="L2267" s="31" t="str">
        <f>IFERROR(__xludf.DUMMYFUNCTION("IF(OR(E2267="""",K2267=""""),"""",IFERROR(IF(K2267="""","""",query('tbl user'!$A$2:$D10975,""SELECT A WHERE D = '""&amp;K2267&amp;""'"")),""USER TIDAK DIKETAHUI""))"),"#REF!")</f>
        <v>#REF!</v>
      </c>
    </row>
    <row r="2268">
      <c r="A2268" s="21">
        <f t="shared" si="1"/>
        <v>0</v>
      </c>
      <c r="B2268" s="32" t="s">
        <v>335</v>
      </c>
      <c r="C2268" s="23" t="s">
        <v>336</v>
      </c>
      <c r="D2268" s="23" t="s">
        <v>21</v>
      </c>
      <c r="E2268" s="37">
        <v>45430.0</v>
      </c>
      <c r="F2268" s="25">
        <v>0.2923611111111111</v>
      </c>
      <c r="G2268" s="25">
        <v>0.4465277777777778</v>
      </c>
      <c r="H2268" s="27">
        <f t="shared" si="2"/>
        <v>0.1541666667</v>
      </c>
      <c r="I2268" s="28">
        <v>1.0</v>
      </c>
      <c r="J2268" s="29" t="s">
        <v>1104</v>
      </c>
      <c r="K2268" s="30" t="s">
        <v>23</v>
      </c>
      <c r="L2268" s="31" t="str">
        <f>IFERROR(__xludf.DUMMYFUNCTION("IF(OR(E2268="""",K2268=""""),"""",IFERROR(IF(K2268="""","""",query('tbl user'!$A$2:$D10975,""SELECT A WHERE D = '""&amp;K2268&amp;""'"")),""USER TIDAK DIKETAHUI""))"),"#REF!")</f>
        <v>#REF!</v>
      </c>
    </row>
    <row r="2269">
      <c r="A2269" s="21">
        <f t="shared" si="1"/>
        <v>0</v>
      </c>
      <c r="B2269" s="32" t="s">
        <v>337</v>
      </c>
      <c r="C2269" s="23" t="s">
        <v>338</v>
      </c>
      <c r="D2269" s="23" t="s">
        <v>21</v>
      </c>
      <c r="E2269" s="37">
        <v>45430.0</v>
      </c>
      <c r="F2269" s="25">
        <v>0.26875</v>
      </c>
      <c r="G2269" s="25">
        <v>0.6555555555555556</v>
      </c>
      <c r="H2269" s="27">
        <f t="shared" si="2"/>
        <v>0.3868055556</v>
      </c>
      <c r="I2269" s="28">
        <v>2.0</v>
      </c>
      <c r="J2269" s="29" t="s">
        <v>1105</v>
      </c>
      <c r="K2269" s="30" t="s">
        <v>23</v>
      </c>
      <c r="L2269" s="31" t="str">
        <f>IFERROR(__xludf.DUMMYFUNCTION("IF(OR(E2269="""",K2269=""""),"""",IFERROR(IF(K2269="""","""",query('tbl user'!$A$2:$D10975,""SELECT A WHERE D = '""&amp;K2269&amp;""'"")),""USER TIDAK DIKETAHUI""))"),"#REF!")</f>
        <v>#REF!</v>
      </c>
    </row>
    <row r="2270">
      <c r="A2270" s="21">
        <f t="shared" si="1"/>
        <v>0</v>
      </c>
      <c r="B2270" s="32" t="s">
        <v>601</v>
      </c>
      <c r="C2270" s="23" t="s">
        <v>323</v>
      </c>
      <c r="D2270" s="23" t="s">
        <v>21</v>
      </c>
      <c r="E2270" s="37">
        <v>45430.0</v>
      </c>
      <c r="F2270" s="25">
        <v>0.38263888888888886</v>
      </c>
      <c r="G2270" s="25">
        <v>0.7118055555555556</v>
      </c>
      <c r="H2270" s="27">
        <f t="shared" si="2"/>
        <v>0.3291666667</v>
      </c>
      <c r="I2270" s="28">
        <v>2.0</v>
      </c>
      <c r="J2270" s="29" t="s">
        <v>1106</v>
      </c>
      <c r="K2270" s="30" t="s">
        <v>23</v>
      </c>
      <c r="L2270" s="31" t="str">
        <f>IFERROR(__xludf.DUMMYFUNCTION("IF(OR(E2270="""",K2270=""""),"""",IFERROR(IF(K2270="""","""",query('tbl user'!$A$2:$D10975,""SELECT A WHERE D = '""&amp;K2270&amp;""'"")),""USER TIDAK DIKETAHUI""))"),"#REF!")</f>
        <v>#REF!</v>
      </c>
    </row>
    <row r="2271">
      <c r="A2271" s="21">
        <f t="shared" si="1"/>
        <v>0</v>
      </c>
      <c r="B2271" s="32" t="s">
        <v>81</v>
      </c>
      <c r="C2271" s="23" t="s">
        <v>261</v>
      </c>
      <c r="D2271" s="23" t="s">
        <v>21</v>
      </c>
      <c r="E2271" s="37">
        <v>45430.0</v>
      </c>
      <c r="F2271" s="25">
        <v>0.29375</v>
      </c>
      <c r="G2271" s="25">
        <v>0.5819444444444445</v>
      </c>
      <c r="H2271" s="27">
        <f t="shared" si="2"/>
        <v>0.2881944444</v>
      </c>
      <c r="I2271" s="28">
        <v>2.0</v>
      </c>
      <c r="J2271" s="29" t="s">
        <v>1107</v>
      </c>
      <c r="K2271" s="30" t="s">
        <v>23</v>
      </c>
      <c r="L2271" s="31" t="str">
        <f>IFERROR(__xludf.DUMMYFUNCTION("IF(OR(E2271="""",K2271=""""),"""",IFERROR(IF(K2271="""","""",query('tbl user'!$A$2:$D10975,""SELECT A WHERE D = '""&amp;K2271&amp;""'"")),""USER TIDAK DIKETAHUI""))"),"#REF!")</f>
        <v>#REF!</v>
      </c>
    </row>
    <row r="2272">
      <c r="A2272" s="21">
        <f t="shared" si="1"/>
        <v>0</v>
      </c>
      <c r="B2272" s="32" t="s">
        <v>243</v>
      </c>
      <c r="C2272" s="23" t="s">
        <v>244</v>
      </c>
      <c r="D2272" s="23" t="s">
        <v>21</v>
      </c>
      <c r="E2272" s="37">
        <v>45430.0</v>
      </c>
      <c r="F2272" s="25">
        <v>0.28125</v>
      </c>
      <c r="G2272" s="25">
        <v>0.7076388888888889</v>
      </c>
      <c r="H2272" s="27">
        <f t="shared" si="2"/>
        <v>0.4263888889</v>
      </c>
      <c r="I2272" s="28">
        <v>3.0</v>
      </c>
      <c r="J2272" s="29" t="s">
        <v>1108</v>
      </c>
      <c r="K2272" s="30" t="s">
        <v>23</v>
      </c>
      <c r="L2272" s="31" t="str">
        <f>IFERROR(__xludf.DUMMYFUNCTION("IF(OR(E2272="""",K2272=""""),"""",IFERROR(IF(K2272="""","""",query('tbl user'!$A$2:$D10975,""SELECT A WHERE D = '""&amp;K2272&amp;""'"")),""USER TIDAK DIKETAHUI""))"),"#REF!")</f>
        <v>#REF!</v>
      </c>
    </row>
    <row r="2273">
      <c r="A2273" s="21">
        <f t="shared" si="1"/>
        <v>0</v>
      </c>
      <c r="B2273" s="32" t="s">
        <v>333</v>
      </c>
      <c r="C2273" s="23" t="s">
        <v>334</v>
      </c>
      <c r="D2273" s="23" t="s">
        <v>21</v>
      </c>
      <c r="E2273" s="37">
        <v>45430.0</v>
      </c>
      <c r="F2273" s="25">
        <v>0.26875</v>
      </c>
      <c r="G2273" s="25">
        <v>0.70625</v>
      </c>
      <c r="H2273" s="27">
        <f t="shared" si="2"/>
        <v>0.4375</v>
      </c>
      <c r="I2273" s="28">
        <v>3.0</v>
      </c>
      <c r="J2273" s="29" t="s">
        <v>1109</v>
      </c>
      <c r="K2273" s="30" t="s">
        <v>23</v>
      </c>
      <c r="L2273" s="31" t="str">
        <f>IFERROR(__xludf.DUMMYFUNCTION("IF(OR(E2273="""",K2273=""""),"""",IFERROR(IF(K2273="""","""",query('tbl user'!$A$2:$D10975,""SELECT A WHERE D = '""&amp;K2273&amp;""'"")),""USER TIDAK DIKETAHUI""))"),"#REF!")</f>
        <v>#REF!</v>
      </c>
    </row>
    <row r="2274">
      <c r="A2274" s="21">
        <f t="shared" si="1"/>
        <v>0</v>
      </c>
      <c r="B2274" s="32" t="s">
        <v>577</v>
      </c>
      <c r="C2274" s="23" t="s">
        <v>329</v>
      </c>
      <c r="D2274" s="23" t="s">
        <v>21</v>
      </c>
      <c r="E2274" s="37">
        <v>45430.0</v>
      </c>
      <c r="F2274" s="25">
        <v>0.26875</v>
      </c>
      <c r="G2274" s="25">
        <v>0.6791666666666667</v>
      </c>
      <c r="H2274" s="27">
        <f t="shared" si="2"/>
        <v>0.4104166667</v>
      </c>
      <c r="I2274" s="28">
        <v>3.0</v>
      </c>
      <c r="J2274" s="29" t="s">
        <v>1108</v>
      </c>
      <c r="K2274" s="30" t="s">
        <v>23</v>
      </c>
      <c r="L2274" s="31" t="str">
        <f>IFERROR(__xludf.DUMMYFUNCTION("IF(OR(E2274="""",K2274=""""),"""",IFERROR(IF(K2274="""","""",query('tbl user'!$A$2:$D10975,""SELECT A WHERE D = '""&amp;K2274&amp;""'"")),""USER TIDAK DIKETAHUI""))"),"#REF!")</f>
        <v>#REF!</v>
      </c>
    </row>
    <row r="2275">
      <c r="A2275" s="21">
        <f t="shared" si="1"/>
        <v>0</v>
      </c>
      <c r="B2275" s="32" t="s">
        <v>325</v>
      </c>
      <c r="C2275" s="23" t="s">
        <v>326</v>
      </c>
      <c r="D2275" s="23" t="s">
        <v>21</v>
      </c>
      <c r="E2275" s="37">
        <v>45430.0</v>
      </c>
      <c r="F2275" s="25">
        <v>0.2652777777777778</v>
      </c>
      <c r="G2275" s="25">
        <v>0.7138888888888889</v>
      </c>
      <c r="H2275" s="27">
        <f t="shared" si="2"/>
        <v>0.4486111111</v>
      </c>
      <c r="I2275" s="28">
        <v>3.0</v>
      </c>
      <c r="J2275" s="29" t="s">
        <v>1110</v>
      </c>
      <c r="K2275" s="30" t="s">
        <v>23</v>
      </c>
      <c r="L2275" s="31" t="str">
        <f>IFERROR(__xludf.DUMMYFUNCTION("IF(OR(E2275="""",K2275=""""),"""",IFERROR(IF(K2275="""","""",query('tbl user'!$A$2:$D10975,""SELECT A WHERE D = '""&amp;K2275&amp;""'"")),""USER TIDAK DIKETAHUI""))"),"#REF!")</f>
        <v>#REF!</v>
      </c>
    </row>
    <row r="2276">
      <c r="A2276" s="21">
        <f t="shared" si="1"/>
        <v>0</v>
      </c>
      <c r="B2276" s="32" t="s">
        <v>34</v>
      </c>
      <c r="C2276" s="23" t="s">
        <v>35</v>
      </c>
      <c r="D2276" s="23" t="s">
        <v>21</v>
      </c>
      <c r="E2276" s="37">
        <v>45430.0</v>
      </c>
      <c r="F2276" s="25">
        <v>0.2791666666666667</v>
      </c>
      <c r="G2276" s="25">
        <v>0.7131944444444445</v>
      </c>
      <c r="H2276" s="27">
        <f t="shared" si="2"/>
        <v>0.4340277778</v>
      </c>
      <c r="I2276" s="28">
        <v>4.0</v>
      </c>
      <c r="J2276" s="29" t="s">
        <v>1108</v>
      </c>
      <c r="K2276" s="30" t="s">
        <v>23</v>
      </c>
      <c r="L2276" s="31" t="str">
        <f>IFERROR(__xludf.DUMMYFUNCTION("IF(OR(E2276="""",K2276=""""),"""",IFERROR(IF(K2276="""","""",query('tbl user'!$A$2:$D10975,""SELECT A WHERE D = '""&amp;K2276&amp;""'"")),""USER TIDAK DIKETAHUI""))"),"#REF!")</f>
        <v>#REF!</v>
      </c>
    </row>
    <row r="2277">
      <c r="A2277" s="21">
        <f t="shared" si="1"/>
        <v>0</v>
      </c>
      <c r="B2277" s="32" t="s">
        <v>238</v>
      </c>
      <c r="C2277" s="23" t="s">
        <v>239</v>
      </c>
      <c r="D2277" s="23" t="s">
        <v>21</v>
      </c>
      <c r="E2277" s="37">
        <v>45430.0</v>
      </c>
      <c r="F2277" s="25">
        <v>0.2965277777777778</v>
      </c>
      <c r="G2277" s="25">
        <v>0.7270833333333333</v>
      </c>
      <c r="H2277" s="27">
        <f t="shared" si="2"/>
        <v>0.4305555556</v>
      </c>
      <c r="I2277" s="28">
        <v>4.0</v>
      </c>
      <c r="J2277" s="29" t="s">
        <v>1108</v>
      </c>
      <c r="K2277" s="30" t="s">
        <v>23</v>
      </c>
      <c r="L2277" s="31" t="str">
        <f>IFERROR(__xludf.DUMMYFUNCTION("IF(OR(E2277="""",K2277=""""),"""",IFERROR(IF(K2277="""","""",query('tbl user'!$A$2:$D10975,""SELECT A WHERE D = '""&amp;K2277&amp;""'"")),""USER TIDAK DIKETAHUI""))"),"#REF!")</f>
        <v>#REF!</v>
      </c>
    </row>
    <row r="2278">
      <c r="A2278" s="21">
        <f t="shared" si="1"/>
        <v>0</v>
      </c>
      <c r="B2278" s="32" t="s">
        <v>24</v>
      </c>
      <c r="C2278" s="23" t="s">
        <v>25</v>
      </c>
      <c r="D2278" s="23" t="s">
        <v>21</v>
      </c>
      <c r="E2278" s="37">
        <v>45430.0</v>
      </c>
      <c r="F2278" s="25">
        <v>0.29305555555555557</v>
      </c>
      <c r="G2278" s="25">
        <v>0.7256944444444444</v>
      </c>
      <c r="H2278" s="27">
        <f t="shared" si="2"/>
        <v>0.4326388889</v>
      </c>
      <c r="I2278" s="28">
        <v>4.0</v>
      </c>
      <c r="J2278" s="29" t="s">
        <v>299</v>
      </c>
      <c r="K2278" s="30" t="s">
        <v>23</v>
      </c>
      <c r="L2278" s="31" t="str">
        <f>IFERROR(__xludf.DUMMYFUNCTION("IF(OR(E2278="""",K2278=""""),"""",IFERROR(IF(K2278="""","""",query('tbl user'!$A$2:$D10975,""SELECT A WHERE D = '""&amp;K2278&amp;""'"")),""USER TIDAK DIKETAHUI""))"),"#REF!")</f>
        <v>#REF!</v>
      </c>
    </row>
    <row r="2279">
      <c r="A2279" s="21">
        <f t="shared" si="1"/>
        <v>0</v>
      </c>
      <c r="B2279" s="32" t="s">
        <v>305</v>
      </c>
      <c r="C2279" s="23" t="s">
        <v>251</v>
      </c>
      <c r="D2279" s="23" t="s">
        <v>21</v>
      </c>
      <c r="E2279" s="37">
        <v>45430.0</v>
      </c>
      <c r="F2279" s="25">
        <v>0.24305555555555555</v>
      </c>
      <c r="G2279" s="25">
        <v>0.7451388888888889</v>
      </c>
      <c r="H2279" s="27">
        <f t="shared" si="2"/>
        <v>0.5020833333</v>
      </c>
      <c r="I2279" s="28">
        <v>4.0</v>
      </c>
      <c r="J2279" s="29" t="s">
        <v>1108</v>
      </c>
      <c r="K2279" s="30" t="s">
        <v>23</v>
      </c>
      <c r="L2279" s="31" t="str">
        <f>IFERROR(__xludf.DUMMYFUNCTION("IF(OR(E2279="""",K2279=""""),"""",IFERROR(IF(K2279="""","""",query('tbl user'!$A$2:$D10975,""SELECT A WHERE D = '""&amp;K2279&amp;""'"")),""USER TIDAK DIKETAHUI""))"),"#REF!")</f>
        <v>#REF!</v>
      </c>
    </row>
    <row r="2280">
      <c r="A2280" s="21">
        <f t="shared" si="1"/>
        <v>0</v>
      </c>
      <c r="B2280" s="32" t="s">
        <v>43</v>
      </c>
      <c r="C2280" s="23" t="s">
        <v>44</v>
      </c>
      <c r="D2280" s="23" t="s">
        <v>21</v>
      </c>
      <c r="E2280" s="37">
        <v>45430.0</v>
      </c>
      <c r="F2280" s="25">
        <v>0.2965277777777778</v>
      </c>
      <c r="G2280" s="25">
        <v>0.7229166666666667</v>
      </c>
      <c r="H2280" s="27">
        <f t="shared" si="2"/>
        <v>0.4263888889</v>
      </c>
      <c r="I2280" s="28">
        <v>4.0</v>
      </c>
      <c r="J2280" s="29" t="s">
        <v>1108</v>
      </c>
      <c r="K2280" s="30" t="s">
        <v>23</v>
      </c>
      <c r="L2280" s="31" t="str">
        <f>IFERROR(__xludf.DUMMYFUNCTION("IF(OR(E2280="""",K2280=""""),"""",IFERROR(IF(K2280="""","""",query('tbl user'!$A$2:$D10975,""SELECT A WHERE D = '""&amp;K2280&amp;""'"")),""USER TIDAK DIKETAHUI""))"),"#REF!")</f>
        <v>#REF!</v>
      </c>
    </row>
    <row r="2281">
      <c r="A2281" s="21">
        <f t="shared" si="1"/>
        <v>0</v>
      </c>
      <c r="B2281" s="32" t="s">
        <v>159</v>
      </c>
      <c r="C2281" s="23" t="s">
        <v>306</v>
      </c>
      <c r="D2281" s="23" t="s">
        <v>21</v>
      </c>
      <c r="E2281" s="37">
        <v>45430.0</v>
      </c>
      <c r="F2281" s="25">
        <v>0.2743055555555556</v>
      </c>
      <c r="G2281" s="25">
        <v>0.7715277777777778</v>
      </c>
      <c r="H2281" s="27">
        <f t="shared" si="2"/>
        <v>0.4972222222</v>
      </c>
      <c r="I2281" s="28">
        <v>4.0</v>
      </c>
      <c r="J2281" s="29" t="s">
        <v>1108</v>
      </c>
      <c r="K2281" s="30" t="s">
        <v>23</v>
      </c>
      <c r="L2281" s="31" t="str">
        <f>IFERROR(__xludf.DUMMYFUNCTION("IF(OR(E2281="""",K2281=""""),"""",IFERROR(IF(K2281="""","""",query('tbl user'!$A$2:$D10975,""SELECT A WHERE D = '""&amp;K2281&amp;""'"")),""USER TIDAK DIKETAHUI""))"),"#REF!")</f>
        <v>#REF!</v>
      </c>
    </row>
    <row r="2282">
      <c r="A2282" s="21">
        <f t="shared" si="1"/>
        <v>0</v>
      </c>
      <c r="B2282" s="32" t="s">
        <v>53</v>
      </c>
      <c r="C2282" s="23" t="s">
        <v>256</v>
      </c>
      <c r="D2282" s="23" t="s">
        <v>21</v>
      </c>
      <c r="E2282" s="37">
        <v>45430.0</v>
      </c>
      <c r="F2282" s="25">
        <v>0.2590277777777778</v>
      </c>
      <c r="G2282" s="25">
        <v>0.7493055555555556</v>
      </c>
      <c r="H2282" s="27">
        <f t="shared" si="2"/>
        <v>0.4902777778</v>
      </c>
      <c r="I2282" s="28">
        <v>4.0</v>
      </c>
      <c r="J2282" s="29" t="s">
        <v>1108</v>
      </c>
      <c r="K2282" s="30" t="s">
        <v>23</v>
      </c>
      <c r="L2282" s="31" t="str">
        <f>IFERROR(__xludf.DUMMYFUNCTION("IF(OR(E2282="""",K2282=""""),"""",IFERROR(IF(K2282="""","""",query('tbl user'!$A$2:$D10975,""SELECT A WHERE D = '""&amp;K2282&amp;""'"")),""USER TIDAK DIKETAHUI""))"),"#REF!")</f>
        <v>#REF!</v>
      </c>
    </row>
    <row r="2283">
      <c r="A2283" s="21">
        <f t="shared" si="1"/>
        <v>0</v>
      </c>
      <c r="B2283" s="32" t="s">
        <v>331</v>
      </c>
      <c r="C2283" s="23" t="s">
        <v>332</v>
      </c>
      <c r="D2283" s="23" t="s">
        <v>21</v>
      </c>
      <c r="E2283" s="37">
        <v>45430.0</v>
      </c>
      <c r="F2283" s="25">
        <v>0.26458333333333334</v>
      </c>
      <c r="G2283" s="25">
        <v>0.7236111111111111</v>
      </c>
      <c r="H2283" s="27">
        <f t="shared" si="2"/>
        <v>0.4590277778</v>
      </c>
      <c r="I2283" s="28">
        <v>4.0</v>
      </c>
      <c r="J2283" s="29" t="s">
        <v>1111</v>
      </c>
      <c r="K2283" s="30" t="s">
        <v>23</v>
      </c>
      <c r="L2283" s="31" t="str">
        <f>IFERROR(__xludf.DUMMYFUNCTION("IF(OR(E2283="""",K2283=""""),"""",IFERROR(IF(K2283="""","""",query('tbl user'!$A$2:$D10975,""SELECT A WHERE D = '""&amp;K2283&amp;""'"")),""USER TIDAK DIKETAHUI""))"),"#REF!")</f>
        <v>#REF!</v>
      </c>
    </row>
    <row r="2284">
      <c r="A2284" s="21">
        <f t="shared" si="1"/>
        <v>0</v>
      </c>
      <c r="B2284" s="32" t="s">
        <v>258</v>
      </c>
      <c r="C2284" s="23" t="s">
        <v>259</v>
      </c>
      <c r="D2284" s="23" t="s">
        <v>21</v>
      </c>
      <c r="E2284" s="37">
        <v>45430.0</v>
      </c>
      <c r="F2284" s="25">
        <v>0.25416666666666665</v>
      </c>
      <c r="G2284" s="25">
        <v>0.7</v>
      </c>
      <c r="H2284" s="27">
        <f t="shared" si="2"/>
        <v>0.4458333333</v>
      </c>
      <c r="I2284" s="28">
        <v>4.0</v>
      </c>
      <c r="J2284" s="29" t="s">
        <v>1108</v>
      </c>
      <c r="K2284" s="30" t="s">
        <v>23</v>
      </c>
      <c r="L2284" s="31" t="str">
        <f>IFERROR(__xludf.DUMMYFUNCTION("IF(OR(E2284="""",K2284=""""),"""",IFERROR(IF(K2284="""","""",query('tbl user'!$A$2:$D10975,""SELECT A WHERE D = '""&amp;K2284&amp;""'"")),""USER TIDAK DIKETAHUI""))"),"#REF!")</f>
        <v>#REF!</v>
      </c>
    </row>
    <row r="2285">
      <c r="A2285" s="21">
        <f t="shared" si="1"/>
        <v>0</v>
      </c>
      <c r="B2285" s="32" t="s">
        <v>319</v>
      </c>
      <c r="C2285" s="23" t="s">
        <v>320</v>
      </c>
      <c r="D2285" s="23" t="s">
        <v>21</v>
      </c>
      <c r="E2285" s="37">
        <v>45430.0</v>
      </c>
      <c r="F2285" s="25">
        <v>0.22916666666666666</v>
      </c>
      <c r="G2285" s="25">
        <v>0.7263888888888889</v>
      </c>
      <c r="H2285" s="27">
        <f t="shared" si="2"/>
        <v>0.4972222222</v>
      </c>
      <c r="I2285" s="28">
        <v>4.0</v>
      </c>
      <c r="J2285" s="29" t="s">
        <v>1108</v>
      </c>
      <c r="K2285" s="30" t="s">
        <v>23</v>
      </c>
      <c r="L2285" s="31" t="str">
        <f>IFERROR(__xludf.DUMMYFUNCTION("IF(OR(E2285="""",K2285=""""),"""",IFERROR(IF(K2285="""","""",query('tbl user'!$A$2:$D10975,""SELECT A WHERE D = '""&amp;K2285&amp;""'"")),""USER TIDAK DIKETAHUI""))"),"#REF!")</f>
        <v>#REF!</v>
      </c>
    </row>
    <row r="2286">
      <c r="A2286" s="21">
        <f t="shared" si="1"/>
        <v>0</v>
      </c>
      <c r="B2286" s="32" t="s">
        <v>593</v>
      </c>
      <c r="C2286" s="23" t="s">
        <v>236</v>
      </c>
      <c r="D2286" s="23" t="s">
        <v>21</v>
      </c>
      <c r="E2286" s="37">
        <v>45430.0</v>
      </c>
      <c r="F2286" s="25">
        <v>0.2375</v>
      </c>
      <c r="G2286" s="25">
        <v>0.7986111111111112</v>
      </c>
      <c r="H2286" s="27">
        <f t="shared" si="2"/>
        <v>0.5611111111</v>
      </c>
      <c r="I2286" s="28">
        <v>5.0</v>
      </c>
      <c r="J2286" s="29" t="s">
        <v>55</v>
      </c>
      <c r="K2286" s="30" t="s">
        <v>23</v>
      </c>
      <c r="L2286" s="31" t="str">
        <f>IFERROR(__xludf.DUMMYFUNCTION("IF(OR(E2286="""",K2286=""""),"""",IFERROR(IF(K2286="""","""",query('tbl user'!$A$2:$D10975,""SELECT A WHERE D = '""&amp;K2286&amp;""'"")),""USER TIDAK DIKETAHUI""))"),"#REF!")</f>
        <v>#REF!</v>
      </c>
    </row>
    <row r="2287">
      <c r="A2287" s="21">
        <f t="shared" si="1"/>
        <v>0</v>
      </c>
      <c r="B2287" s="32" t="s">
        <v>135</v>
      </c>
      <c r="C2287" s="23" t="s">
        <v>136</v>
      </c>
      <c r="D2287" s="23" t="s">
        <v>32</v>
      </c>
      <c r="E2287" s="37">
        <v>45430.0</v>
      </c>
      <c r="F2287" s="25">
        <v>0.28958333333333336</v>
      </c>
      <c r="G2287" s="25">
        <v>0.46319444444444446</v>
      </c>
      <c r="H2287" s="27">
        <f t="shared" si="2"/>
        <v>0.1736111111</v>
      </c>
      <c r="I2287" s="28">
        <v>2.0</v>
      </c>
      <c r="J2287" s="29" t="s">
        <v>1112</v>
      </c>
      <c r="K2287" s="30" t="s">
        <v>23</v>
      </c>
      <c r="L2287" s="31" t="str">
        <f>IFERROR(__xludf.DUMMYFUNCTION("IF(OR(E2287="""",K2287=""""),"""",IFERROR(IF(K2287="""","""",query('tbl user'!$A$2:$D10975,""SELECT A WHERE D = '""&amp;K2287&amp;""'"")),""USER TIDAK DIKETAHUI""))"),"#REF!")</f>
        <v>#REF!</v>
      </c>
    </row>
    <row r="2288">
      <c r="A2288" s="21">
        <f t="shared" si="1"/>
        <v>0</v>
      </c>
      <c r="B2288" s="32" t="s">
        <v>269</v>
      </c>
      <c r="C2288" s="23" t="s">
        <v>270</v>
      </c>
      <c r="D2288" s="23" t="s">
        <v>32</v>
      </c>
      <c r="E2288" s="37">
        <v>45430.0</v>
      </c>
      <c r="F2288" s="25">
        <v>0.2638888888888889</v>
      </c>
      <c r="G2288" s="25">
        <v>0.4756944444444444</v>
      </c>
      <c r="H2288" s="27">
        <f t="shared" si="2"/>
        <v>0.2118055556</v>
      </c>
      <c r="I2288" s="28">
        <v>2.0</v>
      </c>
      <c r="J2288" s="29" t="s">
        <v>1113</v>
      </c>
      <c r="K2288" s="30" t="s">
        <v>23</v>
      </c>
      <c r="L2288" s="31" t="str">
        <f>IFERROR(__xludf.DUMMYFUNCTION("IF(OR(E2288="""",K2288=""""),"""",IFERROR(IF(K2288="""","""",query('tbl user'!$A$2:$D10975,""SELECT A WHERE D = '""&amp;K2288&amp;""'"")),""USER TIDAK DIKETAHUI""))"),"#REF!")</f>
        <v>#REF!</v>
      </c>
    </row>
    <row r="2289">
      <c r="A2289" s="21">
        <f t="shared" si="1"/>
        <v>0</v>
      </c>
      <c r="B2289" s="32" t="s">
        <v>72</v>
      </c>
      <c r="C2289" s="23" t="s">
        <v>73</v>
      </c>
      <c r="D2289" s="23" t="s">
        <v>32</v>
      </c>
      <c r="E2289" s="37">
        <v>45430.0</v>
      </c>
      <c r="F2289" s="25">
        <v>0.28055555555555556</v>
      </c>
      <c r="G2289" s="25">
        <v>0.6777777777777778</v>
      </c>
      <c r="H2289" s="27">
        <f t="shared" si="2"/>
        <v>0.3972222222</v>
      </c>
      <c r="I2289" s="28">
        <v>4.0</v>
      </c>
      <c r="J2289" s="29" t="s">
        <v>55</v>
      </c>
      <c r="K2289" s="30" t="s">
        <v>23</v>
      </c>
      <c r="L2289" s="31" t="str">
        <f>IFERROR(__xludf.DUMMYFUNCTION("IF(OR(E2289="""",K2289=""""),"""",IFERROR(IF(K2289="""","""",query('tbl user'!$A$2:$D10975,""SELECT A WHERE D = '""&amp;K2289&amp;""'"")),""USER TIDAK DIKETAHUI""))"),"#REF!")</f>
        <v>#REF!</v>
      </c>
    </row>
    <row r="2290">
      <c r="A2290" s="21">
        <f t="shared" si="1"/>
        <v>0</v>
      </c>
      <c r="B2290" s="32" t="s">
        <v>363</v>
      </c>
      <c r="C2290" s="23" t="s">
        <v>132</v>
      </c>
      <c r="D2290" s="23" t="s">
        <v>32</v>
      </c>
      <c r="E2290" s="37">
        <v>45430.0</v>
      </c>
      <c r="F2290" s="25">
        <v>0.28958333333333336</v>
      </c>
      <c r="G2290" s="25">
        <v>0.6965277777777777</v>
      </c>
      <c r="H2290" s="27">
        <f t="shared" si="2"/>
        <v>0.4069444444</v>
      </c>
      <c r="I2290" s="28">
        <v>4.0</v>
      </c>
      <c r="J2290" s="29" t="s">
        <v>55</v>
      </c>
      <c r="K2290" s="30" t="s">
        <v>23</v>
      </c>
      <c r="L2290" s="31" t="str">
        <f>IFERROR(__xludf.DUMMYFUNCTION("IF(OR(E2290="""",K2290=""""),"""",IFERROR(IF(K2290="""","""",query('tbl user'!$A$2:$D10975,""SELECT A WHERE D = '""&amp;K2290&amp;""'"")),""USER TIDAK DIKETAHUI""))"),"#REF!")</f>
        <v>#REF!</v>
      </c>
    </row>
    <row r="2291">
      <c r="A2291" s="21">
        <f t="shared" si="1"/>
        <v>0</v>
      </c>
      <c r="B2291" s="32" t="s">
        <v>277</v>
      </c>
      <c r="C2291" s="23" t="s">
        <v>278</v>
      </c>
      <c r="D2291" s="23" t="s">
        <v>32</v>
      </c>
      <c r="E2291" s="37">
        <v>45430.0</v>
      </c>
      <c r="F2291" s="25">
        <v>0.26944444444444443</v>
      </c>
      <c r="G2291" s="25">
        <v>0.6902777777777778</v>
      </c>
      <c r="H2291" s="27">
        <f t="shared" si="2"/>
        <v>0.4208333333</v>
      </c>
      <c r="I2291" s="28">
        <v>4.0</v>
      </c>
      <c r="J2291" s="29" t="s">
        <v>55</v>
      </c>
      <c r="K2291" s="30" t="s">
        <v>23</v>
      </c>
      <c r="L2291" s="31" t="str">
        <f>IFERROR(__xludf.DUMMYFUNCTION("IF(OR(E2291="""",K2291=""""),"""",IFERROR(IF(K2291="""","""",query('tbl user'!$A$2:$D10975,""SELECT A WHERE D = '""&amp;K2291&amp;""'"")),""USER TIDAK DIKETAHUI""))"),"#REF!")</f>
        <v>#REF!</v>
      </c>
    </row>
    <row r="2292">
      <c r="A2292" s="21">
        <f t="shared" si="1"/>
        <v>0</v>
      </c>
      <c r="B2292" s="32" t="s">
        <v>312</v>
      </c>
      <c r="C2292" s="23" t="s">
        <v>313</v>
      </c>
      <c r="D2292" s="23" t="s">
        <v>32</v>
      </c>
      <c r="E2292" s="37">
        <v>45430.0</v>
      </c>
      <c r="F2292" s="25">
        <v>0.2152777777777778</v>
      </c>
      <c r="G2292" s="33">
        <v>0.6319444444444444</v>
      </c>
      <c r="H2292" s="27">
        <f t="shared" si="2"/>
        <v>0.4166666667</v>
      </c>
      <c r="I2292" s="28">
        <v>4.0</v>
      </c>
      <c r="J2292" s="29" t="s">
        <v>55</v>
      </c>
      <c r="K2292" s="30" t="s">
        <v>23</v>
      </c>
      <c r="L2292" s="31" t="str">
        <f>IFERROR(__xludf.DUMMYFUNCTION("IF(OR(E2292="""",K2292=""""),"""",IFERROR(IF(K2292="""","""",query('tbl user'!$A$2:$D10975,""SELECT A WHERE D = '""&amp;K2292&amp;""'"")),""USER TIDAK DIKETAHUI""))"),"#REF!")</f>
        <v>#REF!</v>
      </c>
    </row>
    <row r="2293">
      <c r="A2293" s="21">
        <f t="shared" si="1"/>
        <v>0</v>
      </c>
      <c r="B2293" s="32" t="s">
        <v>279</v>
      </c>
      <c r="C2293" s="23" t="s">
        <v>280</v>
      </c>
      <c r="D2293" s="23" t="s">
        <v>32</v>
      </c>
      <c r="E2293" s="37">
        <v>45430.0</v>
      </c>
      <c r="F2293" s="25">
        <v>0.29305555555555557</v>
      </c>
      <c r="G2293" s="25">
        <v>0.6597222222222222</v>
      </c>
      <c r="H2293" s="27">
        <f t="shared" si="2"/>
        <v>0.3666666667</v>
      </c>
      <c r="I2293" s="28">
        <v>4.0</v>
      </c>
      <c r="J2293" s="29" t="s">
        <v>55</v>
      </c>
      <c r="K2293" s="30" t="s">
        <v>23</v>
      </c>
      <c r="L2293" s="31" t="str">
        <f>IFERROR(__xludf.DUMMYFUNCTION("IF(OR(E2293="""",K2293=""""),"""",IFERROR(IF(K2293="""","""",query('tbl user'!$A$2:$D10975,""SELECT A WHERE D = '""&amp;K2293&amp;""'"")),""USER TIDAK DIKETAHUI""))"),"#REF!")</f>
        <v>#REF!</v>
      </c>
    </row>
    <row r="2294">
      <c r="A2294" s="21">
        <f t="shared" si="1"/>
        <v>0</v>
      </c>
      <c r="B2294" s="32" t="s">
        <v>141</v>
      </c>
      <c r="C2294" s="23" t="s">
        <v>142</v>
      </c>
      <c r="D2294" s="23" t="s">
        <v>32</v>
      </c>
      <c r="E2294" s="37">
        <v>45430.0</v>
      </c>
      <c r="F2294" s="25">
        <v>0.2777777777777778</v>
      </c>
      <c r="G2294" s="25">
        <v>0.6875</v>
      </c>
      <c r="H2294" s="27">
        <f t="shared" si="2"/>
        <v>0.4097222222</v>
      </c>
      <c r="I2294" s="28">
        <v>4.0</v>
      </c>
      <c r="J2294" s="29" t="s">
        <v>55</v>
      </c>
      <c r="K2294" s="30" t="s">
        <v>23</v>
      </c>
      <c r="L2294" s="31" t="str">
        <f>IFERROR(__xludf.DUMMYFUNCTION("IF(OR(E2294="""",K2294=""""),"""",IFERROR(IF(K2294="""","""",query('tbl user'!$A$2:$D10975,""SELECT A WHERE D = '""&amp;K2294&amp;""'"")),""USER TIDAK DIKETAHUI""))"),"#REF!")</f>
        <v>#REF!</v>
      </c>
    </row>
    <row r="2295">
      <c r="A2295" s="21">
        <f t="shared" si="1"/>
        <v>0</v>
      </c>
      <c r="B2295" s="32" t="s">
        <v>144</v>
      </c>
      <c r="C2295" s="23" t="s">
        <v>145</v>
      </c>
      <c r="D2295" s="23" t="s">
        <v>32</v>
      </c>
      <c r="E2295" s="37">
        <v>45430.0</v>
      </c>
      <c r="F2295" s="25">
        <v>0.26319444444444445</v>
      </c>
      <c r="G2295" s="25">
        <v>0.6951388888888889</v>
      </c>
      <c r="H2295" s="27">
        <f t="shared" si="2"/>
        <v>0.4319444444</v>
      </c>
      <c r="I2295" s="28">
        <v>4.0</v>
      </c>
      <c r="J2295" s="29" t="s">
        <v>55</v>
      </c>
      <c r="K2295" s="30" t="s">
        <v>23</v>
      </c>
      <c r="L2295" s="31" t="str">
        <f>IFERROR(__xludf.DUMMYFUNCTION("IF(OR(E2295="""",K2295=""""),"""",IFERROR(IF(K2295="""","""",query('tbl user'!$A$2:$D10975,""SELECT A WHERE D = '""&amp;K2295&amp;""'"")),""USER TIDAK DIKETAHUI""))"),"#REF!")</f>
        <v>#REF!</v>
      </c>
    </row>
    <row r="2296">
      <c r="A2296" s="21">
        <f t="shared" si="1"/>
        <v>0</v>
      </c>
      <c r="B2296" s="32" t="s">
        <v>146</v>
      </c>
      <c r="C2296" s="23" t="s">
        <v>147</v>
      </c>
      <c r="D2296" s="23" t="s">
        <v>32</v>
      </c>
      <c r="E2296" s="37">
        <v>45430.0</v>
      </c>
      <c r="F2296" s="25">
        <v>0.2777777777777778</v>
      </c>
      <c r="G2296" s="25">
        <v>0.6506944444444445</v>
      </c>
      <c r="H2296" s="27">
        <f t="shared" si="2"/>
        <v>0.3729166667</v>
      </c>
      <c r="I2296" s="28">
        <v>4.0</v>
      </c>
      <c r="J2296" s="29" t="s">
        <v>55</v>
      </c>
      <c r="K2296" s="30" t="s">
        <v>23</v>
      </c>
      <c r="L2296" s="31" t="str">
        <f>IFERROR(__xludf.DUMMYFUNCTION("IF(OR(E2296="""",K2296=""""),"""",IFERROR(IF(K2296="""","""",query('tbl user'!$A$2:$D10975,""SELECT A WHERE D = '""&amp;K2296&amp;""'"")),""USER TIDAK DIKETAHUI""))"),"#REF!")</f>
        <v>#REF!</v>
      </c>
    </row>
    <row r="2297">
      <c r="A2297" s="21">
        <f t="shared" si="1"/>
        <v>0</v>
      </c>
      <c r="B2297" s="32" t="s">
        <v>149</v>
      </c>
      <c r="C2297" s="23" t="s">
        <v>150</v>
      </c>
      <c r="D2297" s="23" t="s">
        <v>32</v>
      </c>
      <c r="E2297" s="37">
        <v>45430.0</v>
      </c>
      <c r="F2297" s="25">
        <v>0.23333333333333334</v>
      </c>
      <c r="G2297" s="25">
        <v>0.7263888888888889</v>
      </c>
      <c r="H2297" s="27">
        <f t="shared" si="2"/>
        <v>0.4930555556</v>
      </c>
      <c r="I2297" s="28">
        <v>4.0</v>
      </c>
      <c r="J2297" s="29" t="s">
        <v>55</v>
      </c>
      <c r="K2297" s="30" t="s">
        <v>23</v>
      </c>
      <c r="L2297" s="31" t="str">
        <f>IFERROR(__xludf.DUMMYFUNCTION("IF(OR(E2297="""",K2297=""""),"""",IFERROR(IF(K2297="""","""",query('tbl user'!$A$2:$D10975,""SELECT A WHERE D = '""&amp;K2297&amp;""'"")),""USER TIDAK DIKETAHUI""))"),"#REF!")</f>
        <v>#REF!</v>
      </c>
    </row>
    <row r="2298">
      <c r="A2298" s="21">
        <f t="shared" si="1"/>
        <v>0</v>
      </c>
      <c r="B2298" s="32" t="s">
        <v>30</v>
      </c>
      <c r="C2298" s="23" t="s">
        <v>31</v>
      </c>
      <c r="D2298" s="23" t="s">
        <v>32</v>
      </c>
      <c r="E2298" s="37">
        <v>45430.0</v>
      </c>
      <c r="F2298" s="25">
        <v>0.26875</v>
      </c>
      <c r="G2298" s="25">
        <v>0.6854166666666667</v>
      </c>
      <c r="H2298" s="27">
        <f t="shared" si="2"/>
        <v>0.4166666667</v>
      </c>
      <c r="I2298" s="28">
        <v>5.0</v>
      </c>
      <c r="J2298" s="29" t="s">
        <v>55</v>
      </c>
      <c r="K2298" s="30" t="s">
        <v>23</v>
      </c>
      <c r="L2298" s="31" t="str">
        <f>IFERROR(__xludf.DUMMYFUNCTION("IF(OR(E2298="""",K2298=""""),"""",IFERROR(IF(K2298="""","""",query('tbl user'!$A$2:$D10975,""SELECT A WHERE D = '""&amp;K2298&amp;""'"")),""USER TIDAK DIKETAHUI""))"),"#REF!")</f>
        <v>#REF!</v>
      </c>
    </row>
    <row r="2299">
      <c r="A2299" s="21">
        <f t="shared" si="1"/>
        <v>0</v>
      </c>
      <c r="B2299" s="32" t="s">
        <v>40</v>
      </c>
      <c r="C2299" s="23" t="s">
        <v>41</v>
      </c>
      <c r="D2299" s="23" t="s">
        <v>32</v>
      </c>
      <c r="E2299" s="37">
        <v>45430.0</v>
      </c>
      <c r="F2299" s="25">
        <v>0.2513888888888889</v>
      </c>
      <c r="G2299" s="25">
        <v>0.6923611111111111</v>
      </c>
      <c r="H2299" s="27">
        <f t="shared" si="2"/>
        <v>0.4409722222</v>
      </c>
      <c r="I2299" s="28">
        <v>5.0</v>
      </c>
      <c r="J2299" s="29" t="s">
        <v>55</v>
      </c>
      <c r="K2299" s="30" t="s">
        <v>23</v>
      </c>
      <c r="L2299" s="31" t="str">
        <f>IFERROR(__xludf.DUMMYFUNCTION("IF(OR(E2299="""",K2299=""""),"""",IFERROR(IF(K2299="""","""",query('tbl user'!$A$2:$D10975,""SELECT A WHERE D = '""&amp;K2299&amp;""'"")),""USER TIDAK DIKETAHUI""))"),"#REF!")</f>
        <v>#REF!</v>
      </c>
    </row>
    <row r="2300">
      <c r="A2300" s="21">
        <f t="shared" si="1"/>
        <v>0</v>
      </c>
      <c r="B2300" s="32" t="s">
        <v>137</v>
      </c>
      <c r="C2300" s="23" t="s">
        <v>138</v>
      </c>
      <c r="D2300" s="23" t="s">
        <v>32</v>
      </c>
      <c r="E2300" s="37">
        <v>45430.0</v>
      </c>
      <c r="F2300" s="25">
        <v>0.2861111111111111</v>
      </c>
      <c r="G2300" s="25">
        <v>0.7236111111111111</v>
      </c>
      <c r="H2300" s="27">
        <f t="shared" si="2"/>
        <v>0.4375</v>
      </c>
      <c r="I2300" s="28">
        <v>5.0</v>
      </c>
      <c r="J2300" s="29" t="s">
        <v>55</v>
      </c>
      <c r="K2300" s="30" t="s">
        <v>23</v>
      </c>
      <c r="L2300" s="31" t="str">
        <f>IFERROR(__xludf.DUMMYFUNCTION("IF(OR(E2300="""",K2300=""""),"""",IFERROR(IF(K2300="""","""",query('tbl user'!$A$2:$D10975,""SELECT A WHERE D = '""&amp;K2300&amp;""'"")),""USER TIDAK DIKETAHUI""))"),"#REF!")</f>
        <v>#REF!</v>
      </c>
    </row>
    <row r="2301">
      <c r="A2301" s="21">
        <f t="shared" si="1"/>
        <v>0</v>
      </c>
      <c r="B2301" s="32" t="s">
        <v>78</v>
      </c>
      <c r="C2301" s="23" t="s">
        <v>79</v>
      </c>
      <c r="D2301" s="23" t="s">
        <v>32</v>
      </c>
      <c r="E2301" s="37">
        <v>45430.0</v>
      </c>
      <c r="F2301" s="25">
        <v>0.22013888888888888</v>
      </c>
      <c r="G2301" s="25">
        <v>0.7486111111111111</v>
      </c>
      <c r="H2301" s="27">
        <f t="shared" si="2"/>
        <v>0.5284722222</v>
      </c>
      <c r="I2301" s="28">
        <v>5.0</v>
      </c>
      <c r="J2301" s="29" t="s">
        <v>55</v>
      </c>
      <c r="K2301" s="30" t="s">
        <v>23</v>
      </c>
      <c r="L2301" s="31" t="str">
        <f>IFERROR(__xludf.DUMMYFUNCTION("IF(OR(E2301="""",K2301=""""),"""",IFERROR(IF(K2301="""","""",query('tbl user'!$A$2:$D10975,""SELECT A WHERE D = '""&amp;K2301&amp;""'"")),""USER TIDAK DIKETAHUI""))"),"#REF!")</f>
        <v>#REF!</v>
      </c>
    </row>
    <row r="2302">
      <c r="A2302" s="21">
        <f t="shared" si="1"/>
        <v>0</v>
      </c>
      <c r="B2302" s="32" t="s">
        <v>293</v>
      </c>
      <c r="C2302" s="23" t="s">
        <v>211</v>
      </c>
      <c r="D2302" s="23" t="s">
        <v>58</v>
      </c>
      <c r="E2302" s="37">
        <v>45431.0</v>
      </c>
      <c r="F2302" s="25">
        <v>0.4173611111111111</v>
      </c>
      <c r="G2302" s="25">
        <v>0.5152777777777777</v>
      </c>
      <c r="H2302" s="27">
        <f t="shared" si="2"/>
        <v>0.09791666667</v>
      </c>
      <c r="I2302" s="28">
        <v>1.0</v>
      </c>
      <c r="J2302" s="29" t="s">
        <v>1114</v>
      </c>
      <c r="K2302" s="30" t="s">
        <v>23</v>
      </c>
      <c r="L2302" s="31" t="str">
        <f>IFERROR(__xludf.DUMMYFUNCTION("IF(OR(E2302="""",K2302=""""),"""",IFERROR(IF(K2302="""","""",query('tbl user'!$A$2:$D10975,""SELECT A WHERE D = '""&amp;K2302&amp;""'"")),""USER TIDAK DIKETAHUI""))"),"#REF!")</f>
        <v>#REF!</v>
      </c>
    </row>
    <row r="2303">
      <c r="A2303" s="21">
        <f t="shared" si="1"/>
        <v>0</v>
      </c>
      <c r="B2303" s="32" t="s">
        <v>214</v>
      </c>
      <c r="C2303" s="23" t="s">
        <v>170</v>
      </c>
      <c r="D2303" s="23" t="s">
        <v>58</v>
      </c>
      <c r="E2303" s="37">
        <v>45431.0</v>
      </c>
      <c r="F2303" s="25">
        <v>0.27569444444444446</v>
      </c>
      <c r="G2303" s="25">
        <v>0.6402777777777777</v>
      </c>
      <c r="H2303" s="27">
        <f t="shared" si="2"/>
        <v>0.3645833333</v>
      </c>
      <c r="I2303" s="28">
        <v>2.0</v>
      </c>
      <c r="J2303" s="29" t="s">
        <v>529</v>
      </c>
      <c r="K2303" s="30" t="s">
        <v>23</v>
      </c>
      <c r="L2303" s="31" t="str">
        <f>IFERROR(__xludf.DUMMYFUNCTION("IF(OR(E2303="""",K2303=""""),"""",IFERROR(IF(K2303="""","""",query('tbl user'!$A$2:$D10975,""SELECT A WHERE D = '""&amp;K2303&amp;""'"")),""USER TIDAK DIKETAHUI""))"),"#REF!")</f>
        <v>#REF!</v>
      </c>
    </row>
    <row r="2304">
      <c r="A2304" s="21">
        <f t="shared" si="1"/>
        <v>0</v>
      </c>
      <c r="B2304" s="32" t="s">
        <v>92</v>
      </c>
      <c r="C2304" s="23" t="s">
        <v>93</v>
      </c>
      <c r="D2304" s="23" t="s">
        <v>58</v>
      </c>
      <c r="E2304" s="37">
        <v>45431.0</v>
      </c>
      <c r="F2304" s="25">
        <v>0.25972222222222224</v>
      </c>
      <c r="G2304" s="25">
        <v>0.5569444444444445</v>
      </c>
      <c r="H2304" s="27">
        <f t="shared" si="2"/>
        <v>0.2972222222</v>
      </c>
      <c r="I2304" s="28">
        <v>2.0</v>
      </c>
      <c r="J2304" s="29" t="s">
        <v>1115</v>
      </c>
      <c r="K2304" s="30" t="s">
        <v>23</v>
      </c>
      <c r="L2304" s="31" t="str">
        <f>IFERROR(__xludf.DUMMYFUNCTION("IF(OR(E2304="""",K2304=""""),"""",IFERROR(IF(K2304="""","""",query('tbl user'!$A$2:$D10975,""SELECT A WHERE D = '""&amp;K2304&amp;""'"")),""USER TIDAK DIKETAHUI""))"),"#REF!")</f>
        <v>#REF!</v>
      </c>
    </row>
    <row r="2305">
      <c r="A2305" s="21">
        <f t="shared" si="1"/>
        <v>0</v>
      </c>
      <c r="B2305" s="32" t="s">
        <v>215</v>
      </c>
      <c r="C2305" s="23" t="s">
        <v>176</v>
      </c>
      <c r="D2305" s="23" t="s">
        <v>58</v>
      </c>
      <c r="E2305" s="37">
        <v>45431.0</v>
      </c>
      <c r="F2305" s="25">
        <v>0.2659722222222222</v>
      </c>
      <c r="G2305" s="25">
        <v>0.6222222222222222</v>
      </c>
      <c r="H2305" s="27">
        <f t="shared" si="2"/>
        <v>0.35625</v>
      </c>
      <c r="I2305" s="28">
        <v>3.0</v>
      </c>
      <c r="J2305" s="29" t="s">
        <v>791</v>
      </c>
      <c r="K2305" s="30" t="s">
        <v>23</v>
      </c>
      <c r="L2305" s="31" t="str">
        <f>IFERROR(__xludf.DUMMYFUNCTION("IF(OR(E2305="""",K2305=""""),"""",IFERROR(IF(K2305="""","""",query('tbl user'!$A$2:$D10975,""SELECT A WHERE D = '""&amp;K2305&amp;""'"")),""USER TIDAK DIKETAHUI""))"),"#REF!")</f>
        <v>#REF!</v>
      </c>
    </row>
    <row r="2306">
      <c r="A2306" s="21">
        <f t="shared" si="1"/>
        <v>0</v>
      </c>
      <c r="B2306" s="32" t="s">
        <v>81</v>
      </c>
      <c r="C2306" s="23" t="s">
        <v>82</v>
      </c>
      <c r="D2306" s="23" t="s">
        <v>58</v>
      </c>
      <c r="E2306" s="37">
        <v>45431.0</v>
      </c>
      <c r="F2306" s="25">
        <v>0.3125</v>
      </c>
      <c r="G2306" s="25">
        <v>0.7006944444444444</v>
      </c>
      <c r="H2306" s="27">
        <f t="shared" si="2"/>
        <v>0.3881944444</v>
      </c>
      <c r="I2306" s="28">
        <v>3.0</v>
      </c>
      <c r="J2306" s="29" t="s">
        <v>402</v>
      </c>
      <c r="K2306" s="30" t="s">
        <v>23</v>
      </c>
      <c r="L2306" s="31" t="str">
        <f>IFERROR(__xludf.DUMMYFUNCTION("IF(OR(E2306="""",K2306=""""),"""",IFERROR(IF(K2306="""","""",query('tbl user'!$A$2:$D10975,""SELECT A WHERE D = '""&amp;K2306&amp;""'"")),""USER TIDAK DIKETAHUI""))"),"#REF!")</f>
        <v>#REF!</v>
      </c>
    </row>
    <row r="2307">
      <c r="A2307" s="21">
        <f t="shared" si="1"/>
        <v>0</v>
      </c>
      <c r="B2307" s="32" t="s">
        <v>209</v>
      </c>
      <c r="C2307" s="23" t="s">
        <v>348</v>
      </c>
      <c r="D2307" s="23" t="s">
        <v>58</v>
      </c>
      <c r="E2307" s="37">
        <v>45431.0</v>
      </c>
      <c r="F2307" s="25">
        <v>0.2861111111111111</v>
      </c>
      <c r="G2307" s="25">
        <v>0.6673611111111111</v>
      </c>
      <c r="H2307" s="27">
        <f t="shared" si="2"/>
        <v>0.38125</v>
      </c>
      <c r="I2307" s="28">
        <v>3.0</v>
      </c>
      <c r="J2307" s="29" t="s">
        <v>1116</v>
      </c>
      <c r="K2307" s="30" t="s">
        <v>23</v>
      </c>
      <c r="L2307" s="31" t="str">
        <f>IFERROR(__xludf.DUMMYFUNCTION("IF(OR(E2307="""",K2307=""""),"""",IFERROR(IF(K2307="""","""",query('tbl user'!$A$2:$D10975,""SELECT A WHERE D = '""&amp;K2307&amp;""'"")),""USER TIDAK DIKETAHUI""))"),"#REF!")</f>
        <v>#REF!</v>
      </c>
    </row>
    <row r="2308">
      <c r="A2308" s="21">
        <f t="shared" si="1"/>
        <v>0</v>
      </c>
      <c r="B2308" s="32" t="s">
        <v>184</v>
      </c>
      <c r="C2308" s="23" t="s">
        <v>185</v>
      </c>
      <c r="D2308" s="23" t="s">
        <v>58</v>
      </c>
      <c r="E2308" s="37">
        <v>45431.0</v>
      </c>
      <c r="F2308" s="25">
        <v>0.26875</v>
      </c>
      <c r="G2308" s="25">
        <v>0.6673611111111111</v>
      </c>
      <c r="H2308" s="27">
        <f t="shared" si="2"/>
        <v>0.3986111111</v>
      </c>
      <c r="I2308" s="28">
        <v>3.0</v>
      </c>
      <c r="J2308" s="29" t="s">
        <v>1117</v>
      </c>
      <c r="K2308" s="30" t="s">
        <v>23</v>
      </c>
      <c r="L2308" s="31" t="str">
        <f>IFERROR(__xludf.DUMMYFUNCTION("IF(OR(E2308="""",K2308=""""),"""",IFERROR(IF(K2308="""","""",query('tbl user'!$A$2:$D10975,""SELECT A WHERE D = '""&amp;K2308&amp;""'"")),""USER TIDAK DIKETAHUI""))"),"#REF!")</f>
        <v>#REF!</v>
      </c>
    </row>
    <row r="2309">
      <c r="A2309" s="21">
        <f t="shared" si="1"/>
        <v>0</v>
      </c>
      <c r="B2309" s="32" t="s">
        <v>67</v>
      </c>
      <c r="C2309" s="23" t="s">
        <v>68</v>
      </c>
      <c r="D2309" s="23" t="s">
        <v>58</v>
      </c>
      <c r="E2309" s="37">
        <v>45431.0</v>
      </c>
      <c r="F2309" s="25">
        <v>0.26875</v>
      </c>
      <c r="G2309" s="25">
        <v>0.7111111111111111</v>
      </c>
      <c r="H2309" s="27">
        <f t="shared" si="2"/>
        <v>0.4423611111</v>
      </c>
      <c r="I2309" s="28">
        <v>4.0</v>
      </c>
      <c r="J2309" s="29" t="s">
        <v>55</v>
      </c>
      <c r="K2309" s="30" t="s">
        <v>23</v>
      </c>
      <c r="L2309" s="31" t="str">
        <f>IFERROR(__xludf.DUMMYFUNCTION("IF(OR(E2309="""",K2309=""""),"""",IFERROR(IF(K2309="""","""",query('tbl user'!$A$2:$D10975,""SELECT A WHERE D = '""&amp;K2309&amp;""'"")),""USER TIDAK DIKETAHUI""))"),"#REF!")</f>
        <v>#REF!</v>
      </c>
    </row>
    <row r="2310">
      <c r="A2310" s="21">
        <f t="shared" si="1"/>
        <v>0</v>
      </c>
      <c r="B2310" s="32" t="s">
        <v>167</v>
      </c>
      <c r="C2310" s="23" t="s">
        <v>168</v>
      </c>
      <c r="D2310" s="23" t="s">
        <v>58</v>
      </c>
      <c r="E2310" s="37">
        <v>45431.0</v>
      </c>
      <c r="F2310" s="25">
        <v>0.2833333333333333</v>
      </c>
      <c r="G2310" s="25">
        <v>0.7229166666666667</v>
      </c>
      <c r="H2310" s="27">
        <f t="shared" si="2"/>
        <v>0.4395833333</v>
      </c>
      <c r="I2310" s="28">
        <v>4.0</v>
      </c>
      <c r="J2310" s="29" t="s">
        <v>55</v>
      </c>
      <c r="K2310" s="30" t="s">
        <v>23</v>
      </c>
      <c r="L2310" s="31" t="str">
        <f>IFERROR(__xludf.DUMMYFUNCTION("IF(OR(E2310="""",K2310=""""),"""",IFERROR(IF(K2310="""","""",query('tbl user'!$A$2:$D10975,""SELECT A WHERE D = '""&amp;K2310&amp;""'"")),""USER TIDAK DIKETAHUI""))"),"#REF!")</f>
        <v>#REF!</v>
      </c>
    </row>
    <row r="2311">
      <c r="A2311" s="21">
        <f t="shared" si="1"/>
        <v>0</v>
      </c>
      <c r="B2311" s="32" t="s">
        <v>56</v>
      </c>
      <c r="C2311" s="23" t="s">
        <v>57</v>
      </c>
      <c r="D2311" s="23" t="s">
        <v>58</v>
      </c>
      <c r="E2311" s="37">
        <v>45431.0</v>
      </c>
      <c r="F2311" s="25">
        <v>0.2625</v>
      </c>
      <c r="G2311" s="25">
        <v>0.7013888888888888</v>
      </c>
      <c r="H2311" s="27">
        <f t="shared" si="2"/>
        <v>0.4388888889</v>
      </c>
      <c r="I2311" s="28">
        <v>4.0</v>
      </c>
      <c r="J2311" s="29" t="s">
        <v>55</v>
      </c>
      <c r="K2311" s="30" t="s">
        <v>23</v>
      </c>
      <c r="L2311" s="31" t="str">
        <f>IFERROR(__xludf.DUMMYFUNCTION("IF(OR(E2311="""",K2311=""""),"""",IFERROR(IF(K2311="""","""",query('tbl user'!$A$2:$D10975,""SELECT A WHERE D = '""&amp;K2311&amp;""'"")),""USER TIDAK DIKETAHUI""))"),"#REF!")</f>
        <v>#REF!</v>
      </c>
    </row>
    <row r="2312">
      <c r="A2312" s="21">
        <f t="shared" si="1"/>
        <v>0</v>
      </c>
      <c r="B2312" s="32" t="s">
        <v>180</v>
      </c>
      <c r="C2312" s="23" t="s">
        <v>181</v>
      </c>
      <c r="D2312" s="23" t="s">
        <v>58</v>
      </c>
      <c r="E2312" s="37">
        <v>45431.0</v>
      </c>
      <c r="F2312" s="25">
        <v>0.23125</v>
      </c>
      <c r="G2312" s="25">
        <v>0.6520833333333333</v>
      </c>
      <c r="H2312" s="27">
        <f t="shared" si="2"/>
        <v>0.4208333333</v>
      </c>
      <c r="I2312" s="28">
        <v>4.0</v>
      </c>
      <c r="J2312" s="29" t="s">
        <v>55</v>
      </c>
      <c r="K2312" s="30" t="s">
        <v>23</v>
      </c>
      <c r="L2312" s="31" t="str">
        <f>IFERROR(__xludf.DUMMYFUNCTION("IF(OR(E2312="""",K2312=""""),"""",IFERROR(IF(K2312="""","""",query('tbl user'!$A$2:$D10975,""SELECT A WHERE D = '""&amp;K2312&amp;""'"")),""USER TIDAK DIKETAHUI""))"),"#REF!")</f>
        <v>#REF!</v>
      </c>
    </row>
    <row r="2313">
      <c r="A2313" s="21">
        <f t="shared" si="1"/>
        <v>0</v>
      </c>
      <c r="B2313" s="32" t="s">
        <v>182</v>
      </c>
      <c r="C2313" s="23" t="s">
        <v>183</v>
      </c>
      <c r="D2313" s="23" t="s">
        <v>58</v>
      </c>
      <c r="E2313" s="37">
        <v>45431.0</v>
      </c>
      <c r="F2313" s="25">
        <v>0.2375</v>
      </c>
      <c r="G2313" s="25">
        <v>0.6611111111111111</v>
      </c>
      <c r="H2313" s="27">
        <f t="shared" si="2"/>
        <v>0.4236111111</v>
      </c>
      <c r="I2313" s="28">
        <v>4.0</v>
      </c>
      <c r="J2313" s="29" t="s">
        <v>55</v>
      </c>
      <c r="K2313" s="30" t="s">
        <v>23</v>
      </c>
      <c r="L2313" s="31" t="str">
        <f>IFERROR(__xludf.DUMMYFUNCTION("IF(OR(E2313="""",K2313=""""),"""",IFERROR(IF(K2313="""","""",query('tbl user'!$A$2:$D10975,""SELECT A WHERE D = '""&amp;K2313&amp;""'"")),""USER TIDAK DIKETAHUI""))"),"#REF!")</f>
        <v>#REF!</v>
      </c>
    </row>
    <row r="2314">
      <c r="A2314" s="21">
        <f t="shared" si="1"/>
        <v>0</v>
      </c>
      <c r="B2314" s="32" t="s">
        <v>187</v>
      </c>
      <c r="C2314" s="23" t="s">
        <v>188</v>
      </c>
      <c r="D2314" s="23" t="s">
        <v>58</v>
      </c>
      <c r="E2314" s="37">
        <v>45431.0</v>
      </c>
      <c r="F2314" s="25">
        <v>0.23333333333333334</v>
      </c>
      <c r="G2314" s="25">
        <v>0.7284722222222222</v>
      </c>
      <c r="H2314" s="27">
        <f t="shared" si="2"/>
        <v>0.4951388889</v>
      </c>
      <c r="I2314" s="28">
        <v>4.0</v>
      </c>
      <c r="J2314" s="29" t="s">
        <v>55</v>
      </c>
      <c r="K2314" s="30" t="s">
        <v>23</v>
      </c>
      <c r="L2314" s="31" t="str">
        <f>IFERROR(__xludf.DUMMYFUNCTION("IF(OR(E2314="""",K2314=""""),"""",IFERROR(IF(K2314="""","""",query('tbl user'!$A$2:$D10975,""SELECT A WHERE D = '""&amp;K2314&amp;""'"")),""USER TIDAK DIKETAHUI""))"),"#REF!")</f>
        <v>#REF!</v>
      </c>
    </row>
    <row r="2315">
      <c r="A2315" s="21">
        <f t="shared" si="1"/>
        <v>0</v>
      </c>
      <c r="B2315" s="32" t="s">
        <v>189</v>
      </c>
      <c r="C2315" s="23" t="s">
        <v>190</v>
      </c>
      <c r="D2315" s="23" t="s">
        <v>58</v>
      </c>
      <c r="E2315" s="37">
        <v>45431.0</v>
      </c>
      <c r="F2315" s="25">
        <v>0.26666666666666666</v>
      </c>
      <c r="G2315" s="25">
        <v>0.7</v>
      </c>
      <c r="H2315" s="27">
        <f t="shared" si="2"/>
        <v>0.4333333333</v>
      </c>
      <c r="I2315" s="28">
        <v>4.0</v>
      </c>
      <c r="J2315" s="29" t="s">
        <v>55</v>
      </c>
      <c r="K2315" s="30" t="s">
        <v>23</v>
      </c>
      <c r="L2315" s="31" t="str">
        <f>IFERROR(__xludf.DUMMYFUNCTION("IF(OR(E2315="""",K2315=""""),"""",IFERROR(IF(K2315="""","""",query('tbl user'!$A$2:$D10975,""SELECT A WHERE D = '""&amp;K2315&amp;""'"")),""USER TIDAK DIKETAHUI""))"),"#REF!")</f>
        <v>#REF!</v>
      </c>
    </row>
    <row r="2316">
      <c r="A2316" s="21">
        <f t="shared" si="1"/>
        <v>0</v>
      </c>
      <c r="B2316" s="32" t="s">
        <v>191</v>
      </c>
      <c r="C2316" s="23" t="s">
        <v>192</v>
      </c>
      <c r="D2316" s="23" t="s">
        <v>58</v>
      </c>
      <c r="E2316" s="37">
        <v>45431.0</v>
      </c>
      <c r="F2316" s="25">
        <v>0.26319444444444445</v>
      </c>
      <c r="G2316" s="26">
        <v>0.7083333333333334</v>
      </c>
      <c r="H2316" s="27">
        <f t="shared" si="2"/>
        <v>0.4451388889</v>
      </c>
      <c r="I2316" s="28">
        <v>4.0</v>
      </c>
      <c r="J2316" s="29" t="s">
        <v>55</v>
      </c>
      <c r="K2316" s="30" t="s">
        <v>23</v>
      </c>
      <c r="L2316" s="31" t="str">
        <f>IFERROR(__xludf.DUMMYFUNCTION("IF(OR(E2316="""",K2316=""""),"""",IFERROR(IF(K2316="""","""",query('tbl user'!$A$2:$D10975,""SELECT A WHERE D = '""&amp;K2316&amp;""'"")),""USER TIDAK DIKETAHUI""))"),"#REF!")</f>
        <v>#REF!</v>
      </c>
    </row>
    <row r="2317">
      <c r="A2317" s="21">
        <f t="shared" si="1"/>
        <v>0</v>
      </c>
      <c r="B2317" s="32" t="s">
        <v>194</v>
      </c>
      <c r="C2317" s="23" t="s">
        <v>195</v>
      </c>
      <c r="D2317" s="23" t="s">
        <v>58</v>
      </c>
      <c r="E2317" s="37">
        <v>45431.0</v>
      </c>
      <c r="F2317" s="25">
        <v>0.21736111111111112</v>
      </c>
      <c r="G2317" s="25">
        <v>0.6506944444444445</v>
      </c>
      <c r="H2317" s="27">
        <f t="shared" si="2"/>
        <v>0.4333333333</v>
      </c>
      <c r="I2317" s="28">
        <v>4.0</v>
      </c>
      <c r="J2317" s="29" t="s">
        <v>55</v>
      </c>
      <c r="K2317" s="30" t="s">
        <v>23</v>
      </c>
      <c r="L2317" s="31" t="str">
        <f>IFERROR(__xludf.DUMMYFUNCTION("IF(OR(E2317="""",K2317=""""),"""",IFERROR(IF(K2317="""","""",query('tbl user'!$A$2:$D10975,""SELECT A WHERE D = '""&amp;K2317&amp;""'"")),""USER TIDAK DIKETAHUI""))"),"#REF!")</f>
        <v>#REF!</v>
      </c>
    </row>
    <row r="2318">
      <c r="A2318" s="21">
        <f t="shared" si="1"/>
        <v>0</v>
      </c>
      <c r="B2318" s="32" t="s">
        <v>197</v>
      </c>
      <c r="C2318" s="23" t="s">
        <v>198</v>
      </c>
      <c r="D2318" s="23" t="s">
        <v>58</v>
      </c>
      <c r="E2318" s="37">
        <v>45431.0</v>
      </c>
      <c r="F2318" s="25">
        <v>0.2388888888888889</v>
      </c>
      <c r="G2318" s="25">
        <v>0.6770833333333334</v>
      </c>
      <c r="H2318" s="27">
        <f t="shared" si="2"/>
        <v>0.4381944444</v>
      </c>
      <c r="I2318" s="28">
        <v>4.0</v>
      </c>
      <c r="J2318" s="29" t="s">
        <v>55</v>
      </c>
      <c r="K2318" s="30" t="s">
        <v>23</v>
      </c>
      <c r="L2318" s="31" t="str">
        <f>IFERROR(__xludf.DUMMYFUNCTION("IF(OR(E2318="""",K2318=""""),"""",IFERROR(IF(K2318="""","""",query('tbl user'!$A$2:$D10975,""SELECT A WHERE D = '""&amp;K2318&amp;""'"")),""USER TIDAK DIKETAHUI""))"),"#REF!")</f>
        <v>#REF!</v>
      </c>
    </row>
    <row r="2319">
      <c r="A2319" s="21">
        <f t="shared" si="1"/>
        <v>0</v>
      </c>
      <c r="B2319" s="32" t="s">
        <v>200</v>
      </c>
      <c r="C2319" s="23" t="s">
        <v>201</v>
      </c>
      <c r="D2319" s="23" t="s">
        <v>58</v>
      </c>
      <c r="E2319" s="37">
        <v>45431.0</v>
      </c>
      <c r="F2319" s="25">
        <v>0.19166666666666668</v>
      </c>
      <c r="G2319" s="25">
        <v>0.7034722222222223</v>
      </c>
      <c r="H2319" s="27">
        <f t="shared" si="2"/>
        <v>0.5118055556</v>
      </c>
      <c r="I2319" s="28">
        <v>4.0</v>
      </c>
      <c r="J2319" s="29" t="s">
        <v>55</v>
      </c>
      <c r="K2319" s="30" t="s">
        <v>23</v>
      </c>
      <c r="L2319" s="31" t="str">
        <f>IFERROR(__xludf.DUMMYFUNCTION("IF(OR(E2319="""",K2319=""""),"""",IFERROR(IF(K2319="""","""",query('tbl user'!$A$2:$D10975,""SELECT A WHERE D = '""&amp;K2319&amp;""'"")),""USER TIDAK DIKETAHUI""))"),"#REF!")</f>
        <v>#REF!</v>
      </c>
    </row>
    <row r="2320">
      <c r="A2320" s="21">
        <f t="shared" si="1"/>
        <v>0</v>
      </c>
      <c r="B2320" s="32" t="s">
        <v>104</v>
      </c>
      <c r="C2320" s="23" t="s">
        <v>105</v>
      </c>
      <c r="D2320" s="23" t="s">
        <v>58</v>
      </c>
      <c r="E2320" s="37">
        <v>45431.0</v>
      </c>
      <c r="F2320" s="25">
        <v>0.23958333333333334</v>
      </c>
      <c r="G2320" s="25">
        <v>0.7222222222222222</v>
      </c>
      <c r="H2320" s="27">
        <f t="shared" si="2"/>
        <v>0.4826388889</v>
      </c>
      <c r="I2320" s="28">
        <v>4.0</v>
      </c>
      <c r="J2320" s="29" t="s">
        <v>55</v>
      </c>
      <c r="K2320" s="30" t="s">
        <v>23</v>
      </c>
      <c r="L2320" s="31" t="str">
        <f>IFERROR(__xludf.DUMMYFUNCTION("IF(OR(E2320="""",K2320=""""),"""",IFERROR(IF(K2320="""","""",query('tbl user'!$A$2:$D10975,""SELECT A WHERE D = '""&amp;K2320&amp;""'"")),""USER TIDAK DIKETAHUI""))"),"#REF!")</f>
        <v>#REF!</v>
      </c>
    </row>
    <row r="2321">
      <c r="A2321" s="21">
        <f t="shared" si="1"/>
        <v>0</v>
      </c>
      <c r="B2321" s="32" t="s">
        <v>202</v>
      </c>
      <c r="C2321" s="23" t="s">
        <v>203</v>
      </c>
      <c r="D2321" s="23" t="s">
        <v>58</v>
      </c>
      <c r="E2321" s="37">
        <v>45431.0</v>
      </c>
      <c r="F2321" s="25">
        <v>0.25069444444444444</v>
      </c>
      <c r="G2321" s="25">
        <v>0.6854166666666667</v>
      </c>
      <c r="H2321" s="27">
        <f t="shared" si="2"/>
        <v>0.4347222222</v>
      </c>
      <c r="I2321" s="28">
        <v>4.0</v>
      </c>
      <c r="J2321" s="29" t="s">
        <v>55</v>
      </c>
      <c r="K2321" s="30" t="s">
        <v>23</v>
      </c>
      <c r="L2321" s="31" t="str">
        <f>IFERROR(__xludf.DUMMYFUNCTION("IF(OR(E2321="""",K2321=""""),"""",IFERROR(IF(K2321="""","""",query('tbl user'!$A$2:$D10975,""SELECT A WHERE D = '""&amp;K2321&amp;""'"")),""USER TIDAK DIKETAHUI""))"),"#REF!")</f>
        <v>#REF!</v>
      </c>
    </row>
    <row r="2322">
      <c r="A2322" s="21">
        <f t="shared" si="1"/>
        <v>0</v>
      </c>
      <c r="B2322" s="32" t="s">
        <v>205</v>
      </c>
      <c r="C2322" s="23" t="s">
        <v>206</v>
      </c>
      <c r="D2322" s="23" t="s">
        <v>58</v>
      </c>
      <c r="E2322" s="37">
        <v>45431.0</v>
      </c>
      <c r="F2322" s="25">
        <v>0.22361111111111112</v>
      </c>
      <c r="G2322" s="25">
        <v>0.6763888888888889</v>
      </c>
      <c r="H2322" s="27">
        <f t="shared" si="2"/>
        <v>0.4527777778</v>
      </c>
      <c r="I2322" s="28">
        <v>4.0</v>
      </c>
      <c r="J2322" s="29" t="s">
        <v>55</v>
      </c>
      <c r="K2322" s="30" t="s">
        <v>23</v>
      </c>
      <c r="L2322" s="31" t="str">
        <f>IFERROR(__xludf.DUMMYFUNCTION("IF(OR(E2322="""",K2322=""""),"""",IFERROR(IF(K2322="""","""",query('tbl user'!$A$2:$D10975,""SELECT A WHERE D = '""&amp;K2322&amp;""'"")),""USER TIDAK DIKETAHUI""))"),"#REF!")</f>
        <v>#REF!</v>
      </c>
    </row>
    <row r="2323">
      <c r="A2323" s="21">
        <f t="shared" si="1"/>
        <v>0</v>
      </c>
      <c r="B2323" s="32" t="s">
        <v>224</v>
      </c>
      <c r="C2323" s="23" t="s">
        <v>208</v>
      </c>
      <c r="D2323" s="23" t="s">
        <v>58</v>
      </c>
      <c r="E2323" s="37">
        <v>45431.0</v>
      </c>
      <c r="F2323" s="25">
        <v>0.2548611111111111</v>
      </c>
      <c r="G2323" s="25">
        <v>0.6944444444444444</v>
      </c>
      <c r="H2323" s="27">
        <f t="shared" si="2"/>
        <v>0.4395833333</v>
      </c>
      <c r="I2323" s="28">
        <v>4.0</v>
      </c>
      <c r="J2323" s="29" t="s">
        <v>55</v>
      </c>
      <c r="K2323" s="30" t="s">
        <v>23</v>
      </c>
      <c r="L2323" s="31" t="str">
        <f>IFERROR(__xludf.DUMMYFUNCTION("IF(OR(E2323="""",K2323=""""),"""",IFERROR(IF(K2323="""","""",query('tbl user'!$A$2:$D10975,""SELECT A WHERE D = '""&amp;K2323&amp;""'"")),""USER TIDAK DIKETAHUI""))"),"#REF!")</f>
        <v>#REF!</v>
      </c>
    </row>
    <row r="2324">
      <c r="A2324" s="21">
        <f t="shared" si="1"/>
        <v>0</v>
      </c>
      <c r="B2324" s="32" t="s">
        <v>267</v>
      </c>
      <c r="C2324" s="23" t="s">
        <v>85</v>
      </c>
      <c r="D2324" s="23" t="s">
        <v>58</v>
      </c>
      <c r="E2324" s="37">
        <v>45431.0</v>
      </c>
      <c r="F2324" s="25">
        <v>0.175</v>
      </c>
      <c r="G2324" s="25">
        <v>0.7479166666666667</v>
      </c>
      <c r="H2324" s="27">
        <f t="shared" si="2"/>
        <v>0.5729166667</v>
      </c>
      <c r="I2324" s="28">
        <v>4.0</v>
      </c>
      <c r="J2324" s="29" t="s">
        <v>55</v>
      </c>
      <c r="K2324" s="30" t="s">
        <v>23</v>
      </c>
      <c r="L2324" s="31" t="str">
        <f>IFERROR(__xludf.DUMMYFUNCTION("IF(OR(E2324="""",K2324=""""),"""",IFERROR(IF(K2324="""","""",query('tbl user'!$A$2:$D10975,""SELECT A WHERE D = '""&amp;K2324&amp;""'"")),""USER TIDAK DIKETAHUI""))"),"#REF!")</f>
        <v>#REF!</v>
      </c>
    </row>
    <row r="2325">
      <c r="A2325" s="21">
        <f t="shared" si="1"/>
        <v>0</v>
      </c>
      <c r="B2325" s="32" t="s">
        <v>281</v>
      </c>
      <c r="C2325" s="23" t="s">
        <v>282</v>
      </c>
      <c r="D2325" s="23" t="s">
        <v>21</v>
      </c>
      <c r="E2325" s="37">
        <v>45431.0</v>
      </c>
      <c r="F2325" s="25">
        <v>0.29097222222222224</v>
      </c>
      <c r="G2325" s="25">
        <v>0.5465277777777777</v>
      </c>
      <c r="H2325" s="27">
        <f t="shared" si="2"/>
        <v>0.2555555556</v>
      </c>
      <c r="I2325" s="28">
        <v>2.0</v>
      </c>
      <c r="J2325" s="29" t="s">
        <v>1118</v>
      </c>
      <c r="K2325" s="30" t="s">
        <v>23</v>
      </c>
      <c r="L2325" s="31" t="str">
        <f>IFERROR(__xludf.DUMMYFUNCTION("IF(OR(E2325="""",K2325=""""),"""",IFERROR(IF(K2325="""","""",query('tbl user'!$A$2:$D10975,""SELECT A WHERE D = '""&amp;K2325&amp;""'"")),""USER TIDAK DIKETAHUI""))"),"#REF!")</f>
        <v>#REF!</v>
      </c>
    </row>
    <row r="2326">
      <c r="A2326" s="21">
        <f t="shared" si="1"/>
        <v>0</v>
      </c>
      <c r="B2326" s="32" t="s">
        <v>289</v>
      </c>
      <c r="C2326" s="23" t="s">
        <v>290</v>
      </c>
      <c r="D2326" s="23" t="s">
        <v>21</v>
      </c>
      <c r="E2326" s="37">
        <v>45431.0</v>
      </c>
      <c r="F2326" s="25">
        <v>0.28958333333333336</v>
      </c>
      <c r="G2326" s="25">
        <v>0.4652777777777778</v>
      </c>
      <c r="H2326" s="27">
        <f t="shared" si="2"/>
        <v>0.1756944444</v>
      </c>
      <c r="I2326" s="28">
        <v>2.0</v>
      </c>
      <c r="J2326" s="29" t="s">
        <v>1119</v>
      </c>
      <c r="K2326" s="30" t="s">
        <v>23</v>
      </c>
      <c r="L2326" s="31" t="str">
        <f>IFERROR(__xludf.DUMMYFUNCTION("IF(OR(E2326="""",K2326=""""),"""",IFERROR(IF(K2326="""","""",query('tbl user'!$A$2:$D10975,""SELECT A WHERE D = '""&amp;K2326&amp;""'"")),""USER TIDAK DIKETAHUI""))"),"#REF!")</f>
        <v>#REF!</v>
      </c>
    </row>
    <row r="2327">
      <c r="A2327" s="21">
        <f t="shared" si="1"/>
        <v>0</v>
      </c>
      <c r="B2327" s="32" t="s">
        <v>64</v>
      </c>
      <c r="C2327" s="23" t="s">
        <v>65</v>
      </c>
      <c r="D2327" s="23" t="s">
        <v>21</v>
      </c>
      <c r="E2327" s="37">
        <v>45431.0</v>
      </c>
      <c r="F2327" s="25">
        <v>0.28958333333333336</v>
      </c>
      <c r="G2327" s="25">
        <v>0.6291666666666667</v>
      </c>
      <c r="H2327" s="27">
        <f t="shared" si="2"/>
        <v>0.3395833333</v>
      </c>
      <c r="I2327" s="28">
        <v>3.0</v>
      </c>
      <c r="J2327" s="29" t="s">
        <v>1120</v>
      </c>
      <c r="K2327" s="30" t="s">
        <v>23</v>
      </c>
      <c r="L2327" s="31" t="str">
        <f>IFERROR(__xludf.DUMMYFUNCTION("IF(OR(E2327="""",K2327=""""),"""",IFERROR(IF(K2327="""","""",query('tbl user'!$A$2:$D10975,""SELECT A WHERE D = '""&amp;K2327&amp;""'"")),""USER TIDAK DIKETAHUI""))"),"#REF!")</f>
        <v>#REF!</v>
      </c>
    </row>
    <row r="2328">
      <c r="A2328" s="21">
        <f t="shared" si="1"/>
        <v>0</v>
      </c>
      <c r="B2328" s="32" t="s">
        <v>51</v>
      </c>
      <c r="C2328" s="23" t="s">
        <v>27</v>
      </c>
      <c r="D2328" s="23" t="s">
        <v>21</v>
      </c>
      <c r="E2328" s="37">
        <v>45431.0</v>
      </c>
      <c r="F2328" s="25">
        <v>0.28888888888888886</v>
      </c>
      <c r="G2328" s="25">
        <v>0.6277777777777778</v>
      </c>
      <c r="H2328" s="27">
        <f t="shared" si="2"/>
        <v>0.3388888889</v>
      </c>
      <c r="I2328" s="28">
        <v>3.0</v>
      </c>
      <c r="J2328" s="29" t="s">
        <v>352</v>
      </c>
      <c r="K2328" s="30" t="s">
        <v>23</v>
      </c>
      <c r="L2328" s="31" t="str">
        <f>IFERROR(__xludf.DUMMYFUNCTION("IF(OR(E2328="""",K2328=""""),"""",IFERROR(IF(K2328="""","""",query('tbl user'!$A$2:$D10975,""SELECT A WHERE D = '""&amp;K2328&amp;""'"")),""USER TIDAK DIKETAHUI""))"),"#REF!")</f>
        <v>#REF!</v>
      </c>
    </row>
    <row r="2329">
      <c r="A2329" s="21">
        <f t="shared" si="1"/>
        <v>0</v>
      </c>
      <c r="B2329" s="32" t="s">
        <v>286</v>
      </c>
      <c r="C2329" s="23" t="s">
        <v>287</v>
      </c>
      <c r="D2329" s="23" t="s">
        <v>21</v>
      </c>
      <c r="E2329" s="37">
        <v>45431.0</v>
      </c>
      <c r="F2329" s="25">
        <v>0.28958333333333336</v>
      </c>
      <c r="G2329" s="25">
        <v>0.7090277777777778</v>
      </c>
      <c r="H2329" s="27">
        <f t="shared" si="2"/>
        <v>0.4194444444</v>
      </c>
      <c r="I2329" s="28">
        <v>4.0</v>
      </c>
      <c r="J2329" s="29" t="s">
        <v>55</v>
      </c>
      <c r="K2329" s="30" t="s">
        <v>23</v>
      </c>
      <c r="L2329" s="31" t="str">
        <f>IFERROR(__xludf.DUMMYFUNCTION("IF(OR(E2329="""",K2329=""""),"""",IFERROR(IF(K2329="""","""",query('tbl user'!$A$2:$D10975,""SELECT A WHERE D = '""&amp;K2329&amp;""'"")),""USER TIDAK DIKETAHUI""))"),"#REF!")</f>
        <v>#REF!</v>
      </c>
    </row>
    <row r="2330">
      <c r="A2330" s="21">
        <f t="shared" si="1"/>
        <v>0</v>
      </c>
      <c r="B2330" s="32" t="s">
        <v>331</v>
      </c>
      <c r="C2330" s="23" t="s">
        <v>332</v>
      </c>
      <c r="D2330" s="23" t="s">
        <v>21</v>
      </c>
      <c r="E2330" s="37">
        <v>45431.0</v>
      </c>
      <c r="F2330" s="25">
        <v>0.22083333333333333</v>
      </c>
      <c r="G2330" s="25">
        <v>0.5555555555555556</v>
      </c>
      <c r="H2330" s="27">
        <f t="shared" si="2"/>
        <v>0.3347222222</v>
      </c>
      <c r="I2330" s="28">
        <v>2.0</v>
      </c>
      <c r="J2330" s="29" t="s">
        <v>1121</v>
      </c>
      <c r="K2330" s="30" t="s">
        <v>23</v>
      </c>
      <c r="L2330" s="31" t="str">
        <f>IFERROR(__xludf.DUMMYFUNCTION("IF(OR(E2330="""",K2330=""""),"""",IFERROR(IF(K2330="""","""",query('tbl user'!$A$2:$D10975,""SELECT A WHERE D = '""&amp;K2330&amp;""'"")),""USER TIDAK DIKETAHUI""))"),"#REF!")</f>
        <v>#REF!</v>
      </c>
    </row>
    <row r="2331">
      <c r="A2331" s="21">
        <f t="shared" si="1"/>
        <v>0</v>
      </c>
      <c r="B2331" s="32" t="s">
        <v>243</v>
      </c>
      <c r="C2331" s="23" t="s">
        <v>244</v>
      </c>
      <c r="D2331" s="23" t="s">
        <v>21</v>
      </c>
      <c r="E2331" s="37">
        <v>45431.0</v>
      </c>
      <c r="F2331" s="25">
        <v>0.28958333333333336</v>
      </c>
      <c r="G2331" s="25">
        <v>0.6770833333333334</v>
      </c>
      <c r="H2331" s="27">
        <f t="shared" si="2"/>
        <v>0.3875</v>
      </c>
      <c r="I2331" s="28">
        <v>3.0</v>
      </c>
      <c r="J2331" s="29" t="s">
        <v>1122</v>
      </c>
      <c r="K2331" s="30" t="s">
        <v>23</v>
      </c>
      <c r="L2331" s="31" t="str">
        <f>IFERROR(__xludf.DUMMYFUNCTION("IF(OR(E2331="""",K2331=""""),"""",IFERROR(IF(K2331="""","""",query('tbl user'!$A$2:$D10975,""SELECT A WHERE D = '""&amp;K2331&amp;""'"")),""USER TIDAK DIKETAHUI""))"),"#REF!")</f>
        <v>#REF!</v>
      </c>
    </row>
    <row r="2332">
      <c r="A2332" s="21">
        <f t="shared" si="1"/>
        <v>0</v>
      </c>
      <c r="B2332" s="32" t="s">
        <v>333</v>
      </c>
      <c r="C2332" s="23" t="s">
        <v>334</v>
      </c>
      <c r="D2332" s="23" t="s">
        <v>21</v>
      </c>
      <c r="E2332" s="37">
        <v>45431.0</v>
      </c>
      <c r="F2332" s="25">
        <v>0.2513888888888889</v>
      </c>
      <c r="G2332" s="25">
        <v>0.5958333333333333</v>
      </c>
      <c r="H2332" s="27">
        <f t="shared" si="2"/>
        <v>0.3444444444</v>
      </c>
      <c r="I2332" s="28">
        <v>3.0</v>
      </c>
      <c r="J2332" s="29" t="s">
        <v>1123</v>
      </c>
      <c r="K2332" s="30" t="s">
        <v>23</v>
      </c>
      <c r="L2332" s="31" t="str">
        <f>IFERROR(__xludf.DUMMYFUNCTION("IF(OR(E2332="""",K2332=""""),"""",IFERROR(IF(K2332="""","""",query('tbl user'!$A$2:$D10975,""SELECT A WHERE D = '""&amp;K2332&amp;""'"")),""USER TIDAK DIKETAHUI""))"),"#REF!")</f>
        <v>#REF!</v>
      </c>
    </row>
    <row r="2333">
      <c r="A2333" s="21">
        <f t="shared" si="1"/>
        <v>0</v>
      </c>
      <c r="B2333" s="32" t="s">
        <v>258</v>
      </c>
      <c r="C2333" s="23" t="s">
        <v>259</v>
      </c>
      <c r="D2333" s="23" t="s">
        <v>21</v>
      </c>
      <c r="E2333" s="37">
        <v>45431.0</v>
      </c>
      <c r="F2333" s="25">
        <v>0.24930555555555556</v>
      </c>
      <c r="G2333" s="25">
        <v>0.5430555555555555</v>
      </c>
      <c r="H2333" s="27">
        <f t="shared" si="2"/>
        <v>0.29375</v>
      </c>
      <c r="I2333" s="28">
        <v>3.0</v>
      </c>
      <c r="J2333" s="29" t="s">
        <v>402</v>
      </c>
      <c r="K2333" s="30" t="s">
        <v>23</v>
      </c>
      <c r="L2333" s="31" t="str">
        <f>IFERROR(__xludf.DUMMYFUNCTION("IF(OR(E2333="""",K2333=""""),"""",IFERROR(IF(K2333="""","""",query('tbl user'!$A$2:$D10975,""SELECT A WHERE D = '""&amp;K2333&amp;""'"")),""USER TIDAK DIKETAHUI""))"),"#REF!")</f>
        <v>#REF!</v>
      </c>
    </row>
    <row r="2334">
      <c r="A2334" s="21">
        <f t="shared" si="1"/>
        <v>0</v>
      </c>
      <c r="B2334" s="32" t="s">
        <v>337</v>
      </c>
      <c r="C2334" s="23" t="s">
        <v>338</v>
      </c>
      <c r="D2334" s="23" t="s">
        <v>21</v>
      </c>
      <c r="E2334" s="37">
        <v>45431.0</v>
      </c>
      <c r="F2334" s="25">
        <v>0.23680555555555555</v>
      </c>
      <c r="G2334" s="25">
        <v>0.5347222222222222</v>
      </c>
      <c r="H2334" s="27">
        <f t="shared" si="2"/>
        <v>0.2979166667</v>
      </c>
      <c r="I2334" s="28">
        <v>3.0</v>
      </c>
      <c r="J2334" s="29" t="s">
        <v>1124</v>
      </c>
      <c r="K2334" s="30" t="s">
        <v>23</v>
      </c>
      <c r="L2334" s="31" t="str">
        <f>IFERROR(__xludf.DUMMYFUNCTION("IF(OR(E2334="""",K2334=""""),"""",IFERROR(IF(K2334="""","""",query('tbl user'!$A$2:$D10975,""SELECT A WHERE D = '""&amp;K2334&amp;""'"")),""USER TIDAK DIKETAHUI""))"),"#REF!")</f>
        <v>#REF!</v>
      </c>
    </row>
    <row r="2335">
      <c r="A2335" s="21">
        <f t="shared" si="1"/>
        <v>0</v>
      </c>
      <c r="B2335" s="32" t="s">
        <v>34</v>
      </c>
      <c r="C2335" s="23" t="s">
        <v>35</v>
      </c>
      <c r="D2335" s="23" t="s">
        <v>21</v>
      </c>
      <c r="E2335" s="37">
        <v>45431.0</v>
      </c>
      <c r="F2335" s="25">
        <v>0.28958333333333336</v>
      </c>
      <c r="G2335" s="25">
        <v>0.6416666666666667</v>
      </c>
      <c r="H2335" s="27">
        <f t="shared" si="2"/>
        <v>0.3520833333</v>
      </c>
      <c r="I2335" s="28">
        <v>4.0</v>
      </c>
      <c r="J2335" s="29" t="s">
        <v>1125</v>
      </c>
      <c r="K2335" s="30" t="s">
        <v>23</v>
      </c>
      <c r="L2335" s="31" t="str">
        <f>IFERROR(__xludf.DUMMYFUNCTION("IF(OR(E2335="""",K2335=""""),"""",IFERROR(IF(K2335="""","""",query('tbl user'!$A$2:$D10975,""SELECT A WHERE D = '""&amp;K2335&amp;""'"")),""USER TIDAK DIKETAHUI""))"),"#REF!")</f>
        <v>#REF!</v>
      </c>
    </row>
    <row r="2336">
      <c r="A2336" s="21">
        <f t="shared" si="1"/>
        <v>0</v>
      </c>
      <c r="B2336" s="32" t="s">
        <v>24</v>
      </c>
      <c r="C2336" s="23" t="s">
        <v>25</v>
      </c>
      <c r="D2336" s="23" t="s">
        <v>21</v>
      </c>
      <c r="E2336" s="37">
        <v>45431.0</v>
      </c>
      <c r="F2336" s="25">
        <v>0.26875</v>
      </c>
      <c r="G2336" s="25">
        <v>0.6458333333333334</v>
      </c>
      <c r="H2336" s="27">
        <f t="shared" si="2"/>
        <v>0.3770833333</v>
      </c>
      <c r="I2336" s="28">
        <v>4.0</v>
      </c>
      <c r="J2336" s="29" t="s">
        <v>1125</v>
      </c>
      <c r="K2336" s="30" t="s">
        <v>23</v>
      </c>
      <c r="L2336" s="31" t="str">
        <f>IFERROR(__xludf.DUMMYFUNCTION("IF(OR(E2336="""",K2336=""""),"""",IFERROR(IF(K2336="""","""",query('tbl user'!$A$2:$D10975,""SELECT A WHERE D = '""&amp;K2336&amp;""'"")),""USER TIDAK DIKETAHUI""))"),"#REF!")</f>
        <v>#REF!</v>
      </c>
    </row>
    <row r="2337">
      <c r="A2337" s="21">
        <f t="shared" si="1"/>
        <v>0</v>
      </c>
      <c r="B2337" s="32" t="s">
        <v>662</v>
      </c>
      <c r="C2337" s="23" t="s">
        <v>234</v>
      </c>
      <c r="D2337" s="23" t="s">
        <v>21</v>
      </c>
      <c r="E2337" s="37">
        <v>45431.0</v>
      </c>
      <c r="F2337" s="25">
        <v>0.3840277777777778</v>
      </c>
      <c r="G2337" s="25">
        <v>0.7270833333333333</v>
      </c>
      <c r="H2337" s="27">
        <f t="shared" si="2"/>
        <v>0.3430555556</v>
      </c>
      <c r="I2337" s="28">
        <v>4.0</v>
      </c>
      <c r="J2337" s="29" t="s">
        <v>1125</v>
      </c>
      <c r="K2337" s="30" t="s">
        <v>23</v>
      </c>
      <c r="L2337" s="31" t="str">
        <f>IFERROR(__xludf.DUMMYFUNCTION("IF(OR(E2337="""",K2337=""""),"""",IFERROR(IF(K2337="""","""",query('tbl user'!$A$2:$D10975,""SELECT A WHERE D = '""&amp;K2337&amp;""'"")),""USER TIDAK DIKETAHUI""))"),"#REF!")</f>
        <v>#REF!</v>
      </c>
    </row>
    <row r="2338">
      <c r="A2338" s="21">
        <f t="shared" si="1"/>
        <v>0</v>
      </c>
      <c r="B2338" s="32" t="s">
        <v>131</v>
      </c>
      <c r="C2338" s="23" t="s">
        <v>339</v>
      </c>
      <c r="D2338" s="23" t="s">
        <v>21</v>
      </c>
      <c r="E2338" s="37">
        <v>45431.0</v>
      </c>
      <c r="F2338" s="25">
        <v>0.275</v>
      </c>
      <c r="G2338" s="25">
        <v>0.6854166666666667</v>
      </c>
      <c r="H2338" s="27">
        <f t="shared" si="2"/>
        <v>0.4104166667</v>
      </c>
      <c r="I2338" s="28">
        <v>4.0</v>
      </c>
      <c r="J2338" s="29" t="s">
        <v>1125</v>
      </c>
      <c r="K2338" s="30" t="s">
        <v>23</v>
      </c>
      <c r="L2338" s="31" t="str">
        <f>IFERROR(__xludf.DUMMYFUNCTION("IF(OR(E2338="""",K2338=""""),"""",IFERROR(IF(K2338="""","""",query('tbl user'!$A$2:$D10975,""SELECT A WHERE D = '""&amp;K2338&amp;""'"")),""USER TIDAK DIKETAHUI""))"),"#REF!")</f>
        <v>#REF!</v>
      </c>
    </row>
    <row r="2339">
      <c r="A2339" s="21">
        <f t="shared" si="1"/>
        <v>0</v>
      </c>
      <c r="B2339" s="32" t="s">
        <v>260</v>
      </c>
      <c r="C2339" s="23" t="s">
        <v>261</v>
      </c>
      <c r="D2339" s="23" t="s">
        <v>21</v>
      </c>
      <c r="E2339" s="37">
        <v>45431.0</v>
      </c>
      <c r="F2339" s="25">
        <v>0.25972222222222224</v>
      </c>
      <c r="G2339" s="25">
        <v>0.6854166666666667</v>
      </c>
      <c r="H2339" s="27">
        <f t="shared" si="2"/>
        <v>0.4256944444</v>
      </c>
      <c r="I2339" s="28">
        <v>4.0</v>
      </c>
      <c r="J2339" s="29" t="s">
        <v>1126</v>
      </c>
      <c r="K2339" s="30" t="s">
        <v>23</v>
      </c>
      <c r="L2339" s="31" t="str">
        <f>IFERROR(__xludf.DUMMYFUNCTION("IF(OR(E2339="""",K2339=""""),"""",IFERROR(IF(K2339="""","""",query('tbl user'!$A$2:$D10975,""SELECT A WHERE D = '""&amp;K2339&amp;""'"")),""USER TIDAK DIKETAHUI""))"),"#REF!")</f>
        <v>#REF!</v>
      </c>
    </row>
    <row r="2340">
      <c r="A2340" s="21">
        <f t="shared" si="1"/>
        <v>0</v>
      </c>
      <c r="B2340" s="32" t="s">
        <v>238</v>
      </c>
      <c r="C2340" s="23" t="s">
        <v>239</v>
      </c>
      <c r="D2340" s="23" t="s">
        <v>21</v>
      </c>
      <c r="E2340" s="37">
        <v>45431.0</v>
      </c>
      <c r="F2340" s="25">
        <v>0.30833333333333335</v>
      </c>
      <c r="G2340" s="25">
        <v>0.7548611111111111</v>
      </c>
      <c r="H2340" s="27">
        <f t="shared" si="2"/>
        <v>0.4465277778</v>
      </c>
      <c r="I2340" s="28">
        <v>5.0</v>
      </c>
      <c r="J2340" s="29" t="s">
        <v>55</v>
      </c>
      <c r="K2340" s="30" t="s">
        <v>23</v>
      </c>
      <c r="L2340" s="31" t="str">
        <f>IFERROR(__xludf.DUMMYFUNCTION("IF(OR(E2340="""",K2340=""""),"""",IFERROR(IF(K2340="""","""",query('tbl user'!$A$2:$D10975,""SELECT A WHERE D = '""&amp;K2340&amp;""'"")),""USER TIDAK DIKETAHUI""))"),"#REF!")</f>
        <v>#REF!</v>
      </c>
    </row>
    <row r="2341">
      <c r="A2341" s="21">
        <f t="shared" si="1"/>
        <v>0</v>
      </c>
      <c r="B2341" s="32" t="s">
        <v>246</v>
      </c>
      <c r="C2341" s="23" t="s">
        <v>99</v>
      </c>
      <c r="D2341" s="23" t="s">
        <v>21</v>
      </c>
      <c r="E2341" s="37">
        <v>45431.0</v>
      </c>
      <c r="F2341" s="25">
        <v>0.28194444444444444</v>
      </c>
      <c r="G2341" s="25">
        <v>0.7486111111111111</v>
      </c>
      <c r="H2341" s="27">
        <f t="shared" si="2"/>
        <v>0.4666666667</v>
      </c>
      <c r="I2341" s="28">
        <v>5.0</v>
      </c>
      <c r="J2341" s="29" t="s">
        <v>55</v>
      </c>
      <c r="K2341" s="30" t="s">
        <v>23</v>
      </c>
      <c r="L2341" s="31" t="str">
        <f>IFERROR(__xludf.DUMMYFUNCTION("IF(OR(E2341="""",K2341=""""),"""",IFERROR(IF(K2341="""","""",query('tbl user'!$A$2:$D10975,""SELECT A WHERE D = '""&amp;K2341&amp;""'"")),""USER TIDAK DIKETAHUI""))"),"#REF!")</f>
        <v>#REF!</v>
      </c>
    </row>
    <row r="2342">
      <c r="A2342" s="21">
        <f t="shared" si="1"/>
        <v>0</v>
      </c>
      <c r="B2342" s="32" t="s">
        <v>305</v>
      </c>
      <c r="C2342" s="23" t="s">
        <v>251</v>
      </c>
      <c r="D2342" s="23" t="s">
        <v>21</v>
      </c>
      <c r="E2342" s="37">
        <v>45431.0</v>
      </c>
      <c r="F2342" s="25">
        <v>0.24722222222222223</v>
      </c>
      <c r="G2342" s="25">
        <v>0.7361111111111112</v>
      </c>
      <c r="H2342" s="27">
        <f t="shared" si="2"/>
        <v>0.4888888889</v>
      </c>
      <c r="I2342" s="28">
        <v>5.0</v>
      </c>
      <c r="J2342" s="29" t="s">
        <v>55</v>
      </c>
      <c r="K2342" s="30" t="s">
        <v>23</v>
      </c>
      <c r="L2342" s="31" t="str">
        <f>IFERROR(__xludf.DUMMYFUNCTION("IF(OR(E2342="""",K2342=""""),"""",IFERROR(IF(K2342="""","""",query('tbl user'!$A$2:$D10975,""SELECT A WHERE D = '""&amp;K2342&amp;""'"")),""USER TIDAK DIKETAHUI""))"),"#REF!")</f>
        <v>#REF!</v>
      </c>
    </row>
    <row r="2343">
      <c r="A2343" s="21">
        <f t="shared" si="1"/>
        <v>0</v>
      </c>
      <c r="B2343" s="32" t="s">
        <v>593</v>
      </c>
      <c r="C2343" s="23" t="s">
        <v>236</v>
      </c>
      <c r="D2343" s="23" t="s">
        <v>21</v>
      </c>
      <c r="E2343" s="37">
        <v>45431.0</v>
      </c>
      <c r="F2343" s="25">
        <v>0.23402777777777778</v>
      </c>
      <c r="G2343" s="25">
        <v>0.7430555555555556</v>
      </c>
      <c r="H2343" s="27">
        <f t="shared" si="2"/>
        <v>0.5090277778</v>
      </c>
      <c r="I2343" s="28">
        <v>5.0</v>
      </c>
      <c r="J2343" s="29" t="s">
        <v>55</v>
      </c>
      <c r="K2343" s="30" t="s">
        <v>23</v>
      </c>
      <c r="L2343" s="31" t="str">
        <f>IFERROR(__xludf.DUMMYFUNCTION("IF(OR(E2343="""",K2343=""""),"""",IFERROR(IF(K2343="""","""",query('tbl user'!$A$2:$D10975,""SELECT A WHERE D = '""&amp;K2343&amp;""'"")),""USER TIDAK DIKETAHUI""))"),"#REF!")</f>
        <v>#REF!</v>
      </c>
    </row>
    <row r="2344">
      <c r="A2344" s="21">
        <f t="shared" si="1"/>
        <v>0</v>
      </c>
      <c r="B2344" s="32" t="s">
        <v>577</v>
      </c>
      <c r="C2344" s="23" t="s">
        <v>329</v>
      </c>
      <c r="D2344" s="23" t="s">
        <v>21</v>
      </c>
      <c r="E2344" s="37">
        <v>45431.0</v>
      </c>
      <c r="F2344" s="25">
        <v>0.2548611111111111</v>
      </c>
      <c r="G2344" s="25">
        <v>0.7090277777777778</v>
      </c>
      <c r="H2344" s="27">
        <f t="shared" si="2"/>
        <v>0.4541666667</v>
      </c>
      <c r="I2344" s="28">
        <v>5.0</v>
      </c>
      <c r="J2344" s="29" t="s">
        <v>55</v>
      </c>
      <c r="K2344" s="30" t="s">
        <v>23</v>
      </c>
      <c r="L2344" s="31" t="str">
        <f>IFERROR(__xludf.DUMMYFUNCTION("IF(OR(E2344="""",K2344=""""),"""",IFERROR(IF(K2344="""","""",query('tbl user'!$A$2:$D10975,""SELECT A WHERE D = '""&amp;K2344&amp;""'"")),""USER TIDAK DIKETAHUI""))"),"#REF!")</f>
        <v>#REF!</v>
      </c>
    </row>
    <row r="2345">
      <c r="A2345" s="21">
        <f t="shared" si="1"/>
        <v>0</v>
      </c>
      <c r="B2345" s="32" t="s">
        <v>87</v>
      </c>
      <c r="C2345" s="23" t="s">
        <v>88</v>
      </c>
      <c r="D2345" s="23" t="s">
        <v>21</v>
      </c>
      <c r="E2345" s="37">
        <v>45431.0</v>
      </c>
      <c r="F2345" s="25">
        <v>0.27847222222222223</v>
      </c>
      <c r="G2345" s="25">
        <v>0.7472222222222222</v>
      </c>
      <c r="H2345" s="27">
        <f t="shared" si="2"/>
        <v>0.46875</v>
      </c>
      <c r="I2345" s="28">
        <v>5.0</v>
      </c>
      <c r="J2345" s="29" t="s">
        <v>55</v>
      </c>
      <c r="K2345" s="30" t="s">
        <v>23</v>
      </c>
      <c r="L2345" s="31" t="str">
        <f>IFERROR(__xludf.DUMMYFUNCTION("IF(OR(E2345="""",K2345=""""),"""",IFERROR(IF(K2345="""","""",query('tbl user'!$A$2:$D10975,""SELECT A WHERE D = '""&amp;K2345&amp;""'"")),""USER TIDAK DIKETAHUI""))"),"#REF!")</f>
        <v>#REF!</v>
      </c>
    </row>
    <row r="2346">
      <c r="A2346" s="21">
        <f t="shared" si="1"/>
        <v>0</v>
      </c>
      <c r="B2346" s="32" t="s">
        <v>319</v>
      </c>
      <c r="C2346" s="23" t="s">
        <v>320</v>
      </c>
      <c r="D2346" s="23" t="s">
        <v>21</v>
      </c>
      <c r="E2346" s="37">
        <v>45431.0</v>
      </c>
      <c r="F2346" s="25">
        <v>0.22708333333333333</v>
      </c>
      <c r="G2346" s="25">
        <v>0.6923611111111111</v>
      </c>
      <c r="H2346" s="27">
        <f t="shared" si="2"/>
        <v>0.4652777778</v>
      </c>
      <c r="I2346" s="28">
        <v>5.0</v>
      </c>
      <c r="J2346" s="29" t="s">
        <v>55</v>
      </c>
      <c r="K2346" s="30" t="s">
        <v>23</v>
      </c>
      <c r="L2346" s="31" t="str">
        <f>IFERROR(__xludf.DUMMYFUNCTION("IF(OR(E2346="""",K2346=""""),"""",IFERROR(IF(K2346="""","""",query('tbl user'!$A$2:$D10975,""SELECT A WHERE D = '""&amp;K2346&amp;""'"")),""USER TIDAK DIKETAHUI""))"),"#REF!")</f>
        <v>#REF!</v>
      </c>
    </row>
    <row r="2347">
      <c r="A2347" s="21">
        <f t="shared" si="1"/>
        <v>0</v>
      </c>
      <c r="B2347" s="32" t="s">
        <v>325</v>
      </c>
      <c r="C2347" s="23" t="s">
        <v>326</v>
      </c>
      <c r="D2347" s="23" t="s">
        <v>21</v>
      </c>
      <c r="E2347" s="37">
        <v>45431.0</v>
      </c>
      <c r="F2347" s="25">
        <v>0.2625</v>
      </c>
      <c r="G2347" s="25">
        <v>0.7340277777777777</v>
      </c>
      <c r="H2347" s="27">
        <f t="shared" si="2"/>
        <v>0.4715277778</v>
      </c>
      <c r="I2347" s="28">
        <v>5.0</v>
      </c>
      <c r="J2347" s="29" t="s">
        <v>55</v>
      </c>
      <c r="K2347" s="30" t="s">
        <v>23</v>
      </c>
      <c r="L2347" s="31" t="str">
        <f>IFERROR(__xludf.DUMMYFUNCTION("IF(OR(E2347="""",K2347=""""),"""",IFERROR(IF(K2347="""","""",query('tbl user'!$A$2:$D10975,""SELECT A WHERE D = '""&amp;K2347&amp;""'"")),""USER TIDAK DIKETAHUI""))"),"#REF!")</f>
        <v>#REF!</v>
      </c>
    </row>
    <row r="2348">
      <c r="A2348" s="21">
        <f t="shared" si="1"/>
        <v>0</v>
      </c>
      <c r="B2348" s="32" t="s">
        <v>601</v>
      </c>
      <c r="C2348" s="23" t="s">
        <v>323</v>
      </c>
      <c r="D2348" s="23" t="s">
        <v>21</v>
      </c>
      <c r="E2348" s="37">
        <v>45431.0</v>
      </c>
      <c r="F2348" s="25">
        <v>0.2548611111111111</v>
      </c>
      <c r="G2348" s="25">
        <v>0.6986111111111111</v>
      </c>
      <c r="H2348" s="27">
        <f t="shared" si="2"/>
        <v>0.44375</v>
      </c>
      <c r="I2348" s="28">
        <v>5.0</v>
      </c>
      <c r="J2348" s="29" t="s">
        <v>55</v>
      </c>
      <c r="K2348" s="30" t="s">
        <v>23</v>
      </c>
      <c r="L2348" s="31" t="str">
        <f>IFERROR(__xludf.DUMMYFUNCTION("IF(OR(E2348="""",K2348=""""),"""",IFERROR(IF(K2348="""","""",query('tbl user'!$A$2:$D10975,""SELECT A WHERE D = '""&amp;K2348&amp;""'"")),""USER TIDAK DIKETAHUI""))"),"#REF!")</f>
        <v>#REF!</v>
      </c>
    </row>
    <row r="2349">
      <c r="A2349" s="21">
        <f t="shared" si="1"/>
        <v>0</v>
      </c>
      <c r="B2349" s="32" t="s">
        <v>159</v>
      </c>
      <c r="C2349" s="23" t="s">
        <v>306</v>
      </c>
      <c r="D2349" s="23" t="s">
        <v>21</v>
      </c>
      <c r="E2349" s="37">
        <v>45431.0</v>
      </c>
      <c r="F2349" s="25">
        <v>0.2798611111111111</v>
      </c>
      <c r="G2349" s="25">
        <v>0.74375</v>
      </c>
      <c r="H2349" s="27">
        <f t="shared" si="2"/>
        <v>0.4638888889</v>
      </c>
      <c r="I2349" s="28">
        <v>6.0</v>
      </c>
      <c r="J2349" s="29" t="s">
        <v>55</v>
      </c>
      <c r="K2349" s="30" t="s">
        <v>23</v>
      </c>
      <c r="L2349" s="31" t="str">
        <f>IFERROR(__xludf.DUMMYFUNCTION("IF(OR(E2349="""",K2349=""""),"""",IFERROR(IF(K2349="""","""",query('tbl user'!$A$2:$D10975,""SELECT A WHERE D = '""&amp;K2349&amp;""'"")),""USER TIDAK DIKETAHUI""))"),"#REF!")</f>
        <v>#REF!</v>
      </c>
    </row>
    <row r="2350">
      <c r="A2350" s="21">
        <f t="shared" si="1"/>
        <v>0</v>
      </c>
      <c r="B2350" s="32" t="s">
        <v>255</v>
      </c>
      <c r="C2350" s="23" t="s">
        <v>256</v>
      </c>
      <c r="D2350" s="23" t="s">
        <v>21</v>
      </c>
      <c r="E2350" s="37">
        <v>45431.0</v>
      </c>
      <c r="F2350" s="25">
        <v>0.24861111111111112</v>
      </c>
      <c r="G2350" s="25">
        <v>0.7618055555555555</v>
      </c>
      <c r="H2350" s="27">
        <f t="shared" si="2"/>
        <v>0.5131944444</v>
      </c>
      <c r="I2350" s="28">
        <v>6.0</v>
      </c>
      <c r="J2350" s="29" t="s">
        <v>55</v>
      </c>
      <c r="K2350" s="30" t="s">
        <v>23</v>
      </c>
      <c r="L2350" s="31" t="str">
        <f>IFERROR(__xludf.DUMMYFUNCTION("IF(OR(E2350="""",K2350=""""),"""",IFERROR(IF(K2350="""","""",query('tbl user'!$A$2:$D10975,""SELECT A WHERE D = '""&amp;K2350&amp;""'"")),""USER TIDAK DIKETAHUI""))"),"#REF!")</f>
        <v>#REF!</v>
      </c>
    </row>
    <row r="2351">
      <c r="A2351" s="21">
        <f t="shared" si="1"/>
        <v>0</v>
      </c>
      <c r="B2351" s="32" t="s">
        <v>53</v>
      </c>
      <c r="C2351" s="23" t="s">
        <v>54</v>
      </c>
      <c r="D2351" s="23" t="s">
        <v>21</v>
      </c>
      <c r="E2351" s="37">
        <v>45431.0</v>
      </c>
      <c r="F2351" s="25">
        <v>0.23958333333333334</v>
      </c>
      <c r="G2351" s="25">
        <v>0.7569444444444444</v>
      </c>
      <c r="H2351" s="27">
        <f t="shared" si="2"/>
        <v>0.5173611111</v>
      </c>
      <c r="I2351" s="28">
        <v>6.0</v>
      </c>
      <c r="J2351" s="29" t="s">
        <v>55</v>
      </c>
      <c r="K2351" s="30" t="s">
        <v>23</v>
      </c>
      <c r="L2351" s="31" t="str">
        <f>IFERROR(__xludf.DUMMYFUNCTION("IF(OR(E2351="""",K2351=""""),"""",IFERROR(IF(K2351="""","""",query('tbl user'!$A$2:$D10975,""SELECT A WHERE D = '""&amp;K2351&amp;""'"")),""USER TIDAK DIKETAHUI""))"),"#REF!")</f>
        <v>#REF!</v>
      </c>
    </row>
    <row r="2352">
      <c r="A2352" s="21">
        <f t="shared" si="1"/>
        <v>0</v>
      </c>
      <c r="B2352" s="32" t="s">
        <v>269</v>
      </c>
      <c r="C2352" s="23" t="s">
        <v>270</v>
      </c>
      <c r="D2352" s="23" t="s">
        <v>32</v>
      </c>
      <c r="E2352" s="37">
        <v>45431.0</v>
      </c>
      <c r="F2352" s="25">
        <v>0.2923611111111111</v>
      </c>
      <c r="G2352" s="25">
        <v>0.6506944444444445</v>
      </c>
      <c r="H2352" s="27">
        <f t="shared" si="2"/>
        <v>0.3583333333</v>
      </c>
      <c r="I2352" s="28">
        <v>3.0</v>
      </c>
      <c r="J2352" s="29" t="s">
        <v>1127</v>
      </c>
      <c r="K2352" s="30" t="s">
        <v>23</v>
      </c>
      <c r="L2352" s="31" t="str">
        <f>IFERROR(__xludf.DUMMYFUNCTION("IF(OR(E2352="""",K2352=""""),"""",IFERROR(IF(K2352="""","""",query('tbl user'!$A$2:$D10975,""SELECT A WHERE D = '""&amp;K2352&amp;""'"")),""USER TIDAK DIKETAHUI""))"),"#REF!")</f>
        <v>#REF!</v>
      </c>
    </row>
    <row r="2353">
      <c r="A2353" s="21">
        <f t="shared" si="1"/>
        <v>0</v>
      </c>
      <c r="B2353" s="32" t="s">
        <v>144</v>
      </c>
      <c r="C2353" s="23" t="s">
        <v>145</v>
      </c>
      <c r="D2353" s="23" t="s">
        <v>32</v>
      </c>
      <c r="E2353" s="37">
        <v>45431.0</v>
      </c>
      <c r="F2353" s="25">
        <v>0.3013888888888889</v>
      </c>
      <c r="G2353" s="25">
        <v>0.6354166666666666</v>
      </c>
      <c r="H2353" s="27">
        <f t="shared" si="2"/>
        <v>0.3340277778</v>
      </c>
      <c r="I2353" s="28">
        <v>3.0</v>
      </c>
      <c r="J2353" s="29" t="s">
        <v>1128</v>
      </c>
      <c r="K2353" s="30" t="s">
        <v>23</v>
      </c>
      <c r="L2353" s="31" t="str">
        <f>IFERROR(__xludf.DUMMYFUNCTION("IF(OR(E2353="""",K2353=""""),"""",IFERROR(IF(K2353="""","""",query('tbl user'!$A$2:$D10975,""SELECT A WHERE D = '""&amp;K2353&amp;""'"")),""USER TIDAK DIKETAHUI""))"),"#REF!")</f>
        <v>#REF!</v>
      </c>
    </row>
    <row r="2354">
      <c r="A2354" s="21">
        <f t="shared" si="1"/>
        <v>0</v>
      </c>
      <c r="B2354" s="32" t="s">
        <v>412</v>
      </c>
      <c r="C2354" s="23" t="s">
        <v>413</v>
      </c>
      <c r="D2354" s="23" t="s">
        <v>32</v>
      </c>
      <c r="E2354" s="37">
        <v>45431.0</v>
      </c>
      <c r="F2354" s="25">
        <v>0.28888888888888886</v>
      </c>
      <c r="G2354" s="25">
        <v>0.6611111111111111</v>
      </c>
      <c r="H2354" s="27">
        <f t="shared" si="2"/>
        <v>0.3722222222</v>
      </c>
      <c r="I2354" s="28">
        <v>4.0</v>
      </c>
      <c r="J2354" s="29" t="s">
        <v>55</v>
      </c>
      <c r="K2354" s="30" t="s">
        <v>23</v>
      </c>
      <c r="L2354" s="31" t="str">
        <f>IFERROR(__xludf.DUMMYFUNCTION("IF(OR(E2354="""",K2354=""""),"""",IFERROR(IF(K2354="""","""",query('tbl user'!$A$2:$D10975,""SELECT A WHERE D = '""&amp;K2354&amp;""'"")),""USER TIDAK DIKETAHUI""))"),"#REF!")</f>
        <v>#REF!</v>
      </c>
    </row>
    <row r="2355">
      <c r="A2355" s="21">
        <f t="shared" si="1"/>
        <v>0</v>
      </c>
      <c r="B2355" s="32" t="s">
        <v>46</v>
      </c>
      <c r="C2355" s="23" t="s">
        <v>47</v>
      </c>
      <c r="D2355" s="23" t="s">
        <v>32</v>
      </c>
      <c r="E2355" s="37">
        <v>45431.0</v>
      </c>
      <c r="F2355" s="25">
        <v>0.23819444444444443</v>
      </c>
      <c r="G2355" s="25">
        <v>0.6673611111111111</v>
      </c>
      <c r="H2355" s="27">
        <f t="shared" si="2"/>
        <v>0.4291666667</v>
      </c>
      <c r="I2355" s="28">
        <v>4.0</v>
      </c>
      <c r="J2355" s="29" t="s">
        <v>55</v>
      </c>
      <c r="K2355" s="30" t="s">
        <v>23</v>
      </c>
      <c r="L2355" s="31" t="str">
        <f>IFERROR(__xludf.DUMMYFUNCTION("IF(OR(E2355="""",K2355=""""),"""",IFERROR(IF(K2355="""","""",query('tbl user'!$A$2:$D10975,""SELECT A WHERE D = '""&amp;K2355&amp;""'"")),""USER TIDAK DIKETAHUI""))"),"#REF!")</f>
        <v>#REF!</v>
      </c>
    </row>
    <row r="2356">
      <c r="A2356" s="21">
        <f t="shared" si="1"/>
        <v>0</v>
      </c>
      <c r="B2356" s="32" t="s">
        <v>120</v>
      </c>
      <c r="C2356" s="23" t="s">
        <v>121</v>
      </c>
      <c r="D2356" s="23" t="s">
        <v>32</v>
      </c>
      <c r="E2356" s="37">
        <v>45431.0</v>
      </c>
      <c r="F2356" s="25">
        <v>0.24722222222222223</v>
      </c>
      <c r="G2356" s="25">
        <v>0.6763888888888889</v>
      </c>
      <c r="H2356" s="27">
        <f t="shared" si="2"/>
        <v>0.4291666667</v>
      </c>
      <c r="I2356" s="28">
        <v>4.0</v>
      </c>
      <c r="J2356" s="29" t="s">
        <v>55</v>
      </c>
      <c r="K2356" s="30" t="s">
        <v>23</v>
      </c>
      <c r="L2356" s="31" t="str">
        <f>IFERROR(__xludf.DUMMYFUNCTION("IF(OR(E2356="""",K2356=""""),"""",IFERROR(IF(K2356="""","""",query('tbl user'!$A$2:$D10975,""SELECT A WHERE D = '""&amp;K2356&amp;""'"")),""USER TIDAK DIKETAHUI""))"),"#REF!")</f>
        <v>#REF!</v>
      </c>
    </row>
    <row r="2357">
      <c r="A2357" s="21">
        <f t="shared" si="1"/>
        <v>0</v>
      </c>
      <c r="B2357" s="32" t="s">
        <v>263</v>
      </c>
      <c r="C2357" s="23" t="s">
        <v>264</v>
      </c>
      <c r="D2357" s="23" t="s">
        <v>32</v>
      </c>
      <c r="E2357" s="37">
        <v>45431.0</v>
      </c>
      <c r="F2357" s="25">
        <v>0.24791666666666667</v>
      </c>
      <c r="G2357" s="25">
        <v>0.69375</v>
      </c>
      <c r="H2357" s="27">
        <f t="shared" si="2"/>
        <v>0.4458333333</v>
      </c>
      <c r="I2357" s="28">
        <v>4.0</v>
      </c>
      <c r="J2357" s="29" t="s">
        <v>55</v>
      </c>
      <c r="K2357" s="30" t="s">
        <v>23</v>
      </c>
      <c r="L2357" s="31" t="str">
        <f>IFERROR(__xludf.DUMMYFUNCTION("IF(OR(E2357="""",K2357=""""),"""",IFERROR(IF(K2357="""","""",query('tbl user'!$A$2:$D10975,""SELECT A WHERE D = '""&amp;K2357&amp;""'"")),""USER TIDAK DIKETAHUI""))"),"#REF!")</f>
        <v>#REF!</v>
      </c>
    </row>
    <row r="2358">
      <c r="A2358" s="21">
        <f t="shared" si="1"/>
        <v>0</v>
      </c>
      <c r="B2358" s="32" t="s">
        <v>75</v>
      </c>
      <c r="C2358" s="23" t="s">
        <v>76</v>
      </c>
      <c r="D2358" s="23" t="s">
        <v>32</v>
      </c>
      <c r="E2358" s="37">
        <v>45431.0</v>
      </c>
      <c r="F2358" s="25">
        <v>0.2777777777777778</v>
      </c>
      <c r="G2358" s="25">
        <v>0.7361111111111112</v>
      </c>
      <c r="H2358" s="27">
        <f t="shared" si="2"/>
        <v>0.4583333333</v>
      </c>
      <c r="I2358" s="28">
        <v>4.0</v>
      </c>
      <c r="J2358" s="29" t="s">
        <v>55</v>
      </c>
      <c r="K2358" s="30" t="s">
        <v>23</v>
      </c>
      <c r="L2358" s="31" t="str">
        <f>IFERROR(__xludf.DUMMYFUNCTION("IF(OR(E2358="""",K2358=""""),"""",IFERROR(IF(K2358="""","""",query('tbl user'!$A$2:$D10975,""SELECT A WHERE D = '""&amp;K2358&amp;""'"")),""USER TIDAK DIKETAHUI""))"),"#REF!")</f>
        <v>#REF!</v>
      </c>
    </row>
    <row r="2359">
      <c r="A2359" s="21">
        <f t="shared" si="1"/>
        <v>0</v>
      </c>
      <c r="B2359" s="32" t="s">
        <v>123</v>
      </c>
      <c r="C2359" s="23" t="s">
        <v>124</v>
      </c>
      <c r="D2359" s="23" t="s">
        <v>32</v>
      </c>
      <c r="E2359" s="37">
        <v>45431.0</v>
      </c>
      <c r="F2359" s="25">
        <v>0.25555555555555554</v>
      </c>
      <c r="G2359" s="25">
        <v>0.6972222222222222</v>
      </c>
      <c r="H2359" s="27">
        <f t="shared" si="2"/>
        <v>0.4416666667</v>
      </c>
      <c r="I2359" s="28">
        <v>4.0</v>
      </c>
      <c r="J2359" s="29" t="s">
        <v>55</v>
      </c>
      <c r="K2359" s="30" t="s">
        <v>23</v>
      </c>
      <c r="L2359" s="31" t="str">
        <f>IFERROR(__xludf.DUMMYFUNCTION("IF(OR(E2359="""",K2359=""""),"""",IFERROR(IF(K2359="""","""",query('tbl user'!$A$2:$D10975,""SELECT A WHERE D = '""&amp;K2359&amp;""'"")),""USER TIDAK DIKETAHUI""))"),"#REF!")</f>
        <v>#REF!</v>
      </c>
    </row>
    <row r="2360">
      <c r="A2360" s="21">
        <f t="shared" si="1"/>
        <v>0</v>
      </c>
      <c r="B2360" s="32" t="s">
        <v>127</v>
      </c>
      <c r="C2360" s="23" t="s">
        <v>128</v>
      </c>
      <c r="D2360" s="23" t="s">
        <v>32</v>
      </c>
      <c r="E2360" s="37">
        <v>45431.0</v>
      </c>
      <c r="F2360" s="25">
        <v>0.26180555555555557</v>
      </c>
      <c r="G2360" s="25">
        <v>0.7152777777777778</v>
      </c>
      <c r="H2360" s="27">
        <f t="shared" si="2"/>
        <v>0.4534722222</v>
      </c>
      <c r="I2360" s="28">
        <v>4.0</v>
      </c>
      <c r="J2360" s="29" t="s">
        <v>55</v>
      </c>
      <c r="K2360" s="30" t="s">
        <v>23</v>
      </c>
      <c r="L2360" s="31" t="str">
        <f>IFERROR(__xludf.DUMMYFUNCTION("IF(OR(E2360="""",K2360=""""),"""",IFERROR(IF(K2360="""","""",query('tbl user'!$A$2:$D10975,""SELECT A WHERE D = '""&amp;K2360&amp;""'"")),""USER TIDAK DIKETAHUI""))"),"#REF!")</f>
        <v>#REF!</v>
      </c>
    </row>
    <row r="2361">
      <c r="A2361" s="21">
        <f t="shared" si="1"/>
        <v>0</v>
      </c>
      <c r="B2361" s="32" t="s">
        <v>274</v>
      </c>
      <c r="C2361" s="23" t="s">
        <v>275</v>
      </c>
      <c r="D2361" s="23" t="s">
        <v>32</v>
      </c>
      <c r="E2361" s="37">
        <v>45431.0</v>
      </c>
      <c r="F2361" s="25">
        <v>0.25277777777777777</v>
      </c>
      <c r="G2361" s="25">
        <v>0.6770833333333334</v>
      </c>
      <c r="H2361" s="27">
        <f t="shared" si="2"/>
        <v>0.4243055556</v>
      </c>
      <c r="I2361" s="28">
        <v>4.0</v>
      </c>
      <c r="J2361" s="29" t="s">
        <v>55</v>
      </c>
      <c r="K2361" s="30" t="s">
        <v>23</v>
      </c>
      <c r="L2361" s="31" t="str">
        <f>IFERROR(__xludf.DUMMYFUNCTION("IF(OR(E2361="""",K2361=""""),"""",IFERROR(IF(K2361="""","""",query('tbl user'!$A$2:$D10975,""SELECT A WHERE D = '""&amp;K2361&amp;""'"")),""USER TIDAK DIKETAHUI""))"),"#REF!")</f>
        <v>#REF!</v>
      </c>
    </row>
    <row r="2362">
      <c r="A2362" s="21">
        <f t="shared" si="1"/>
        <v>0</v>
      </c>
      <c r="B2362" s="32" t="s">
        <v>250</v>
      </c>
      <c r="C2362" s="23" t="s">
        <v>315</v>
      </c>
      <c r="D2362" s="23" t="s">
        <v>32</v>
      </c>
      <c r="E2362" s="37">
        <v>45431.0</v>
      </c>
      <c r="F2362" s="25">
        <v>0.21319444444444444</v>
      </c>
      <c r="G2362" s="25">
        <v>0.7194444444444444</v>
      </c>
      <c r="H2362" s="27">
        <f t="shared" si="2"/>
        <v>0.50625</v>
      </c>
      <c r="I2362" s="28">
        <v>5.0</v>
      </c>
      <c r="J2362" s="29" t="s">
        <v>55</v>
      </c>
      <c r="K2362" s="30" t="s">
        <v>23</v>
      </c>
      <c r="L2362" s="31" t="str">
        <f>IFERROR(__xludf.DUMMYFUNCTION("IF(OR(E2362="""",K2362=""""),"""",IFERROR(IF(K2362="""","""",query('tbl user'!$A$2:$D10975,""SELECT A WHERE D = '""&amp;K2362&amp;""'"")),""USER TIDAK DIKETAHUI""))"),"#REF!")</f>
        <v>#REF!</v>
      </c>
    </row>
    <row r="2363">
      <c r="A2363" s="21">
        <f t="shared" si="1"/>
        <v>0</v>
      </c>
      <c r="B2363" s="32" t="s">
        <v>110</v>
      </c>
      <c r="C2363" s="23" t="s">
        <v>111</v>
      </c>
      <c r="D2363" s="23" t="s">
        <v>32</v>
      </c>
      <c r="E2363" s="37">
        <v>45431.0</v>
      </c>
      <c r="F2363" s="25">
        <v>0.28055555555555556</v>
      </c>
      <c r="G2363" s="25">
        <v>0.7243055555555555</v>
      </c>
      <c r="H2363" s="27">
        <f t="shared" si="2"/>
        <v>0.44375</v>
      </c>
      <c r="I2363" s="28">
        <v>5.0</v>
      </c>
      <c r="J2363" s="29" t="s">
        <v>55</v>
      </c>
      <c r="K2363" s="30" t="s">
        <v>23</v>
      </c>
      <c r="L2363" s="31" t="str">
        <f>IFERROR(__xludf.DUMMYFUNCTION("IF(OR(E2363="""",K2363=""""),"""",IFERROR(IF(K2363="""","""",query('tbl user'!$A$2:$D10975,""SELECT A WHERE D = '""&amp;K2363&amp;""'"")),""USER TIDAK DIKETAHUI""))"),"#REF!")</f>
        <v>#REF!</v>
      </c>
    </row>
    <row r="2364">
      <c r="A2364" s="21">
        <f t="shared" si="1"/>
        <v>0</v>
      </c>
      <c r="B2364" s="32" t="s">
        <v>113</v>
      </c>
      <c r="C2364" s="23" t="s">
        <v>114</v>
      </c>
      <c r="D2364" s="23" t="s">
        <v>32</v>
      </c>
      <c r="E2364" s="37">
        <v>45431.0</v>
      </c>
      <c r="F2364" s="25">
        <v>0.21041666666666667</v>
      </c>
      <c r="G2364" s="25">
        <v>0.7041666666666667</v>
      </c>
      <c r="H2364" s="27">
        <f t="shared" si="2"/>
        <v>0.49375</v>
      </c>
      <c r="I2364" s="28">
        <v>5.0</v>
      </c>
      <c r="J2364" s="29" t="s">
        <v>55</v>
      </c>
      <c r="K2364" s="30" t="s">
        <v>23</v>
      </c>
      <c r="L2364" s="31" t="str">
        <f>IFERROR(__xludf.DUMMYFUNCTION("IF(OR(E2364="""",K2364=""""),"""",IFERROR(IF(K2364="""","""",query('tbl user'!$A$2:$D10975,""SELECT A WHERE D = '""&amp;K2364&amp;""'"")),""USER TIDAK DIKETAHUI""))"),"#REF!")</f>
        <v>#REF!</v>
      </c>
    </row>
    <row r="2365">
      <c r="A2365" s="21">
        <f t="shared" si="1"/>
        <v>0</v>
      </c>
      <c r="B2365" s="32" t="s">
        <v>115</v>
      </c>
      <c r="C2365" s="23" t="s">
        <v>116</v>
      </c>
      <c r="D2365" s="23" t="s">
        <v>32</v>
      </c>
      <c r="E2365" s="37">
        <v>45431.0</v>
      </c>
      <c r="F2365" s="25">
        <v>0.26875</v>
      </c>
      <c r="G2365" s="25">
        <v>0.7159722222222222</v>
      </c>
      <c r="H2365" s="27">
        <f t="shared" si="2"/>
        <v>0.4472222222</v>
      </c>
      <c r="I2365" s="28">
        <v>5.0</v>
      </c>
      <c r="J2365" s="29" t="s">
        <v>55</v>
      </c>
      <c r="K2365" s="30" t="s">
        <v>23</v>
      </c>
      <c r="L2365" s="31" t="str">
        <f>IFERROR(__xludf.DUMMYFUNCTION("IF(OR(E2365="""",K2365=""""),"""",IFERROR(IF(K2365="""","""",query('tbl user'!$A$2:$D10975,""SELECT A WHERE D = '""&amp;K2365&amp;""'"")),""USER TIDAK DIKETAHUI""))"),"#REF!")</f>
        <v>#REF!</v>
      </c>
    </row>
    <row r="2366">
      <c r="A2366" s="21">
        <f t="shared" si="1"/>
        <v>0</v>
      </c>
      <c r="B2366" s="32" t="s">
        <v>118</v>
      </c>
      <c r="C2366" s="23" t="s">
        <v>119</v>
      </c>
      <c r="D2366" s="23" t="s">
        <v>32</v>
      </c>
      <c r="E2366" s="37">
        <v>45431.0</v>
      </c>
      <c r="F2366" s="25">
        <v>0.2222222222222222</v>
      </c>
      <c r="G2366" s="25">
        <v>0.6715277777777777</v>
      </c>
      <c r="H2366" s="27">
        <f t="shared" si="2"/>
        <v>0.4493055556</v>
      </c>
      <c r="I2366" s="28">
        <v>5.0</v>
      </c>
      <c r="J2366" s="29" t="s">
        <v>55</v>
      </c>
      <c r="K2366" s="30" t="s">
        <v>23</v>
      </c>
      <c r="L2366" s="31" t="str">
        <f>IFERROR(__xludf.DUMMYFUNCTION("IF(OR(E2366="""",K2366=""""),"""",IFERROR(IF(K2366="""","""",query('tbl user'!$A$2:$D10975,""SELECT A WHERE D = '""&amp;K2366&amp;""'"")),""USER TIDAK DIKETAHUI""))"),"#REF!")</f>
        <v>#REF!</v>
      </c>
    </row>
    <row r="2367">
      <c r="A2367" s="21">
        <f t="shared" si="1"/>
        <v>0</v>
      </c>
      <c r="B2367" s="32" t="s">
        <v>225</v>
      </c>
      <c r="C2367" s="23" t="s">
        <v>211</v>
      </c>
      <c r="D2367" s="23" t="s">
        <v>58</v>
      </c>
      <c r="E2367" s="37">
        <v>45432.0</v>
      </c>
      <c r="F2367" s="25">
        <v>0.2743055555555556</v>
      </c>
      <c r="G2367" s="25">
        <v>0.45208333333333334</v>
      </c>
      <c r="H2367" s="27">
        <f t="shared" si="2"/>
        <v>0.1777777778</v>
      </c>
      <c r="I2367" s="28">
        <v>1.0</v>
      </c>
      <c r="J2367" s="29" t="s">
        <v>1129</v>
      </c>
      <c r="K2367" s="30" t="s">
        <v>23</v>
      </c>
      <c r="L2367" s="31" t="str">
        <f>IFERROR(__xludf.DUMMYFUNCTION("IF(OR(E2367="""",K2367=""""),"""",IFERROR(IF(K2367="""","""",query('tbl user'!$A$2:$D10975,""SELECT A WHERE D = '""&amp;K2367&amp;""'"")),""USER TIDAK DIKETAHUI""))"),"#REF!")</f>
        <v>#REF!</v>
      </c>
    </row>
    <row r="2368">
      <c r="A2368" s="21">
        <f t="shared" si="1"/>
        <v>0</v>
      </c>
      <c r="B2368" s="32" t="s">
        <v>267</v>
      </c>
      <c r="C2368" s="23" t="s">
        <v>85</v>
      </c>
      <c r="D2368" s="23" t="s">
        <v>58</v>
      </c>
      <c r="E2368" s="37">
        <v>45432.0</v>
      </c>
      <c r="F2368" s="25">
        <v>0.20902777777777778</v>
      </c>
      <c r="G2368" s="25">
        <v>0.6319444444444444</v>
      </c>
      <c r="H2368" s="27">
        <f t="shared" si="2"/>
        <v>0.4229166667</v>
      </c>
      <c r="I2368" s="28">
        <v>1.0</v>
      </c>
      <c r="J2368" s="29" t="s">
        <v>1130</v>
      </c>
      <c r="K2368" s="30" t="s">
        <v>23</v>
      </c>
      <c r="L2368" s="31" t="str">
        <f>IFERROR(__xludf.DUMMYFUNCTION("IF(OR(E2368="""",K2368=""""),"""",IFERROR(IF(K2368="""","""",query('tbl user'!$A$2:$D10975,""SELECT A WHERE D = '""&amp;K2368&amp;""'"")),""USER TIDAK DIKETAHUI""))"),"#REF!")</f>
        <v>#REF!</v>
      </c>
    </row>
    <row r="2369">
      <c r="A2369" s="21">
        <f t="shared" si="1"/>
        <v>0</v>
      </c>
      <c r="B2369" s="32" t="s">
        <v>187</v>
      </c>
      <c r="C2369" s="23" t="s">
        <v>188</v>
      </c>
      <c r="D2369" s="23" t="s">
        <v>58</v>
      </c>
      <c r="E2369" s="37">
        <v>45432.0</v>
      </c>
      <c r="F2369" s="25">
        <v>0.225</v>
      </c>
      <c r="G2369" s="25">
        <v>0.6375</v>
      </c>
      <c r="H2369" s="27">
        <f t="shared" si="2"/>
        <v>0.4125</v>
      </c>
      <c r="I2369" s="28">
        <v>2.0</v>
      </c>
      <c r="J2369" s="29" t="s">
        <v>1131</v>
      </c>
      <c r="K2369" s="30" t="s">
        <v>23</v>
      </c>
      <c r="L2369" s="31" t="str">
        <f>IFERROR(__xludf.DUMMYFUNCTION("IF(OR(E2369="""",K2369=""""),"""",IFERROR(IF(K2369="""","""",query('tbl user'!$A$2:$D10975,""SELECT A WHERE D = '""&amp;K2369&amp;""'"")),""USER TIDAK DIKETAHUI""))"),"#REF!")</f>
        <v>#REF!</v>
      </c>
    </row>
    <row r="2370">
      <c r="A2370" s="21">
        <f t="shared" si="1"/>
        <v>0</v>
      </c>
      <c r="B2370" s="32" t="s">
        <v>200</v>
      </c>
      <c r="C2370" s="23" t="s">
        <v>201</v>
      </c>
      <c r="D2370" s="23" t="s">
        <v>58</v>
      </c>
      <c r="E2370" s="37">
        <v>45432.0</v>
      </c>
      <c r="F2370" s="25">
        <v>0.2111111111111111</v>
      </c>
      <c r="G2370" s="25">
        <v>0.6298611111111111</v>
      </c>
      <c r="H2370" s="27">
        <f t="shared" si="2"/>
        <v>0.41875</v>
      </c>
      <c r="I2370" s="28">
        <v>2.0</v>
      </c>
      <c r="J2370" s="29" t="s">
        <v>1132</v>
      </c>
      <c r="K2370" s="30" t="s">
        <v>23</v>
      </c>
      <c r="L2370" s="31" t="str">
        <f>IFERROR(__xludf.DUMMYFUNCTION("IF(OR(E2370="""",K2370=""""),"""",IFERROR(IF(K2370="""","""",query('tbl user'!$A$2:$D10975,""SELECT A WHERE D = '""&amp;K2370&amp;""'"")),""USER TIDAK DIKETAHUI""))"),"#REF!")</f>
        <v>#REF!</v>
      </c>
    </row>
    <row r="2371">
      <c r="A2371" s="21">
        <f t="shared" si="1"/>
        <v>0</v>
      </c>
      <c r="B2371" s="32" t="s">
        <v>297</v>
      </c>
      <c r="C2371" s="23" t="s">
        <v>348</v>
      </c>
      <c r="D2371" s="23" t="s">
        <v>58</v>
      </c>
      <c r="E2371" s="37">
        <v>45432.0</v>
      </c>
      <c r="F2371" s="25">
        <v>0.27152777777777776</v>
      </c>
      <c r="G2371" s="33">
        <v>0.6388888888888888</v>
      </c>
      <c r="H2371" s="27">
        <f t="shared" si="2"/>
        <v>0.3673611111</v>
      </c>
      <c r="I2371" s="28">
        <v>2.0</v>
      </c>
      <c r="J2371" s="29" t="s">
        <v>1133</v>
      </c>
      <c r="K2371" s="30" t="s">
        <v>23</v>
      </c>
      <c r="L2371" s="31" t="str">
        <f>IFERROR(__xludf.DUMMYFUNCTION("IF(OR(E2371="""",K2371=""""),"""",IFERROR(IF(K2371="""","""",query('tbl user'!$A$2:$D10975,""SELECT A WHERE D = '""&amp;K2371&amp;""'"")),""USER TIDAK DIKETAHUI""))"),"#REF!")</f>
        <v>#REF!</v>
      </c>
    </row>
    <row r="2372">
      <c r="A2372" s="21">
        <f t="shared" si="1"/>
        <v>0</v>
      </c>
      <c r="B2372" s="32" t="s">
        <v>67</v>
      </c>
      <c r="C2372" s="23" t="s">
        <v>68</v>
      </c>
      <c r="D2372" s="23" t="s">
        <v>58</v>
      </c>
      <c r="E2372" s="37">
        <v>45432.0</v>
      </c>
      <c r="F2372" s="25">
        <v>0.2722222222222222</v>
      </c>
      <c r="G2372" s="25">
        <v>0.6256944444444444</v>
      </c>
      <c r="H2372" s="27">
        <f t="shared" si="2"/>
        <v>0.3534722222</v>
      </c>
      <c r="I2372" s="28">
        <v>3.0</v>
      </c>
      <c r="J2372" s="29" t="s">
        <v>1134</v>
      </c>
      <c r="K2372" s="30" t="s">
        <v>23</v>
      </c>
      <c r="L2372" s="31" t="str">
        <f>IFERROR(__xludf.DUMMYFUNCTION("IF(OR(E2372="""",K2372=""""),"""",IFERROR(IF(K2372="""","""",query('tbl user'!$A$2:$D10975,""SELECT A WHERE D = '""&amp;K2372&amp;""'"")),""USER TIDAK DIKETAHUI""))"),"#REF!")</f>
        <v>#REF!</v>
      </c>
    </row>
    <row r="2373">
      <c r="A2373" s="21">
        <f t="shared" si="1"/>
        <v>0</v>
      </c>
      <c r="B2373" s="32" t="s">
        <v>167</v>
      </c>
      <c r="C2373" s="23" t="s">
        <v>168</v>
      </c>
      <c r="D2373" s="23" t="s">
        <v>58</v>
      </c>
      <c r="E2373" s="37">
        <v>45432.0</v>
      </c>
      <c r="F2373" s="25">
        <v>0.28958333333333336</v>
      </c>
      <c r="G2373" s="25">
        <v>0.7125</v>
      </c>
      <c r="H2373" s="27">
        <f t="shared" si="2"/>
        <v>0.4229166667</v>
      </c>
      <c r="I2373" s="28">
        <v>3.0</v>
      </c>
      <c r="J2373" s="29" t="s">
        <v>1135</v>
      </c>
      <c r="K2373" s="30" t="s">
        <v>23</v>
      </c>
      <c r="L2373" s="31" t="str">
        <f>IFERROR(__xludf.DUMMYFUNCTION("IF(OR(E2373="""",K2373=""""),"""",IFERROR(IF(K2373="""","""",query('tbl user'!$A$2:$D10975,""SELECT A WHERE D = '""&amp;K2373&amp;""'"")),""USER TIDAK DIKETAHUI""))"),"#REF!")</f>
        <v>#REF!</v>
      </c>
    </row>
    <row r="2374">
      <c r="A2374" s="21">
        <f t="shared" si="1"/>
        <v>0</v>
      </c>
      <c r="B2374" s="32" t="s">
        <v>214</v>
      </c>
      <c r="C2374" s="23" t="s">
        <v>170</v>
      </c>
      <c r="D2374" s="23" t="s">
        <v>58</v>
      </c>
      <c r="E2374" s="37">
        <v>45432.0</v>
      </c>
      <c r="F2374" s="25">
        <v>0.28541666666666665</v>
      </c>
      <c r="G2374" s="25">
        <v>0.6319444444444444</v>
      </c>
      <c r="H2374" s="27">
        <f t="shared" si="2"/>
        <v>0.3465277778</v>
      </c>
      <c r="I2374" s="28">
        <v>3.0</v>
      </c>
      <c r="J2374" s="29" t="s">
        <v>1136</v>
      </c>
      <c r="K2374" s="30" t="s">
        <v>23</v>
      </c>
      <c r="L2374" s="31" t="str">
        <f>IFERROR(__xludf.DUMMYFUNCTION("IF(OR(E2374="""",K2374=""""),"""",IFERROR(IF(K2374="""","""",query('tbl user'!$A$2:$D10975,""SELECT A WHERE D = '""&amp;K2374&amp;""'"")),""USER TIDAK DIKETAHUI""))"),"#REF!")</f>
        <v>#REF!</v>
      </c>
    </row>
    <row r="2375">
      <c r="A2375" s="21">
        <f t="shared" si="1"/>
        <v>0</v>
      </c>
      <c r="B2375" s="32" t="s">
        <v>92</v>
      </c>
      <c r="C2375" s="23" t="s">
        <v>93</v>
      </c>
      <c r="D2375" s="23" t="s">
        <v>58</v>
      </c>
      <c r="E2375" s="37">
        <v>45432.0</v>
      </c>
      <c r="F2375" s="25">
        <v>0.2361111111111111</v>
      </c>
      <c r="G2375" s="25">
        <v>0.5625</v>
      </c>
      <c r="H2375" s="27">
        <f t="shared" si="2"/>
        <v>0.3263888889</v>
      </c>
      <c r="I2375" s="28">
        <v>3.0</v>
      </c>
      <c r="J2375" s="29" t="s">
        <v>1137</v>
      </c>
      <c r="K2375" s="30" t="s">
        <v>23</v>
      </c>
      <c r="L2375" s="31" t="str">
        <f>IFERROR(__xludf.DUMMYFUNCTION("IF(OR(E2375="""",K2375=""""),"""",IFERROR(IF(K2375="""","""",query('tbl user'!$A$2:$D10975,""SELECT A WHERE D = '""&amp;K2375&amp;""'"")),""USER TIDAK DIKETAHUI""))"),"#REF!")</f>
        <v>#REF!</v>
      </c>
    </row>
    <row r="2376">
      <c r="A2376" s="21">
        <f t="shared" si="1"/>
        <v>0</v>
      </c>
      <c r="B2376" s="32" t="s">
        <v>56</v>
      </c>
      <c r="C2376" s="23" t="s">
        <v>57</v>
      </c>
      <c r="D2376" s="23" t="s">
        <v>58</v>
      </c>
      <c r="E2376" s="37">
        <v>45432.0</v>
      </c>
      <c r="F2376" s="25">
        <v>0.26875</v>
      </c>
      <c r="G2376" s="25">
        <v>0.6381944444444444</v>
      </c>
      <c r="H2376" s="27">
        <f t="shared" si="2"/>
        <v>0.3694444444</v>
      </c>
      <c r="I2376" s="28">
        <v>3.0</v>
      </c>
      <c r="J2376" s="29" t="s">
        <v>171</v>
      </c>
      <c r="K2376" s="30" t="s">
        <v>23</v>
      </c>
      <c r="L2376" s="31" t="str">
        <f>IFERROR(__xludf.DUMMYFUNCTION("IF(OR(E2376="""",K2376=""""),"""",IFERROR(IF(K2376="""","""",query('tbl user'!$A$2:$D10975,""SELECT A WHERE D = '""&amp;K2376&amp;""'"")),""USER TIDAK DIKETAHUI""))"),"#REF!")</f>
        <v>#REF!</v>
      </c>
    </row>
    <row r="2377">
      <c r="A2377" s="21">
        <f t="shared" si="1"/>
        <v>0</v>
      </c>
      <c r="B2377" s="32" t="s">
        <v>178</v>
      </c>
      <c r="C2377" s="23" t="s">
        <v>82</v>
      </c>
      <c r="D2377" s="23" t="s">
        <v>58</v>
      </c>
      <c r="E2377" s="37">
        <v>45432.0</v>
      </c>
      <c r="F2377" s="25">
        <v>0.28680555555555554</v>
      </c>
      <c r="G2377" s="25">
        <v>0.7173611111111111</v>
      </c>
      <c r="H2377" s="27">
        <f t="shared" si="2"/>
        <v>0.4305555556</v>
      </c>
      <c r="I2377" s="28">
        <v>3.0</v>
      </c>
      <c r="J2377" s="29" t="s">
        <v>171</v>
      </c>
      <c r="K2377" s="30" t="s">
        <v>23</v>
      </c>
      <c r="L2377" s="31" t="str">
        <f>IFERROR(__xludf.DUMMYFUNCTION("IF(OR(E2377="""",K2377=""""),"""",IFERROR(IF(K2377="""","""",query('tbl user'!$A$2:$D10975,""SELECT A WHERE D = '""&amp;K2377&amp;""'"")),""USER TIDAK DIKETAHUI""))"),"#REF!")</f>
        <v>#REF!</v>
      </c>
    </row>
    <row r="2378">
      <c r="A2378" s="21">
        <f t="shared" si="1"/>
        <v>0</v>
      </c>
      <c r="B2378" s="32" t="s">
        <v>180</v>
      </c>
      <c r="C2378" s="23" t="s">
        <v>181</v>
      </c>
      <c r="D2378" s="23" t="s">
        <v>58</v>
      </c>
      <c r="E2378" s="37">
        <v>45432.0</v>
      </c>
      <c r="F2378" s="25">
        <v>0.2625</v>
      </c>
      <c r="G2378" s="25">
        <v>0.6395833333333333</v>
      </c>
      <c r="H2378" s="27">
        <f t="shared" si="2"/>
        <v>0.3770833333</v>
      </c>
      <c r="I2378" s="28">
        <v>3.0</v>
      </c>
      <c r="J2378" s="29" t="s">
        <v>1138</v>
      </c>
      <c r="K2378" s="30" t="s">
        <v>23</v>
      </c>
      <c r="L2378" s="31" t="str">
        <f>IFERROR(__xludf.DUMMYFUNCTION("IF(OR(E2378="""",K2378=""""),"""",IFERROR(IF(K2378="""","""",query('tbl user'!$A$2:$D10975,""SELECT A WHERE D = '""&amp;K2378&amp;""'"")),""USER TIDAK DIKETAHUI""))"),"#REF!")</f>
        <v>#REF!</v>
      </c>
    </row>
    <row r="2379">
      <c r="A2379" s="21">
        <f t="shared" si="1"/>
        <v>0</v>
      </c>
      <c r="B2379" s="32" t="s">
        <v>202</v>
      </c>
      <c r="C2379" s="23" t="s">
        <v>203</v>
      </c>
      <c r="D2379" s="23" t="s">
        <v>58</v>
      </c>
      <c r="E2379" s="37">
        <v>45432.0</v>
      </c>
      <c r="F2379" s="25">
        <v>0.2604166666666667</v>
      </c>
      <c r="G2379" s="25">
        <v>0.6965277777777777</v>
      </c>
      <c r="H2379" s="27">
        <f t="shared" si="2"/>
        <v>0.4361111111</v>
      </c>
      <c r="I2379" s="28">
        <v>3.0</v>
      </c>
      <c r="J2379" s="29" t="s">
        <v>1139</v>
      </c>
      <c r="K2379" s="30" t="s">
        <v>23</v>
      </c>
      <c r="L2379" s="31" t="str">
        <f>IFERROR(__xludf.DUMMYFUNCTION("IF(OR(E2379="""",K2379=""""),"""",IFERROR(IF(K2379="""","""",query('tbl user'!$A$2:$D10975,""SELECT A WHERE D = '""&amp;K2379&amp;""'"")),""USER TIDAK DIKETAHUI""))"),"#REF!")</f>
        <v>#REF!</v>
      </c>
    </row>
    <row r="2380">
      <c r="A2380" s="21">
        <f t="shared" si="1"/>
        <v>0</v>
      </c>
      <c r="B2380" s="32" t="s">
        <v>205</v>
      </c>
      <c r="C2380" s="23" t="s">
        <v>206</v>
      </c>
      <c r="D2380" s="23" t="s">
        <v>58</v>
      </c>
      <c r="E2380" s="37">
        <v>45432.0</v>
      </c>
      <c r="F2380" s="25">
        <v>0.2152777777777778</v>
      </c>
      <c r="G2380" s="25">
        <v>0.6673611111111111</v>
      </c>
      <c r="H2380" s="27">
        <f t="shared" si="2"/>
        <v>0.4520833333</v>
      </c>
      <c r="I2380" s="28">
        <v>3.0</v>
      </c>
      <c r="J2380" s="29" t="s">
        <v>1140</v>
      </c>
      <c r="K2380" s="30" t="s">
        <v>23</v>
      </c>
      <c r="L2380" s="31" t="str">
        <f>IFERROR(__xludf.DUMMYFUNCTION("IF(OR(E2380="""",K2380=""""),"""",IFERROR(IF(K2380="""","""",query('tbl user'!$A$2:$D10975,""SELECT A WHERE D = '""&amp;K2380&amp;""'"")),""USER TIDAK DIKETAHUI""))"),"#REF!")</f>
        <v>#REF!</v>
      </c>
    </row>
    <row r="2381">
      <c r="A2381" s="21">
        <f t="shared" si="1"/>
        <v>0</v>
      </c>
      <c r="B2381" s="32" t="s">
        <v>215</v>
      </c>
      <c r="C2381" s="23" t="s">
        <v>176</v>
      </c>
      <c r="D2381" s="23" t="s">
        <v>58</v>
      </c>
      <c r="E2381" s="37">
        <v>45432.0</v>
      </c>
      <c r="F2381" s="25">
        <v>0.26944444444444443</v>
      </c>
      <c r="G2381" s="25">
        <v>0.6763888888888889</v>
      </c>
      <c r="H2381" s="27">
        <f t="shared" si="2"/>
        <v>0.4069444444</v>
      </c>
      <c r="I2381" s="28">
        <v>4.0</v>
      </c>
      <c r="J2381" s="29" t="s">
        <v>55</v>
      </c>
      <c r="K2381" s="30" t="s">
        <v>23</v>
      </c>
      <c r="L2381" s="31" t="str">
        <f>IFERROR(__xludf.DUMMYFUNCTION("IF(OR(E2381="""",K2381=""""),"""",IFERROR(IF(K2381="""","""",query('tbl user'!$A$2:$D10975,""SELECT A WHERE D = '""&amp;K2381&amp;""'"")),""USER TIDAK DIKETAHUI""))"),"#REF!")</f>
        <v>#REF!</v>
      </c>
    </row>
    <row r="2382">
      <c r="A2382" s="21">
        <f t="shared" si="1"/>
        <v>0</v>
      </c>
      <c r="B2382" s="32" t="s">
        <v>182</v>
      </c>
      <c r="C2382" s="23" t="s">
        <v>183</v>
      </c>
      <c r="D2382" s="23" t="s">
        <v>58</v>
      </c>
      <c r="E2382" s="37">
        <v>45432.0</v>
      </c>
      <c r="F2382" s="25">
        <v>0.22708333333333333</v>
      </c>
      <c r="G2382" s="25">
        <v>0.64375</v>
      </c>
      <c r="H2382" s="27">
        <f t="shared" si="2"/>
        <v>0.4166666667</v>
      </c>
      <c r="I2382" s="28">
        <v>4.0</v>
      </c>
      <c r="J2382" s="29" t="s">
        <v>55</v>
      </c>
      <c r="K2382" s="30" t="s">
        <v>23</v>
      </c>
      <c r="L2382" s="31" t="str">
        <f>IFERROR(__xludf.DUMMYFUNCTION("IF(OR(E2382="""",K2382=""""),"""",IFERROR(IF(K2382="""","""",query('tbl user'!$A$2:$D10975,""SELECT A WHERE D = '""&amp;K2382&amp;""'"")),""USER TIDAK DIKETAHUI""))"),"#REF!")</f>
        <v>#REF!</v>
      </c>
    </row>
    <row r="2383">
      <c r="A2383" s="21">
        <f t="shared" si="1"/>
        <v>0</v>
      </c>
      <c r="B2383" s="32" t="s">
        <v>184</v>
      </c>
      <c r="C2383" s="23" t="s">
        <v>185</v>
      </c>
      <c r="D2383" s="23" t="s">
        <v>58</v>
      </c>
      <c r="E2383" s="37">
        <v>45432.0</v>
      </c>
      <c r="F2383" s="25">
        <v>0.2659722222222222</v>
      </c>
      <c r="G2383" s="25">
        <v>0.6680555555555555</v>
      </c>
      <c r="H2383" s="27">
        <f t="shared" si="2"/>
        <v>0.4020833333</v>
      </c>
      <c r="I2383" s="28">
        <v>4.0</v>
      </c>
      <c r="J2383" s="29" t="s">
        <v>55</v>
      </c>
      <c r="K2383" s="30" t="s">
        <v>23</v>
      </c>
      <c r="L2383" s="31" t="str">
        <f>IFERROR(__xludf.DUMMYFUNCTION("IF(OR(E2383="""",K2383=""""),"""",IFERROR(IF(K2383="""","""",query('tbl user'!$A$2:$D10975,""SELECT A WHERE D = '""&amp;K2383&amp;""'"")),""USER TIDAK DIKETAHUI""))"),"#REF!")</f>
        <v>#REF!</v>
      </c>
    </row>
    <row r="2384">
      <c r="A2384" s="21">
        <f t="shared" si="1"/>
        <v>0</v>
      </c>
      <c r="B2384" s="32" t="s">
        <v>189</v>
      </c>
      <c r="C2384" s="23" t="s">
        <v>190</v>
      </c>
      <c r="D2384" s="23" t="s">
        <v>58</v>
      </c>
      <c r="E2384" s="37">
        <v>45432.0</v>
      </c>
      <c r="F2384" s="25">
        <v>0.26805555555555555</v>
      </c>
      <c r="G2384" s="25">
        <v>0.6923611111111111</v>
      </c>
      <c r="H2384" s="27">
        <f t="shared" si="2"/>
        <v>0.4243055556</v>
      </c>
      <c r="I2384" s="28">
        <v>4.0</v>
      </c>
      <c r="J2384" s="29" t="s">
        <v>55</v>
      </c>
      <c r="K2384" s="30" t="s">
        <v>23</v>
      </c>
      <c r="L2384" s="31" t="str">
        <f>IFERROR(__xludf.DUMMYFUNCTION("IF(OR(E2384="""",K2384=""""),"""",IFERROR(IF(K2384="""","""",query('tbl user'!$A$2:$D10975,""SELECT A WHERE D = '""&amp;K2384&amp;""'"")),""USER TIDAK DIKETAHUI""))"),"#REF!")</f>
        <v>#REF!</v>
      </c>
    </row>
    <row r="2385">
      <c r="A2385" s="21">
        <f t="shared" si="1"/>
        <v>0</v>
      </c>
      <c r="B2385" s="32" t="s">
        <v>191</v>
      </c>
      <c r="C2385" s="23" t="s">
        <v>192</v>
      </c>
      <c r="D2385" s="23" t="s">
        <v>58</v>
      </c>
      <c r="E2385" s="37">
        <v>45432.0</v>
      </c>
      <c r="F2385" s="25">
        <v>0.26180555555555557</v>
      </c>
      <c r="G2385" s="25">
        <v>0.6576388888888889</v>
      </c>
      <c r="H2385" s="27">
        <f t="shared" si="2"/>
        <v>0.3958333333</v>
      </c>
      <c r="I2385" s="28">
        <v>4.0</v>
      </c>
      <c r="J2385" s="29" t="s">
        <v>55</v>
      </c>
      <c r="K2385" s="30" t="s">
        <v>23</v>
      </c>
      <c r="L2385" s="31" t="str">
        <f>IFERROR(__xludf.DUMMYFUNCTION("IF(OR(E2385="""",K2385=""""),"""",IFERROR(IF(K2385="""","""",query('tbl user'!$A$2:$D10975,""SELECT A WHERE D = '""&amp;K2385&amp;""'"")),""USER TIDAK DIKETAHUI""))"),"#REF!")</f>
        <v>#REF!</v>
      </c>
    </row>
    <row r="2386">
      <c r="A2386" s="21">
        <f t="shared" si="1"/>
        <v>0</v>
      </c>
      <c r="B2386" s="32" t="s">
        <v>194</v>
      </c>
      <c r="C2386" s="23" t="s">
        <v>195</v>
      </c>
      <c r="D2386" s="23" t="s">
        <v>58</v>
      </c>
      <c r="E2386" s="37">
        <v>45432.0</v>
      </c>
      <c r="F2386" s="25">
        <v>0.20972222222222223</v>
      </c>
      <c r="G2386" s="25">
        <v>0.6416666666666667</v>
      </c>
      <c r="H2386" s="27">
        <f t="shared" si="2"/>
        <v>0.4319444444</v>
      </c>
      <c r="I2386" s="28">
        <v>4.0</v>
      </c>
      <c r="J2386" s="29" t="s">
        <v>55</v>
      </c>
      <c r="K2386" s="30" t="s">
        <v>23</v>
      </c>
      <c r="L2386" s="31" t="str">
        <f>IFERROR(__xludf.DUMMYFUNCTION("IF(OR(E2386="""",K2386=""""),"""",IFERROR(IF(K2386="""","""",query('tbl user'!$A$2:$D10975,""SELECT A WHERE D = '""&amp;K2386&amp;""'"")),""USER TIDAK DIKETAHUI""))"),"#REF!")</f>
        <v>#REF!</v>
      </c>
    </row>
    <row r="2387">
      <c r="A2387" s="21">
        <f t="shared" si="1"/>
        <v>0</v>
      </c>
      <c r="B2387" s="32" t="s">
        <v>197</v>
      </c>
      <c r="C2387" s="23" t="s">
        <v>198</v>
      </c>
      <c r="D2387" s="23" t="s">
        <v>58</v>
      </c>
      <c r="E2387" s="37">
        <v>45432.0</v>
      </c>
      <c r="F2387" s="25">
        <v>0.20972222222222223</v>
      </c>
      <c r="G2387" s="25">
        <v>0.6444444444444445</v>
      </c>
      <c r="H2387" s="27">
        <f t="shared" si="2"/>
        <v>0.4347222222</v>
      </c>
      <c r="I2387" s="28">
        <v>4.0</v>
      </c>
      <c r="J2387" s="29" t="s">
        <v>55</v>
      </c>
      <c r="K2387" s="30" t="s">
        <v>23</v>
      </c>
      <c r="L2387" s="31" t="str">
        <f>IFERROR(__xludf.DUMMYFUNCTION("IF(OR(E2387="""",K2387=""""),"""",IFERROR(IF(K2387="""","""",query('tbl user'!$A$2:$D10975,""SELECT A WHERE D = '""&amp;K2387&amp;""'"")),""USER TIDAK DIKETAHUI""))"),"#REF!")</f>
        <v>#REF!</v>
      </c>
    </row>
    <row r="2388">
      <c r="A2388" s="21">
        <f t="shared" si="1"/>
        <v>0</v>
      </c>
      <c r="B2388" s="32" t="s">
        <v>104</v>
      </c>
      <c r="C2388" s="23" t="s">
        <v>105</v>
      </c>
      <c r="D2388" s="23" t="s">
        <v>58</v>
      </c>
      <c r="E2388" s="37">
        <v>45432.0</v>
      </c>
      <c r="F2388" s="25">
        <v>0.22291666666666668</v>
      </c>
      <c r="G2388" s="25">
        <v>0.7208333333333333</v>
      </c>
      <c r="H2388" s="27">
        <f t="shared" si="2"/>
        <v>0.4979166667</v>
      </c>
      <c r="I2388" s="28">
        <v>4.0</v>
      </c>
      <c r="J2388" s="29" t="s">
        <v>55</v>
      </c>
      <c r="K2388" s="30" t="s">
        <v>23</v>
      </c>
      <c r="L2388" s="31" t="str">
        <f>IFERROR(__xludf.DUMMYFUNCTION("IF(OR(E2388="""",K2388=""""),"""",IFERROR(IF(K2388="""","""",query('tbl user'!$A$2:$D10975,""SELECT A WHERE D = '""&amp;K2388&amp;""'"")),""USER TIDAK DIKETAHUI""))"),"#REF!")</f>
        <v>#REF!</v>
      </c>
    </row>
    <row r="2389">
      <c r="A2389" s="21">
        <f t="shared" si="1"/>
        <v>0</v>
      </c>
      <c r="B2389" s="32" t="s">
        <v>224</v>
      </c>
      <c r="C2389" s="23" t="s">
        <v>208</v>
      </c>
      <c r="D2389" s="23" t="s">
        <v>58</v>
      </c>
      <c r="E2389" s="37">
        <v>45432.0</v>
      </c>
      <c r="F2389" s="25">
        <v>0.25069444444444444</v>
      </c>
      <c r="G2389" s="25">
        <v>0.675</v>
      </c>
      <c r="H2389" s="27">
        <f t="shared" si="2"/>
        <v>0.4243055556</v>
      </c>
      <c r="I2389" s="28">
        <v>4.0</v>
      </c>
      <c r="J2389" s="29" t="s">
        <v>55</v>
      </c>
      <c r="K2389" s="30" t="s">
        <v>23</v>
      </c>
      <c r="L2389" s="31" t="str">
        <f>IFERROR(__xludf.DUMMYFUNCTION("IF(OR(E2389="""",K2389=""""),"""",IFERROR(IF(K2389="""","""",query('tbl user'!$A$2:$D10975,""SELECT A WHERE D = '""&amp;K2389&amp;""'"")),""USER TIDAK DIKETAHUI""))"),"#REF!")</f>
        <v>#REF!</v>
      </c>
    </row>
    <row r="2390">
      <c r="A2390" s="21">
        <f t="shared" si="1"/>
        <v>0</v>
      </c>
      <c r="B2390" s="32" t="s">
        <v>284</v>
      </c>
      <c r="C2390" s="23" t="s">
        <v>285</v>
      </c>
      <c r="D2390" s="23" t="s">
        <v>21</v>
      </c>
      <c r="E2390" s="37">
        <v>45432.0</v>
      </c>
      <c r="F2390" s="25">
        <v>0.2569444444444444</v>
      </c>
      <c r="G2390" s="25">
        <v>0.5979166666666667</v>
      </c>
      <c r="H2390" s="27">
        <f t="shared" si="2"/>
        <v>0.3409722222</v>
      </c>
      <c r="I2390" s="28">
        <v>2.0</v>
      </c>
      <c r="J2390" s="29" t="s">
        <v>1141</v>
      </c>
      <c r="K2390" s="30" t="s">
        <v>23</v>
      </c>
      <c r="L2390" s="31" t="str">
        <f>IFERROR(__xludf.DUMMYFUNCTION("IF(OR(E2390="""",K2390=""""),"""",IFERROR(IF(K2390="""","""",query('tbl user'!$A$2:$D10975,""SELECT A WHERE D = '""&amp;K2390&amp;""'"")),""USER TIDAK DIKETAHUI""))"),"#REF!")</f>
        <v>#REF!</v>
      </c>
    </row>
    <row r="2391">
      <c r="A2391" s="21">
        <f t="shared" si="1"/>
        <v>0</v>
      </c>
      <c r="B2391" s="32" t="s">
        <v>286</v>
      </c>
      <c r="C2391" s="23" t="s">
        <v>287</v>
      </c>
      <c r="D2391" s="23" t="s">
        <v>21</v>
      </c>
      <c r="E2391" s="37">
        <v>45432.0</v>
      </c>
      <c r="F2391" s="25">
        <v>0.2763888888888889</v>
      </c>
      <c r="G2391" s="25">
        <v>0.5694444444444444</v>
      </c>
      <c r="H2391" s="27">
        <f t="shared" si="2"/>
        <v>0.2930555556</v>
      </c>
      <c r="I2391" s="28">
        <v>2.0</v>
      </c>
      <c r="J2391" s="29" t="s">
        <v>1142</v>
      </c>
      <c r="K2391" s="30" t="s">
        <v>23</v>
      </c>
      <c r="L2391" s="31" t="str">
        <f>IFERROR(__xludf.DUMMYFUNCTION("IF(OR(E2391="""",K2391=""""),"""",IFERROR(IF(K2391="""","""",query('tbl user'!$A$2:$D10975,""SELECT A WHERE D = '""&amp;K2391&amp;""'"")),""USER TIDAK DIKETAHUI""))"),"#REF!")</f>
        <v>#REF!</v>
      </c>
    </row>
    <row r="2392">
      <c r="A2392" s="21">
        <f t="shared" si="1"/>
        <v>0</v>
      </c>
      <c r="B2392" s="32" t="s">
        <v>37</v>
      </c>
      <c r="C2392" s="23" t="s">
        <v>38</v>
      </c>
      <c r="D2392" s="23" t="s">
        <v>21</v>
      </c>
      <c r="E2392" s="37">
        <v>45432.0</v>
      </c>
      <c r="F2392" s="25">
        <v>0.26666666666666666</v>
      </c>
      <c r="G2392" s="25">
        <v>0.6229166666666667</v>
      </c>
      <c r="H2392" s="27">
        <f t="shared" si="2"/>
        <v>0.35625</v>
      </c>
      <c r="I2392" s="28">
        <v>3.0</v>
      </c>
      <c r="J2392" s="29" t="s">
        <v>1143</v>
      </c>
      <c r="K2392" s="30" t="s">
        <v>23</v>
      </c>
      <c r="L2392" s="31" t="str">
        <f>IFERROR(__xludf.DUMMYFUNCTION("IF(OR(E2392="""",K2392=""""),"""",IFERROR(IF(K2392="""","""",query('tbl user'!$A$2:$D10975,""SELECT A WHERE D = '""&amp;K2392&amp;""'"")),""USER TIDAK DIKETAHUI""))"),"#REF!")</f>
        <v>#REF!</v>
      </c>
    </row>
    <row r="2393">
      <c r="A2393" s="21">
        <f t="shared" si="1"/>
        <v>0</v>
      </c>
      <c r="B2393" s="32" t="s">
        <v>281</v>
      </c>
      <c r="C2393" s="23" t="s">
        <v>282</v>
      </c>
      <c r="D2393" s="23" t="s">
        <v>21</v>
      </c>
      <c r="E2393" s="37">
        <v>45432.0</v>
      </c>
      <c r="F2393" s="25">
        <v>0.2847222222222222</v>
      </c>
      <c r="G2393" s="25">
        <v>0.6888888888888889</v>
      </c>
      <c r="H2393" s="27">
        <f t="shared" si="2"/>
        <v>0.4041666667</v>
      </c>
      <c r="I2393" s="28">
        <v>3.0</v>
      </c>
      <c r="J2393" s="29" t="s">
        <v>1144</v>
      </c>
      <c r="K2393" s="30" t="s">
        <v>23</v>
      </c>
      <c r="L2393" s="31" t="str">
        <f>IFERROR(__xludf.DUMMYFUNCTION("IF(OR(E2393="""",K2393=""""),"""",IFERROR(IF(K2393="""","""",query('tbl user'!$A$2:$D10975,""SELECT A WHERE D = '""&amp;K2393&amp;""'"")),""USER TIDAK DIKETAHUI""))"),"#REF!")</f>
        <v>#REF!</v>
      </c>
    </row>
    <row r="2394">
      <c r="A2394" s="21">
        <f t="shared" si="1"/>
        <v>0</v>
      </c>
      <c r="B2394" s="32" t="s">
        <v>64</v>
      </c>
      <c r="C2394" s="23" t="s">
        <v>65</v>
      </c>
      <c r="D2394" s="23" t="s">
        <v>21</v>
      </c>
      <c r="E2394" s="37">
        <v>45432.0</v>
      </c>
      <c r="F2394" s="25">
        <v>0.3472222222222222</v>
      </c>
      <c r="G2394" s="25">
        <v>0.7131944444444445</v>
      </c>
      <c r="H2394" s="27">
        <f t="shared" si="2"/>
        <v>0.3659722222</v>
      </c>
      <c r="I2394" s="28">
        <v>3.0</v>
      </c>
      <c r="J2394" s="29" t="s">
        <v>1145</v>
      </c>
      <c r="K2394" s="30" t="s">
        <v>23</v>
      </c>
      <c r="L2394" s="31" t="str">
        <f>IFERROR(__xludf.DUMMYFUNCTION("IF(OR(E2394="""",K2394=""""),"""",IFERROR(IF(K2394="""","""",query('tbl user'!$A$2:$D10975,""SELECT A WHERE D = '""&amp;K2394&amp;""'"")),""USER TIDAK DIKETAHUI""))"),"#REF!")</f>
        <v>#REF!</v>
      </c>
    </row>
    <row r="2395">
      <c r="A2395" s="21">
        <f t="shared" si="1"/>
        <v>0</v>
      </c>
      <c r="B2395" s="32" t="s">
        <v>229</v>
      </c>
      <c r="C2395" s="23" t="s">
        <v>232</v>
      </c>
      <c r="D2395" s="23" t="s">
        <v>21</v>
      </c>
      <c r="E2395" s="37">
        <v>45432.0</v>
      </c>
      <c r="F2395" s="25">
        <v>0.2638888888888889</v>
      </c>
      <c r="G2395" s="25">
        <v>0.4513888888888889</v>
      </c>
      <c r="H2395" s="27">
        <f t="shared" si="2"/>
        <v>0.1875</v>
      </c>
      <c r="I2395" s="28">
        <v>1.0</v>
      </c>
      <c r="J2395" s="29" t="s">
        <v>1146</v>
      </c>
      <c r="K2395" s="30" t="s">
        <v>23</v>
      </c>
      <c r="L2395" s="31" t="str">
        <f>IFERROR(__xludf.DUMMYFUNCTION("IF(OR(E2395="""",K2395=""""),"""",IFERROR(IF(K2395="""","""",query('tbl user'!$A$2:$D10975,""SELECT A WHERE D = '""&amp;K2395&amp;""'"")),""USER TIDAK DIKETAHUI""))"),"#REF!")</f>
        <v>#REF!</v>
      </c>
    </row>
    <row r="2396">
      <c r="A2396" s="21">
        <f t="shared" si="1"/>
        <v>0</v>
      </c>
      <c r="B2396" s="32" t="s">
        <v>246</v>
      </c>
      <c r="C2396" s="23" t="s">
        <v>99</v>
      </c>
      <c r="D2396" s="23" t="s">
        <v>21</v>
      </c>
      <c r="E2396" s="37">
        <v>45432.0</v>
      </c>
      <c r="F2396" s="25">
        <v>0.28055555555555556</v>
      </c>
      <c r="G2396" s="25">
        <v>0.6416666666666667</v>
      </c>
      <c r="H2396" s="27">
        <f t="shared" si="2"/>
        <v>0.3611111111</v>
      </c>
      <c r="I2396" s="28">
        <v>2.0</v>
      </c>
      <c r="J2396" s="29" t="s">
        <v>1147</v>
      </c>
      <c r="K2396" s="30" t="s">
        <v>23</v>
      </c>
      <c r="L2396" s="31" t="str">
        <f>IFERROR(__xludf.DUMMYFUNCTION("IF(OR(E2396="""",K2396=""""),"""",IFERROR(IF(K2396="""","""",query('tbl user'!$A$2:$D10975,""SELECT A WHERE D = '""&amp;K2396&amp;""'"")),""USER TIDAK DIKETAHUI""))"),"#REF!")</f>
        <v>#REF!</v>
      </c>
    </row>
    <row r="2397">
      <c r="A2397" s="21">
        <f t="shared" si="1"/>
        <v>0</v>
      </c>
      <c r="B2397" s="32" t="s">
        <v>159</v>
      </c>
      <c r="C2397" s="23" t="s">
        <v>306</v>
      </c>
      <c r="D2397" s="23" t="s">
        <v>21</v>
      </c>
      <c r="E2397" s="37">
        <v>45432.0</v>
      </c>
      <c r="F2397" s="25">
        <v>0.3111111111111111</v>
      </c>
      <c r="G2397" s="25">
        <v>0.7013888888888888</v>
      </c>
      <c r="H2397" s="27">
        <f t="shared" si="2"/>
        <v>0.3902777778</v>
      </c>
      <c r="I2397" s="28">
        <v>2.0</v>
      </c>
      <c r="J2397" s="29" t="s">
        <v>1148</v>
      </c>
      <c r="K2397" s="30" t="s">
        <v>23</v>
      </c>
      <c r="L2397" s="31" t="str">
        <f>IFERROR(__xludf.DUMMYFUNCTION("IF(OR(E2397="""",K2397=""""),"""",IFERROR(IF(K2397="""","""",query('tbl user'!$A$2:$D10975,""SELECT A WHERE D = '""&amp;K2397&amp;""'"")),""USER TIDAK DIKETAHUI""))"),"#REF!")</f>
        <v>#REF!</v>
      </c>
    </row>
    <row r="2398">
      <c r="A2398" s="21">
        <f t="shared" si="1"/>
        <v>0</v>
      </c>
      <c r="B2398" s="32" t="s">
        <v>209</v>
      </c>
      <c r="C2398" s="23" t="s">
        <v>340</v>
      </c>
      <c r="D2398" s="23" t="s">
        <v>21</v>
      </c>
      <c r="E2398" s="37">
        <v>45432.0</v>
      </c>
      <c r="F2398" s="25">
        <v>0.29375</v>
      </c>
      <c r="G2398" s="25">
        <v>0.6395833333333333</v>
      </c>
      <c r="H2398" s="27">
        <f t="shared" si="2"/>
        <v>0.3458333333</v>
      </c>
      <c r="I2398" s="28">
        <v>2.0</v>
      </c>
      <c r="J2398" s="29" t="s">
        <v>1149</v>
      </c>
      <c r="K2398" s="30" t="s">
        <v>23</v>
      </c>
      <c r="L2398" s="31" t="str">
        <f>IFERROR(__xludf.DUMMYFUNCTION("IF(OR(E2398="""",K2398=""""),"""",IFERROR(IF(K2398="""","""",query('tbl user'!$A$2:$D10975,""SELECT A WHERE D = '""&amp;K2398&amp;""'"")),""USER TIDAK DIKETAHUI""))"),"#REF!")</f>
        <v>#REF!</v>
      </c>
    </row>
    <row r="2399">
      <c r="A2399" s="21">
        <f t="shared" si="1"/>
        <v>0</v>
      </c>
      <c r="B2399" s="32" t="s">
        <v>243</v>
      </c>
      <c r="C2399" s="23" t="s">
        <v>244</v>
      </c>
      <c r="D2399" s="23" t="s">
        <v>21</v>
      </c>
      <c r="E2399" s="37">
        <v>45432.0</v>
      </c>
      <c r="F2399" s="25">
        <v>0.2861111111111111</v>
      </c>
      <c r="G2399" s="25">
        <v>0.7097222222222223</v>
      </c>
      <c r="H2399" s="27">
        <f t="shared" si="2"/>
        <v>0.4236111111</v>
      </c>
      <c r="I2399" s="28">
        <v>3.0</v>
      </c>
      <c r="J2399" s="29" t="s">
        <v>1150</v>
      </c>
      <c r="K2399" s="30" t="s">
        <v>23</v>
      </c>
      <c r="L2399" s="31" t="str">
        <f>IFERROR(__xludf.DUMMYFUNCTION("IF(OR(E2399="""",K2399=""""),"""",IFERROR(IF(K2399="""","""",query('tbl user'!$A$2:$D10975,""SELECT A WHERE D = '""&amp;K2399&amp;""'"")),""USER TIDAK DIKETAHUI""))"),"#REF!")</f>
        <v>#REF!</v>
      </c>
    </row>
    <row r="2400">
      <c r="A2400" s="21">
        <f t="shared" si="1"/>
        <v>0</v>
      </c>
      <c r="B2400" s="32" t="s">
        <v>34</v>
      </c>
      <c r="C2400" s="23" t="s">
        <v>35</v>
      </c>
      <c r="D2400" s="23" t="s">
        <v>21</v>
      </c>
      <c r="E2400" s="37">
        <v>45432.0</v>
      </c>
      <c r="F2400" s="25">
        <v>0.3055555555555556</v>
      </c>
      <c r="G2400" s="25">
        <v>0.7506944444444444</v>
      </c>
      <c r="H2400" s="27">
        <f t="shared" si="2"/>
        <v>0.4451388889</v>
      </c>
      <c r="I2400" s="28">
        <v>4.0</v>
      </c>
      <c r="J2400" s="29" t="s">
        <v>1150</v>
      </c>
      <c r="K2400" s="30" t="s">
        <v>23</v>
      </c>
      <c r="L2400" s="31" t="str">
        <f>IFERROR(__xludf.DUMMYFUNCTION("IF(OR(E2400="""",K2400=""""),"""",IFERROR(IF(K2400="""","""",query('tbl user'!$A$2:$D10975,""SELECT A WHERE D = '""&amp;K2400&amp;""'"")),""USER TIDAK DIKETAHUI""))"),"#REF!")</f>
        <v>#REF!</v>
      </c>
    </row>
    <row r="2401">
      <c r="A2401" s="21">
        <f t="shared" si="1"/>
        <v>0</v>
      </c>
      <c r="B2401" s="32" t="s">
        <v>238</v>
      </c>
      <c r="C2401" s="23" t="s">
        <v>239</v>
      </c>
      <c r="D2401" s="23" t="s">
        <v>21</v>
      </c>
      <c r="E2401" s="37">
        <v>45432.0</v>
      </c>
      <c r="F2401" s="25">
        <v>0.31527777777777777</v>
      </c>
      <c r="G2401" s="25">
        <v>0.7034722222222223</v>
      </c>
      <c r="H2401" s="27">
        <f t="shared" si="2"/>
        <v>0.3881944444</v>
      </c>
      <c r="I2401" s="28">
        <v>4.0</v>
      </c>
      <c r="J2401" s="29" t="s">
        <v>1150</v>
      </c>
      <c r="K2401" s="30" t="s">
        <v>23</v>
      </c>
      <c r="L2401" s="31" t="str">
        <f>IFERROR(__xludf.DUMMYFUNCTION("IF(OR(E2401="""",K2401=""""),"""",IFERROR(IF(K2401="""","""",query('tbl user'!$A$2:$D10975,""SELECT A WHERE D = '""&amp;K2401&amp;""'"")),""USER TIDAK DIKETAHUI""))"),"#REF!")</f>
        <v>#REF!</v>
      </c>
    </row>
    <row r="2402">
      <c r="A2402" s="21">
        <f t="shared" si="1"/>
        <v>0</v>
      </c>
      <c r="B2402" s="32" t="s">
        <v>305</v>
      </c>
      <c r="C2402" s="23" t="s">
        <v>251</v>
      </c>
      <c r="D2402" s="23" t="s">
        <v>21</v>
      </c>
      <c r="E2402" s="37">
        <v>45432.0</v>
      </c>
      <c r="F2402" s="25">
        <v>0.2361111111111111</v>
      </c>
      <c r="G2402" s="25">
        <v>0.7236111111111111</v>
      </c>
      <c r="H2402" s="27">
        <f t="shared" si="2"/>
        <v>0.4875</v>
      </c>
      <c r="I2402" s="28">
        <v>4.0</v>
      </c>
      <c r="J2402" s="29" t="s">
        <v>1150</v>
      </c>
      <c r="K2402" s="30" t="s">
        <v>23</v>
      </c>
      <c r="L2402" s="31" t="str">
        <f>IFERROR(__xludf.DUMMYFUNCTION("IF(OR(E2402="""",K2402=""""),"""",IFERROR(IF(K2402="""","""",query('tbl user'!$A$2:$D10975,""SELECT A WHERE D = '""&amp;K2402&amp;""'"")),""USER TIDAK DIKETAHUI""))"),"#REF!")</f>
        <v>#REF!</v>
      </c>
    </row>
    <row r="2403">
      <c r="A2403" s="21">
        <f t="shared" si="1"/>
        <v>0</v>
      </c>
      <c r="B2403" s="32" t="s">
        <v>253</v>
      </c>
      <c r="C2403" s="23" t="s">
        <v>102</v>
      </c>
      <c r="D2403" s="23" t="s">
        <v>21</v>
      </c>
      <c r="E2403" s="37">
        <v>45432.0</v>
      </c>
      <c r="F2403" s="25">
        <v>0.28958333333333336</v>
      </c>
      <c r="G2403" s="25">
        <v>0.7361111111111112</v>
      </c>
      <c r="H2403" s="27">
        <f t="shared" si="2"/>
        <v>0.4465277778</v>
      </c>
      <c r="I2403" s="28">
        <v>4.0</v>
      </c>
      <c r="J2403" s="29" t="s">
        <v>1150</v>
      </c>
      <c r="K2403" s="30" t="s">
        <v>23</v>
      </c>
      <c r="L2403" s="31" t="str">
        <f>IFERROR(__xludf.DUMMYFUNCTION("IF(OR(E2403="""",K2403=""""),"""",IFERROR(IF(K2403="""","""",query('tbl user'!$A$2:$D10975,""SELECT A WHERE D = '""&amp;K2403&amp;""'"")),""USER TIDAK DIKETAHUI""))"),"#REF!")</f>
        <v>#REF!</v>
      </c>
    </row>
    <row r="2404">
      <c r="A2404" s="21">
        <f t="shared" si="1"/>
        <v>0</v>
      </c>
      <c r="B2404" s="32" t="s">
        <v>335</v>
      </c>
      <c r="C2404" s="23" t="s">
        <v>336</v>
      </c>
      <c r="D2404" s="23" t="s">
        <v>21</v>
      </c>
      <c r="E2404" s="37">
        <v>45432.0</v>
      </c>
      <c r="F2404" s="25">
        <v>0.2548611111111111</v>
      </c>
      <c r="G2404" s="25">
        <v>0.6861111111111111</v>
      </c>
      <c r="H2404" s="27">
        <f t="shared" si="2"/>
        <v>0.43125</v>
      </c>
      <c r="I2404" s="28">
        <v>4.0</v>
      </c>
      <c r="J2404" s="29" t="s">
        <v>1150</v>
      </c>
      <c r="K2404" s="30" t="s">
        <v>23</v>
      </c>
      <c r="L2404" s="31" t="str">
        <f>IFERROR(__xludf.DUMMYFUNCTION("IF(OR(E2404="""",K2404=""""),"""",IFERROR(IF(K2404="""","""",query('tbl user'!$A$2:$D10975,""SELECT A WHERE D = '""&amp;K2404&amp;""'"")),""USER TIDAK DIKETAHUI""))"),"#REF!")</f>
        <v>#REF!</v>
      </c>
    </row>
    <row r="2405">
      <c r="A2405" s="21">
        <f t="shared" si="1"/>
        <v>0</v>
      </c>
      <c r="B2405" s="32" t="s">
        <v>328</v>
      </c>
      <c r="C2405" s="23" t="s">
        <v>329</v>
      </c>
      <c r="D2405" s="23" t="s">
        <v>21</v>
      </c>
      <c r="E2405" s="37">
        <v>45432.0</v>
      </c>
      <c r="F2405" s="25">
        <v>0.2965277777777778</v>
      </c>
      <c r="G2405" s="25">
        <v>0.65625</v>
      </c>
      <c r="H2405" s="27">
        <f t="shared" si="2"/>
        <v>0.3597222222</v>
      </c>
      <c r="I2405" s="28">
        <v>4.0</v>
      </c>
      <c r="J2405" s="29" t="s">
        <v>1150</v>
      </c>
      <c r="K2405" s="30" t="s">
        <v>23</v>
      </c>
      <c r="L2405" s="31" t="str">
        <f>IFERROR(__xludf.DUMMYFUNCTION("IF(OR(E2405="""",K2405=""""),"""",IFERROR(IF(K2405="""","""",query('tbl user'!$A$2:$D10975,""SELECT A WHERE D = '""&amp;K2405&amp;""'"")),""USER TIDAK DIKETAHUI""))"),"#REF!")</f>
        <v>#REF!</v>
      </c>
    </row>
    <row r="2406">
      <c r="A2406" s="21">
        <f t="shared" si="1"/>
        <v>0</v>
      </c>
      <c r="B2406" s="32" t="s">
        <v>53</v>
      </c>
      <c r="C2406" s="23" t="s">
        <v>54</v>
      </c>
      <c r="D2406" s="23" t="s">
        <v>21</v>
      </c>
      <c r="E2406" s="37">
        <v>45432.0</v>
      </c>
      <c r="F2406" s="25">
        <v>0.2638888888888889</v>
      </c>
      <c r="G2406" s="25">
        <v>0.6381944444444444</v>
      </c>
      <c r="H2406" s="27">
        <f t="shared" si="2"/>
        <v>0.3743055556</v>
      </c>
      <c r="I2406" s="28">
        <v>4.0</v>
      </c>
      <c r="J2406" s="29" t="s">
        <v>1150</v>
      </c>
      <c r="K2406" s="30" t="s">
        <v>23</v>
      </c>
      <c r="L2406" s="31" t="str">
        <f>IFERROR(__xludf.DUMMYFUNCTION("IF(OR(E2406="""",K2406=""""),"""",IFERROR(IF(K2406="""","""",query('tbl user'!$A$2:$D10975,""SELECT A WHERE D = '""&amp;K2406&amp;""'"")),""USER TIDAK DIKETAHUI""))"),"#REF!")</f>
        <v>#REF!</v>
      </c>
    </row>
    <row r="2407">
      <c r="A2407" s="21">
        <f t="shared" si="1"/>
        <v>0</v>
      </c>
      <c r="B2407" s="32" t="s">
        <v>319</v>
      </c>
      <c r="C2407" s="23" t="s">
        <v>320</v>
      </c>
      <c r="D2407" s="23" t="s">
        <v>21</v>
      </c>
      <c r="E2407" s="37">
        <v>45432.0</v>
      </c>
      <c r="F2407" s="25">
        <v>0.23402777777777778</v>
      </c>
      <c r="G2407" s="25">
        <v>0.6319444444444444</v>
      </c>
      <c r="H2407" s="27">
        <f t="shared" si="2"/>
        <v>0.3979166667</v>
      </c>
      <c r="I2407" s="28">
        <v>4.0</v>
      </c>
      <c r="J2407" s="29" t="s">
        <v>1151</v>
      </c>
      <c r="K2407" s="30" t="s">
        <v>23</v>
      </c>
      <c r="L2407" s="31" t="str">
        <f>IFERROR(__xludf.DUMMYFUNCTION("IF(OR(E2407="""",K2407=""""),"""",IFERROR(IF(K2407="""","""",query('tbl user'!$A$2:$D10975,""SELECT A WHERE D = '""&amp;K2407&amp;""'"")),""USER TIDAK DIKETAHUI""))"),"#REF!")</f>
        <v>#REF!</v>
      </c>
    </row>
    <row r="2408">
      <c r="A2408" s="21">
        <f t="shared" si="1"/>
        <v>0</v>
      </c>
      <c r="B2408" s="32" t="s">
        <v>325</v>
      </c>
      <c r="C2408" s="23" t="s">
        <v>326</v>
      </c>
      <c r="D2408" s="23" t="s">
        <v>21</v>
      </c>
      <c r="E2408" s="37">
        <v>45432.0</v>
      </c>
      <c r="F2408" s="25">
        <v>0.28125</v>
      </c>
      <c r="G2408" s="25">
        <v>0.6569444444444444</v>
      </c>
      <c r="H2408" s="27">
        <f t="shared" si="2"/>
        <v>0.3756944444</v>
      </c>
      <c r="I2408" s="28">
        <v>4.0</v>
      </c>
      <c r="J2408" s="29" t="s">
        <v>1150</v>
      </c>
      <c r="K2408" s="30" t="s">
        <v>23</v>
      </c>
      <c r="L2408" s="31" t="str">
        <f>IFERROR(__xludf.DUMMYFUNCTION("IF(OR(E2408="""",K2408=""""),"""",IFERROR(IF(K2408="""","""",query('tbl user'!$A$2:$D10975,""SELECT A WHERE D = '""&amp;K2408&amp;""'"")),""USER TIDAK DIKETAHUI""))"),"#REF!")</f>
        <v>#REF!</v>
      </c>
    </row>
    <row r="2409">
      <c r="A2409" s="21">
        <f t="shared" si="1"/>
        <v>0</v>
      </c>
      <c r="B2409" s="32" t="s">
        <v>601</v>
      </c>
      <c r="C2409" s="23" t="s">
        <v>323</v>
      </c>
      <c r="D2409" s="23" t="s">
        <v>21</v>
      </c>
      <c r="E2409" s="37">
        <v>45432.0</v>
      </c>
      <c r="F2409" s="25">
        <v>0.27847222222222223</v>
      </c>
      <c r="G2409" s="25">
        <v>0.6840277777777778</v>
      </c>
      <c r="H2409" s="27">
        <f t="shared" si="2"/>
        <v>0.4055555556</v>
      </c>
      <c r="I2409" s="28">
        <v>4.0</v>
      </c>
      <c r="J2409" s="29" t="s">
        <v>1152</v>
      </c>
      <c r="K2409" s="30" t="s">
        <v>23</v>
      </c>
      <c r="L2409" s="31" t="str">
        <f>IFERROR(__xludf.DUMMYFUNCTION("IF(OR(E2409="""",K2409=""""),"""",IFERROR(IF(K2409="""","""",query('tbl user'!$A$2:$D10975,""SELECT A WHERE D = '""&amp;K2409&amp;""'"")),""USER TIDAK DIKETAHUI""))"),"#REF!")</f>
        <v>#REF!</v>
      </c>
    </row>
    <row r="2410">
      <c r="A2410" s="21">
        <f t="shared" si="1"/>
        <v>0</v>
      </c>
      <c r="B2410" s="32" t="s">
        <v>662</v>
      </c>
      <c r="C2410" s="23" t="s">
        <v>234</v>
      </c>
      <c r="D2410" s="23" t="s">
        <v>21</v>
      </c>
      <c r="E2410" s="37">
        <v>45432.0</v>
      </c>
      <c r="F2410" s="25">
        <v>0.26666666666666666</v>
      </c>
      <c r="G2410" s="25">
        <v>0.7194444444444444</v>
      </c>
      <c r="H2410" s="27">
        <f t="shared" si="2"/>
        <v>0.4527777778</v>
      </c>
      <c r="I2410" s="28">
        <v>5.0</v>
      </c>
      <c r="J2410" s="29" t="s">
        <v>55</v>
      </c>
      <c r="K2410" s="30" t="s">
        <v>23</v>
      </c>
      <c r="L2410" s="31" t="str">
        <f>IFERROR(__xludf.DUMMYFUNCTION("IF(OR(E2410="""",K2410=""""),"""",IFERROR(IF(K2410="""","""",query('tbl user'!$A$2:$D10975,""SELECT A WHERE D = '""&amp;K2410&amp;""'"")),""USER TIDAK DIKETAHUI""))"),"#REF!")</f>
        <v>#REF!</v>
      </c>
    </row>
    <row r="2411">
      <c r="A2411" s="21">
        <f t="shared" si="1"/>
        <v>0</v>
      </c>
      <c r="B2411" s="32" t="s">
        <v>153</v>
      </c>
      <c r="C2411" s="23" t="s">
        <v>256</v>
      </c>
      <c r="D2411" s="23" t="s">
        <v>21</v>
      </c>
      <c r="E2411" s="37">
        <v>45432.0</v>
      </c>
      <c r="F2411" s="25">
        <v>0.26666666666666666</v>
      </c>
      <c r="G2411" s="25">
        <v>0.7291666666666666</v>
      </c>
      <c r="H2411" s="27">
        <f t="shared" si="2"/>
        <v>0.4625</v>
      </c>
      <c r="I2411" s="28">
        <v>5.0</v>
      </c>
      <c r="J2411" s="29" t="s">
        <v>55</v>
      </c>
      <c r="K2411" s="30" t="s">
        <v>23</v>
      </c>
      <c r="L2411" s="31" t="str">
        <f>IFERROR(__xludf.DUMMYFUNCTION("IF(OR(E2411="""",K2411=""""),"""",IFERROR(IF(K2411="""","""",query('tbl user'!$A$2:$D10975,""SELECT A WHERE D = '""&amp;K2411&amp;""'"")),""USER TIDAK DIKETAHUI""))"),"#REF!")</f>
        <v>#REF!</v>
      </c>
    </row>
    <row r="2412">
      <c r="A2412" s="21">
        <f t="shared" si="1"/>
        <v>0</v>
      </c>
      <c r="B2412" s="32" t="s">
        <v>593</v>
      </c>
      <c r="C2412" s="23" t="s">
        <v>236</v>
      </c>
      <c r="D2412" s="23" t="s">
        <v>21</v>
      </c>
      <c r="E2412" s="37">
        <v>45432.0</v>
      </c>
      <c r="F2412" s="25">
        <v>0.28125</v>
      </c>
      <c r="G2412" s="25">
        <v>0.7368055555555556</v>
      </c>
      <c r="H2412" s="27">
        <f t="shared" si="2"/>
        <v>0.4555555556</v>
      </c>
      <c r="I2412" s="28">
        <v>5.0</v>
      </c>
      <c r="J2412" s="29" t="s">
        <v>55</v>
      </c>
      <c r="K2412" s="30" t="s">
        <v>23</v>
      </c>
      <c r="L2412" s="31" t="str">
        <f>IFERROR(__xludf.DUMMYFUNCTION("IF(OR(E2412="""",K2412=""""),"""",IFERROR(IF(K2412="""","""",query('tbl user'!$A$2:$D10975,""SELECT A WHERE D = '""&amp;K2412&amp;""'"")),""USER TIDAK DIKETAHUI""))"),"#REF!")</f>
        <v>#REF!</v>
      </c>
    </row>
    <row r="2413">
      <c r="A2413" s="21">
        <f t="shared" si="1"/>
        <v>0</v>
      </c>
      <c r="B2413" s="32" t="s">
        <v>331</v>
      </c>
      <c r="C2413" s="23" t="s">
        <v>332</v>
      </c>
      <c r="D2413" s="23" t="s">
        <v>21</v>
      </c>
      <c r="E2413" s="37">
        <v>45432.0</v>
      </c>
      <c r="F2413" s="25">
        <v>0.22013888888888888</v>
      </c>
      <c r="G2413" s="25">
        <v>0.6986111111111111</v>
      </c>
      <c r="H2413" s="27">
        <f t="shared" si="2"/>
        <v>0.4784722222</v>
      </c>
      <c r="I2413" s="28">
        <v>5.0</v>
      </c>
      <c r="J2413" s="29" t="s">
        <v>55</v>
      </c>
      <c r="K2413" s="30" t="s">
        <v>23</v>
      </c>
      <c r="L2413" s="31" t="str">
        <f>IFERROR(__xludf.DUMMYFUNCTION("IF(OR(E2413="""",K2413=""""),"""",IFERROR(IF(K2413="""","""",query('tbl user'!$A$2:$D10975,""SELECT A WHERE D = '""&amp;K2413&amp;""'"")),""USER TIDAK DIKETAHUI""))"),"#REF!")</f>
        <v>#REF!</v>
      </c>
    </row>
    <row r="2414">
      <c r="A2414" s="21">
        <f t="shared" si="1"/>
        <v>0</v>
      </c>
      <c r="B2414" s="32" t="s">
        <v>333</v>
      </c>
      <c r="C2414" s="23" t="s">
        <v>334</v>
      </c>
      <c r="D2414" s="23" t="s">
        <v>21</v>
      </c>
      <c r="E2414" s="37">
        <v>45432.0</v>
      </c>
      <c r="F2414" s="25">
        <v>0.24305555555555555</v>
      </c>
      <c r="G2414" s="25">
        <v>0.7583333333333333</v>
      </c>
      <c r="H2414" s="27">
        <f t="shared" si="2"/>
        <v>0.5152777778</v>
      </c>
      <c r="I2414" s="28">
        <v>5.0</v>
      </c>
      <c r="J2414" s="29" t="s">
        <v>55</v>
      </c>
      <c r="K2414" s="30" t="s">
        <v>23</v>
      </c>
      <c r="L2414" s="31" t="str">
        <f>IFERROR(__xludf.DUMMYFUNCTION("IF(OR(E2414="""",K2414=""""),"""",IFERROR(IF(K2414="""","""",query('tbl user'!$A$2:$D10975,""SELECT A WHERE D = '""&amp;K2414&amp;""'"")),""USER TIDAK DIKETAHUI""))"),"#REF!")</f>
        <v>#REF!</v>
      </c>
    </row>
    <row r="2415">
      <c r="A2415" s="21">
        <f t="shared" si="1"/>
        <v>0</v>
      </c>
      <c r="B2415" s="32" t="s">
        <v>258</v>
      </c>
      <c r="C2415" s="23" t="s">
        <v>259</v>
      </c>
      <c r="D2415" s="23" t="s">
        <v>21</v>
      </c>
      <c r="E2415" s="37">
        <v>45432.0</v>
      </c>
      <c r="F2415" s="25">
        <v>0.25069444444444444</v>
      </c>
      <c r="G2415" s="25">
        <v>0.7041666666666667</v>
      </c>
      <c r="H2415" s="27">
        <f t="shared" si="2"/>
        <v>0.4534722222</v>
      </c>
      <c r="I2415" s="28">
        <v>5.0</v>
      </c>
      <c r="J2415" s="29" t="s">
        <v>55</v>
      </c>
      <c r="K2415" s="30" t="s">
        <v>23</v>
      </c>
      <c r="L2415" s="31" t="str">
        <f>IFERROR(__xludf.DUMMYFUNCTION("IF(OR(E2415="""",K2415=""""),"""",IFERROR(IF(K2415="""","""",query('tbl user'!$A$2:$D10975,""SELECT A WHERE D = '""&amp;K2415&amp;""'"")),""USER TIDAK DIKETAHUI""))"),"#REF!")</f>
        <v>#REF!</v>
      </c>
    </row>
    <row r="2416">
      <c r="A2416" s="21">
        <f t="shared" si="1"/>
        <v>0</v>
      </c>
      <c r="B2416" s="32" t="s">
        <v>87</v>
      </c>
      <c r="C2416" s="23" t="s">
        <v>88</v>
      </c>
      <c r="D2416" s="23" t="s">
        <v>21</v>
      </c>
      <c r="E2416" s="37">
        <v>45432.0</v>
      </c>
      <c r="F2416" s="25">
        <v>0.28541666666666665</v>
      </c>
      <c r="G2416" s="25">
        <v>0.7111111111111111</v>
      </c>
      <c r="H2416" s="27">
        <f t="shared" si="2"/>
        <v>0.4256944444</v>
      </c>
      <c r="I2416" s="28">
        <v>5.0</v>
      </c>
      <c r="J2416" s="29" t="s">
        <v>55</v>
      </c>
      <c r="K2416" s="30" t="s">
        <v>23</v>
      </c>
      <c r="L2416" s="31" t="str">
        <f>IFERROR(__xludf.DUMMYFUNCTION("IF(OR(E2416="""",K2416=""""),"""",IFERROR(IF(K2416="""","""",query('tbl user'!$A$2:$D10975,""SELECT A WHERE D = '""&amp;K2416&amp;""'"")),""USER TIDAK DIKETAHUI""))"),"#REF!")</f>
        <v>#REF!</v>
      </c>
    </row>
    <row r="2417">
      <c r="A2417" s="21">
        <f t="shared" si="1"/>
        <v>0</v>
      </c>
      <c r="B2417" s="32" t="s">
        <v>577</v>
      </c>
      <c r="C2417" s="23" t="s">
        <v>330</v>
      </c>
      <c r="D2417" s="23" t="s">
        <v>21</v>
      </c>
      <c r="E2417" s="37">
        <v>45432.0</v>
      </c>
      <c r="F2417" s="25">
        <v>0.2611111111111111</v>
      </c>
      <c r="G2417" s="25">
        <v>0.71875</v>
      </c>
      <c r="H2417" s="27">
        <f t="shared" si="2"/>
        <v>0.4576388889</v>
      </c>
      <c r="I2417" s="28">
        <v>5.0</v>
      </c>
      <c r="J2417" s="29" t="s">
        <v>55</v>
      </c>
      <c r="K2417" s="30" t="s">
        <v>23</v>
      </c>
      <c r="L2417" s="31" t="str">
        <f>IFERROR(__xludf.DUMMYFUNCTION("IF(OR(E2417="""",K2417=""""),"""",IFERROR(IF(K2417="""","""",query('tbl user'!$A$2:$D10975,""SELECT A WHERE D = '""&amp;K2417&amp;""'"")),""USER TIDAK DIKETAHUI""))"),"#REF!")</f>
        <v>#REF!</v>
      </c>
    </row>
    <row r="2418">
      <c r="A2418" s="21">
        <f t="shared" si="1"/>
        <v>0</v>
      </c>
      <c r="B2418" s="32" t="s">
        <v>260</v>
      </c>
      <c r="C2418" s="23" t="s">
        <v>261</v>
      </c>
      <c r="D2418" s="23" t="s">
        <v>21</v>
      </c>
      <c r="E2418" s="37">
        <v>45432.0</v>
      </c>
      <c r="F2418" s="25">
        <v>0.2763888888888889</v>
      </c>
      <c r="G2418" s="25">
        <v>0.70625</v>
      </c>
      <c r="H2418" s="27">
        <f t="shared" si="2"/>
        <v>0.4298611111</v>
      </c>
      <c r="I2418" s="28">
        <v>5.0</v>
      </c>
      <c r="J2418" s="29" t="s">
        <v>55</v>
      </c>
      <c r="K2418" s="30" t="s">
        <v>23</v>
      </c>
      <c r="L2418" s="31" t="str">
        <f>IFERROR(__xludf.DUMMYFUNCTION("IF(OR(E2418="""",K2418=""""),"""",IFERROR(IF(K2418="""","""",query('tbl user'!$A$2:$D10975,""SELECT A WHERE D = '""&amp;K2418&amp;""'"")),""USER TIDAK DIKETAHUI""))"),"#REF!")</f>
        <v>#REF!</v>
      </c>
    </row>
    <row r="2419">
      <c r="A2419" s="21">
        <f t="shared" si="1"/>
        <v>0</v>
      </c>
      <c r="B2419" s="32" t="s">
        <v>337</v>
      </c>
      <c r="C2419" s="23" t="s">
        <v>338</v>
      </c>
      <c r="D2419" s="23" t="s">
        <v>21</v>
      </c>
      <c r="E2419" s="37">
        <v>45432.0</v>
      </c>
      <c r="F2419" s="25">
        <v>0.2569444444444444</v>
      </c>
      <c r="G2419" s="25">
        <v>0.7493055555555556</v>
      </c>
      <c r="H2419" s="27">
        <f t="shared" si="2"/>
        <v>0.4923611111</v>
      </c>
      <c r="I2419" s="28">
        <v>6.0</v>
      </c>
      <c r="J2419" s="29" t="s">
        <v>55</v>
      </c>
      <c r="K2419" s="30" t="s">
        <v>23</v>
      </c>
      <c r="L2419" s="31" t="str">
        <f>IFERROR(__xludf.DUMMYFUNCTION("IF(OR(E2419="""",K2419=""""),"""",IFERROR(IF(K2419="""","""",query('tbl user'!$A$2:$D10975,""SELECT A WHERE D = '""&amp;K2419&amp;""'"")),""USER TIDAK DIKETAHUI""))"),"#REF!")</f>
        <v>#REF!</v>
      </c>
    </row>
    <row r="2420">
      <c r="A2420" s="21">
        <f t="shared" si="1"/>
        <v>0</v>
      </c>
      <c r="B2420" s="32" t="s">
        <v>113</v>
      </c>
      <c r="C2420" s="23" t="s">
        <v>114</v>
      </c>
      <c r="D2420" s="23" t="s">
        <v>32</v>
      </c>
      <c r="E2420" s="37">
        <v>45432.0</v>
      </c>
      <c r="F2420" s="25">
        <v>0.21319444444444444</v>
      </c>
      <c r="G2420" s="25">
        <v>0.41875</v>
      </c>
      <c r="H2420" s="27">
        <f t="shared" si="2"/>
        <v>0.2055555556</v>
      </c>
      <c r="I2420" s="28">
        <v>1.0</v>
      </c>
      <c r="J2420" s="29" t="s">
        <v>1153</v>
      </c>
      <c r="K2420" s="30" t="s">
        <v>23</v>
      </c>
      <c r="L2420" s="31" t="str">
        <f>IFERROR(__xludf.DUMMYFUNCTION("IF(OR(E2420="""",K2420=""""),"""",IFERROR(IF(K2420="""","""",query('tbl user'!$A$2:$D10975,""SELECT A WHERE D = '""&amp;K2420&amp;""'"")),""USER TIDAK DIKETAHUI""))"),"#REF!")</f>
        <v>#REF!</v>
      </c>
    </row>
    <row r="2421">
      <c r="A2421" s="21">
        <f t="shared" si="1"/>
        <v>0</v>
      </c>
      <c r="B2421" s="32" t="s">
        <v>151</v>
      </c>
      <c r="C2421" s="23" t="s">
        <v>152</v>
      </c>
      <c r="D2421" s="23" t="s">
        <v>32</v>
      </c>
      <c r="E2421" s="37">
        <v>45432.0</v>
      </c>
      <c r="F2421" s="25">
        <v>0.26458333333333334</v>
      </c>
      <c r="G2421" s="25">
        <v>0.6854166666666667</v>
      </c>
      <c r="H2421" s="27">
        <f t="shared" si="2"/>
        <v>0.4208333333</v>
      </c>
      <c r="I2421" s="28">
        <v>3.0</v>
      </c>
      <c r="J2421" s="29" t="s">
        <v>630</v>
      </c>
      <c r="K2421" s="30" t="s">
        <v>23</v>
      </c>
      <c r="L2421" s="31" t="str">
        <f>IFERROR(__xludf.DUMMYFUNCTION("IF(OR(E2421="""",K2421=""""),"""",IFERROR(IF(K2421="""","""",query('tbl user'!$A$2:$D10975,""SELECT A WHERE D = '""&amp;K2421&amp;""'"")),""USER TIDAK DIKETAHUI""))"),"#REF!")</f>
        <v>#REF!</v>
      </c>
    </row>
    <row r="2422">
      <c r="A2422" s="21">
        <f t="shared" si="1"/>
        <v>0</v>
      </c>
      <c r="B2422" s="32" t="s">
        <v>412</v>
      </c>
      <c r="C2422" s="23" t="s">
        <v>413</v>
      </c>
      <c r="D2422" s="23" t="s">
        <v>32</v>
      </c>
      <c r="E2422" s="37">
        <v>45432.0</v>
      </c>
      <c r="F2422" s="25">
        <v>0.28958333333333336</v>
      </c>
      <c r="G2422" s="25">
        <v>0.7006944444444444</v>
      </c>
      <c r="H2422" s="27">
        <f t="shared" si="2"/>
        <v>0.4111111111</v>
      </c>
      <c r="I2422" s="28">
        <v>4.0</v>
      </c>
      <c r="J2422" s="29" t="s">
        <v>55</v>
      </c>
      <c r="K2422" s="30" t="s">
        <v>23</v>
      </c>
      <c r="L2422" s="31" t="str">
        <f>IFERROR(__xludf.DUMMYFUNCTION("IF(OR(E2422="""",K2422=""""),"""",IFERROR(IF(K2422="""","""",query('tbl user'!$A$2:$D10975,""SELECT A WHERE D = '""&amp;K2422&amp;""'"")),""USER TIDAK DIKETAHUI""))"),"#REF!")</f>
        <v>#REF!</v>
      </c>
    </row>
    <row r="2423">
      <c r="A2423" s="21">
        <f t="shared" si="1"/>
        <v>0</v>
      </c>
      <c r="B2423" s="32" t="s">
        <v>110</v>
      </c>
      <c r="C2423" s="23" t="s">
        <v>111</v>
      </c>
      <c r="D2423" s="23" t="s">
        <v>32</v>
      </c>
      <c r="E2423" s="37">
        <v>45432.0</v>
      </c>
      <c r="F2423" s="25">
        <v>0.2798611111111111</v>
      </c>
      <c r="G2423" s="25">
        <v>0.6652777777777777</v>
      </c>
      <c r="H2423" s="27">
        <f t="shared" si="2"/>
        <v>0.3854166667</v>
      </c>
      <c r="I2423" s="28">
        <v>4.0</v>
      </c>
      <c r="J2423" s="29" t="s">
        <v>55</v>
      </c>
      <c r="K2423" s="30" t="s">
        <v>23</v>
      </c>
      <c r="L2423" s="31" t="str">
        <f>IFERROR(__xludf.DUMMYFUNCTION("IF(OR(E2423="""",K2423=""""),"""",IFERROR(IF(K2423="""","""",query('tbl user'!$A$2:$D10975,""SELECT A WHERE D = '""&amp;K2423&amp;""'"")),""USER TIDAK DIKETAHUI""))"),"#REF!")</f>
        <v>#REF!</v>
      </c>
    </row>
    <row r="2424">
      <c r="A2424" s="21">
        <f t="shared" si="1"/>
        <v>0</v>
      </c>
      <c r="B2424" s="32" t="s">
        <v>72</v>
      </c>
      <c r="C2424" s="23" t="s">
        <v>73</v>
      </c>
      <c r="D2424" s="23" t="s">
        <v>32</v>
      </c>
      <c r="E2424" s="37">
        <v>45432.0</v>
      </c>
      <c r="F2424" s="25">
        <v>0.2423611111111111</v>
      </c>
      <c r="G2424" s="25">
        <v>0.6854166666666667</v>
      </c>
      <c r="H2424" s="27">
        <f t="shared" si="2"/>
        <v>0.4430555556</v>
      </c>
      <c r="I2424" s="28">
        <v>4.0</v>
      </c>
      <c r="J2424" s="29" t="s">
        <v>55</v>
      </c>
      <c r="K2424" s="30" t="s">
        <v>23</v>
      </c>
      <c r="L2424" s="31" t="str">
        <f>IFERROR(__xludf.DUMMYFUNCTION("IF(OR(E2424="""",K2424=""""),"""",IFERROR(IF(K2424="""","""",query('tbl user'!$A$2:$D10975,""SELECT A WHERE D = '""&amp;K2424&amp;""'"")),""USER TIDAK DIKETAHUI""))"),"#REF!")</f>
        <v>#REF!</v>
      </c>
    </row>
    <row r="2425">
      <c r="A2425" s="21">
        <f t="shared" si="1"/>
        <v>0</v>
      </c>
      <c r="B2425" s="32" t="s">
        <v>363</v>
      </c>
      <c r="C2425" s="23" t="s">
        <v>132</v>
      </c>
      <c r="D2425" s="23" t="s">
        <v>32</v>
      </c>
      <c r="E2425" s="37">
        <v>45432.0</v>
      </c>
      <c r="F2425" s="25">
        <v>0.26180555555555557</v>
      </c>
      <c r="G2425" s="25">
        <v>0.6555555555555556</v>
      </c>
      <c r="H2425" s="27">
        <f t="shared" si="2"/>
        <v>0.39375</v>
      </c>
      <c r="I2425" s="28">
        <v>4.0</v>
      </c>
      <c r="J2425" s="29" t="s">
        <v>55</v>
      </c>
      <c r="K2425" s="30" t="s">
        <v>23</v>
      </c>
      <c r="L2425" s="31" t="str">
        <f>IFERROR(__xludf.DUMMYFUNCTION("IF(OR(E2425="""",K2425=""""),"""",IFERROR(IF(K2425="""","""",query('tbl user'!$A$2:$D10975,""SELECT A WHERE D = '""&amp;K2425&amp;""'"")),""USER TIDAK DIKETAHUI""))"),"#REF!")</f>
        <v>#REF!</v>
      </c>
    </row>
    <row r="2426">
      <c r="A2426" s="21">
        <f t="shared" si="1"/>
        <v>0</v>
      </c>
      <c r="B2426" s="32" t="s">
        <v>135</v>
      </c>
      <c r="C2426" s="23" t="s">
        <v>136</v>
      </c>
      <c r="D2426" s="23" t="s">
        <v>32</v>
      </c>
      <c r="E2426" s="37">
        <v>45432.0</v>
      </c>
      <c r="F2426" s="25">
        <v>0.2652777777777778</v>
      </c>
      <c r="G2426" s="25">
        <v>0.6645833333333333</v>
      </c>
      <c r="H2426" s="27">
        <f t="shared" si="2"/>
        <v>0.3993055556</v>
      </c>
      <c r="I2426" s="28">
        <v>4.0</v>
      </c>
      <c r="J2426" s="29" t="s">
        <v>55</v>
      </c>
      <c r="K2426" s="30" t="s">
        <v>23</v>
      </c>
      <c r="L2426" s="31" t="str">
        <f>IFERROR(__xludf.DUMMYFUNCTION("IF(OR(E2426="""",K2426=""""),"""",IFERROR(IF(K2426="""","""",query('tbl user'!$A$2:$D10975,""SELECT A WHERE D = '""&amp;K2426&amp;""'"")),""USER TIDAK DIKETAHUI""))"),"#REF!")</f>
        <v>#REF!</v>
      </c>
    </row>
    <row r="2427">
      <c r="A2427" s="21">
        <f t="shared" si="1"/>
        <v>0</v>
      </c>
      <c r="B2427" s="32" t="s">
        <v>269</v>
      </c>
      <c r="C2427" s="23" t="s">
        <v>270</v>
      </c>
      <c r="D2427" s="23" t="s">
        <v>32</v>
      </c>
      <c r="E2427" s="37">
        <v>45432.0</v>
      </c>
      <c r="F2427" s="25">
        <v>0.2569444444444444</v>
      </c>
      <c r="G2427" s="25">
        <v>0.7194444444444444</v>
      </c>
      <c r="H2427" s="27">
        <f t="shared" si="2"/>
        <v>0.4625</v>
      </c>
      <c r="I2427" s="28">
        <v>4.0</v>
      </c>
      <c r="J2427" s="29" t="s">
        <v>55</v>
      </c>
      <c r="K2427" s="30" t="s">
        <v>23</v>
      </c>
      <c r="L2427" s="31" t="str">
        <f>IFERROR(__xludf.DUMMYFUNCTION("IF(OR(E2427="""",K2427=""""),"""",IFERROR(IF(K2427="""","""",query('tbl user'!$A$2:$D10975,""SELECT A WHERE D = '""&amp;K2427&amp;""'"")),""USER TIDAK DIKETAHUI""))"),"#REF!")</f>
        <v>#REF!</v>
      </c>
    </row>
    <row r="2428">
      <c r="A2428" s="21">
        <f t="shared" si="1"/>
        <v>0</v>
      </c>
      <c r="B2428" s="32" t="s">
        <v>312</v>
      </c>
      <c r="C2428" s="23" t="s">
        <v>313</v>
      </c>
      <c r="D2428" s="23" t="s">
        <v>32</v>
      </c>
      <c r="E2428" s="37">
        <v>45432.0</v>
      </c>
      <c r="F2428" s="25">
        <v>0.2298611111111111</v>
      </c>
      <c r="G2428" s="25">
        <v>0.6597222222222222</v>
      </c>
      <c r="H2428" s="27">
        <f t="shared" si="2"/>
        <v>0.4298611111</v>
      </c>
      <c r="I2428" s="28">
        <v>4.0</v>
      </c>
      <c r="J2428" s="29" t="s">
        <v>55</v>
      </c>
      <c r="K2428" s="30" t="s">
        <v>23</v>
      </c>
      <c r="L2428" s="31" t="str">
        <f>IFERROR(__xludf.DUMMYFUNCTION("IF(OR(E2428="""",K2428=""""),"""",IFERROR(IF(K2428="""","""",query('tbl user'!$A$2:$D10975,""SELECT A WHERE D = '""&amp;K2428&amp;""'"")),""USER TIDAK DIKETAHUI""))"),"#REF!")</f>
        <v>#REF!</v>
      </c>
    </row>
    <row r="2429">
      <c r="A2429" s="21">
        <f t="shared" si="1"/>
        <v>0</v>
      </c>
      <c r="B2429" s="32" t="s">
        <v>279</v>
      </c>
      <c r="C2429" s="23" t="s">
        <v>280</v>
      </c>
      <c r="D2429" s="23" t="s">
        <v>32</v>
      </c>
      <c r="E2429" s="37">
        <v>45432.0</v>
      </c>
      <c r="F2429" s="25">
        <v>0.2777777777777778</v>
      </c>
      <c r="G2429" s="25">
        <v>0.7020833333333333</v>
      </c>
      <c r="H2429" s="27">
        <f t="shared" si="2"/>
        <v>0.4243055556</v>
      </c>
      <c r="I2429" s="28">
        <v>4.0</v>
      </c>
      <c r="J2429" s="29" t="s">
        <v>55</v>
      </c>
      <c r="K2429" s="30" t="s">
        <v>23</v>
      </c>
      <c r="L2429" s="31" t="str">
        <f>IFERROR(__xludf.DUMMYFUNCTION("IF(OR(E2429="""",K2429=""""),"""",IFERROR(IF(K2429="""","""",query('tbl user'!$A$2:$D10975,""SELECT A WHERE D = '""&amp;K2429&amp;""'"")),""USER TIDAK DIKETAHUI""))"),"#REF!")</f>
        <v>#REF!</v>
      </c>
    </row>
    <row r="2430">
      <c r="A2430" s="21">
        <f t="shared" si="1"/>
        <v>0</v>
      </c>
      <c r="B2430" s="32" t="s">
        <v>141</v>
      </c>
      <c r="C2430" s="23" t="s">
        <v>142</v>
      </c>
      <c r="D2430" s="23" t="s">
        <v>32</v>
      </c>
      <c r="E2430" s="37">
        <v>45432.0</v>
      </c>
      <c r="F2430" s="25">
        <v>0.2708333333333333</v>
      </c>
      <c r="G2430" s="25">
        <v>0.6944444444444444</v>
      </c>
      <c r="H2430" s="27">
        <f t="shared" si="2"/>
        <v>0.4236111111</v>
      </c>
      <c r="I2430" s="28">
        <v>4.0</v>
      </c>
      <c r="J2430" s="29" t="s">
        <v>55</v>
      </c>
      <c r="K2430" s="30" t="s">
        <v>23</v>
      </c>
      <c r="L2430" s="31" t="str">
        <f>IFERROR(__xludf.DUMMYFUNCTION("IF(OR(E2430="""",K2430=""""),"""",IFERROR(IF(K2430="""","""",query('tbl user'!$A$2:$D10975,""SELECT A WHERE D = '""&amp;K2430&amp;""'"")),""USER TIDAK DIKETAHUI""))"),"#REF!")</f>
        <v>#REF!</v>
      </c>
    </row>
    <row r="2431">
      <c r="A2431" s="21">
        <f t="shared" si="1"/>
        <v>0</v>
      </c>
      <c r="B2431" s="32" t="s">
        <v>144</v>
      </c>
      <c r="C2431" s="23" t="s">
        <v>145</v>
      </c>
      <c r="D2431" s="23" t="s">
        <v>32</v>
      </c>
      <c r="E2431" s="37">
        <v>45432.0</v>
      </c>
      <c r="F2431" s="25">
        <v>0.26875</v>
      </c>
      <c r="G2431" s="25">
        <v>0.6868055555555556</v>
      </c>
      <c r="H2431" s="27">
        <f t="shared" si="2"/>
        <v>0.4180555556</v>
      </c>
      <c r="I2431" s="28">
        <v>4.0</v>
      </c>
      <c r="J2431" s="29" t="s">
        <v>55</v>
      </c>
      <c r="K2431" s="30" t="s">
        <v>23</v>
      </c>
      <c r="L2431" s="31" t="str">
        <f>IFERROR(__xludf.DUMMYFUNCTION("IF(OR(E2431="""",K2431=""""),"""",IFERROR(IF(K2431="""","""",query('tbl user'!$A$2:$D10975,""SELECT A WHERE D = '""&amp;K2431&amp;""'"")),""USER TIDAK DIKETAHUI""))"),"#REF!")</f>
        <v>#REF!</v>
      </c>
    </row>
    <row r="2432">
      <c r="A2432" s="21">
        <f t="shared" si="1"/>
        <v>0</v>
      </c>
      <c r="B2432" s="32" t="s">
        <v>146</v>
      </c>
      <c r="C2432" s="23" t="s">
        <v>147</v>
      </c>
      <c r="D2432" s="23" t="s">
        <v>32</v>
      </c>
      <c r="E2432" s="37">
        <v>45432.0</v>
      </c>
      <c r="F2432" s="25">
        <v>0.2569444444444444</v>
      </c>
      <c r="G2432" s="25">
        <v>0.6854166666666667</v>
      </c>
      <c r="H2432" s="27">
        <f t="shared" si="2"/>
        <v>0.4284722222</v>
      </c>
      <c r="I2432" s="28">
        <v>4.0</v>
      </c>
      <c r="J2432" s="29" t="s">
        <v>55</v>
      </c>
      <c r="K2432" s="30" t="s">
        <v>23</v>
      </c>
      <c r="L2432" s="31" t="str">
        <f>IFERROR(__xludf.DUMMYFUNCTION("IF(OR(E2432="""",K2432=""""),"""",IFERROR(IF(K2432="""","""",query('tbl user'!$A$2:$D10975,""SELECT A WHERE D = '""&amp;K2432&amp;""'"")),""USER TIDAK DIKETAHUI""))"),"#REF!")</f>
        <v>#REF!</v>
      </c>
    </row>
    <row r="2433">
      <c r="A2433" s="21">
        <f t="shared" si="1"/>
        <v>0</v>
      </c>
      <c r="B2433" s="32" t="s">
        <v>274</v>
      </c>
      <c r="C2433" s="23" t="s">
        <v>275</v>
      </c>
      <c r="D2433" s="23" t="s">
        <v>32</v>
      </c>
      <c r="E2433" s="37">
        <v>45432.0</v>
      </c>
      <c r="F2433" s="25">
        <v>0.24375</v>
      </c>
      <c r="G2433" s="25">
        <v>0.6861111111111111</v>
      </c>
      <c r="H2433" s="27">
        <f t="shared" si="2"/>
        <v>0.4423611111</v>
      </c>
      <c r="I2433" s="28">
        <v>4.0</v>
      </c>
      <c r="J2433" s="29" t="s">
        <v>55</v>
      </c>
      <c r="K2433" s="30" t="s">
        <v>23</v>
      </c>
      <c r="L2433" s="31" t="str">
        <f>IFERROR(__xludf.DUMMYFUNCTION("IF(OR(E2433="""",K2433=""""),"""",IFERROR(IF(K2433="""","""",query('tbl user'!$A$2:$D10975,""SELECT A WHERE D = '""&amp;K2433&amp;""'"")),""USER TIDAK DIKETAHUI""))"),"#REF!")</f>
        <v>#REF!</v>
      </c>
    </row>
    <row r="2434">
      <c r="A2434" s="21">
        <f t="shared" si="1"/>
        <v>0</v>
      </c>
      <c r="B2434" s="32" t="s">
        <v>250</v>
      </c>
      <c r="C2434" s="23" t="s">
        <v>315</v>
      </c>
      <c r="D2434" s="23" t="s">
        <v>32</v>
      </c>
      <c r="E2434" s="37">
        <v>45432.0</v>
      </c>
      <c r="F2434" s="25">
        <v>0.2222222222222222</v>
      </c>
      <c r="G2434" s="25">
        <v>0.7013888888888888</v>
      </c>
      <c r="H2434" s="27">
        <f t="shared" si="2"/>
        <v>0.4791666667</v>
      </c>
      <c r="I2434" s="28">
        <v>5.0</v>
      </c>
      <c r="J2434" s="29" t="s">
        <v>55</v>
      </c>
      <c r="K2434" s="30" t="s">
        <v>23</v>
      </c>
      <c r="L2434" s="31" t="str">
        <f>IFERROR(__xludf.DUMMYFUNCTION("IF(OR(E2434="""",K2434=""""),"""",IFERROR(IF(K2434="""","""",query('tbl user'!$A$2:$D10975,""SELECT A WHERE D = '""&amp;K2434&amp;""'"")),""USER TIDAK DIKETAHUI""))"),"#REF!")</f>
        <v>#REF!</v>
      </c>
    </row>
    <row r="2435">
      <c r="A2435" s="21">
        <f t="shared" si="1"/>
        <v>0</v>
      </c>
      <c r="B2435" s="32" t="s">
        <v>30</v>
      </c>
      <c r="C2435" s="23" t="s">
        <v>31</v>
      </c>
      <c r="D2435" s="23" t="s">
        <v>32</v>
      </c>
      <c r="E2435" s="37">
        <v>45432.0</v>
      </c>
      <c r="F2435" s="25">
        <v>0.22708333333333333</v>
      </c>
      <c r="G2435" s="25">
        <v>0.7</v>
      </c>
      <c r="H2435" s="27">
        <f t="shared" si="2"/>
        <v>0.4729166667</v>
      </c>
      <c r="I2435" s="28">
        <v>5.0</v>
      </c>
      <c r="J2435" s="29" t="s">
        <v>55</v>
      </c>
      <c r="K2435" s="30" t="s">
        <v>23</v>
      </c>
      <c r="L2435" s="31" t="str">
        <f>IFERROR(__xludf.DUMMYFUNCTION("IF(OR(E2435="""",K2435=""""),"""",IFERROR(IF(K2435="""","""",query('tbl user'!$A$2:$D10975,""SELECT A WHERE D = '""&amp;K2435&amp;""'"")),""USER TIDAK DIKETAHUI""))"),"#REF!")</f>
        <v>#REF!</v>
      </c>
    </row>
    <row r="2436">
      <c r="A2436" s="21">
        <f t="shared" si="1"/>
        <v>0</v>
      </c>
      <c r="B2436" s="32" t="s">
        <v>40</v>
      </c>
      <c r="C2436" s="23" t="s">
        <v>41</v>
      </c>
      <c r="D2436" s="23" t="s">
        <v>32</v>
      </c>
      <c r="E2436" s="37">
        <v>45432.0</v>
      </c>
      <c r="F2436" s="25">
        <v>0.22013888888888888</v>
      </c>
      <c r="G2436" s="25">
        <v>0.7013888888888888</v>
      </c>
      <c r="H2436" s="27">
        <f t="shared" si="2"/>
        <v>0.48125</v>
      </c>
      <c r="I2436" s="28">
        <v>5.0</v>
      </c>
      <c r="J2436" s="29" t="s">
        <v>55</v>
      </c>
      <c r="K2436" s="30" t="s">
        <v>23</v>
      </c>
      <c r="L2436" s="31" t="str">
        <f>IFERROR(__xludf.DUMMYFUNCTION("IF(OR(E2436="""",K2436=""""),"""",IFERROR(IF(K2436="""","""",query('tbl user'!$A$2:$D10975,""SELECT A WHERE D = '""&amp;K2436&amp;""'"")),""USER TIDAK DIKETAHUI""))"),"#REF!")</f>
        <v>#REF!</v>
      </c>
    </row>
    <row r="2437">
      <c r="A2437" s="21">
        <f t="shared" si="1"/>
        <v>0</v>
      </c>
      <c r="B2437" s="32" t="s">
        <v>137</v>
      </c>
      <c r="C2437" s="23" t="s">
        <v>138</v>
      </c>
      <c r="D2437" s="23" t="s">
        <v>32</v>
      </c>
      <c r="E2437" s="37">
        <v>45432.0</v>
      </c>
      <c r="F2437" s="25">
        <v>0.24027777777777778</v>
      </c>
      <c r="G2437" s="25">
        <v>0.7125</v>
      </c>
      <c r="H2437" s="27">
        <f t="shared" si="2"/>
        <v>0.4722222222</v>
      </c>
      <c r="I2437" s="28">
        <v>5.0</v>
      </c>
      <c r="J2437" s="29" t="s">
        <v>55</v>
      </c>
      <c r="K2437" s="30" t="s">
        <v>23</v>
      </c>
      <c r="L2437" s="31" t="str">
        <f>IFERROR(__xludf.DUMMYFUNCTION("IF(OR(E2437="""",K2437=""""),"""",IFERROR(IF(K2437="""","""",query('tbl user'!$A$2:$D10975,""SELECT A WHERE D = '""&amp;K2437&amp;""'"")),""USER TIDAK DIKETAHUI""))"),"#REF!")</f>
        <v>#REF!</v>
      </c>
    </row>
    <row r="2438">
      <c r="A2438" s="21">
        <f t="shared" si="1"/>
        <v>0</v>
      </c>
      <c r="B2438" s="32" t="s">
        <v>277</v>
      </c>
      <c r="C2438" s="23" t="s">
        <v>278</v>
      </c>
      <c r="D2438" s="23" t="s">
        <v>32</v>
      </c>
      <c r="E2438" s="37">
        <v>45432.0</v>
      </c>
      <c r="F2438" s="25">
        <v>0.2520833333333333</v>
      </c>
      <c r="G2438" s="25">
        <v>0.7340277777777777</v>
      </c>
      <c r="H2438" s="27">
        <f t="shared" si="2"/>
        <v>0.4819444444</v>
      </c>
      <c r="I2438" s="28">
        <v>5.0</v>
      </c>
      <c r="J2438" s="29" t="s">
        <v>55</v>
      </c>
      <c r="K2438" s="30" t="s">
        <v>23</v>
      </c>
      <c r="L2438" s="31" t="str">
        <f>IFERROR(__xludf.DUMMYFUNCTION("IF(OR(E2438="""",K2438=""""),"""",IFERROR(IF(K2438="""","""",query('tbl user'!$A$2:$D10975,""SELECT A WHERE D = '""&amp;K2438&amp;""'"")),""USER TIDAK DIKETAHUI""))"),"#REF!")</f>
        <v>#REF!</v>
      </c>
    </row>
    <row r="2439">
      <c r="A2439" s="21">
        <f t="shared" si="1"/>
        <v>0</v>
      </c>
      <c r="B2439" s="32" t="s">
        <v>78</v>
      </c>
      <c r="C2439" s="23" t="s">
        <v>79</v>
      </c>
      <c r="D2439" s="23" t="s">
        <v>32</v>
      </c>
      <c r="E2439" s="37">
        <v>45432.0</v>
      </c>
      <c r="F2439" s="25">
        <v>0.22361111111111112</v>
      </c>
      <c r="G2439" s="25">
        <v>0.7319444444444444</v>
      </c>
      <c r="H2439" s="27">
        <f t="shared" si="2"/>
        <v>0.5083333333</v>
      </c>
      <c r="I2439" s="28">
        <v>5.0</v>
      </c>
      <c r="J2439" s="29" t="s">
        <v>55</v>
      </c>
      <c r="K2439" s="30" t="s">
        <v>23</v>
      </c>
      <c r="L2439" s="31" t="str">
        <f>IFERROR(__xludf.DUMMYFUNCTION("IF(OR(E2439="""",K2439=""""),"""",IFERROR(IF(K2439="""","""",query('tbl user'!$A$2:$D10975,""SELECT A WHERE D = '""&amp;K2439&amp;""'"")),""USER TIDAK DIKETAHUI""))"),"#REF!")</f>
        <v>#REF!</v>
      </c>
    </row>
    <row r="2440">
      <c r="A2440" s="21">
        <f t="shared" si="1"/>
        <v>0</v>
      </c>
      <c r="B2440" s="32" t="s">
        <v>225</v>
      </c>
      <c r="C2440" s="23" t="s">
        <v>211</v>
      </c>
      <c r="D2440" s="23" t="s">
        <v>58</v>
      </c>
      <c r="E2440" s="37">
        <v>45433.0</v>
      </c>
      <c r="F2440" s="25">
        <v>0.28958333333333336</v>
      </c>
      <c r="G2440" s="25">
        <v>0.6097222222222223</v>
      </c>
      <c r="H2440" s="27">
        <f t="shared" si="2"/>
        <v>0.3201388889</v>
      </c>
      <c r="I2440" s="28">
        <v>2.0</v>
      </c>
      <c r="J2440" s="29" t="s">
        <v>1154</v>
      </c>
      <c r="K2440" s="30" t="s">
        <v>23</v>
      </c>
      <c r="L2440" s="31" t="str">
        <f>IFERROR(__xludf.DUMMYFUNCTION("IF(OR(E2440="""",K2440=""""),"""",IFERROR(IF(K2440="""","""",query('tbl user'!$A$2:$D10975,""SELECT A WHERE D = '""&amp;K2440&amp;""'"")),""USER TIDAK DIKETAHUI""))"),"#REF!")</f>
        <v>#REF!</v>
      </c>
    </row>
    <row r="2441">
      <c r="A2441" s="21">
        <f t="shared" si="1"/>
        <v>0</v>
      </c>
      <c r="B2441" s="32" t="s">
        <v>214</v>
      </c>
      <c r="C2441" s="23" t="s">
        <v>170</v>
      </c>
      <c r="D2441" s="23" t="s">
        <v>58</v>
      </c>
      <c r="E2441" s="37">
        <v>45433.0</v>
      </c>
      <c r="F2441" s="25">
        <v>0.30069444444444443</v>
      </c>
      <c r="G2441" s="25">
        <v>0.5659722222222222</v>
      </c>
      <c r="H2441" s="27">
        <f t="shared" si="2"/>
        <v>0.2652777778</v>
      </c>
      <c r="I2441" s="28">
        <v>2.0</v>
      </c>
      <c r="J2441" s="29" t="s">
        <v>468</v>
      </c>
      <c r="K2441" s="30" t="s">
        <v>23</v>
      </c>
      <c r="L2441" s="31" t="str">
        <f>IFERROR(__xludf.DUMMYFUNCTION("IF(OR(E2441="""",K2441=""""),"""",IFERROR(IF(K2441="""","""",query('tbl user'!$A$2:$D10975,""SELECT A WHERE D = '""&amp;K2441&amp;""'"")),""USER TIDAK DIKETAHUI""))"),"#REF!")</f>
        <v>#REF!</v>
      </c>
    </row>
    <row r="2442">
      <c r="A2442" s="21">
        <f t="shared" si="1"/>
        <v>0</v>
      </c>
      <c r="B2442" s="32" t="s">
        <v>215</v>
      </c>
      <c r="C2442" s="23" t="s">
        <v>176</v>
      </c>
      <c r="D2442" s="23" t="s">
        <v>58</v>
      </c>
      <c r="E2442" s="37">
        <v>45433.0</v>
      </c>
      <c r="F2442" s="25">
        <v>0.2388888888888889</v>
      </c>
      <c r="G2442" s="25">
        <v>0.5673611111111111</v>
      </c>
      <c r="H2442" s="27">
        <f t="shared" si="2"/>
        <v>0.3284722222</v>
      </c>
      <c r="I2442" s="28">
        <v>2.0</v>
      </c>
      <c r="J2442" s="29" t="s">
        <v>468</v>
      </c>
      <c r="K2442" s="30" t="s">
        <v>23</v>
      </c>
      <c r="L2442" s="31" t="str">
        <f>IFERROR(__xludf.DUMMYFUNCTION("IF(OR(E2442="""",K2442=""""),"""",IFERROR(IF(K2442="""","""",query('tbl user'!$A$2:$D10975,""SELECT A WHERE D = '""&amp;K2442&amp;""'"")),""USER TIDAK DIKETAHUI""))"),"#REF!")</f>
        <v>#REF!</v>
      </c>
    </row>
    <row r="2443">
      <c r="A2443" s="21">
        <f t="shared" si="1"/>
        <v>0</v>
      </c>
      <c r="B2443" s="32" t="s">
        <v>56</v>
      </c>
      <c r="C2443" s="23" t="s">
        <v>57</v>
      </c>
      <c r="D2443" s="23" t="s">
        <v>58</v>
      </c>
      <c r="E2443" s="37">
        <v>45433.0</v>
      </c>
      <c r="F2443" s="25">
        <v>0.2652777777777778</v>
      </c>
      <c r="G2443" s="25">
        <v>0.6201388888888889</v>
      </c>
      <c r="H2443" s="27">
        <f t="shared" si="2"/>
        <v>0.3548611111</v>
      </c>
      <c r="I2443" s="28">
        <v>2.0</v>
      </c>
      <c r="J2443" s="29" t="s">
        <v>468</v>
      </c>
      <c r="K2443" s="30" t="s">
        <v>23</v>
      </c>
      <c r="L2443" s="31" t="str">
        <f>IFERROR(__xludf.DUMMYFUNCTION("IF(OR(E2443="""",K2443=""""),"""",IFERROR(IF(K2443="""","""",query('tbl user'!$A$2:$D10975,""SELECT A WHERE D = '""&amp;K2443&amp;""'"")),""USER TIDAK DIKETAHUI""))"),"#REF!")</f>
        <v>#REF!</v>
      </c>
    </row>
    <row r="2444">
      <c r="A2444" s="21">
        <f t="shared" si="1"/>
        <v>0</v>
      </c>
      <c r="B2444" s="32" t="s">
        <v>178</v>
      </c>
      <c r="C2444" s="23" t="s">
        <v>82</v>
      </c>
      <c r="D2444" s="23" t="s">
        <v>58</v>
      </c>
      <c r="E2444" s="37">
        <v>45433.0</v>
      </c>
      <c r="F2444" s="25">
        <v>0.28958333333333336</v>
      </c>
      <c r="G2444" s="25">
        <v>0.6520833333333333</v>
      </c>
      <c r="H2444" s="27">
        <f t="shared" si="2"/>
        <v>0.3625</v>
      </c>
      <c r="I2444" s="28">
        <v>2.0</v>
      </c>
      <c r="J2444" s="29" t="s">
        <v>468</v>
      </c>
      <c r="K2444" s="30" t="s">
        <v>23</v>
      </c>
      <c r="L2444" s="31" t="str">
        <f>IFERROR(__xludf.DUMMYFUNCTION("IF(OR(E2444="""",K2444=""""),"""",IFERROR(IF(K2444="""","""",query('tbl user'!$A$2:$D10975,""SELECT A WHERE D = '""&amp;K2444&amp;""'"")),""USER TIDAK DIKETAHUI""))"),"#REF!")</f>
        <v>#REF!</v>
      </c>
    </row>
    <row r="2445">
      <c r="A2445" s="21">
        <f t="shared" si="1"/>
        <v>0</v>
      </c>
      <c r="B2445" s="32" t="s">
        <v>197</v>
      </c>
      <c r="C2445" s="23" t="s">
        <v>198</v>
      </c>
      <c r="D2445" s="23" t="s">
        <v>58</v>
      </c>
      <c r="E2445" s="37">
        <v>45433.0</v>
      </c>
      <c r="F2445" s="25">
        <v>0.20555555555555555</v>
      </c>
      <c r="G2445" s="25">
        <v>0.4583333333333333</v>
      </c>
      <c r="H2445" s="27">
        <f t="shared" si="2"/>
        <v>0.2527777778</v>
      </c>
      <c r="I2445" s="28">
        <v>2.0</v>
      </c>
      <c r="J2445" s="29" t="s">
        <v>468</v>
      </c>
      <c r="K2445" s="30" t="s">
        <v>23</v>
      </c>
      <c r="L2445" s="31" t="str">
        <f>IFERROR(__xludf.DUMMYFUNCTION("IF(OR(E2445="""",K2445=""""),"""",IFERROR(IF(K2445="""","""",query('tbl user'!$A$2:$D10975,""SELECT A WHERE D = '""&amp;K2445&amp;""'"")),""USER TIDAK DIKETAHUI""))"),"#REF!")</f>
        <v>#REF!</v>
      </c>
    </row>
    <row r="2446">
      <c r="A2446" s="21">
        <f t="shared" si="1"/>
        <v>0</v>
      </c>
      <c r="B2446" s="32" t="s">
        <v>104</v>
      </c>
      <c r="C2446" s="23" t="s">
        <v>105</v>
      </c>
      <c r="D2446" s="23" t="s">
        <v>58</v>
      </c>
      <c r="E2446" s="37">
        <v>45433.0</v>
      </c>
      <c r="F2446" s="25">
        <v>0.24027777777777778</v>
      </c>
      <c r="G2446" s="25">
        <v>0.66875</v>
      </c>
      <c r="H2446" s="27">
        <f t="shared" si="2"/>
        <v>0.4284722222</v>
      </c>
      <c r="I2446" s="28">
        <v>2.0</v>
      </c>
      <c r="J2446" s="29" t="s">
        <v>468</v>
      </c>
      <c r="K2446" s="30" t="s">
        <v>23</v>
      </c>
      <c r="L2446" s="31" t="str">
        <f>IFERROR(__xludf.DUMMYFUNCTION("IF(OR(E2446="""",K2446=""""),"""",IFERROR(IF(K2446="""","""",query('tbl user'!$A$2:$D10975,""SELECT A WHERE D = '""&amp;K2446&amp;""'"")),""USER TIDAK DIKETAHUI""))"),"#REF!")</f>
        <v>#REF!</v>
      </c>
    </row>
    <row r="2447">
      <c r="A2447" s="21">
        <f t="shared" si="1"/>
        <v>0</v>
      </c>
      <c r="B2447" s="32" t="s">
        <v>202</v>
      </c>
      <c r="C2447" s="23" t="s">
        <v>203</v>
      </c>
      <c r="D2447" s="23" t="s">
        <v>58</v>
      </c>
      <c r="E2447" s="37">
        <v>45433.0</v>
      </c>
      <c r="F2447" s="25">
        <v>0.26875</v>
      </c>
      <c r="G2447" s="25">
        <v>0.6722222222222223</v>
      </c>
      <c r="H2447" s="27">
        <f t="shared" si="2"/>
        <v>0.4034722222</v>
      </c>
      <c r="I2447" s="28">
        <v>2.0</v>
      </c>
      <c r="J2447" s="29" t="s">
        <v>1155</v>
      </c>
      <c r="K2447" s="30" t="s">
        <v>23</v>
      </c>
      <c r="L2447" s="31" t="str">
        <f>IFERROR(__xludf.DUMMYFUNCTION("IF(OR(E2447="""",K2447=""""),"""",IFERROR(IF(K2447="""","""",query('tbl user'!$A$2:$D10975,""SELECT A WHERE D = '""&amp;K2447&amp;""'"")),""USER TIDAK DIKETAHUI""))"),"#REF!")</f>
        <v>#REF!</v>
      </c>
    </row>
    <row r="2448">
      <c r="A2448" s="21">
        <f t="shared" si="1"/>
        <v>0</v>
      </c>
      <c r="B2448" s="32" t="s">
        <v>297</v>
      </c>
      <c r="C2448" s="23" t="s">
        <v>348</v>
      </c>
      <c r="D2448" s="23" t="s">
        <v>58</v>
      </c>
      <c r="E2448" s="37">
        <v>45433.0</v>
      </c>
      <c r="F2448" s="25">
        <v>0.24722222222222223</v>
      </c>
      <c r="G2448" s="25">
        <v>0.6076388888888888</v>
      </c>
      <c r="H2448" s="27">
        <f t="shared" si="2"/>
        <v>0.3604166667</v>
      </c>
      <c r="I2448" s="28">
        <v>2.0</v>
      </c>
      <c r="J2448" s="29" t="s">
        <v>468</v>
      </c>
      <c r="K2448" s="30" t="s">
        <v>23</v>
      </c>
      <c r="L2448" s="31" t="str">
        <f>IFERROR(__xludf.DUMMYFUNCTION("IF(OR(E2448="""",K2448=""""),"""",IFERROR(IF(K2448="""","""",query('tbl user'!$A$2:$D10975,""SELECT A WHERE D = '""&amp;K2448&amp;""'"")),""USER TIDAK DIKETAHUI""))"),"#REF!")</f>
        <v>#REF!</v>
      </c>
    </row>
    <row r="2449">
      <c r="A2449" s="21">
        <f t="shared" si="1"/>
        <v>0</v>
      </c>
      <c r="B2449" s="32" t="s">
        <v>205</v>
      </c>
      <c r="C2449" s="23" t="s">
        <v>206</v>
      </c>
      <c r="D2449" s="23" t="s">
        <v>58</v>
      </c>
      <c r="E2449" s="37">
        <v>45433.0</v>
      </c>
      <c r="F2449" s="25">
        <v>0.22361111111111112</v>
      </c>
      <c r="G2449" s="25">
        <v>0.6652777777777777</v>
      </c>
      <c r="H2449" s="27">
        <f t="shared" si="2"/>
        <v>0.4416666667</v>
      </c>
      <c r="I2449" s="28">
        <v>2.0</v>
      </c>
      <c r="J2449" s="29" t="s">
        <v>468</v>
      </c>
      <c r="K2449" s="30" t="s">
        <v>23</v>
      </c>
      <c r="L2449" s="31" t="str">
        <f>IFERROR(__xludf.DUMMYFUNCTION("IF(OR(E2449="""",K2449=""""),"""",IFERROR(IF(K2449="""","""",query('tbl user'!$A$2:$D10975,""SELECT A WHERE D = '""&amp;K2449&amp;""'"")),""USER TIDAK DIKETAHUI""))"),"#REF!")</f>
        <v>#REF!</v>
      </c>
    </row>
    <row r="2450">
      <c r="A2450" s="21">
        <f t="shared" si="1"/>
        <v>0</v>
      </c>
      <c r="B2450" s="32" t="s">
        <v>67</v>
      </c>
      <c r="C2450" s="23" t="s">
        <v>68</v>
      </c>
      <c r="D2450" s="23" t="s">
        <v>58</v>
      </c>
      <c r="E2450" s="37">
        <v>45433.0</v>
      </c>
      <c r="F2450" s="25">
        <v>0.27152777777777776</v>
      </c>
      <c r="G2450" s="25">
        <v>0.6638888888888889</v>
      </c>
      <c r="H2450" s="27">
        <f t="shared" si="2"/>
        <v>0.3923611111</v>
      </c>
      <c r="I2450" s="28">
        <v>3.0</v>
      </c>
      <c r="J2450" s="29" t="s">
        <v>468</v>
      </c>
      <c r="K2450" s="30" t="s">
        <v>23</v>
      </c>
      <c r="L2450" s="31" t="str">
        <f>IFERROR(__xludf.DUMMYFUNCTION("IF(OR(E2450="""",K2450=""""),"""",IFERROR(IF(K2450="""","""",query('tbl user'!$A$2:$D10975,""SELECT A WHERE D = '""&amp;K2450&amp;""'"")),""USER TIDAK DIKETAHUI""))"),"#REF!")</f>
        <v>#REF!</v>
      </c>
    </row>
    <row r="2451">
      <c r="A2451" s="21">
        <f t="shared" si="1"/>
        <v>0</v>
      </c>
      <c r="B2451" s="32" t="s">
        <v>184</v>
      </c>
      <c r="C2451" s="23" t="s">
        <v>185</v>
      </c>
      <c r="D2451" s="23" t="s">
        <v>58</v>
      </c>
      <c r="E2451" s="37">
        <v>45433.0</v>
      </c>
      <c r="F2451" s="25">
        <v>0.2722222222222222</v>
      </c>
      <c r="G2451" s="25">
        <v>0.6597222222222222</v>
      </c>
      <c r="H2451" s="27">
        <f t="shared" si="2"/>
        <v>0.3875</v>
      </c>
      <c r="I2451" s="28">
        <v>3.0</v>
      </c>
      <c r="J2451" s="29" t="s">
        <v>468</v>
      </c>
      <c r="K2451" s="30" t="s">
        <v>23</v>
      </c>
      <c r="L2451" s="31" t="str">
        <f>IFERROR(__xludf.DUMMYFUNCTION("IF(OR(E2451="""",K2451=""""),"""",IFERROR(IF(K2451="""","""",query('tbl user'!$A$2:$D10975,""SELECT A WHERE D = '""&amp;K2451&amp;""'"")),""USER TIDAK DIKETAHUI""))"),"#REF!")</f>
        <v>#REF!</v>
      </c>
    </row>
    <row r="2452">
      <c r="A2452" s="21">
        <f t="shared" si="1"/>
        <v>0</v>
      </c>
      <c r="B2452" s="32" t="s">
        <v>187</v>
      </c>
      <c r="C2452" s="23" t="s">
        <v>188</v>
      </c>
      <c r="D2452" s="23" t="s">
        <v>58</v>
      </c>
      <c r="E2452" s="37">
        <v>45433.0</v>
      </c>
      <c r="F2452" s="25">
        <v>0.2361111111111111</v>
      </c>
      <c r="G2452" s="25">
        <v>0.6138888888888889</v>
      </c>
      <c r="H2452" s="27">
        <f t="shared" si="2"/>
        <v>0.3777777778</v>
      </c>
      <c r="I2452" s="28">
        <v>3.0</v>
      </c>
      <c r="J2452" s="29" t="s">
        <v>1156</v>
      </c>
      <c r="K2452" s="30" t="s">
        <v>23</v>
      </c>
      <c r="L2452" s="31" t="str">
        <f>IFERROR(__xludf.DUMMYFUNCTION("IF(OR(E2452="""",K2452=""""),"""",IFERROR(IF(K2452="""","""",query('tbl user'!$A$2:$D10975,""SELECT A WHERE D = '""&amp;K2452&amp;""'"")),""USER TIDAK DIKETAHUI""))"),"#REF!")</f>
        <v>#REF!</v>
      </c>
    </row>
    <row r="2453">
      <c r="A2453" s="21">
        <f t="shared" si="1"/>
        <v>0</v>
      </c>
      <c r="B2453" s="32" t="s">
        <v>189</v>
      </c>
      <c r="C2453" s="23" t="s">
        <v>190</v>
      </c>
      <c r="D2453" s="23" t="s">
        <v>58</v>
      </c>
      <c r="E2453" s="37">
        <v>45433.0</v>
      </c>
      <c r="F2453" s="25">
        <v>0.27291666666666664</v>
      </c>
      <c r="G2453" s="25">
        <v>0.6743055555555556</v>
      </c>
      <c r="H2453" s="27">
        <f t="shared" si="2"/>
        <v>0.4013888889</v>
      </c>
      <c r="I2453" s="28">
        <v>3.0</v>
      </c>
      <c r="J2453" s="29" t="s">
        <v>468</v>
      </c>
      <c r="K2453" s="30" t="s">
        <v>23</v>
      </c>
      <c r="L2453" s="31" t="str">
        <f>IFERROR(__xludf.DUMMYFUNCTION("IF(OR(E2453="""",K2453=""""),"""",IFERROR(IF(K2453="""","""",query('tbl user'!$A$2:$D10975,""SELECT A WHERE D = '""&amp;K2453&amp;""'"")),""USER TIDAK DIKETAHUI""))"),"#REF!")</f>
        <v>#REF!</v>
      </c>
    </row>
    <row r="2454">
      <c r="A2454" s="21">
        <f t="shared" si="1"/>
        <v>0</v>
      </c>
      <c r="B2454" s="32" t="s">
        <v>224</v>
      </c>
      <c r="C2454" s="23" t="s">
        <v>208</v>
      </c>
      <c r="D2454" s="23" t="s">
        <v>58</v>
      </c>
      <c r="E2454" s="37">
        <v>45433.0</v>
      </c>
      <c r="F2454" s="25">
        <v>0.2534722222222222</v>
      </c>
      <c r="G2454" s="25">
        <v>0.6326388888888889</v>
      </c>
      <c r="H2454" s="27">
        <f t="shared" si="2"/>
        <v>0.3791666667</v>
      </c>
      <c r="I2454" s="28">
        <v>3.0</v>
      </c>
      <c r="J2454" s="29" t="s">
        <v>1157</v>
      </c>
      <c r="K2454" s="30" t="s">
        <v>23</v>
      </c>
      <c r="L2454" s="31" t="str">
        <f>IFERROR(__xludf.DUMMYFUNCTION("IF(OR(E2454="""",K2454=""""),"""",IFERROR(IF(K2454="""","""",query('tbl user'!$A$2:$D10975,""SELECT A WHERE D = '""&amp;K2454&amp;""'"")),""USER TIDAK DIKETAHUI""))"),"#REF!")</f>
        <v>#REF!</v>
      </c>
    </row>
    <row r="2455">
      <c r="A2455" s="21">
        <f t="shared" si="1"/>
        <v>0</v>
      </c>
      <c r="B2455" s="32" t="s">
        <v>92</v>
      </c>
      <c r="C2455" s="23" t="s">
        <v>93</v>
      </c>
      <c r="D2455" s="23" t="s">
        <v>58</v>
      </c>
      <c r="E2455" s="37">
        <v>45433.0</v>
      </c>
      <c r="F2455" s="25">
        <v>0.25833333333333336</v>
      </c>
      <c r="G2455" s="25">
        <v>0.6972222222222222</v>
      </c>
      <c r="H2455" s="27">
        <f t="shared" si="2"/>
        <v>0.4388888889</v>
      </c>
      <c r="I2455" s="28">
        <v>4.0</v>
      </c>
      <c r="J2455" s="29" t="s">
        <v>55</v>
      </c>
      <c r="K2455" s="30" t="s">
        <v>23</v>
      </c>
      <c r="L2455" s="31" t="str">
        <f>IFERROR(__xludf.DUMMYFUNCTION("IF(OR(E2455="""",K2455=""""),"""",IFERROR(IF(K2455="""","""",query('tbl user'!$A$2:$D10975,""SELECT A WHERE D = '""&amp;K2455&amp;""'"")),""USER TIDAK DIKETAHUI""))"),"#REF!")</f>
        <v>#REF!</v>
      </c>
    </row>
    <row r="2456">
      <c r="A2456" s="21">
        <f t="shared" si="1"/>
        <v>0</v>
      </c>
      <c r="B2456" s="32" t="s">
        <v>182</v>
      </c>
      <c r="C2456" s="23" t="s">
        <v>183</v>
      </c>
      <c r="D2456" s="23" t="s">
        <v>58</v>
      </c>
      <c r="E2456" s="37">
        <v>45433.0</v>
      </c>
      <c r="F2456" s="25">
        <v>0.21388888888888888</v>
      </c>
      <c r="G2456" s="25">
        <v>0.6951388888888889</v>
      </c>
      <c r="H2456" s="27">
        <f t="shared" si="2"/>
        <v>0.48125</v>
      </c>
      <c r="I2456" s="28">
        <v>4.0</v>
      </c>
      <c r="J2456" s="29" t="s">
        <v>55</v>
      </c>
      <c r="K2456" s="30" t="s">
        <v>23</v>
      </c>
      <c r="L2456" s="31" t="str">
        <f>IFERROR(__xludf.DUMMYFUNCTION("IF(OR(E2456="""",K2456=""""),"""",IFERROR(IF(K2456="""","""",query('tbl user'!$A$2:$D10975,""SELECT A WHERE D = '""&amp;K2456&amp;""'"")),""USER TIDAK DIKETAHUI""))"),"#REF!")</f>
        <v>#REF!</v>
      </c>
    </row>
    <row r="2457">
      <c r="A2457" s="21">
        <f t="shared" si="1"/>
        <v>0</v>
      </c>
      <c r="B2457" s="32" t="s">
        <v>191</v>
      </c>
      <c r="C2457" s="23" t="s">
        <v>192</v>
      </c>
      <c r="D2457" s="23" t="s">
        <v>58</v>
      </c>
      <c r="E2457" s="37">
        <v>45433.0</v>
      </c>
      <c r="F2457" s="25">
        <v>0.225</v>
      </c>
      <c r="G2457" s="25">
        <v>0.6840277777777778</v>
      </c>
      <c r="H2457" s="27">
        <f t="shared" si="2"/>
        <v>0.4590277778</v>
      </c>
      <c r="I2457" s="28">
        <v>4.0</v>
      </c>
      <c r="J2457" s="29" t="s">
        <v>55</v>
      </c>
      <c r="K2457" s="30" t="s">
        <v>23</v>
      </c>
      <c r="L2457" s="31" t="str">
        <f>IFERROR(__xludf.DUMMYFUNCTION("IF(OR(E2457="""",K2457=""""),"""",IFERROR(IF(K2457="""","""",query('tbl user'!$A$2:$D10975,""SELECT A WHERE D = '""&amp;K2457&amp;""'"")),""USER TIDAK DIKETAHUI""))"),"#REF!")</f>
        <v>#REF!</v>
      </c>
    </row>
    <row r="2458">
      <c r="A2458" s="21">
        <f t="shared" si="1"/>
        <v>0</v>
      </c>
      <c r="B2458" s="32" t="s">
        <v>194</v>
      </c>
      <c r="C2458" s="23" t="s">
        <v>195</v>
      </c>
      <c r="D2458" s="23" t="s">
        <v>58</v>
      </c>
      <c r="E2458" s="37">
        <v>45433.0</v>
      </c>
      <c r="F2458" s="25">
        <v>0.21805555555555556</v>
      </c>
      <c r="G2458" s="25">
        <v>0.68125</v>
      </c>
      <c r="H2458" s="27">
        <f t="shared" si="2"/>
        <v>0.4631944444</v>
      </c>
      <c r="I2458" s="28">
        <v>4.0</v>
      </c>
      <c r="J2458" s="29" t="s">
        <v>55</v>
      </c>
      <c r="K2458" s="30" t="s">
        <v>23</v>
      </c>
      <c r="L2458" s="31" t="str">
        <f>IFERROR(__xludf.DUMMYFUNCTION("IF(OR(E2458="""",K2458=""""),"""",IFERROR(IF(K2458="""","""",query('tbl user'!$A$2:$D10975,""SELECT A WHERE D = '""&amp;K2458&amp;""'"")),""USER TIDAK DIKETAHUI""))"),"#REF!")</f>
        <v>#REF!</v>
      </c>
    </row>
    <row r="2459">
      <c r="A2459" s="21">
        <f t="shared" si="1"/>
        <v>0</v>
      </c>
      <c r="B2459" s="32" t="s">
        <v>200</v>
      </c>
      <c r="C2459" s="23" t="s">
        <v>201</v>
      </c>
      <c r="D2459" s="23" t="s">
        <v>58</v>
      </c>
      <c r="E2459" s="37">
        <v>45433.0</v>
      </c>
      <c r="F2459" s="25">
        <v>0.2048611111111111</v>
      </c>
      <c r="G2459" s="25">
        <v>0.68125</v>
      </c>
      <c r="H2459" s="27">
        <f t="shared" si="2"/>
        <v>0.4763888889</v>
      </c>
      <c r="I2459" s="28">
        <v>4.0</v>
      </c>
      <c r="J2459" s="29" t="s">
        <v>55</v>
      </c>
      <c r="K2459" s="30" t="s">
        <v>23</v>
      </c>
      <c r="L2459" s="31" t="str">
        <f>IFERROR(__xludf.DUMMYFUNCTION("IF(OR(E2459="""",K2459=""""),"""",IFERROR(IF(K2459="""","""",query('tbl user'!$A$2:$D10975,""SELECT A WHERE D = '""&amp;K2459&amp;""'"")),""USER TIDAK DIKETAHUI""))"),"#REF!")</f>
        <v>#REF!</v>
      </c>
    </row>
    <row r="2460">
      <c r="A2460" s="21">
        <f t="shared" si="1"/>
        <v>0</v>
      </c>
      <c r="B2460" s="32" t="s">
        <v>51</v>
      </c>
      <c r="C2460" s="23" t="s">
        <v>27</v>
      </c>
      <c r="D2460" s="23" t="s">
        <v>21</v>
      </c>
      <c r="E2460" s="37">
        <v>45433.0</v>
      </c>
      <c r="F2460" s="25">
        <v>0.32083333333333336</v>
      </c>
      <c r="G2460" s="25">
        <v>0.5347222222222222</v>
      </c>
      <c r="H2460" s="27">
        <f t="shared" si="2"/>
        <v>0.2138888889</v>
      </c>
      <c r="I2460" s="28">
        <v>1.0</v>
      </c>
      <c r="J2460" s="29" t="s">
        <v>1158</v>
      </c>
      <c r="K2460" s="30" t="s">
        <v>23</v>
      </c>
      <c r="L2460" s="31" t="str">
        <f>IFERROR(__xludf.DUMMYFUNCTION("IF(OR(E2460="""",K2460=""""),"""",IFERROR(IF(K2460="""","""",query('tbl user'!$A$2:$D10975,""SELECT A WHERE D = '""&amp;K2460&amp;""'"")),""USER TIDAK DIKETAHUI""))"),"#REF!")</f>
        <v>#REF!</v>
      </c>
    </row>
    <row r="2461">
      <c r="A2461" s="21">
        <f t="shared" si="1"/>
        <v>0</v>
      </c>
      <c r="B2461" s="32" t="s">
        <v>286</v>
      </c>
      <c r="C2461" s="23" t="s">
        <v>287</v>
      </c>
      <c r="D2461" s="23" t="s">
        <v>21</v>
      </c>
      <c r="E2461" s="37">
        <v>45433.0</v>
      </c>
      <c r="F2461" s="25">
        <v>0.3020833333333333</v>
      </c>
      <c r="G2461" s="25">
        <v>0.6020833333333333</v>
      </c>
      <c r="H2461" s="27">
        <f t="shared" si="2"/>
        <v>0.3</v>
      </c>
      <c r="I2461" s="28">
        <v>2.0</v>
      </c>
      <c r="J2461" s="29" t="s">
        <v>1159</v>
      </c>
      <c r="K2461" s="30" t="s">
        <v>23</v>
      </c>
      <c r="L2461" s="31" t="str">
        <f>IFERROR(__xludf.DUMMYFUNCTION("IF(OR(E2461="""",K2461=""""),"""",IFERROR(IF(K2461="""","""",query('tbl user'!$A$2:$D10975,""SELECT A WHERE D = '""&amp;K2461&amp;""'"")),""USER TIDAK DIKETAHUI""))"),"#REF!")</f>
        <v>#REF!</v>
      </c>
    </row>
    <row r="2462">
      <c r="A2462" s="21">
        <f t="shared" si="1"/>
        <v>0</v>
      </c>
      <c r="B2462" s="32" t="s">
        <v>281</v>
      </c>
      <c r="C2462" s="23" t="s">
        <v>282</v>
      </c>
      <c r="D2462" s="23" t="s">
        <v>21</v>
      </c>
      <c r="E2462" s="37">
        <v>45433.0</v>
      </c>
      <c r="F2462" s="25">
        <v>0.28125</v>
      </c>
      <c r="G2462" s="25">
        <v>0.6416666666666667</v>
      </c>
      <c r="H2462" s="27">
        <f t="shared" si="2"/>
        <v>0.3604166667</v>
      </c>
      <c r="I2462" s="28">
        <v>3.0</v>
      </c>
      <c r="J2462" s="29" t="s">
        <v>94</v>
      </c>
      <c r="K2462" s="30" t="s">
        <v>23</v>
      </c>
      <c r="L2462" s="31" t="str">
        <f>IFERROR(__xludf.DUMMYFUNCTION("IF(OR(E2462="""",K2462=""""),"""",IFERROR(IF(K2462="""","""",query('tbl user'!$A$2:$D10975,""SELECT A WHERE D = '""&amp;K2462&amp;""'"")),""USER TIDAK DIKETAHUI""))"),"#REF!")</f>
        <v>#REF!</v>
      </c>
    </row>
    <row r="2463">
      <c r="A2463" s="21">
        <f t="shared" si="1"/>
        <v>0</v>
      </c>
      <c r="B2463" s="32" t="s">
        <v>289</v>
      </c>
      <c r="C2463" s="23" t="s">
        <v>290</v>
      </c>
      <c r="D2463" s="23" t="s">
        <v>21</v>
      </c>
      <c r="E2463" s="37">
        <v>45433.0</v>
      </c>
      <c r="F2463" s="25">
        <v>0.32083333333333336</v>
      </c>
      <c r="G2463" s="25">
        <v>0.6909722222222222</v>
      </c>
      <c r="H2463" s="27">
        <f t="shared" si="2"/>
        <v>0.3701388889</v>
      </c>
      <c r="I2463" s="28">
        <v>3.0</v>
      </c>
      <c r="J2463" s="29" t="s">
        <v>1160</v>
      </c>
      <c r="K2463" s="30" t="s">
        <v>23</v>
      </c>
      <c r="L2463" s="31" t="str">
        <f>IFERROR(__xludf.DUMMYFUNCTION("IF(OR(E2463="""",K2463=""""),"""",IFERROR(IF(K2463="""","""",query('tbl user'!$A$2:$D10975,""SELECT A WHERE D = '""&amp;K2463&amp;""'"")),""USER TIDAK DIKETAHUI""))"),"#REF!")</f>
        <v>#REF!</v>
      </c>
    </row>
    <row r="2464">
      <c r="A2464" s="21">
        <f t="shared" si="1"/>
        <v>0</v>
      </c>
      <c r="B2464" s="32" t="s">
        <v>64</v>
      </c>
      <c r="C2464" s="23" t="s">
        <v>65</v>
      </c>
      <c r="D2464" s="23" t="s">
        <v>21</v>
      </c>
      <c r="E2464" s="37">
        <v>45433.0</v>
      </c>
      <c r="F2464" s="25">
        <v>0.2965277777777778</v>
      </c>
      <c r="G2464" s="25">
        <v>0.6736111111111112</v>
      </c>
      <c r="H2464" s="27">
        <f t="shared" si="2"/>
        <v>0.3770833333</v>
      </c>
      <c r="I2464" s="28">
        <v>3.0</v>
      </c>
      <c r="J2464" s="29" t="s">
        <v>1161</v>
      </c>
      <c r="K2464" s="30" t="s">
        <v>23</v>
      </c>
      <c r="L2464" s="31" t="str">
        <f>IFERROR(__xludf.DUMMYFUNCTION("IF(OR(E2464="""",K2464=""""),"""",IFERROR(IF(K2464="""","""",query('tbl user'!$A$2:$D10975,""SELECT A WHERE D = '""&amp;K2464&amp;""'"")),""USER TIDAK DIKETAHUI""))"),"#REF!")</f>
        <v>#REF!</v>
      </c>
    </row>
    <row r="2465">
      <c r="A2465" s="21">
        <f t="shared" si="1"/>
        <v>0</v>
      </c>
      <c r="B2465" s="32" t="s">
        <v>284</v>
      </c>
      <c r="C2465" s="23" t="s">
        <v>285</v>
      </c>
      <c r="D2465" s="23" t="s">
        <v>21</v>
      </c>
      <c r="E2465" s="37">
        <v>45433.0</v>
      </c>
      <c r="F2465" s="25">
        <v>0.28541666666666665</v>
      </c>
      <c r="G2465" s="25">
        <v>0.6895833333333333</v>
      </c>
      <c r="H2465" s="27">
        <f t="shared" si="2"/>
        <v>0.4041666667</v>
      </c>
      <c r="I2465" s="28">
        <v>4.0</v>
      </c>
      <c r="J2465" s="29" t="s">
        <v>55</v>
      </c>
      <c r="K2465" s="30" t="s">
        <v>23</v>
      </c>
      <c r="L2465" s="31" t="str">
        <f>IFERROR(__xludf.DUMMYFUNCTION("IF(OR(E2465="""",K2465=""""),"""",IFERROR(IF(K2465="""","""",query('tbl user'!$A$2:$D10975,""SELECT A WHERE D = '""&amp;K2465&amp;""'"")),""USER TIDAK DIKETAHUI""))"),"#REF!")</f>
        <v>#REF!</v>
      </c>
    </row>
    <row r="2466">
      <c r="A2466" s="21">
        <f t="shared" si="1"/>
        <v>0</v>
      </c>
      <c r="B2466" s="32" t="s">
        <v>229</v>
      </c>
      <c r="C2466" s="23" t="s">
        <v>232</v>
      </c>
      <c r="D2466" s="23" t="s">
        <v>21</v>
      </c>
      <c r="E2466" s="37">
        <v>45433.0</v>
      </c>
      <c r="F2466" s="25">
        <v>0.26944444444444443</v>
      </c>
      <c r="G2466" s="25">
        <v>0.5527777777777778</v>
      </c>
      <c r="H2466" s="27">
        <f t="shared" si="2"/>
        <v>0.2833333333</v>
      </c>
      <c r="I2466" s="28">
        <v>2.0</v>
      </c>
      <c r="J2466" s="29" t="s">
        <v>428</v>
      </c>
      <c r="K2466" s="30" t="s">
        <v>23</v>
      </c>
      <c r="L2466" s="31" t="str">
        <f>IFERROR(__xludf.DUMMYFUNCTION("IF(OR(E2466="""",K2466=""""),"""",IFERROR(IF(K2466="""","""",query('tbl user'!$A$2:$D10975,""SELECT A WHERE D = '""&amp;K2466&amp;""'"")),""USER TIDAK DIKETAHUI""))"),"#REF!")</f>
        <v>#REF!</v>
      </c>
    </row>
    <row r="2467">
      <c r="A2467" s="21">
        <f t="shared" si="1"/>
        <v>0</v>
      </c>
      <c r="B2467" s="32" t="s">
        <v>53</v>
      </c>
      <c r="C2467" s="23" t="s">
        <v>326</v>
      </c>
      <c r="D2467" s="23" t="s">
        <v>21</v>
      </c>
      <c r="E2467" s="37">
        <v>45433.0</v>
      </c>
      <c r="F2467" s="25">
        <v>0.2826388888888889</v>
      </c>
      <c r="G2467" s="33">
        <v>0.5701388888888889</v>
      </c>
      <c r="H2467" s="27">
        <f t="shared" si="2"/>
        <v>0.2875</v>
      </c>
      <c r="I2467" s="28">
        <v>2.0</v>
      </c>
      <c r="J2467" s="29" t="s">
        <v>1162</v>
      </c>
      <c r="K2467" s="30" t="s">
        <v>23</v>
      </c>
      <c r="L2467" s="31" t="str">
        <f>IFERROR(__xludf.DUMMYFUNCTION("IF(OR(E2467="""",K2467=""""),"""",IFERROR(IF(K2467="""","""",query('tbl user'!$A$2:$D10975,""SELECT A WHERE D = '""&amp;K2467&amp;""'"")),""USER TIDAK DIKETAHUI""))"),"#REF!")</f>
        <v>#REF!</v>
      </c>
    </row>
    <row r="2468">
      <c r="A2468" s="21">
        <f t="shared" si="1"/>
        <v>0</v>
      </c>
      <c r="B2468" s="32" t="s">
        <v>243</v>
      </c>
      <c r="C2468" s="23" t="s">
        <v>244</v>
      </c>
      <c r="D2468" s="23" t="s">
        <v>21</v>
      </c>
      <c r="E2468" s="37">
        <v>45433.0</v>
      </c>
      <c r="F2468" s="25">
        <v>0.2923611111111111</v>
      </c>
      <c r="G2468" s="25">
        <v>0.6881944444444444</v>
      </c>
      <c r="H2468" s="27">
        <f t="shared" si="2"/>
        <v>0.3958333333</v>
      </c>
      <c r="I2468" s="28">
        <v>3.0</v>
      </c>
      <c r="J2468" s="29" t="s">
        <v>1163</v>
      </c>
      <c r="K2468" s="30" t="s">
        <v>23</v>
      </c>
      <c r="L2468" s="31" t="str">
        <f>IFERROR(__xludf.DUMMYFUNCTION("IF(OR(E2468="""",K2468=""""),"""",IFERROR(IF(K2468="""","""",query('tbl user'!$A$2:$D10975,""SELECT A WHERE D = '""&amp;K2468&amp;""'"")),""USER TIDAK DIKETAHUI""))"),"#REF!")</f>
        <v>#REF!</v>
      </c>
    </row>
    <row r="2469">
      <c r="A2469" s="21">
        <f t="shared" si="1"/>
        <v>0</v>
      </c>
      <c r="B2469" s="32" t="s">
        <v>593</v>
      </c>
      <c r="C2469" s="23" t="s">
        <v>236</v>
      </c>
      <c r="D2469" s="23" t="s">
        <v>21</v>
      </c>
      <c r="E2469" s="37">
        <v>45433.0</v>
      </c>
      <c r="F2469" s="25">
        <v>0.22569444444444445</v>
      </c>
      <c r="G2469" s="25">
        <v>0.5451388888888888</v>
      </c>
      <c r="H2469" s="27">
        <f t="shared" si="2"/>
        <v>0.3194444444</v>
      </c>
      <c r="I2469" s="28">
        <v>3.0</v>
      </c>
      <c r="J2469" s="29" t="s">
        <v>1164</v>
      </c>
      <c r="K2469" s="30" t="s">
        <v>23</v>
      </c>
      <c r="L2469" s="31" t="str">
        <f>IFERROR(__xludf.DUMMYFUNCTION("IF(OR(E2469="""",K2469=""""),"""",IFERROR(IF(K2469="""","""",query('tbl user'!$A$2:$D10975,""SELECT A WHERE D = '""&amp;K2469&amp;""'"")),""USER TIDAK DIKETAHUI""))"),"#REF!")</f>
        <v>#REF!</v>
      </c>
    </row>
    <row r="2470">
      <c r="A2470" s="21">
        <f t="shared" si="1"/>
        <v>0</v>
      </c>
      <c r="B2470" s="32" t="s">
        <v>335</v>
      </c>
      <c r="C2470" s="23" t="s">
        <v>336</v>
      </c>
      <c r="D2470" s="23" t="s">
        <v>21</v>
      </c>
      <c r="E2470" s="37">
        <v>45433.0</v>
      </c>
      <c r="F2470" s="25">
        <v>0.2847222222222222</v>
      </c>
      <c r="G2470" s="25">
        <v>0.6930555555555555</v>
      </c>
      <c r="H2470" s="27">
        <f t="shared" si="2"/>
        <v>0.4083333333</v>
      </c>
      <c r="I2470" s="28">
        <v>3.0</v>
      </c>
      <c r="J2470" s="29" t="s">
        <v>1165</v>
      </c>
      <c r="K2470" s="30" t="s">
        <v>23</v>
      </c>
      <c r="L2470" s="31" t="str">
        <f>IFERROR(__xludf.DUMMYFUNCTION("IF(OR(E2470="""",K2470=""""),"""",IFERROR(IF(K2470="""","""",query('tbl user'!$A$2:$D10975,""SELECT A WHERE D = '""&amp;K2470&amp;""'"")),""USER TIDAK DIKETAHUI""))"),"#REF!")</f>
        <v>#REF!</v>
      </c>
    </row>
    <row r="2471">
      <c r="A2471" s="21">
        <f t="shared" si="1"/>
        <v>0</v>
      </c>
      <c r="B2471" s="32" t="s">
        <v>209</v>
      </c>
      <c r="C2471" s="23" t="s">
        <v>340</v>
      </c>
      <c r="D2471" s="23" t="s">
        <v>21</v>
      </c>
      <c r="E2471" s="37">
        <v>45433.0</v>
      </c>
      <c r="F2471" s="25">
        <v>0.30625</v>
      </c>
      <c r="G2471" s="25">
        <v>0.6368055555555555</v>
      </c>
      <c r="H2471" s="27">
        <f t="shared" si="2"/>
        <v>0.3305555556</v>
      </c>
      <c r="I2471" s="28">
        <v>3.0</v>
      </c>
      <c r="J2471" s="29" t="s">
        <v>1166</v>
      </c>
      <c r="K2471" s="30" t="s">
        <v>23</v>
      </c>
      <c r="L2471" s="31" t="str">
        <f>IFERROR(__xludf.DUMMYFUNCTION("IF(OR(E2471="""",K2471=""""),"""",IFERROR(IF(K2471="""","""",query('tbl user'!$A$2:$D10975,""SELECT A WHERE D = '""&amp;K2471&amp;""'"")),""USER TIDAK DIKETAHUI""))"),"#REF!")</f>
        <v>#REF!</v>
      </c>
    </row>
    <row r="2472">
      <c r="A2472" s="21">
        <f t="shared" si="1"/>
        <v>0</v>
      </c>
      <c r="B2472" s="32" t="s">
        <v>34</v>
      </c>
      <c r="C2472" s="23" t="s">
        <v>35</v>
      </c>
      <c r="D2472" s="23" t="s">
        <v>21</v>
      </c>
      <c r="E2472" s="37">
        <v>45433.0</v>
      </c>
      <c r="F2472" s="25">
        <v>0.2763888888888889</v>
      </c>
      <c r="G2472" s="25">
        <v>0.7555555555555555</v>
      </c>
      <c r="H2472" s="27">
        <f t="shared" si="2"/>
        <v>0.4791666667</v>
      </c>
      <c r="I2472" s="28">
        <v>4.0</v>
      </c>
      <c r="J2472" s="29" t="s">
        <v>1167</v>
      </c>
      <c r="K2472" s="30" t="s">
        <v>23</v>
      </c>
      <c r="L2472" s="31" t="str">
        <f>IFERROR(__xludf.DUMMYFUNCTION("IF(OR(E2472="""",K2472=""""),"""",IFERROR(IF(K2472="""","""",query('tbl user'!$A$2:$D10975,""SELECT A WHERE D = '""&amp;K2472&amp;""'"")),""USER TIDAK DIKETAHUI""))"),"#REF!")</f>
        <v>#REF!</v>
      </c>
    </row>
    <row r="2473">
      <c r="A2473" s="21">
        <f t="shared" si="1"/>
        <v>0</v>
      </c>
      <c r="B2473" s="32" t="s">
        <v>238</v>
      </c>
      <c r="C2473" s="23" t="s">
        <v>239</v>
      </c>
      <c r="D2473" s="23" t="s">
        <v>21</v>
      </c>
      <c r="E2473" s="37">
        <v>45433.0</v>
      </c>
      <c r="F2473" s="25">
        <v>0.27569444444444446</v>
      </c>
      <c r="G2473" s="25">
        <v>0.6715277777777777</v>
      </c>
      <c r="H2473" s="27">
        <f t="shared" si="2"/>
        <v>0.3958333333</v>
      </c>
      <c r="I2473" s="28">
        <v>4.0</v>
      </c>
      <c r="J2473" s="29" t="s">
        <v>1168</v>
      </c>
      <c r="K2473" s="30" t="s">
        <v>23</v>
      </c>
      <c r="L2473" s="31" t="str">
        <f>IFERROR(__xludf.DUMMYFUNCTION("IF(OR(E2473="""",K2473=""""),"""",IFERROR(IF(K2473="""","""",query('tbl user'!$A$2:$D10975,""SELECT A WHERE D = '""&amp;K2473&amp;""'"")),""USER TIDAK DIKETAHUI""))"),"#REF!")</f>
        <v>#REF!</v>
      </c>
    </row>
    <row r="2474">
      <c r="A2474" s="21">
        <f t="shared" si="1"/>
        <v>0</v>
      </c>
      <c r="B2474" s="32" t="s">
        <v>24</v>
      </c>
      <c r="C2474" s="23" t="s">
        <v>25</v>
      </c>
      <c r="D2474" s="23" t="s">
        <v>21</v>
      </c>
      <c r="E2474" s="37">
        <v>45433.0</v>
      </c>
      <c r="F2474" s="25">
        <v>0.28680555555555554</v>
      </c>
      <c r="G2474" s="25">
        <v>0.6979166666666666</v>
      </c>
      <c r="H2474" s="27">
        <f t="shared" si="2"/>
        <v>0.4111111111</v>
      </c>
      <c r="I2474" s="28">
        <v>4.0</v>
      </c>
      <c r="J2474" s="29" t="s">
        <v>1169</v>
      </c>
      <c r="K2474" s="30" t="s">
        <v>23</v>
      </c>
      <c r="L2474" s="31" t="str">
        <f>IFERROR(__xludf.DUMMYFUNCTION("IF(OR(E2474="""",K2474=""""),"""",IFERROR(IF(K2474="""","""",query('tbl user'!$A$2:$D10975,""SELECT A WHERE D = '""&amp;K2474&amp;""'"")),""USER TIDAK DIKETAHUI""))"),"#REF!")</f>
        <v>#REF!</v>
      </c>
    </row>
    <row r="2475">
      <c r="A2475" s="21">
        <f t="shared" si="1"/>
        <v>0</v>
      </c>
      <c r="B2475" s="32" t="s">
        <v>333</v>
      </c>
      <c r="C2475" s="23" t="s">
        <v>334</v>
      </c>
      <c r="D2475" s="23" t="s">
        <v>21</v>
      </c>
      <c r="E2475" s="37">
        <v>45433.0</v>
      </c>
      <c r="F2475" s="25">
        <v>0.25</v>
      </c>
      <c r="G2475" s="25">
        <v>0.7041666666666667</v>
      </c>
      <c r="H2475" s="27">
        <f t="shared" si="2"/>
        <v>0.4541666667</v>
      </c>
      <c r="I2475" s="28">
        <v>4.0</v>
      </c>
      <c r="J2475" s="29" t="s">
        <v>1163</v>
      </c>
      <c r="K2475" s="30" t="s">
        <v>23</v>
      </c>
      <c r="L2475" s="31" t="str">
        <f>IFERROR(__xludf.DUMMYFUNCTION("IF(OR(E2475="""",K2475=""""),"""",IFERROR(IF(K2475="""","""",query('tbl user'!$A$2:$D10975,""SELECT A WHERE D = '""&amp;K2475&amp;""'"")),""USER TIDAK DIKETAHUI""))"),"#REF!")</f>
        <v>#REF!</v>
      </c>
    </row>
    <row r="2476">
      <c r="A2476" s="21">
        <f t="shared" si="1"/>
        <v>0</v>
      </c>
      <c r="B2476" s="32" t="s">
        <v>258</v>
      </c>
      <c r="C2476" s="23" t="s">
        <v>259</v>
      </c>
      <c r="D2476" s="23" t="s">
        <v>21</v>
      </c>
      <c r="E2476" s="37">
        <v>45433.0</v>
      </c>
      <c r="F2476" s="25">
        <v>0.2548611111111111</v>
      </c>
      <c r="G2476" s="25">
        <v>0.6888888888888889</v>
      </c>
      <c r="H2476" s="27">
        <f t="shared" si="2"/>
        <v>0.4340277778</v>
      </c>
      <c r="I2476" s="28">
        <v>4.0</v>
      </c>
      <c r="J2476" s="29" t="s">
        <v>1170</v>
      </c>
      <c r="K2476" s="30" t="s">
        <v>23</v>
      </c>
      <c r="L2476" s="31" t="str">
        <f>IFERROR(__xludf.DUMMYFUNCTION("IF(OR(E2476="""",K2476=""""),"""",IFERROR(IF(K2476="""","""",query('tbl user'!$A$2:$D10975,""SELECT A WHERE D = '""&amp;K2476&amp;""'"")),""USER TIDAK DIKETAHUI""))"),"#REF!")</f>
        <v>#REF!</v>
      </c>
    </row>
    <row r="2477">
      <c r="A2477" s="21">
        <f t="shared" si="1"/>
        <v>0</v>
      </c>
      <c r="B2477" s="32" t="s">
        <v>87</v>
      </c>
      <c r="C2477" s="23" t="s">
        <v>88</v>
      </c>
      <c r="D2477" s="23" t="s">
        <v>21</v>
      </c>
      <c r="E2477" s="37">
        <v>45433.0</v>
      </c>
      <c r="F2477" s="25">
        <v>0.24375</v>
      </c>
      <c r="G2477" s="25">
        <v>0.6993055555555555</v>
      </c>
      <c r="H2477" s="27">
        <f t="shared" si="2"/>
        <v>0.4555555556</v>
      </c>
      <c r="I2477" s="28">
        <v>4.0</v>
      </c>
      <c r="J2477" s="29" t="s">
        <v>1171</v>
      </c>
      <c r="K2477" s="30" t="s">
        <v>23</v>
      </c>
      <c r="L2477" s="31" t="str">
        <f>IFERROR(__xludf.DUMMYFUNCTION("IF(OR(E2477="""",K2477=""""),"""",IFERROR(IF(K2477="""","""",query('tbl user'!$A$2:$D10975,""SELECT A WHERE D = '""&amp;K2477&amp;""'"")),""USER TIDAK DIKETAHUI""))"),"#REF!")</f>
        <v>#REF!</v>
      </c>
    </row>
    <row r="2478">
      <c r="A2478" s="21">
        <f t="shared" si="1"/>
        <v>0</v>
      </c>
      <c r="B2478" s="32" t="s">
        <v>577</v>
      </c>
      <c r="C2478" s="23" t="s">
        <v>330</v>
      </c>
      <c r="D2478" s="23" t="s">
        <v>21</v>
      </c>
      <c r="E2478" s="37">
        <v>45433.0</v>
      </c>
      <c r="F2478" s="25">
        <v>0.25833333333333336</v>
      </c>
      <c r="G2478" s="25">
        <v>0.7048611111111112</v>
      </c>
      <c r="H2478" s="27">
        <f t="shared" si="2"/>
        <v>0.4465277778</v>
      </c>
      <c r="I2478" s="28">
        <v>4.0</v>
      </c>
      <c r="J2478" s="29" t="s">
        <v>1163</v>
      </c>
      <c r="K2478" s="30" t="s">
        <v>23</v>
      </c>
      <c r="L2478" s="31" t="str">
        <f>IFERROR(__xludf.DUMMYFUNCTION("IF(OR(E2478="""",K2478=""""),"""",IFERROR(IF(K2478="""","""",query('tbl user'!$A$2:$D10975,""SELECT A WHERE D = '""&amp;K2478&amp;""'"")),""USER TIDAK DIKETAHUI""))"),"#REF!")</f>
        <v>#REF!</v>
      </c>
    </row>
    <row r="2479">
      <c r="A2479" s="21">
        <f t="shared" si="1"/>
        <v>0</v>
      </c>
      <c r="B2479" s="32" t="s">
        <v>337</v>
      </c>
      <c r="C2479" s="23" t="s">
        <v>338</v>
      </c>
      <c r="D2479" s="23" t="s">
        <v>21</v>
      </c>
      <c r="E2479" s="37">
        <v>45433.0</v>
      </c>
      <c r="F2479" s="25">
        <v>0.24722222222222223</v>
      </c>
      <c r="G2479" s="25">
        <v>0.6784722222222223</v>
      </c>
      <c r="H2479" s="27">
        <f t="shared" si="2"/>
        <v>0.43125</v>
      </c>
      <c r="I2479" s="28">
        <v>4.0</v>
      </c>
      <c r="J2479" s="29" t="s">
        <v>1172</v>
      </c>
      <c r="K2479" s="30" t="s">
        <v>23</v>
      </c>
      <c r="L2479" s="31" t="str">
        <f>IFERROR(__xludf.DUMMYFUNCTION("IF(OR(E2479="""",K2479=""""),"""",IFERROR(IF(K2479="""","""",query('tbl user'!$A$2:$D10975,""SELECT A WHERE D = '""&amp;K2479&amp;""'"")),""USER TIDAK DIKETAHUI""))"),"#REF!")</f>
        <v>#REF!</v>
      </c>
    </row>
    <row r="2480">
      <c r="A2480" s="21">
        <f t="shared" si="1"/>
        <v>0</v>
      </c>
      <c r="B2480" s="32" t="s">
        <v>601</v>
      </c>
      <c r="C2480" s="23" t="s">
        <v>323</v>
      </c>
      <c r="D2480" s="23" t="s">
        <v>21</v>
      </c>
      <c r="E2480" s="37">
        <v>45433.0</v>
      </c>
      <c r="F2480" s="25">
        <v>0.25972222222222224</v>
      </c>
      <c r="G2480" s="25">
        <v>0.7090277777777778</v>
      </c>
      <c r="H2480" s="27">
        <f t="shared" si="2"/>
        <v>0.4493055556</v>
      </c>
      <c r="I2480" s="28">
        <v>4.0</v>
      </c>
      <c r="J2480" s="29" t="s">
        <v>1173</v>
      </c>
      <c r="K2480" s="30" t="s">
        <v>23</v>
      </c>
      <c r="L2480" s="31" t="str">
        <f>IFERROR(__xludf.DUMMYFUNCTION("IF(OR(E2480="""",K2480=""""),"""",IFERROR(IF(K2480="""","""",query('tbl user'!$A$2:$D10975,""SELECT A WHERE D = '""&amp;K2480&amp;""'"")),""USER TIDAK DIKETAHUI""))"),"#REF!")</f>
        <v>#REF!</v>
      </c>
    </row>
    <row r="2481">
      <c r="A2481" s="21">
        <f t="shared" si="1"/>
        <v>0</v>
      </c>
      <c r="B2481" s="32" t="s">
        <v>260</v>
      </c>
      <c r="C2481" s="23" t="s">
        <v>261</v>
      </c>
      <c r="D2481" s="23" t="s">
        <v>21</v>
      </c>
      <c r="E2481" s="37">
        <v>45433.0</v>
      </c>
      <c r="F2481" s="25">
        <v>0.2673611111111111</v>
      </c>
      <c r="G2481" s="25">
        <v>0.6805555555555556</v>
      </c>
      <c r="H2481" s="27">
        <f t="shared" si="2"/>
        <v>0.4131944444</v>
      </c>
      <c r="I2481" s="28">
        <v>4.0</v>
      </c>
      <c r="J2481" s="29" t="s">
        <v>1163</v>
      </c>
      <c r="K2481" s="30" t="s">
        <v>23</v>
      </c>
      <c r="L2481" s="31" t="str">
        <f>IFERROR(__xludf.DUMMYFUNCTION("IF(OR(E2481="""",K2481=""""),"""",IFERROR(IF(K2481="""","""",query('tbl user'!$A$2:$D10975,""SELECT A WHERE D = '""&amp;K2481&amp;""'"")),""USER TIDAK DIKETAHUI""))"),"#REF!")</f>
        <v>#REF!</v>
      </c>
    </row>
    <row r="2482">
      <c r="A2482" s="21">
        <f t="shared" si="1"/>
        <v>0</v>
      </c>
      <c r="B2482" s="32" t="s">
        <v>305</v>
      </c>
      <c r="C2482" s="23" t="s">
        <v>251</v>
      </c>
      <c r="D2482" s="23" t="s">
        <v>21</v>
      </c>
      <c r="E2482" s="37">
        <v>45433.0</v>
      </c>
      <c r="F2482" s="25">
        <v>0.24305555555555555</v>
      </c>
      <c r="G2482" s="25">
        <v>0.7083333333333334</v>
      </c>
      <c r="H2482" s="27">
        <f t="shared" si="2"/>
        <v>0.4652777778</v>
      </c>
      <c r="I2482" s="28">
        <v>5.0</v>
      </c>
      <c r="J2482" s="29" t="s">
        <v>55</v>
      </c>
      <c r="K2482" s="30" t="s">
        <v>23</v>
      </c>
      <c r="L2482" s="31" t="str">
        <f>IFERROR(__xludf.DUMMYFUNCTION("IF(OR(E2482="""",K2482=""""),"""",IFERROR(IF(K2482="""","""",query('tbl user'!$A$2:$D10975,""SELECT A WHERE D = '""&amp;K2482&amp;""'"")),""USER TIDAK DIKETAHUI""))"),"#REF!")</f>
        <v>#REF!</v>
      </c>
    </row>
    <row r="2483">
      <c r="A2483" s="21">
        <f t="shared" si="1"/>
        <v>0</v>
      </c>
      <c r="B2483" s="32" t="s">
        <v>253</v>
      </c>
      <c r="C2483" s="23" t="s">
        <v>102</v>
      </c>
      <c r="D2483" s="23" t="s">
        <v>21</v>
      </c>
      <c r="E2483" s="37">
        <v>45433.0</v>
      </c>
      <c r="F2483" s="25">
        <v>0.2125</v>
      </c>
      <c r="G2483" s="25">
        <v>0.7118055555555556</v>
      </c>
      <c r="H2483" s="27">
        <f t="shared" si="2"/>
        <v>0.4993055556</v>
      </c>
      <c r="I2483" s="28">
        <v>5.0</v>
      </c>
      <c r="J2483" s="29" t="s">
        <v>55</v>
      </c>
      <c r="K2483" s="30" t="s">
        <v>23</v>
      </c>
      <c r="L2483" s="31" t="str">
        <f>IFERROR(__xludf.DUMMYFUNCTION("IF(OR(E2483="""",K2483=""""),"""",IFERROR(IF(K2483="""","""",query('tbl user'!$A$2:$D10975,""SELECT A WHERE D = '""&amp;K2483&amp;""'"")),""USER TIDAK DIKETAHUI""))"),"#REF!")</f>
        <v>#REF!</v>
      </c>
    </row>
    <row r="2484">
      <c r="A2484" s="21">
        <f t="shared" si="1"/>
        <v>0</v>
      </c>
      <c r="B2484" s="32" t="s">
        <v>159</v>
      </c>
      <c r="C2484" s="23" t="s">
        <v>306</v>
      </c>
      <c r="D2484" s="23" t="s">
        <v>21</v>
      </c>
      <c r="E2484" s="37">
        <v>45433.0</v>
      </c>
      <c r="F2484" s="25">
        <v>0.2923611111111111</v>
      </c>
      <c r="G2484" s="25">
        <v>0.7506944444444444</v>
      </c>
      <c r="H2484" s="27">
        <f t="shared" si="2"/>
        <v>0.4583333333</v>
      </c>
      <c r="I2484" s="28">
        <v>5.0</v>
      </c>
      <c r="J2484" s="29" t="s">
        <v>55</v>
      </c>
      <c r="K2484" s="30" t="s">
        <v>23</v>
      </c>
      <c r="L2484" s="31" t="str">
        <f>IFERROR(__xludf.DUMMYFUNCTION("IF(OR(E2484="""",K2484=""""),"""",IFERROR(IF(K2484="""","""",query('tbl user'!$A$2:$D10975,""SELECT A WHERE D = '""&amp;K2484&amp;""'"")),""USER TIDAK DIKETAHUI""))"),"#REF!")</f>
        <v>#REF!</v>
      </c>
    </row>
    <row r="2485">
      <c r="A2485" s="21">
        <f t="shared" si="1"/>
        <v>0</v>
      </c>
      <c r="B2485" s="32" t="s">
        <v>131</v>
      </c>
      <c r="C2485" s="23" t="s">
        <v>339</v>
      </c>
      <c r="D2485" s="23" t="s">
        <v>21</v>
      </c>
      <c r="E2485" s="37">
        <v>45433.0</v>
      </c>
      <c r="F2485" s="25">
        <v>0.28055555555555556</v>
      </c>
      <c r="G2485" s="25">
        <v>0.7097222222222223</v>
      </c>
      <c r="H2485" s="27">
        <f t="shared" si="2"/>
        <v>0.4291666667</v>
      </c>
      <c r="I2485" s="28">
        <v>5.0</v>
      </c>
      <c r="J2485" s="29" t="s">
        <v>55</v>
      </c>
      <c r="K2485" s="30" t="s">
        <v>23</v>
      </c>
      <c r="L2485" s="31" t="str">
        <f>IFERROR(__xludf.DUMMYFUNCTION("IF(OR(E2485="""",K2485=""""),"""",IFERROR(IF(K2485="""","""",query('tbl user'!$A$2:$D10975,""SELECT A WHERE D = '""&amp;K2485&amp;""'"")),""USER TIDAK DIKETAHUI""))"),"#REF!")</f>
        <v>#REF!</v>
      </c>
    </row>
    <row r="2486">
      <c r="A2486" s="21">
        <f t="shared" si="1"/>
        <v>0</v>
      </c>
      <c r="B2486" s="32" t="s">
        <v>331</v>
      </c>
      <c r="C2486" s="23" t="s">
        <v>332</v>
      </c>
      <c r="D2486" s="23" t="s">
        <v>21</v>
      </c>
      <c r="E2486" s="37">
        <v>45433.0</v>
      </c>
      <c r="F2486" s="25">
        <v>0.2465277777777778</v>
      </c>
      <c r="G2486" s="25">
        <v>0.6888888888888889</v>
      </c>
      <c r="H2486" s="27">
        <f t="shared" si="2"/>
        <v>0.4423611111</v>
      </c>
      <c r="I2486" s="28">
        <v>5.0</v>
      </c>
      <c r="J2486" s="29" t="s">
        <v>55</v>
      </c>
      <c r="K2486" s="30" t="s">
        <v>23</v>
      </c>
      <c r="L2486" s="31" t="str">
        <f>IFERROR(__xludf.DUMMYFUNCTION("IF(OR(E2486="""",K2486=""""),"""",IFERROR(IF(K2486="""","""",query('tbl user'!$A$2:$D10975,""SELECT A WHERE D = '""&amp;K2486&amp;""'"")),""USER TIDAK DIKETAHUI""))"),"#REF!")</f>
        <v>#REF!</v>
      </c>
    </row>
    <row r="2487">
      <c r="A2487" s="21">
        <f t="shared" si="1"/>
        <v>0</v>
      </c>
      <c r="B2487" s="32" t="s">
        <v>716</v>
      </c>
      <c r="C2487" s="23" t="s">
        <v>316</v>
      </c>
      <c r="D2487" s="23" t="s">
        <v>21</v>
      </c>
      <c r="E2487" s="37">
        <v>45433.0</v>
      </c>
      <c r="F2487" s="25">
        <v>0.2659722222222222</v>
      </c>
      <c r="G2487" s="25">
        <v>0.7361111111111112</v>
      </c>
      <c r="H2487" s="27">
        <f t="shared" si="2"/>
        <v>0.4701388889</v>
      </c>
      <c r="I2487" s="28">
        <v>5.0</v>
      </c>
      <c r="J2487" s="29" t="s">
        <v>55</v>
      </c>
      <c r="K2487" s="30" t="s">
        <v>23</v>
      </c>
      <c r="L2487" s="31" t="str">
        <f>IFERROR(__xludf.DUMMYFUNCTION("IF(OR(E2487="""",K2487=""""),"""",IFERROR(IF(K2487="""","""",query('tbl user'!$A$2:$D10975,""SELECT A WHERE D = '""&amp;K2487&amp;""'"")),""USER TIDAK DIKETAHUI""))"),"#REF!")</f>
        <v>#REF!</v>
      </c>
    </row>
    <row r="2488">
      <c r="A2488" s="21">
        <f t="shared" si="1"/>
        <v>0</v>
      </c>
      <c r="B2488" s="32" t="s">
        <v>328</v>
      </c>
      <c r="C2488" s="23" t="s">
        <v>329</v>
      </c>
      <c r="D2488" s="23" t="s">
        <v>21</v>
      </c>
      <c r="E2488" s="37">
        <v>45433.0</v>
      </c>
      <c r="F2488" s="25">
        <v>0.25763888888888886</v>
      </c>
      <c r="G2488" s="25">
        <v>0.68125</v>
      </c>
      <c r="H2488" s="27">
        <f t="shared" si="2"/>
        <v>0.4236111111</v>
      </c>
      <c r="I2488" s="28">
        <v>5.0</v>
      </c>
      <c r="J2488" s="29" t="s">
        <v>55</v>
      </c>
      <c r="K2488" s="30" t="s">
        <v>23</v>
      </c>
      <c r="L2488" s="31" t="str">
        <f>IFERROR(__xludf.DUMMYFUNCTION("IF(OR(E2488="""",K2488=""""),"""",IFERROR(IF(K2488="""","""",query('tbl user'!$A$2:$D10975,""SELECT A WHERE D = '""&amp;K2488&amp;""'"")),""USER TIDAK DIKETAHUI""))"),"#REF!")</f>
        <v>#REF!</v>
      </c>
    </row>
    <row r="2489">
      <c r="A2489" s="21">
        <f t="shared" si="1"/>
        <v>0</v>
      </c>
      <c r="B2489" s="32" t="s">
        <v>43</v>
      </c>
      <c r="C2489" s="23" t="s">
        <v>44</v>
      </c>
      <c r="D2489" s="23" t="s">
        <v>21</v>
      </c>
      <c r="E2489" s="37">
        <v>45433.0</v>
      </c>
      <c r="F2489" s="25">
        <v>0.25833333333333336</v>
      </c>
      <c r="G2489" s="25">
        <v>0.7291666666666666</v>
      </c>
      <c r="H2489" s="27">
        <f t="shared" si="2"/>
        <v>0.4708333333</v>
      </c>
      <c r="I2489" s="28">
        <v>6.0</v>
      </c>
      <c r="J2489" s="29" t="s">
        <v>55</v>
      </c>
      <c r="K2489" s="30" t="s">
        <v>23</v>
      </c>
      <c r="L2489" s="31" t="str">
        <f>IFERROR(__xludf.DUMMYFUNCTION("IF(OR(E2489="""",K2489=""""),"""",IFERROR(IF(K2489="""","""",query('tbl user'!$A$2:$D10975,""SELECT A WHERE D = '""&amp;K2489&amp;""'"")),""USER TIDAK DIKETAHUI""))"),"#REF!")</f>
        <v>#REF!</v>
      </c>
    </row>
    <row r="2490">
      <c r="A2490" s="21">
        <f t="shared" si="1"/>
        <v>0</v>
      </c>
      <c r="B2490" s="32" t="s">
        <v>363</v>
      </c>
      <c r="C2490" s="23" t="s">
        <v>132</v>
      </c>
      <c r="D2490" s="23" t="s">
        <v>32</v>
      </c>
      <c r="E2490" s="37">
        <v>45433.0</v>
      </c>
      <c r="F2490" s="25">
        <v>0.30694444444444446</v>
      </c>
      <c r="G2490" s="25">
        <v>0.44166666666666665</v>
      </c>
      <c r="H2490" s="27">
        <f t="shared" si="2"/>
        <v>0.1347222222</v>
      </c>
      <c r="I2490" s="28">
        <v>1.0</v>
      </c>
      <c r="J2490" s="29" t="s">
        <v>1174</v>
      </c>
      <c r="K2490" s="30" t="s">
        <v>23</v>
      </c>
      <c r="L2490" s="31" t="str">
        <f>IFERROR(__xludf.DUMMYFUNCTION("IF(OR(E2490="""",K2490=""""),"""",IFERROR(IF(K2490="""","""",query('tbl user'!$A$2:$D10975,""SELECT A WHERE D = '""&amp;K2490&amp;""'"")),""USER TIDAK DIKETAHUI""))"),"#REF!")</f>
        <v>#REF!</v>
      </c>
    </row>
    <row r="2491">
      <c r="A2491" s="21">
        <f t="shared" si="1"/>
        <v>0</v>
      </c>
      <c r="B2491" s="32" t="s">
        <v>250</v>
      </c>
      <c r="C2491" s="23" t="s">
        <v>315</v>
      </c>
      <c r="D2491" s="23" t="s">
        <v>32</v>
      </c>
      <c r="E2491" s="37">
        <v>45433.0</v>
      </c>
      <c r="F2491" s="25">
        <v>0.21875</v>
      </c>
      <c r="G2491" s="25">
        <v>0.7111111111111111</v>
      </c>
      <c r="H2491" s="27">
        <f t="shared" si="2"/>
        <v>0.4923611111</v>
      </c>
      <c r="I2491" s="28">
        <v>3.0</v>
      </c>
      <c r="J2491" s="29" t="s">
        <v>1175</v>
      </c>
      <c r="K2491" s="30" t="s">
        <v>23</v>
      </c>
      <c r="L2491" s="31" t="str">
        <f>IFERROR(__xludf.DUMMYFUNCTION("IF(OR(E2491="""",K2491=""""),"""",IFERROR(IF(K2491="""","""",query('tbl user'!$A$2:$D10975,""SELECT A WHERE D = '""&amp;K2491&amp;""'"")),""USER TIDAK DIKETAHUI""))"),"#REF!")</f>
        <v>#REF!</v>
      </c>
    </row>
    <row r="2492">
      <c r="A2492" s="21">
        <f t="shared" si="1"/>
        <v>0</v>
      </c>
      <c r="B2492" s="32" t="s">
        <v>75</v>
      </c>
      <c r="C2492" s="23" t="s">
        <v>76</v>
      </c>
      <c r="D2492" s="23" t="s">
        <v>32</v>
      </c>
      <c r="E2492" s="37">
        <v>45433.0</v>
      </c>
      <c r="F2492" s="25">
        <v>0.25555555555555554</v>
      </c>
      <c r="G2492" s="25">
        <v>0.6048611111111111</v>
      </c>
      <c r="H2492" s="27">
        <f t="shared" si="2"/>
        <v>0.3493055556</v>
      </c>
      <c r="I2492" s="28">
        <v>3.0</v>
      </c>
      <c r="J2492" s="29" t="s">
        <v>1176</v>
      </c>
      <c r="K2492" s="30" t="s">
        <v>23</v>
      </c>
      <c r="L2492" s="31" t="str">
        <f>IFERROR(__xludf.DUMMYFUNCTION("IF(OR(E2492="""",K2492=""""),"""",IFERROR(IF(K2492="""","""",query('tbl user'!$A$2:$D10975,""SELECT A WHERE D = '""&amp;K2492&amp;""'"")),""USER TIDAK DIKETAHUI""))"),"#REF!")</f>
        <v>#REF!</v>
      </c>
    </row>
    <row r="2493">
      <c r="A2493" s="21">
        <f t="shared" si="1"/>
        <v>0</v>
      </c>
      <c r="B2493" s="32" t="s">
        <v>269</v>
      </c>
      <c r="C2493" s="23" t="s">
        <v>270</v>
      </c>
      <c r="D2493" s="23" t="s">
        <v>32</v>
      </c>
      <c r="E2493" s="37">
        <v>45433.0</v>
      </c>
      <c r="F2493" s="25">
        <v>0.2569444444444444</v>
      </c>
      <c r="G2493" s="25">
        <v>0.6604166666666667</v>
      </c>
      <c r="H2493" s="27">
        <f t="shared" si="2"/>
        <v>0.4034722222</v>
      </c>
      <c r="I2493" s="28">
        <v>3.0</v>
      </c>
      <c r="J2493" s="29" t="s">
        <v>1177</v>
      </c>
      <c r="K2493" s="30" t="s">
        <v>23</v>
      </c>
      <c r="L2493" s="31" t="str">
        <f>IFERROR(__xludf.DUMMYFUNCTION("IF(OR(E2493="""",K2493=""""),"""",IFERROR(IF(K2493="""","""",query('tbl user'!$A$2:$D10975,""SELECT A WHERE D = '""&amp;K2493&amp;""'"")),""USER TIDAK DIKETAHUI""))"),"#REF!")</f>
        <v>#REF!</v>
      </c>
    </row>
    <row r="2494">
      <c r="A2494" s="21">
        <f t="shared" si="1"/>
        <v>0</v>
      </c>
      <c r="B2494" s="32" t="s">
        <v>312</v>
      </c>
      <c r="C2494" s="23" t="s">
        <v>313</v>
      </c>
      <c r="D2494" s="23" t="s">
        <v>32</v>
      </c>
      <c r="E2494" s="37">
        <v>45433.0</v>
      </c>
      <c r="F2494" s="25">
        <v>0.21458333333333332</v>
      </c>
      <c r="G2494" s="25">
        <v>0.6458333333333334</v>
      </c>
      <c r="H2494" s="27">
        <f t="shared" si="2"/>
        <v>0.43125</v>
      </c>
      <c r="I2494" s="28">
        <v>3.0</v>
      </c>
      <c r="J2494" s="29" t="s">
        <v>1177</v>
      </c>
      <c r="K2494" s="30" t="s">
        <v>23</v>
      </c>
      <c r="L2494" s="31" t="str">
        <f>IFERROR(__xludf.DUMMYFUNCTION("IF(OR(E2494="""",K2494=""""),"""",IFERROR(IF(K2494="""","""",query('tbl user'!$A$2:$D10975,""SELECT A WHERE D = '""&amp;K2494&amp;""'"")),""USER TIDAK DIKETAHUI""))"),"#REF!")</f>
        <v>#REF!</v>
      </c>
    </row>
    <row r="2495">
      <c r="A2495" s="21">
        <f t="shared" si="1"/>
        <v>0</v>
      </c>
      <c r="B2495" s="32" t="s">
        <v>279</v>
      </c>
      <c r="C2495" s="23" t="s">
        <v>280</v>
      </c>
      <c r="D2495" s="23" t="s">
        <v>32</v>
      </c>
      <c r="E2495" s="37">
        <v>45433.0</v>
      </c>
      <c r="F2495" s="25">
        <v>0.2923611111111111</v>
      </c>
      <c r="G2495" s="25">
        <v>0.6631944444444444</v>
      </c>
      <c r="H2495" s="27">
        <f t="shared" si="2"/>
        <v>0.3708333333</v>
      </c>
      <c r="I2495" s="28">
        <v>3.0</v>
      </c>
      <c r="J2495" s="29" t="s">
        <v>1177</v>
      </c>
      <c r="K2495" s="30" t="s">
        <v>23</v>
      </c>
      <c r="L2495" s="31" t="str">
        <f>IFERROR(__xludf.DUMMYFUNCTION("IF(OR(E2495="""",K2495=""""),"""",IFERROR(IF(K2495="""","""",query('tbl user'!$A$2:$D10975,""SELECT A WHERE D = '""&amp;K2495&amp;""'"")),""USER TIDAK DIKETAHUI""))"),"#REF!")</f>
        <v>#REF!</v>
      </c>
    </row>
    <row r="2496">
      <c r="A2496" s="21">
        <f t="shared" si="1"/>
        <v>0</v>
      </c>
      <c r="B2496" s="32" t="s">
        <v>141</v>
      </c>
      <c r="C2496" s="23" t="s">
        <v>142</v>
      </c>
      <c r="D2496" s="23" t="s">
        <v>32</v>
      </c>
      <c r="E2496" s="37">
        <v>45433.0</v>
      </c>
      <c r="F2496" s="25">
        <v>0.24097222222222223</v>
      </c>
      <c r="G2496" s="25">
        <v>0.6465277777777778</v>
      </c>
      <c r="H2496" s="27">
        <f t="shared" si="2"/>
        <v>0.4055555556</v>
      </c>
      <c r="I2496" s="28">
        <v>3.0</v>
      </c>
      <c r="J2496" s="29" t="s">
        <v>1177</v>
      </c>
      <c r="K2496" s="30" t="s">
        <v>23</v>
      </c>
      <c r="L2496" s="31" t="str">
        <f>IFERROR(__xludf.DUMMYFUNCTION("IF(OR(E2496="""",K2496=""""),"""",IFERROR(IF(K2496="""","""",query('tbl user'!$A$2:$D10975,""SELECT A WHERE D = '""&amp;K2496&amp;""'"")),""USER TIDAK DIKETAHUI""))"),"#REF!")</f>
        <v>#REF!</v>
      </c>
    </row>
    <row r="2497">
      <c r="A2497" s="21">
        <f t="shared" si="1"/>
        <v>0</v>
      </c>
      <c r="B2497" s="32" t="s">
        <v>115</v>
      </c>
      <c r="C2497" s="23" t="s">
        <v>116</v>
      </c>
      <c r="D2497" s="23" t="s">
        <v>32</v>
      </c>
      <c r="E2497" s="37">
        <v>45433.0</v>
      </c>
      <c r="F2497" s="25">
        <v>0.2326388888888889</v>
      </c>
      <c r="G2497" s="25">
        <v>0.6680555555555555</v>
      </c>
      <c r="H2497" s="27">
        <f t="shared" si="2"/>
        <v>0.4354166667</v>
      </c>
      <c r="I2497" s="28">
        <v>4.0</v>
      </c>
      <c r="J2497" s="29" t="s">
        <v>55</v>
      </c>
      <c r="K2497" s="30" t="s">
        <v>23</v>
      </c>
      <c r="L2497" s="31" t="str">
        <f>IFERROR(__xludf.DUMMYFUNCTION("IF(OR(E2497="""",K2497=""""),"""",IFERROR(IF(K2497="""","""",query('tbl user'!$A$2:$D10975,""SELECT A WHERE D = '""&amp;K2497&amp;""'"")),""USER TIDAK DIKETAHUI""))"),"#REF!")</f>
        <v>#REF!</v>
      </c>
    </row>
    <row r="2498">
      <c r="A2498" s="21">
        <f t="shared" si="1"/>
        <v>0</v>
      </c>
      <c r="B2498" s="32" t="s">
        <v>46</v>
      </c>
      <c r="C2498" s="23" t="s">
        <v>47</v>
      </c>
      <c r="D2498" s="23" t="s">
        <v>32</v>
      </c>
      <c r="E2498" s="37">
        <v>45433.0</v>
      </c>
      <c r="F2498" s="25">
        <v>0.23958333333333334</v>
      </c>
      <c r="G2498" s="25">
        <v>0.6916666666666667</v>
      </c>
      <c r="H2498" s="27">
        <f t="shared" si="2"/>
        <v>0.4520833333</v>
      </c>
      <c r="I2498" s="28">
        <v>4.0</v>
      </c>
      <c r="J2498" s="29" t="s">
        <v>55</v>
      </c>
      <c r="K2498" s="30" t="s">
        <v>23</v>
      </c>
      <c r="L2498" s="31" t="str">
        <f>IFERROR(__xludf.DUMMYFUNCTION("IF(OR(E2498="""",K2498=""""),"""",IFERROR(IF(K2498="""","""",query('tbl user'!$A$2:$D10975,""SELECT A WHERE D = '""&amp;K2498&amp;""'"")),""USER TIDAK DIKETAHUI""))"),"#REF!")</f>
        <v>#REF!</v>
      </c>
    </row>
    <row r="2499">
      <c r="A2499" s="21">
        <f t="shared" si="1"/>
        <v>0</v>
      </c>
      <c r="B2499" s="32" t="s">
        <v>118</v>
      </c>
      <c r="C2499" s="23" t="s">
        <v>119</v>
      </c>
      <c r="D2499" s="23" t="s">
        <v>32</v>
      </c>
      <c r="E2499" s="37">
        <v>45433.0</v>
      </c>
      <c r="F2499" s="25">
        <v>0.2222222222222222</v>
      </c>
      <c r="G2499" s="25">
        <v>0.6270833333333333</v>
      </c>
      <c r="H2499" s="27">
        <f t="shared" si="2"/>
        <v>0.4048611111</v>
      </c>
      <c r="I2499" s="28">
        <v>4.0</v>
      </c>
      <c r="J2499" s="29" t="s">
        <v>55</v>
      </c>
      <c r="K2499" s="30" t="s">
        <v>23</v>
      </c>
      <c r="L2499" s="31" t="str">
        <f>IFERROR(__xludf.DUMMYFUNCTION("IF(OR(E2499="""",K2499=""""),"""",IFERROR(IF(K2499="""","""",query('tbl user'!$A$2:$D10975,""SELECT A WHERE D = '""&amp;K2499&amp;""'"")),""USER TIDAK DIKETAHUI""))"),"#REF!")</f>
        <v>#REF!</v>
      </c>
    </row>
    <row r="2500">
      <c r="A2500" s="21">
        <f t="shared" si="1"/>
        <v>0</v>
      </c>
      <c r="B2500" s="32" t="s">
        <v>120</v>
      </c>
      <c r="C2500" s="23" t="s">
        <v>121</v>
      </c>
      <c r="D2500" s="23" t="s">
        <v>32</v>
      </c>
      <c r="E2500" s="37">
        <v>45433.0</v>
      </c>
      <c r="F2500" s="25">
        <v>0.25625</v>
      </c>
      <c r="G2500" s="25">
        <v>0.6819444444444445</v>
      </c>
      <c r="H2500" s="27">
        <f t="shared" si="2"/>
        <v>0.4256944444</v>
      </c>
      <c r="I2500" s="28">
        <v>4.0</v>
      </c>
      <c r="J2500" s="29" t="s">
        <v>55</v>
      </c>
      <c r="K2500" s="30" t="s">
        <v>23</v>
      </c>
      <c r="L2500" s="31" t="str">
        <f>IFERROR(__xludf.DUMMYFUNCTION("IF(OR(E2500="""",K2500=""""),"""",IFERROR(IF(K2500="""","""",query('tbl user'!$A$2:$D10975,""SELECT A WHERE D = '""&amp;K2500&amp;""'"")),""USER TIDAK DIKETAHUI""))"),"#REF!")</f>
        <v>#REF!</v>
      </c>
    </row>
    <row r="2501">
      <c r="A2501" s="21">
        <f t="shared" si="1"/>
        <v>0</v>
      </c>
      <c r="B2501" s="32" t="s">
        <v>123</v>
      </c>
      <c r="C2501" s="23" t="s">
        <v>124</v>
      </c>
      <c r="D2501" s="23" t="s">
        <v>32</v>
      </c>
      <c r="E2501" s="37">
        <v>45433.0</v>
      </c>
      <c r="F2501" s="25">
        <v>0.24444444444444444</v>
      </c>
      <c r="G2501" s="25">
        <v>0.6798611111111111</v>
      </c>
      <c r="H2501" s="27">
        <f t="shared" si="2"/>
        <v>0.4354166667</v>
      </c>
      <c r="I2501" s="28">
        <v>4.0</v>
      </c>
      <c r="J2501" s="29" t="s">
        <v>55</v>
      </c>
      <c r="K2501" s="30" t="s">
        <v>23</v>
      </c>
      <c r="L2501" s="31" t="str">
        <f>IFERROR(__xludf.DUMMYFUNCTION("IF(OR(E2501="""",K2501=""""),"""",IFERROR(IF(K2501="""","""",query('tbl user'!$A$2:$D10975,""SELECT A WHERE D = '""&amp;K2501&amp;""'"")),""USER TIDAK DIKETAHUI""))"),"#REF!")</f>
        <v>#REF!</v>
      </c>
    </row>
    <row r="2502">
      <c r="A2502" s="21">
        <f t="shared" si="1"/>
        <v>0</v>
      </c>
      <c r="B2502" s="32" t="s">
        <v>125</v>
      </c>
      <c r="C2502" s="23" t="s">
        <v>126</v>
      </c>
      <c r="D2502" s="23" t="s">
        <v>32</v>
      </c>
      <c r="E2502" s="37">
        <v>45433.0</v>
      </c>
      <c r="F2502" s="25">
        <v>0.2875</v>
      </c>
      <c r="G2502" s="25">
        <v>0.7111111111111111</v>
      </c>
      <c r="H2502" s="27">
        <f t="shared" si="2"/>
        <v>0.4236111111</v>
      </c>
      <c r="I2502" s="28">
        <v>4.0</v>
      </c>
      <c r="J2502" s="29" t="s">
        <v>55</v>
      </c>
      <c r="K2502" s="30" t="s">
        <v>23</v>
      </c>
      <c r="L2502" s="31" t="str">
        <f>IFERROR(__xludf.DUMMYFUNCTION("IF(OR(E2502="""",K2502=""""),"""",IFERROR(IF(K2502="""","""",query('tbl user'!$A$2:$D10975,""SELECT A WHERE D = '""&amp;K2502&amp;""'"")),""USER TIDAK DIKETAHUI""))"),"#REF!")</f>
        <v>#REF!</v>
      </c>
    </row>
    <row r="2503">
      <c r="A2503" s="21">
        <f t="shared" si="1"/>
        <v>0</v>
      </c>
      <c r="B2503" s="32" t="s">
        <v>127</v>
      </c>
      <c r="C2503" s="23" t="s">
        <v>128</v>
      </c>
      <c r="D2503" s="23" t="s">
        <v>32</v>
      </c>
      <c r="E2503" s="37">
        <v>45433.0</v>
      </c>
      <c r="F2503" s="25">
        <v>0.2763888888888889</v>
      </c>
      <c r="G2503" s="25">
        <v>0.7236111111111111</v>
      </c>
      <c r="H2503" s="27">
        <f t="shared" si="2"/>
        <v>0.4472222222</v>
      </c>
      <c r="I2503" s="28">
        <v>4.0</v>
      </c>
      <c r="J2503" s="29" t="s">
        <v>55</v>
      </c>
      <c r="K2503" s="30" t="s">
        <v>23</v>
      </c>
      <c r="L2503" s="31" t="str">
        <f>IFERROR(__xludf.DUMMYFUNCTION("IF(OR(E2503="""",K2503=""""),"""",IFERROR(IF(K2503="""","""",query('tbl user'!$A$2:$D10975,""SELECT A WHERE D = '""&amp;K2503&amp;""'"")),""USER TIDAK DIKETAHUI""))"),"#REF!")</f>
        <v>#REF!</v>
      </c>
    </row>
    <row r="2504">
      <c r="A2504" s="21">
        <f t="shared" si="1"/>
        <v>0</v>
      </c>
      <c r="B2504" s="32" t="s">
        <v>135</v>
      </c>
      <c r="C2504" s="23" t="s">
        <v>136</v>
      </c>
      <c r="D2504" s="23" t="s">
        <v>32</v>
      </c>
      <c r="E2504" s="37">
        <v>45433.0</v>
      </c>
      <c r="F2504" s="25">
        <v>0.23680555555555555</v>
      </c>
      <c r="G2504" s="25">
        <v>0.725</v>
      </c>
      <c r="H2504" s="27">
        <f t="shared" si="2"/>
        <v>0.4881944444</v>
      </c>
      <c r="I2504" s="28">
        <v>4.0</v>
      </c>
      <c r="J2504" s="29" t="s">
        <v>55</v>
      </c>
      <c r="K2504" s="30" t="s">
        <v>23</v>
      </c>
      <c r="L2504" s="31" t="str">
        <f>IFERROR(__xludf.DUMMYFUNCTION("IF(OR(E2504="""",K2504=""""),"""",IFERROR(IF(K2504="""","""",query('tbl user'!$A$2:$D10975,""SELECT A WHERE D = '""&amp;K2504&amp;""'"")),""USER TIDAK DIKETAHUI""))"),"#REF!")</f>
        <v>#REF!</v>
      </c>
    </row>
    <row r="2505">
      <c r="A2505" s="21">
        <f t="shared" si="1"/>
        <v>0</v>
      </c>
      <c r="B2505" s="32" t="s">
        <v>30</v>
      </c>
      <c r="C2505" s="23" t="s">
        <v>31</v>
      </c>
      <c r="D2505" s="23" t="s">
        <v>32</v>
      </c>
      <c r="E2505" s="37">
        <v>45433.0</v>
      </c>
      <c r="F2505" s="25">
        <v>0.2152777777777778</v>
      </c>
      <c r="G2505" s="25">
        <v>0.7111111111111111</v>
      </c>
      <c r="H2505" s="27">
        <f t="shared" si="2"/>
        <v>0.4958333333</v>
      </c>
      <c r="I2505" s="28">
        <v>4.0</v>
      </c>
      <c r="J2505" s="29" t="s">
        <v>55</v>
      </c>
      <c r="K2505" s="30" t="s">
        <v>23</v>
      </c>
      <c r="L2505" s="31" t="str">
        <f>IFERROR(__xludf.DUMMYFUNCTION("IF(OR(E2505="""",K2505=""""),"""",IFERROR(IF(K2505="""","""",query('tbl user'!$A$2:$D10975,""SELECT A WHERE D = '""&amp;K2505&amp;""'"")),""USER TIDAK DIKETAHUI""))"),"#REF!")</f>
        <v>#REF!</v>
      </c>
    </row>
    <row r="2506">
      <c r="A2506" s="21">
        <f t="shared" si="1"/>
        <v>0</v>
      </c>
      <c r="B2506" s="32" t="s">
        <v>40</v>
      </c>
      <c r="C2506" s="23" t="s">
        <v>41</v>
      </c>
      <c r="D2506" s="23" t="s">
        <v>32</v>
      </c>
      <c r="E2506" s="37">
        <v>45433.0</v>
      </c>
      <c r="F2506" s="25">
        <v>0.21180555555555555</v>
      </c>
      <c r="G2506" s="25">
        <v>0.6875</v>
      </c>
      <c r="H2506" s="27">
        <f t="shared" si="2"/>
        <v>0.4756944444</v>
      </c>
      <c r="I2506" s="28">
        <v>4.0</v>
      </c>
      <c r="J2506" s="29" t="s">
        <v>55</v>
      </c>
      <c r="K2506" s="30" t="s">
        <v>23</v>
      </c>
      <c r="L2506" s="31" t="str">
        <f>IFERROR(__xludf.DUMMYFUNCTION("IF(OR(E2506="""",K2506=""""),"""",IFERROR(IF(K2506="""","""",query('tbl user'!$A$2:$D10975,""SELECT A WHERE D = '""&amp;K2506&amp;""'"")),""USER TIDAK DIKETAHUI""))"),"#REF!")</f>
        <v>#REF!</v>
      </c>
    </row>
    <row r="2507">
      <c r="A2507" s="21">
        <f t="shared" si="1"/>
        <v>0</v>
      </c>
      <c r="B2507" s="32" t="s">
        <v>137</v>
      </c>
      <c r="C2507" s="23" t="s">
        <v>138</v>
      </c>
      <c r="D2507" s="23" t="s">
        <v>32</v>
      </c>
      <c r="E2507" s="37">
        <v>45433.0</v>
      </c>
      <c r="F2507" s="25">
        <v>0.22291666666666668</v>
      </c>
      <c r="G2507" s="25">
        <v>0.6909722222222222</v>
      </c>
      <c r="H2507" s="27">
        <f t="shared" si="2"/>
        <v>0.4680555556</v>
      </c>
      <c r="I2507" s="28">
        <v>4.0</v>
      </c>
      <c r="J2507" s="29" t="s">
        <v>55</v>
      </c>
      <c r="K2507" s="30" t="s">
        <v>23</v>
      </c>
      <c r="L2507" s="31" t="str">
        <f>IFERROR(__xludf.DUMMYFUNCTION("IF(OR(E2507="""",K2507=""""),"""",IFERROR(IF(K2507="""","""",query('tbl user'!$A$2:$D10975,""SELECT A WHERE D = '""&amp;K2507&amp;""'"")),""USER TIDAK DIKETAHUI""))"),"#REF!")</f>
        <v>#REF!</v>
      </c>
    </row>
    <row r="2508">
      <c r="A2508" s="21">
        <f t="shared" si="1"/>
        <v>0</v>
      </c>
      <c r="B2508" s="32" t="s">
        <v>277</v>
      </c>
      <c r="C2508" s="23" t="s">
        <v>278</v>
      </c>
      <c r="D2508" s="23" t="s">
        <v>32</v>
      </c>
      <c r="E2508" s="37">
        <v>45433.0</v>
      </c>
      <c r="F2508" s="25">
        <v>0.25625</v>
      </c>
      <c r="G2508" s="25">
        <v>0.7361111111111112</v>
      </c>
      <c r="H2508" s="27">
        <f t="shared" si="2"/>
        <v>0.4798611111</v>
      </c>
      <c r="I2508" s="28">
        <v>4.0</v>
      </c>
      <c r="J2508" s="29" t="s">
        <v>55</v>
      </c>
      <c r="K2508" s="30" t="s">
        <v>23</v>
      </c>
      <c r="L2508" s="31" t="str">
        <f>IFERROR(__xludf.DUMMYFUNCTION("IF(OR(E2508="""",K2508=""""),"""",IFERROR(IF(K2508="""","""",query('tbl user'!$A$2:$D10975,""SELECT A WHERE D = '""&amp;K2508&amp;""'"")),""USER TIDAK DIKETAHUI""))"),"#REF!")</f>
        <v>#REF!</v>
      </c>
    </row>
    <row r="2509">
      <c r="A2509" s="21">
        <f t="shared" si="1"/>
        <v>0</v>
      </c>
      <c r="B2509" s="32" t="s">
        <v>263</v>
      </c>
      <c r="C2509" s="23" t="s">
        <v>264</v>
      </c>
      <c r="D2509" s="23" t="s">
        <v>32</v>
      </c>
      <c r="E2509" s="37">
        <v>45433.0</v>
      </c>
      <c r="F2509" s="25">
        <v>0.22361111111111112</v>
      </c>
      <c r="G2509" s="25">
        <v>0.7361111111111112</v>
      </c>
      <c r="H2509" s="27">
        <f t="shared" si="2"/>
        <v>0.5125</v>
      </c>
      <c r="I2509" s="28">
        <v>5.0</v>
      </c>
      <c r="J2509" s="29" t="s">
        <v>55</v>
      </c>
      <c r="K2509" s="30" t="s">
        <v>23</v>
      </c>
      <c r="L2509" s="31" t="str">
        <f>IFERROR(__xludf.DUMMYFUNCTION("IF(OR(E2509="""",K2509=""""),"""",IFERROR(IF(K2509="""","""",query('tbl user'!$A$2:$D10975,""SELECT A WHERE D = '""&amp;K2509&amp;""'"")),""USER TIDAK DIKETAHUI""))"),"#REF!")</f>
        <v>#REF!</v>
      </c>
    </row>
    <row r="2510">
      <c r="A2510" s="21">
        <f t="shared" si="1"/>
        <v>0</v>
      </c>
      <c r="B2510" s="32" t="s">
        <v>225</v>
      </c>
      <c r="C2510" s="23" t="s">
        <v>211</v>
      </c>
      <c r="D2510" s="23" t="s">
        <v>58</v>
      </c>
      <c r="E2510" s="37">
        <v>45434.0</v>
      </c>
      <c r="F2510" s="25">
        <v>0.2777777777777778</v>
      </c>
      <c r="G2510" s="25">
        <v>0.5743055555555555</v>
      </c>
      <c r="H2510" s="27">
        <f t="shared" si="2"/>
        <v>0.2965277778</v>
      </c>
      <c r="I2510" s="28">
        <v>2.0</v>
      </c>
      <c r="J2510" s="29" t="s">
        <v>552</v>
      </c>
      <c r="K2510" s="30" t="s">
        <v>23</v>
      </c>
      <c r="L2510" s="31" t="str">
        <f>IFERROR(__xludf.DUMMYFUNCTION("IF(OR(E2510="""",K2510=""""),"""",IFERROR(IF(K2510="""","""",query('tbl user'!$A$2:$D10975,""SELECT A WHERE D = '""&amp;K2510&amp;""'"")),""USER TIDAK DIKETAHUI""))"),"#REF!")</f>
        <v>#REF!</v>
      </c>
    </row>
    <row r="2511">
      <c r="A2511" s="21">
        <f t="shared" si="1"/>
        <v>0</v>
      </c>
      <c r="B2511" s="32" t="s">
        <v>175</v>
      </c>
      <c r="C2511" s="23" t="s">
        <v>176</v>
      </c>
      <c r="D2511" s="23" t="s">
        <v>58</v>
      </c>
      <c r="E2511" s="37">
        <v>45434.0</v>
      </c>
      <c r="F2511" s="25">
        <v>0.33125</v>
      </c>
      <c r="G2511" s="25">
        <v>0.6576388888888889</v>
      </c>
      <c r="H2511" s="27">
        <f t="shared" si="2"/>
        <v>0.3263888889</v>
      </c>
      <c r="I2511" s="28">
        <v>2.0</v>
      </c>
      <c r="J2511" s="29" t="s">
        <v>1178</v>
      </c>
      <c r="K2511" s="30" t="s">
        <v>23</v>
      </c>
      <c r="L2511" s="31" t="str">
        <f>IFERROR(__xludf.DUMMYFUNCTION("IF(OR(E2511="""",K2511=""""),"""",IFERROR(IF(K2511="""","""",query('tbl user'!$A$2:$D10975,""SELECT A WHERE D = '""&amp;K2511&amp;""'"")),""USER TIDAK DIKETAHUI""))"),"#REF!")</f>
        <v>#REF!</v>
      </c>
    </row>
    <row r="2512">
      <c r="A2512" s="21">
        <f t="shared" si="1"/>
        <v>0</v>
      </c>
      <c r="B2512" s="32" t="s">
        <v>56</v>
      </c>
      <c r="C2512" s="23" t="s">
        <v>57</v>
      </c>
      <c r="D2512" s="23" t="s">
        <v>58</v>
      </c>
      <c r="E2512" s="37">
        <v>45434.0</v>
      </c>
      <c r="F2512" s="25">
        <v>0.2861111111111111</v>
      </c>
      <c r="G2512" s="25">
        <v>0.5798611111111112</v>
      </c>
      <c r="H2512" s="27">
        <f t="shared" si="2"/>
        <v>0.29375</v>
      </c>
      <c r="I2512" s="28">
        <v>2.0</v>
      </c>
      <c r="J2512" s="29" t="s">
        <v>245</v>
      </c>
      <c r="K2512" s="30" t="s">
        <v>23</v>
      </c>
      <c r="L2512" s="31" t="str">
        <f>IFERROR(__xludf.DUMMYFUNCTION("IF(OR(E2512="""",K2512=""""),"""",IFERROR(IF(K2512="""","""",query('tbl user'!$A$2:$D10975,""SELECT A WHERE D = '""&amp;K2512&amp;""'"")),""USER TIDAK DIKETAHUI""))"),"#REF!")</f>
        <v>#REF!</v>
      </c>
    </row>
    <row r="2513">
      <c r="A2513" s="21">
        <f t="shared" si="1"/>
        <v>0</v>
      </c>
      <c r="B2513" s="32" t="s">
        <v>178</v>
      </c>
      <c r="C2513" s="23" t="s">
        <v>82</v>
      </c>
      <c r="D2513" s="23" t="s">
        <v>58</v>
      </c>
      <c r="E2513" s="37">
        <v>45434.0</v>
      </c>
      <c r="F2513" s="25">
        <v>0.27847222222222223</v>
      </c>
      <c r="G2513" s="25">
        <v>0.5645833333333333</v>
      </c>
      <c r="H2513" s="27">
        <f t="shared" si="2"/>
        <v>0.2861111111</v>
      </c>
      <c r="I2513" s="28">
        <v>2.0</v>
      </c>
      <c r="J2513" s="29" t="s">
        <v>1179</v>
      </c>
      <c r="K2513" s="30" t="s">
        <v>23</v>
      </c>
      <c r="L2513" s="31" t="str">
        <f>IFERROR(__xludf.DUMMYFUNCTION("IF(OR(E2513="""",K2513=""""),"""",IFERROR(IF(K2513="""","""",query('tbl user'!$A$2:$D10975,""SELECT A WHERE D = '""&amp;K2513&amp;""'"")),""USER TIDAK DIKETAHUI""))"),"#REF!")</f>
        <v>#REF!</v>
      </c>
    </row>
    <row r="2514">
      <c r="A2514" s="21">
        <f t="shared" si="1"/>
        <v>0</v>
      </c>
      <c r="B2514" s="32" t="s">
        <v>189</v>
      </c>
      <c r="C2514" s="23" t="s">
        <v>190</v>
      </c>
      <c r="D2514" s="23" t="s">
        <v>58</v>
      </c>
      <c r="E2514" s="37">
        <v>45434.0</v>
      </c>
      <c r="F2514" s="25">
        <v>0.28680555555555554</v>
      </c>
      <c r="G2514" s="25">
        <v>0.5840277777777778</v>
      </c>
      <c r="H2514" s="27">
        <f t="shared" si="2"/>
        <v>0.2972222222</v>
      </c>
      <c r="I2514" s="28">
        <v>2.0</v>
      </c>
      <c r="J2514" s="29" t="s">
        <v>1180</v>
      </c>
      <c r="K2514" s="30" t="s">
        <v>23</v>
      </c>
      <c r="L2514" s="31" t="str">
        <f>IFERROR(__xludf.DUMMYFUNCTION("IF(OR(E2514="""",K2514=""""),"""",IFERROR(IF(K2514="""","""",query('tbl user'!$A$2:$D10975,""SELECT A WHERE D = '""&amp;K2514&amp;""'"")),""USER TIDAK DIKETAHUI""))"),"#REF!")</f>
        <v>#REF!</v>
      </c>
    </row>
    <row r="2515">
      <c r="A2515" s="21">
        <f t="shared" si="1"/>
        <v>0</v>
      </c>
      <c r="B2515" s="32" t="s">
        <v>67</v>
      </c>
      <c r="C2515" s="23" t="s">
        <v>68</v>
      </c>
      <c r="D2515" s="23" t="s">
        <v>58</v>
      </c>
      <c r="E2515" s="37">
        <v>45434.0</v>
      </c>
      <c r="F2515" s="25">
        <v>0.2652777777777778</v>
      </c>
      <c r="G2515" s="25">
        <v>0.6555555555555556</v>
      </c>
      <c r="H2515" s="27">
        <f t="shared" si="2"/>
        <v>0.3902777778</v>
      </c>
      <c r="I2515" s="28">
        <v>3.0</v>
      </c>
      <c r="J2515" s="29" t="s">
        <v>1181</v>
      </c>
      <c r="K2515" s="30" t="s">
        <v>23</v>
      </c>
      <c r="L2515" s="31" t="str">
        <f>IFERROR(__xludf.DUMMYFUNCTION("IF(OR(E2515="""",K2515=""""),"""",IFERROR(IF(K2515="""","""",query('tbl user'!$A$2:$D10975,""SELECT A WHERE D = '""&amp;K2515&amp;""'"")),""USER TIDAK DIKETAHUI""))"),"#REF!")</f>
        <v>#REF!</v>
      </c>
    </row>
    <row r="2516">
      <c r="A2516" s="21">
        <f t="shared" si="1"/>
        <v>0</v>
      </c>
      <c r="B2516" s="32" t="s">
        <v>167</v>
      </c>
      <c r="C2516" s="23" t="s">
        <v>168</v>
      </c>
      <c r="D2516" s="23" t="s">
        <v>58</v>
      </c>
      <c r="E2516" s="37">
        <v>45434.0</v>
      </c>
      <c r="F2516" s="25">
        <v>0.2923611111111111</v>
      </c>
      <c r="G2516" s="25">
        <v>0.6805555555555556</v>
      </c>
      <c r="H2516" s="27">
        <f t="shared" si="2"/>
        <v>0.3881944444</v>
      </c>
      <c r="I2516" s="28">
        <v>3.0</v>
      </c>
      <c r="J2516" s="29" t="s">
        <v>171</v>
      </c>
      <c r="K2516" s="30" t="s">
        <v>23</v>
      </c>
      <c r="L2516" s="31" t="str">
        <f>IFERROR(__xludf.DUMMYFUNCTION("IF(OR(E2516="""",K2516=""""),"""",IFERROR(IF(K2516="""","""",query('tbl user'!$A$2:$D10975,""SELECT A WHERE D = '""&amp;K2516&amp;""'"")),""USER TIDAK DIKETAHUI""))"),"#REF!")</f>
        <v>#REF!</v>
      </c>
    </row>
    <row r="2517">
      <c r="A2517" s="21">
        <f t="shared" si="1"/>
        <v>0</v>
      </c>
      <c r="B2517" s="32" t="s">
        <v>95</v>
      </c>
      <c r="C2517" s="23" t="s">
        <v>170</v>
      </c>
      <c r="D2517" s="23" t="s">
        <v>58</v>
      </c>
      <c r="E2517" s="37">
        <v>45434.0</v>
      </c>
      <c r="F2517" s="25">
        <v>0.3138888888888889</v>
      </c>
      <c r="G2517" s="25">
        <v>0.6770833333333334</v>
      </c>
      <c r="H2517" s="27">
        <f t="shared" si="2"/>
        <v>0.3631944444</v>
      </c>
      <c r="I2517" s="28">
        <v>3.0</v>
      </c>
      <c r="J2517" s="29" t="s">
        <v>1182</v>
      </c>
      <c r="K2517" s="30" t="s">
        <v>23</v>
      </c>
      <c r="L2517" s="31" t="str">
        <f>IFERROR(__xludf.DUMMYFUNCTION("IF(OR(E2517="""",K2517=""""),"""",IFERROR(IF(K2517="""","""",query('tbl user'!$A$2:$D10975,""SELECT A WHERE D = '""&amp;K2517&amp;""'"")),""USER TIDAK DIKETAHUI""))"),"#REF!")</f>
        <v>#REF!</v>
      </c>
    </row>
    <row r="2518">
      <c r="A2518" s="21">
        <f t="shared" si="1"/>
        <v>0</v>
      </c>
      <c r="B2518" s="32" t="s">
        <v>92</v>
      </c>
      <c r="C2518" s="23" t="s">
        <v>93</v>
      </c>
      <c r="D2518" s="23" t="s">
        <v>58</v>
      </c>
      <c r="E2518" s="37">
        <v>45434.0</v>
      </c>
      <c r="F2518" s="25">
        <v>0.25763888888888886</v>
      </c>
      <c r="G2518" s="25">
        <v>0.6104166666666667</v>
      </c>
      <c r="H2518" s="27">
        <f t="shared" si="2"/>
        <v>0.3527777778</v>
      </c>
      <c r="I2518" s="28">
        <v>3.0</v>
      </c>
      <c r="J2518" s="29" t="s">
        <v>1183</v>
      </c>
      <c r="K2518" s="30" t="s">
        <v>23</v>
      </c>
      <c r="L2518" s="31" t="str">
        <f>IFERROR(__xludf.DUMMYFUNCTION("IF(OR(E2518="""",K2518=""""),"""",IFERROR(IF(K2518="""","""",query('tbl user'!$A$2:$D10975,""SELECT A WHERE D = '""&amp;K2518&amp;""'"")),""USER TIDAK DIKETAHUI""))"),"#REF!")</f>
        <v>#REF!</v>
      </c>
    </row>
    <row r="2519">
      <c r="A2519" s="21">
        <f t="shared" si="1"/>
        <v>0</v>
      </c>
      <c r="B2519" s="32" t="s">
        <v>182</v>
      </c>
      <c r="C2519" s="23" t="s">
        <v>183</v>
      </c>
      <c r="D2519" s="23" t="s">
        <v>58</v>
      </c>
      <c r="E2519" s="37">
        <v>45434.0</v>
      </c>
      <c r="F2519" s="25">
        <v>0.2513888888888889</v>
      </c>
      <c r="G2519" s="25">
        <v>0.5826388888888889</v>
      </c>
      <c r="H2519" s="27">
        <f t="shared" si="2"/>
        <v>0.33125</v>
      </c>
      <c r="I2519" s="28">
        <v>3.0</v>
      </c>
      <c r="J2519" s="29" t="s">
        <v>428</v>
      </c>
      <c r="K2519" s="30" t="s">
        <v>23</v>
      </c>
      <c r="L2519" s="31" t="str">
        <f>IFERROR(__xludf.DUMMYFUNCTION("IF(OR(E2519="""",K2519=""""),"""",IFERROR(IF(K2519="""","""",query('tbl user'!$A$2:$D10975,""SELECT A WHERE D = '""&amp;K2519&amp;""'"")),""USER TIDAK DIKETAHUI""))"),"#REF!")</f>
        <v>#REF!</v>
      </c>
    </row>
    <row r="2520">
      <c r="A2520" s="21">
        <f t="shared" si="1"/>
        <v>0</v>
      </c>
      <c r="B2520" s="32" t="s">
        <v>184</v>
      </c>
      <c r="C2520" s="23" t="s">
        <v>185</v>
      </c>
      <c r="D2520" s="23" t="s">
        <v>58</v>
      </c>
      <c r="E2520" s="37">
        <v>45434.0</v>
      </c>
      <c r="F2520" s="25">
        <v>0.27291666666666664</v>
      </c>
      <c r="G2520" s="25">
        <v>0.6458333333333334</v>
      </c>
      <c r="H2520" s="27">
        <f t="shared" si="2"/>
        <v>0.3729166667</v>
      </c>
      <c r="I2520" s="28">
        <v>3.0</v>
      </c>
      <c r="J2520" s="29" t="s">
        <v>171</v>
      </c>
      <c r="K2520" s="30" t="s">
        <v>23</v>
      </c>
      <c r="L2520" s="31" t="str">
        <f>IFERROR(__xludf.DUMMYFUNCTION("IF(OR(E2520="""",K2520=""""),"""",IFERROR(IF(K2520="""","""",query('tbl user'!$A$2:$D10975,""SELECT A WHERE D = '""&amp;K2520&amp;""'"")),""USER TIDAK DIKETAHUI""))"),"#REF!")</f>
        <v>#REF!</v>
      </c>
    </row>
    <row r="2521">
      <c r="A2521" s="21">
        <f t="shared" si="1"/>
        <v>0</v>
      </c>
      <c r="B2521" s="32" t="s">
        <v>191</v>
      </c>
      <c r="C2521" s="23" t="s">
        <v>192</v>
      </c>
      <c r="D2521" s="23" t="s">
        <v>58</v>
      </c>
      <c r="E2521" s="37">
        <v>45434.0</v>
      </c>
      <c r="F2521" s="25">
        <v>0.26875</v>
      </c>
      <c r="G2521" s="25">
        <v>0.6145833333333334</v>
      </c>
      <c r="H2521" s="27">
        <f t="shared" si="2"/>
        <v>0.3458333333</v>
      </c>
      <c r="I2521" s="28">
        <v>3.0</v>
      </c>
      <c r="J2521" s="29" t="s">
        <v>177</v>
      </c>
      <c r="K2521" s="30" t="s">
        <v>23</v>
      </c>
      <c r="L2521" s="31" t="str">
        <f>IFERROR(__xludf.DUMMYFUNCTION("IF(OR(E2521="""",K2521=""""),"""",IFERROR(IF(K2521="""","""",query('tbl user'!$A$2:$D10975,""SELECT A WHERE D = '""&amp;K2521&amp;""'"")),""USER TIDAK DIKETAHUI""))"),"#REF!")</f>
        <v>#REF!</v>
      </c>
    </row>
    <row r="2522">
      <c r="A2522" s="21">
        <f t="shared" si="1"/>
        <v>0</v>
      </c>
      <c r="B2522" s="32" t="s">
        <v>200</v>
      </c>
      <c r="C2522" s="23" t="s">
        <v>201</v>
      </c>
      <c r="D2522" s="23" t="s">
        <v>58</v>
      </c>
      <c r="E2522" s="37">
        <v>45434.0</v>
      </c>
      <c r="F2522" s="25">
        <v>0.25833333333333336</v>
      </c>
      <c r="G2522" s="25">
        <v>0.6284722222222222</v>
      </c>
      <c r="H2522" s="27">
        <f t="shared" si="2"/>
        <v>0.3701388889</v>
      </c>
      <c r="I2522" s="28">
        <v>3.0</v>
      </c>
      <c r="J2522" s="29" t="s">
        <v>1184</v>
      </c>
      <c r="K2522" s="30" t="s">
        <v>23</v>
      </c>
      <c r="L2522" s="31" t="str">
        <f>IFERROR(__xludf.DUMMYFUNCTION("IF(OR(E2522="""",K2522=""""),"""",IFERROR(IF(K2522="""","""",query('tbl user'!$A$2:$D10975,""SELECT A WHERE D = '""&amp;K2522&amp;""'"")),""USER TIDAK DIKETAHUI""))"),"#REF!")</f>
        <v>#REF!</v>
      </c>
    </row>
    <row r="2523">
      <c r="A2523" s="21">
        <f t="shared" si="1"/>
        <v>0</v>
      </c>
      <c r="B2523" s="32" t="s">
        <v>104</v>
      </c>
      <c r="C2523" s="23" t="s">
        <v>105</v>
      </c>
      <c r="D2523" s="23" t="s">
        <v>58</v>
      </c>
      <c r="E2523" s="37">
        <v>45434.0</v>
      </c>
      <c r="F2523" s="25">
        <v>0.2652777777777778</v>
      </c>
      <c r="G2523" s="25">
        <v>0.7368055555555556</v>
      </c>
      <c r="H2523" s="27">
        <f t="shared" si="2"/>
        <v>0.4715277778</v>
      </c>
      <c r="I2523" s="28">
        <v>3.0</v>
      </c>
      <c r="J2523" s="29" t="s">
        <v>1185</v>
      </c>
      <c r="K2523" s="30" t="s">
        <v>23</v>
      </c>
      <c r="L2523" s="31" t="str">
        <f>IFERROR(__xludf.DUMMYFUNCTION("IF(OR(E2523="""",K2523=""""),"""",IFERROR(IF(K2523="""","""",query('tbl user'!$A$2:$D10975,""SELECT A WHERE D = '""&amp;K2523&amp;""'"")),""USER TIDAK DIKETAHUI""))"),"#REF!")</f>
        <v>#REF!</v>
      </c>
    </row>
    <row r="2524">
      <c r="A2524" s="21">
        <f t="shared" si="1"/>
        <v>0</v>
      </c>
      <c r="B2524" s="32" t="s">
        <v>202</v>
      </c>
      <c r="C2524" s="23" t="s">
        <v>203</v>
      </c>
      <c r="D2524" s="23" t="s">
        <v>58</v>
      </c>
      <c r="E2524" s="37">
        <v>45434.0</v>
      </c>
      <c r="F2524" s="25">
        <v>0.33402777777777776</v>
      </c>
      <c r="G2524" s="25">
        <v>0.7256944444444444</v>
      </c>
      <c r="H2524" s="27">
        <f t="shared" si="2"/>
        <v>0.3916666667</v>
      </c>
      <c r="I2524" s="28">
        <v>3.0</v>
      </c>
      <c r="J2524" s="29" t="s">
        <v>940</v>
      </c>
      <c r="K2524" s="30" t="s">
        <v>23</v>
      </c>
      <c r="L2524" s="31" t="str">
        <f>IFERROR(__xludf.DUMMYFUNCTION("IF(OR(E2524="""",K2524=""""),"""",IFERROR(IF(K2524="""","""",query('tbl user'!$A$2:$D10975,""SELECT A WHERE D = '""&amp;K2524&amp;""'"")),""USER TIDAK DIKETAHUI""))"),"#REF!")</f>
        <v>#REF!</v>
      </c>
    </row>
    <row r="2525">
      <c r="A2525" s="21">
        <f t="shared" si="1"/>
        <v>0</v>
      </c>
      <c r="B2525" s="32" t="s">
        <v>224</v>
      </c>
      <c r="C2525" s="23" t="s">
        <v>208</v>
      </c>
      <c r="D2525" s="23" t="s">
        <v>58</v>
      </c>
      <c r="E2525" s="37">
        <v>45434.0</v>
      </c>
      <c r="F2525" s="25">
        <v>0.28125</v>
      </c>
      <c r="G2525" s="25">
        <v>0.6888888888888889</v>
      </c>
      <c r="H2525" s="27">
        <f t="shared" si="2"/>
        <v>0.4076388889</v>
      </c>
      <c r="I2525" s="28">
        <v>3.0</v>
      </c>
      <c r="J2525" s="29" t="s">
        <v>171</v>
      </c>
      <c r="K2525" s="30" t="s">
        <v>23</v>
      </c>
      <c r="L2525" s="31" t="str">
        <f>IFERROR(__xludf.DUMMYFUNCTION("IF(OR(E2525="""",K2525=""""),"""",IFERROR(IF(K2525="""","""",query('tbl user'!$A$2:$D10975,""SELECT A WHERE D = '""&amp;K2525&amp;""'"")),""USER TIDAK DIKETAHUI""))"),"#REF!")</f>
        <v>#REF!</v>
      </c>
    </row>
    <row r="2526">
      <c r="A2526" s="21">
        <f t="shared" si="1"/>
        <v>0</v>
      </c>
      <c r="B2526" s="32" t="s">
        <v>84</v>
      </c>
      <c r="C2526" s="23" t="s">
        <v>85</v>
      </c>
      <c r="D2526" s="23" t="s">
        <v>58</v>
      </c>
      <c r="E2526" s="37">
        <v>45434.0</v>
      </c>
      <c r="F2526" s="25">
        <v>0.2638888888888889</v>
      </c>
      <c r="G2526" s="25">
        <v>0.6701388888888888</v>
      </c>
      <c r="H2526" s="27">
        <f t="shared" si="2"/>
        <v>0.40625</v>
      </c>
      <c r="I2526" s="28">
        <v>3.0</v>
      </c>
      <c r="J2526" s="29" t="s">
        <v>533</v>
      </c>
      <c r="K2526" s="30" t="s">
        <v>23</v>
      </c>
      <c r="L2526" s="31" t="str">
        <f>IFERROR(__xludf.DUMMYFUNCTION("IF(OR(E2526="""",K2526=""""),"""",IFERROR(IF(K2526="""","""",query('tbl user'!$A$2:$D10975,""SELECT A WHERE D = '""&amp;K2526&amp;""'"")),""USER TIDAK DIKETAHUI""))"),"#REF!")</f>
        <v>#REF!</v>
      </c>
    </row>
    <row r="2527">
      <c r="A2527" s="21">
        <f t="shared" si="1"/>
        <v>0</v>
      </c>
      <c r="B2527" s="32" t="s">
        <v>180</v>
      </c>
      <c r="C2527" s="23" t="s">
        <v>181</v>
      </c>
      <c r="D2527" s="23" t="s">
        <v>58</v>
      </c>
      <c r="E2527" s="37">
        <v>45434.0</v>
      </c>
      <c r="F2527" s="25">
        <v>0.26180555555555557</v>
      </c>
      <c r="G2527" s="25">
        <v>0.7118055555555556</v>
      </c>
      <c r="H2527" s="27">
        <f t="shared" si="2"/>
        <v>0.45</v>
      </c>
      <c r="I2527" s="28">
        <v>4.0</v>
      </c>
      <c r="J2527" s="29" t="s">
        <v>55</v>
      </c>
      <c r="K2527" s="30" t="s">
        <v>23</v>
      </c>
      <c r="L2527" s="31" t="str">
        <f>IFERROR(__xludf.DUMMYFUNCTION("IF(OR(E2527="""",K2527=""""),"""",IFERROR(IF(K2527="""","""",query('tbl user'!$A$2:$D10975,""SELECT A WHERE D = '""&amp;K2527&amp;""'"")),""USER TIDAK DIKETAHUI""))"),"#REF!")</f>
        <v>#REF!</v>
      </c>
    </row>
    <row r="2528">
      <c r="A2528" s="21">
        <f t="shared" si="1"/>
        <v>0</v>
      </c>
      <c r="B2528" s="32" t="s">
        <v>194</v>
      </c>
      <c r="C2528" s="23" t="s">
        <v>195</v>
      </c>
      <c r="D2528" s="23" t="s">
        <v>58</v>
      </c>
      <c r="E2528" s="37">
        <v>45434.0</v>
      </c>
      <c r="F2528" s="25">
        <v>0.2625</v>
      </c>
      <c r="G2528" s="25">
        <v>0.6826388888888889</v>
      </c>
      <c r="H2528" s="27">
        <f t="shared" si="2"/>
        <v>0.4201388889</v>
      </c>
      <c r="I2528" s="28">
        <v>4.0</v>
      </c>
      <c r="J2528" s="29" t="s">
        <v>55</v>
      </c>
      <c r="K2528" s="30" t="s">
        <v>23</v>
      </c>
      <c r="L2528" s="31" t="str">
        <f>IFERROR(__xludf.DUMMYFUNCTION("IF(OR(E2528="""",K2528=""""),"""",IFERROR(IF(K2528="""","""",query('tbl user'!$A$2:$D10975,""SELECT A WHERE D = '""&amp;K2528&amp;""'"")),""USER TIDAK DIKETAHUI""))"),"#REF!")</f>
        <v>#REF!</v>
      </c>
    </row>
    <row r="2529">
      <c r="A2529" s="21">
        <f t="shared" si="1"/>
        <v>0</v>
      </c>
      <c r="B2529" s="32" t="s">
        <v>205</v>
      </c>
      <c r="C2529" s="23" t="s">
        <v>206</v>
      </c>
      <c r="D2529" s="23" t="s">
        <v>58</v>
      </c>
      <c r="E2529" s="37">
        <v>45434.0</v>
      </c>
      <c r="F2529" s="25">
        <v>0.25416666666666665</v>
      </c>
      <c r="G2529" s="25">
        <v>0.7229166666666667</v>
      </c>
      <c r="H2529" s="27">
        <f t="shared" si="2"/>
        <v>0.46875</v>
      </c>
      <c r="I2529" s="28">
        <v>4.0</v>
      </c>
      <c r="J2529" s="29" t="s">
        <v>55</v>
      </c>
      <c r="K2529" s="30" t="s">
        <v>23</v>
      </c>
      <c r="L2529" s="31" t="str">
        <f>IFERROR(__xludf.DUMMYFUNCTION("IF(OR(E2529="""",K2529=""""),"""",IFERROR(IF(K2529="""","""",query('tbl user'!$A$2:$D10975,""SELECT A WHERE D = '""&amp;K2529&amp;""'"")),""USER TIDAK DIKETAHUI""))"),"#REF!")</f>
        <v>#REF!</v>
      </c>
    </row>
    <row r="2530">
      <c r="A2530" s="21">
        <f t="shared" si="1"/>
        <v>0</v>
      </c>
      <c r="B2530" s="32" t="s">
        <v>289</v>
      </c>
      <c r="C2530" s="23" t="s">
        <v>290</v>
      </c>
      <c r="D2530" s="23" t="s">
        <v>21</v>
      </c>
      <c r="E2530" s="37">
        <v>45434.0</v>
      </c>
      <c r="F2530" s="25">
        <v>0.28402777777777777</v>
      </c>
      <c r="G2530" s="25">
        <v>0.47291666666666665</v>
      </c>
      <c r="H2530" s="27">
        <f t="shared" si="2"/>
        <v>0.1888888889</v>
      </c>
      <c r="I2530" s="28">
        <v>2.0</v>
      </c>
      <c r="J2530" s="29" t="s">
        <v>1186</v>
      </c>
      <c r="K2530" s="30" t="s">
        <v>23</v>
      </c>
      <c r="L2530" s="31" t="str">
        <f>IFERROR(__xludf.DUMMYFUNCTION("IF(OR(E2530="""",K2530=""""),"""",IFERROR(IF(K2530="""","""",query('tbl user'!$A$2:$D10975,""SELECT A WHERE D = '""&amp;K2530&amp;""'"")),""USER TIDAK DIKETAHUI""))"),"#REF!")</f>
        <v>#REF!</v>
      </c>
    </row>
    <row r="2531">
      <c r="A2531" s="21">
        <f t="shared" si="1"/>
        <v>0</v>
      </c>
      <c r="B2531" s="32" t="s">
        <v>64</v>
      </c>
      <c r="C2531" s="23" t="s">
        <v>65</v>
      </c>
      <c r="D2531" s="23" t="s">
        <v>21</v>
      </c>
      <c r="E2531" s="37">
        <v>45434.0</v>
      </c>
      <c r="F2531" s="25">
        <v>0.28958333333333336</v>
      </c>
      <c r="G2531" s="25">
        <v>0.6326388888888889</v>
      </c>
      <c r="H2531" s="27">
        <f t="shared" si="2"/>
        <v>0.3430555556</v>
      </c>
      <c r="I2531" s="28">
        <v>2.0</v>
      </c>
      <c r="J2531" s="29" t="s">
        <v>213</v>
      </c>
      <c r="K2531" s="30" t="s">
        <v>23</v>
      </c>
      <c r="L2531" s="31" t="str">
        <f>IFERROR(__xludf.DUMMYFUNCTION("IF(OR(E2531="""",K2531=""""),"""",IFERROR(IF(K2531="""","""",query('tbl user'!$A$2:$D10975,""SELECT A WHERE D = '""&amp;K2531&amp;""'"")),""USER TIDAK DIKETAHUI""))"),"#REF!")</f>
        <v>#REF!</v>
      </c>
    </row>
    <row r="2532">
      <c r="A2532" s="21">
        <f t="shared" si="1"/>
        <v>0</v>
      </c>
      <c r="B2532" s="32" t="s">
        <v>281</v>
      </c>
      <c r="C2532" s="23" t="s">
        <v>282</v>
      </c>
      <c r="D2532" s="23" t="s">
        <v>21</v>
      </c>
      <c r="E2532" s="37">
        <v>45434.0</v>
      </c>
      <c r="F2532" s="25">
        <v>0.2847222222222222</v>
      </c>
      <c r="G2532" s="25">
        <v>0.6145833333333334</v>
      </c>
      <c r="H2532" s="27">
        <f t="shared" si="2"/>
        <v>0.3298611111</v>
      </c>
      <c r="I2532" s="28">
        <v>3.0</v>
      </c>
      <c r="J2532" s="29" t="s">
        <v>1187</v>
      </c>
      <c r="K2532" s="30" t="s">
        <v>23</v>
      </c>
      <c r="L2532" s="31" t="str">
        <f>IFERROR(__xludf.DUMMYFUNCTION("IF(OR(E2532="""",K2532=""""),"""",IFERROR(IF(K2532="""","""",query('tbl user'!$A$2:$D10975,""SELECT A WHERE D = '""&amp;K2532&amp;""'"")),""USER TIDAK DIKETAHUI""))"),"#REF!")</f>
        <v>#REF!</v>
      </c>
    </row>
    <row r="2533">
      <c r="A2533" s="21">
        <f t="shared" si="1"/>
        <v>0</v>
      </c>
      <c r="B2533" s="32" t="s">
        <v>51</v>
      </c>
      <c r="C2533" s="23" t="s">
        <v>27</v>
      </c>
      <c r="D2533" s="23" t="s">
        <v>21</v>
      </c>
      <c r="E2533" s="37">
        <v>45434.0</v>
      </c>
      <c r="F2533" s="25">
        <v>0.2777777777777778</v>
      </c>
      <c r="G2533" s="25">
        <v>0.6298611111111111</v>
      </c>
      <c r="H2533" s="27">
        <f t="shared" si="2"/>
        <v>0.3520833333</v>
      </c>
      <c r="I2533" s="28">
        <v>3.0</v>
      </c>
      <c r="J2533" s="29" t="s">
        <v>1188</v>
      </c>
      <c r="K2533" s="30" t="s">
        <v>23</v>
      </c>
      <c r="L2533" s="31" t="str">
        <f>IFERROR(__xludf.DUMMYFUNCTION("IF(OR(E2533="""",K2533=""""),"""",IFERROR(IF(K2533="""","""",query('tbl user'!$A$2:$D10975,""SELECT A WHERE D = '""&amp;K2533&amp;""'"")),""USER TIDAK DIKETAHUI""))"),"#REF!")</f>
        <v>#REF!</v>
      </c>
    </row>
    <row r="2534">
      <c r="A2534" s="21">
        <f t="shared" si="1"/>
        <v>0</v>
      </c>
      <c r="B2534" s="32" t="s">
        <v>286</v>
      </c>
      <c r="C2534" s="23" t="s">
        <v>287</v>
      </c>
      <c r="D2534" s="23" t="s">
        <v>21</v>
      </c>
      <c r="E2534" s="37">
        <v>45434.0</v>
      </c>
      <c r="F2534" s="25">
        <v>0.2986111111111111</v>
      </c>
      <c r="G2534" s="25">
        <v>0.6333333333333333</v>
      </c>
      <c r="H2534" s="27">
        <f t="shared" si="2"/>
        <v>0.3347222222</v>
      </c>
      <c r="I2534" s="28">
        <v>3.0</v>
      </c>
      <c r="J2534" s="29" t="s">
        <v>213</v>
      </c>
      <c r="K2534" s="30" t="s">
        <v>23</v>
      </c>
      <c r="L2534" s="31" t="str">
        <f>IFERROR(__xludf.DUMMYFUNCTION("IF(OR(E2534="""",K2534=""""),"""",IFERROR(IF(K2534="""","""",query('tbl user'!$A$2:$D10975,""SELECT A WHERE D = '""&amp;K2534&amp;""'"")),""USER TIDAK DIKETAHUI""))"),"#REF!")</f>
        <v>#REF!</v>
      </c>
    </row>
    <row r="2535">
      <c r="A2535" s="21">
        <f t="shared" si="1"/>
        <v>0</v>
      </c>
      <c r="B2535" s="32" t="s">
        <v>284</v>
      </c>
      <c r="C2535" s="23" t="s">
        <v>285</v>
      </c>
      <c r="D2535" s="23" t="s">
        <v>21</v>
      </c>
      <c r="E2535" s="37">
        <v>45434.0</v>
      </c>
      <c r="F2535" s="25">
        <v>0.27569444444444446</v>
      </c>
      <c r="G2535" s="25">
        <v>0.6493055555555556</v>
      </c>
      <c r="H2535" s="27">
        <f t="shared" si="2"/>
        <v>0.3736111111</v>
      </c>
      <c r="I2535" s="28">
        <v>4.0</v>
      </c>
      <c r="J2535" s="29" t="s">
        <v>55</v>
      </c>
      <c r="K2535" s="30" t="s">
        <v>23</v>
      </c>
      <c r="L2535" s="31" t="str">
        <f>IFERROR(__xludf.DUMMYFUNCTION("IF(OR(E2535="""",K2535=""""),"""",IFERROR(IF(K2535="""","""",query('tbl user'!$A$2:$D10975,""SELECT A WHERE D = '""&amp;K2535&amp;""'"")),""USER TIDAK DIKETAHUI""))"),"#REF!")</f>
        <v>#REF!</v>
      </c>
    </row>
    <row r="2536">
      <c r="A2536" s="21">
        <f t="shared" si="1"/>
        <v>0</v>
      </c>
      <c r="B2536" s="32" t="s">
        <v>305</v>
      </c>
      <c r="C2536" s="23" t="s">
        <v>251</v>
      </c>
      <c r="D2536" s="23" t="s">
        <v>21</v>
      </c>
      <c r="E2536" s="37">
        <v>45434.0</v>
      </c>
      <c r="F2536" s="25">
        <v>0.25555555555555554</v>
      </c>
      <c r="G2536" s="25">
        <v>0.475</v>
      </c>
      <c r="H2536" s="27">
        <f t="shared" si="2"/>
        <v>0.2194444444</v>
      </c>
      <c r="I2536" s="28">
        <v>1.0</v>
      </c>
      <c r="J2536" s="29" t="s">
        <v>1189</v>
      </c>
      <c r="K2536" s="30" t="s">
        <v>23</v>
      </c>
      <c r="L2536" s="31" t="str">
        <f>IFERROR(__xludf.DUMMYFUNCTION("IF(OR(E2536="""",K2536=""""),"""",IFERROR(IF(K2536="""","""",query('tbl user'!$A$2:$D10975,""SELECT A WHERE D = '""&amp;K2536&amp;""'"")),""USER TIDAK DIKETAHUI""))"),"#REF!")</f>
        <v>#REF!</v>
      </c>
    </row>
    <row r="2537">
      <c r="A2537" s="21">
        <f t="shared" si="1"/>
        <v>0</v>
      </c>
      <c r="B2537" s="32" t="s">
        <v>337</v>
      </c>
      <c r="C2537" s="23" t="s">
        <v>338</v>
      </c>
      <c r="D2537" s="23" t="s">
        <v>21</v>
      </c>
      <c r="E2537" s="37">
        <v>45434.0</v>
      </c>
      <c r="F2537" s="25">
        <v>0.40347222222222223</v>
      </c>
      <c r="G2537" s="25">
        <v>0.6784722222222223</v>
      </c>
      <c r="H2537" s="27">
        <f t="shared" si="2"/>
        <v>0.275</v>
      </c>
      <c r="I2537" s="28">
        <v>1.0</v>
      </c>
      <c r="J2537" s="29" t="s">
        <v>1190</v>
      </c>
      <c r="K2537" s="30" t="s">
        <v>23</v>
      </c>
      <c r="L2537" s="31" t="str">
        <f>IFERROR(__xludf.DUMMYFUNCTION("IF(OR(E2537="""",K2537=""""),"""",IFERROR(IF(K2537="""","""",query('tbl user'!$A$2:$D10975,""SELECT A WHERE D = '""&amp;K2537&amp;""'"")),""USER TIDAK DIKETAHUI""))"),"#REF!")</f>
        <v>#REF!</v>
      </c>
    </row>
    <row r="2538">
      <c r="A2538" s="21">
        <f t="shared" si="1"/>
        <v>0</v>
      </c>
      <c r="B2538" s="32" t="s">
        <v>43</v>
      </c>
      <c r="C2538" s="23" t="s">
        <v>44</v>
      </c>
      <c r="D2538" s="23" t="s">
        <v>21</v>
      </c>
      <c r="E2538" s="37">
        <v>45434.0</v>
      </c>
      <c r="F2538" s="25">
        <v>0.28680555555555554</v>
      </c>
      <c r="G2538" s="25">
        <v>0.4326388888888889</v>
      </c>
      <c r="H2538" s="27">
        <f t="shared" si="2"/>
        <v>0.1458333333</v>
      </c>
      <c r="I2538" s="28">
        <v>1.0</v>
      </c>
      <c r="J2538" s="29" t="s">
        <v>1191</v>
      </c>
      <c r="K2538" s="30" t="s">
        <v>23</v>
      </c>
      <c r="L2538" s="31" t="str">
        <f>IFERROR(__xludf.DUMMYFUNCTION("IF(OR(E2538="""",K2538=""""),"""",IFERROR(IF(K2538="""","""",query('tbl user'!$A$2:$D10975,""SELECT A WHERE D = '""&amp;K2538&amp;""'"")),""USER TIDAK DIKETAHUI""))"),"#REF!")</f>
        <v>#REF!</v>
      </c>
    </row>
    <row r="2539">
      <c r="A2539" s="21">
        <f t="shared" si="1"/>
        <v>0</v>
      </c>
      <c r="B2539" s="32" t="s">
        <v>246</v>
      </c>
      <c r="C2539" s="23" t="s">
        <v>99</v>
      </c>
      <c r="D2539" s="23" t="s">
        <v>21</v>
      </c>
      <c r="E2539" s="37">
        <v>45434.0</v>
      </c>
      <c r="F2539" s="25">
        <v>0.2743055555555556</v>
      </c>
      <c r="G2539" s="25">
        <v>0.55625</v>
      </c>
      <c r="H2539" s="27">
        <f t="shared" si="2"/>
        <v>0.2819444444</v>
      </c>
      <c r="I2539" s="28">
        <v>2.0</v>
      </c>
      <c r="J2539" s="29" t="s">
        <v>1192</v>
      </c>
      <c r="K2539" s="30" t="s">
        <v>23</v>
      </c>
      <c r="L2539" s="31" t="str">
        <f>IFERROR(__xludf.DUMMYFUNCTION("IF(OR(E2539="""",K2539=""""),"""",IFERROR(IF(K2539="""","""",query('tbl user'!$A$2:$D10975,""SELECT A WHERE D = '""&amp;K2539&amp;""'"")),""USER TIDAK DIKETAHUI""))"),"#REF!")</f>
        <v>#REF!</v>
      </c>
    </row>
    <row r="2540">
      <c r="A2540" s="21">
        <f t="shared" si="1"/>
        <v>0</v>
      </c>
      <c r="B2540" s="32" t="s">
        <v>24</v>
      </c>
      <c r="C2540" s="23" t="s">
        <v>25</v>
      </c>
      <c r="D2540" s="23" t="s">
        <v>21</v>
      </c>
      <c r="E2540" s="37">
        <v>45434.0</v>
      </c>
      <c r="F2540" s="25">
        <v>0.28958333333333336</v>
      </c>
      <c r="G2540" s="25">
        <v>0.5527777777777778</v>
      </c>
      <c r="H2540" s="27">
        <f t="shared" si="2"/>
        <v>0.2631944444</v>
      </c>
      <c r="I2540" s="28">
        <v>2.0</v>
      </c>
      <c r="J2540" s="29" t="s">
        <v>1193</v>
      </c>
      <c r="K2540" s="30" t="s">
        <v>23</v>
      </c>
      <c r="L2540" s="31" t="str">
        <f>IFERROR(__xludf.DUMMYFUNCTION("IF(OR(E2540="""",K2540=""""),"""",IFERROR(IF(K2540="""","""",query('tbl user'!$A$2:$D10975,""SELECT A WHERE D = '""&amp;K2540&amp;""'"")),""USER TIDAK DIKETAHUI""))"),"#REF!")</f>
        <v>#REF!</v>
      </c>
    </row>
    <row r="2541">
      <c r="A2541" s="21">
        <f t="shared" si="1"/>
        <v>0</v>
      </c>
      <c r="B2541" s="32" t="s">
        <v>333</v>
      </c>
      <c r="C2541" s="23" t="s">
        <v>334</v>
      </c>
      <c r="D2541" s="23" t="s">
        <v>21</v>
      </c>
      <c r="E2541" s="37">
        <v>45434.0</v>
      </c>
      <c r="F2541" s="25">
        <v>0.26319444444444445</v>
      </c>
      <c r="G2541" s="25">
        <v>0.4673611111111111</v>
      </c>
      <c r="H2541" s="27">
        <f t="shared" si="2"/>
        <v>0.2041666667</v>
      </c>
      <c r="I2541" s="28">
        <v>2.0</v>
      </c>
      <c r="J2541" s="29" t="s">
        <v>1194</v>
      </c>
      <c r="K2541" s="30" t="s">
        <v>23</v>
      </c>
      <c r="L2541" s="31" t="str">
        <f>IFERROR(__xludf.DUMMYFUNCTION("IF(OR(E2541="""",K2541=""""),"""",IFERROR(IF(K2541="""","""",query('tbl user'!$A$2:$D10975,""SELECT A WHERE D = '""&amp;K2541&amp;""'"")),""USER TIDAK DIKETAHUI""))"),"#REF!")</f>
        <v>#REF!</v>
      </c>
    </row>
    <row r="2542">
      <c r="A2542" s="21">
        <f t="shared" si="1"/>
        <v>0</v>
      </c>
      <c r="B2542" s="32" t="s">
        <v>577</v>
      </c>
      <c r="C2542" s="23" t="s">
        <v>330</v>
      </c>
      <c r="D2542" s="23" t="s">
        <v>21</v>
      </c>
      <c r="E2542" s="37">
        <v>45434.0</v>
      </c>
      <c r="F2542" s="25">
        <v>0.2708333333333333</v>
      </c>
      <c r="G2542" s="25">
        <v>0.6458333333333334</v>
      </c>
      <c r="H2542" s="27">
        <f t="shared" si="2"/>
        <v>0.375</v>
      </c>
      <c r="I2542" s="28">
        <v>2.0</v>
      </c>
      <c r="J2542" s="29" t="s">
        <v>1195</v>
      </c>
      <c r="K2542" s="30" t="s">
        <v>23</v>
      </c>
      <c r="L2542" s="31" t="str">
        <f>IFERROR(__xludf.DUMMYFUNCTION("IF(OR(E2542="""",K2542=""""),"""",IFERROR(IF(K2542="""","""",query('tbl user'!$A$2:$D10975,""SELECT A WHERE D = '""&amp;K2542&amp;""'"")),""USER TIDAK DIKETAHUI""))"),"#REF!")</f>
        <v>#REF!</v>
      </c>
    </row>
    <row r="2543">
      <c r="A2543" s="21">
        <f t="shared" si="1"/>
        <v>0</v>
      </c>
      <c r="B2543" s="32" t="s">
        <v>243</v>
      </c>
      <c r="C2543" s="23" t="s">
        <v>244</v>
      </c>
      <c r="D2543" s="23" t="s">
        <v>21</v>
      </c>
      <c r="E2543" s="37">
        <v>45434.0</v>
      </c>
      <c r="F2543" s="25">
        <v>0.3</v>
      </c>
      <c r="G2543" s="25">
        <v>0.6701388888888888</v>
      </c>
      <c r="H2543" s="27">
        <f t="shared" si="2"/>
        <v>0.3701388889</v>
      </c>
      <c r="I2543" s="28">
        <v>3.0</v>
      </c>
      <c r="J2543" s="29" t="s">
        <v>1196</v>
      </c>
      <c r="K2543" s="30" t="s">
        <v>23</v>
      </c>
      <c r="L2543" s="31" t="str">
        <f>IFERROR(__xludf.DUMMYFUNCTION("IF(OR(E2543="""",K2543=""""),"""",IFERROR(IF(K2543="""","""",query('tbl user'!$A$2:$D10975,""SELECT A WHERE D = '""&amp;K2543&amp;""'"")),""USER TIDAK DIKETAHUI""))"),"#REF!")</f>
        <v>#REF!</v>
      </c>
    </row>
    <row r="2544">
      <c r="A2544" s="21">
        <f t="shared" si="1"/>
        <v>0</v>
      </c>
      <c r="B2544" s="32" t="s">
        <v>229</v>
      </c>
      <c r="C2544" s="23" t="s">
        <v>232</v>
      </c>
      <c r="D2544" s="23" t="s">
        <v>21</v>
      </c>
      <c r="E2544" s="37">
        <v>45434.0</v>
      </c>
      <c r="F2544" s="25">
        <v>0.2833333333333333</v>
      </c>
      <c r="G2544" s="25">
        <v>0.5861111111111111</v>
      </c>
      <c r="H2544" s="27">
        <f t="shared" si="2"/>
        <v>0.3027777778</v>
      </c>
      <c r="I2544" s="28">
        <v>3.0</v>
      </c>
      <c r="J2544" s="29" t="s">
        <v>1197</v>
      </c>
      <c r="K2544" s="30" t="s">
        <v>23</v>
      </c>
      <c r="L2544" s="31" t="str">
        <f>IFERROR(__xludf.DUMMYFUNCTION("IF(OR(E2544="""",K2544=""""),"""",IFERROR(IF(K2544="""","""",query('tbl user'!$A$2:$D10975,""SELECT A WHERE D = '""&amp;K2544&amp;""'"")),""USER TIDAK DIKETAHUI""))"),"#REF!")</f>
        <v>#REF!</v>
      </c>
    </row>
    <row r="2545">
      <c r="A2545" s="21">
        <f t="shared" si="1"/>
        <v>0</v>
      </c>
      <c r="B2545" s="32" t="s">
        <v>335</v>
      </c>
      <c r="C2545" s="23" t="s">
        <v>336</v>
      </c>
      <c r="D2545" s="23" t="s">
        <v>21</v>
      </c>
      <c r="E2545" s="37">
        <v>45434.0</v>
      </c>
      <c r="F2545" s="25">
        <v>0.26666666666666666</v>
      </c>
      <c r="G2545" s="33">
        <v>0.5520833333333334</v>
      </c>
      <c r="H2545" s="27">
        <f t="shared" si="2"/>
        <v>0.2854166667</v>
      </c>
      <c r="I2545" s="28">
        <v>3.0</v>
      </c>
      <c r="J2545" s="29" t="s">
        <v>1170</v>
      </c>
      <c r="K2545" s="30" t="s">
        <v>23</v>
      </c>
      <c r="L2545" s="31" t="str">
        <f>IFERROR(__xludf.DUMMYFUNCTION("IF(OR(E2545="""",K2545=""""),"""",IFERROR(IF(K2545="""","""",query('tbl user'!$A$2:$D10975,""SELECT A WHERE D = '""&amp;K2545&amp;""'"")),""USER TIDAK DIKETAHUI""))"),"#REF!")</f>
        <v>#REF!</v>
      </c>
    </row>
    <row r="2546">
      <c r="A2546" s="21">
        <f t="shared" si="1"/>
        <v>0</v>
      </c>
      <c r="B2546" s="32" t="s">
        <v>260</v>
      </c>
      <c r="C2546" s="23" t="s">
        <v>261</v>
      </c>
      <c r="D2546" s="23" t="s">
        <v>21</v>
      </c>
      <c r="E2546" s="37">
        <v>45434.0</v>
      </c>
      <c r="F2546" s="25">
        <v>0.26805555555555555</v>
      </c>
      <c r="G2546" s="25">
        <v>0.6354166666666666</v>
      </c>
      <c r="H2546" s="27">
        <f t="shared" si="2"/>
        <v>0.3673611111</v>
      </c>
      <c r="I2546" s="28">
        <v>3.0</v>
      </c>
      <c r="J2546" s="29" t="s">
        <v>1198</v>
      </c>
      <c r="K2546" s="30" t="s">
        <v>23</v>
      </c>
      <c r="L2546" s="31" t="str">
        <f>IFERROR(__xludf.DUMMYFUNCTION("IF(OR(E2546="""",K2546=""""),"""",IFERROR(IF(K2546="""","""",query('tbl user'!$A$2:$D10975,""SELECT A WHERE D = '""&amp;K2546&amp;""'"")),""USER TIDAK DIKETAHUI""))"),"#REF!")</f>
        <v>#REF!</v>
      </c>
    </row>
    <row r="2547">
      <c r="A2547" s="21">
        <f t="shared" si="1"/>
        <v>0</v>
      </c>
      <c r="B2547" s="32" t="s">
        <v>81</v>
      </c>
      <c r="C2547" s="23" t="s">
        <v>234</v>
      </c>
      <c r="D2547" s="23" t="s">
        <v>21</v>
      </c>
      <c r="E2547" s="37">
        <v>45434.0</v>
      </c>
      <c r="F2547" s="25">
        <v>0.2847222222222222</v>
      </c>
      <c r="G2547" s="25">
        <v>0.6958333333333333</v>
      </c>
      <c r="H2547" s="27">
        <f t="shared" si="2"/>
        <v>0.4111111111</v>
      </c>
      <c r="I2547" s="28">
        <v>4.0</v>
      </c>
      <c r="J2547" s="29" t="s">
        <v>213</v>
      </c>
      <c r="K2547" s="30" t="s">
        <v>23</v>
      </c>
      <c r="L2547" s="31" t="str">
        <f>IFERROR(__xludf.DUMMYFUNCTION("IF(OR(E2547="""",K2547=""""),"""",IFERROR(IF(K2547="""","""",query('tbl user'!$A$2:$D10975,""SELECT A WHERE D = '""&amp;K2547&amp;""'"")),""USER TIDAK DIKETAHUI""))"),"#REF!")</f>
        <v>#REF!</v>
      </c>
    </row>
    <row r="2548">
      <c r="A2548" s="21">
        <f t="shared" si="1"/>
        <v>0</v>
      </c>
      <c r="B2548" s="32" t="s">
        <v>331</v>
      </c>
      <c r="C2548" s="23" t="s">
        <v>332</v>
      </c>
      <c r="D2548" s="23" t="s">
        <v>21</v>
      </c>
      <c r="E2548" s="37">
        <v>45434.0</v>
      </c>
      <c r="F2548" s="25">
        <v>0.4125</v>
      </c>
      <c r="G2548" s="25">
        <v>0.7152777777777778</v>
      </c>
      <c r="H2548" s="27">
        <f t="shared" si="2"/>
        <v>0.3027777778</v>
      </c>
      <c r="I2548" s="28">
        <v>4.0</v>
      </c>
      <c r="J2548" s="29" t="s">
        <v>1199</v>
      </c>
      <c r="K2548" s="30" t="s">
        <v>23</v>
      </c>
      <c r="L2548" s="31" t="str">
        <f>IFERROR(__xludf.DUMMYFUNCTION("IF(OR(E2548="""",K2548=""""),"""",IFERROR(IF(K2548="""","""",query('tbl user'!$A$2:$D10975,""SELECT A WHERE D = '""&amp;K2548&amp;""'"")),""USER TIDAK DIKETAHUI""))"),"#REF!")</f>
        <v>#REF!</v>
      </c>
    </row>
    <row r="2549">
      <c r="A2549" s="21">
        <f t="shared" si="1"/>
        <v>0</v>
      </c>
      <c r="B2549" s="32" t="s">
        <v>716</v>
      </c>
      <c r="C2549" s="23" t="s">
        <v>316</v>
      </c>
      <c r="D2549" s="23" t="s">
        <v>21</v>
      </c>
      <c r="E2549" s="37">
        <v>45434.0</v>
      </c>
      <c r="F2549" s="25">
        <v>0.27291666666666664</v>
      </c>
      <c r="G2549" s="25">
        <v>0.6958333333333333</v>
      </c>
      <c r="H2549" s="27">
        <f t="shared" si="2"/>
        <v>0.4229166667</v>
      </c>
      <c r="I2549" s="28">
        <v>4.0</v>
      </c>
      <c r="J2549" s="29" t="s">
        <v>1200</v>
      </c>
      <c r="K2549" s="30" t="s">
        <v>23</v>
      </c>
      <c r="L2549" s="31" t="str">
        <f>IFERROR(__xludf.DUMMYFUNCTION("IF(OR(E2549="""",K2549=""""),"""",IFERROR(IF(K2549="""","""",query('tbl user'!$A$2:$D10975,""SELECT A WHERE D = '""&amp;K2549&amp;""'"")),""USER TIDAK DIKETAHUI""))"),"#REF!")</f>
        <v>#REF!</v>
      </c>
    </row>
    <row r="2550">
      <c r="A2550" s="21">
        <f t="shared" si="1"/>
        <v>0</v>
      </c>
      <c r="B2550" s="32" t="s">
        <v>209</v>
      </c>
      <c r="C2550" s="23" t="s">
        <v>340</v>
      </c>
      <c r="D2550" s="23" t="s">
        <v>21</v>
      </c>
      <c r="E2550" s="37">
        <v>45434.0</v>
      </c>
      <c r="F2550" s="25">
        <v>0.27569444444444446</v>
      </c>
      <c r="G2550" s="25">
        <v>0.6451388888888889</v>
      </c>
      <c r="H2550" s="27">
        <f t="shared" si="2"/>
        <v>0.3694444444</v>
      </c>
      <c r="I2550" s="28">
        <v>4.0</v>
      </c>
      <c r="J2550" s="29" t="s">
        <v>1201</v>
      </c>
      <c r="K2550" s="30" t="s">
        <v>23</v>
      </c>
      <c r="L2550" s="31" t="str">
        <f>IFERROR(__xludf.DUMMYFUNCTION("IF(OR(E2550="""",K2550=""""),"""",IFERROR(IF(K2550="""","""",query('tbl user'!$A$2:$D10975,""SELECT A WHERE D = '""&amp;K2550&amp;""'"")),""USER TIDAK DIKETAHUI""))"),"#REF!")</f>
        <v>#REF!</v>
      </c>
    </row>
    <row r="2551">
      <c r="A2551" s="21">
        <f t="shared" si="1"/>
        <v>0</v>
      </c>
      <c r="B2551" s="32" t="s">
        <v>328</v>
      </c>
      <c r="C2551" s="23" t="s">
        <v>329</v>
      </c>
      <c r="D2551" s="23" t="s">
        <v>21</v>
      </c>
      <c r="E2551" s="37">
        <v>45434.0</v>
      </c>
      <c r="F2551" s="25">
        <v>0.28958333333333336</v>
      </c>
      <c r="G2551" s="25">
        <v>0.6611111111111111</v>
      </c>
      <c r="H2551" s="27">
        <f t="shared" si="2"/>
        <v>0.3715277778</v>
      </c>
      <c r="I2551" s="28">
        <v>4.0</v>
      </c>
      <c r="J2551" s="29" t="s">
        <v>213</v>
      </c>
      <c r="K2551" s="30" t="s">
        <v>23</v>
      </c>
      <c r="L2551" s="31" t="str">
        <f>IFERROR(__xludf.DUMMYFUNCTION("IF(OR(E2551="""",K2551=""""),"""",IFERROR(IF(K2551="""","""",query('tbl user'!$A$2:$D10975,""SELECT A WHERE D = '""&amp;K2551&amp;""'"")),""USER TIDAK DIKETAHUI""))"),"#REF!")</f>
        <v>#REF!</v>
      </c>
    </row>
    <row r="2552">
      <c r="A2552" s="21">
        <f t="shared" si="1"/>
        <v>0</v>
      </c>
      <c r="B2552" s="32" t="s">
        <v>34</v>
      </c>
      <c r="C2552" s="23" t="s">
        <v>35</v>
      </c>
      <c r="D2552" s="23" t="s">
        <v>21</v>
      </c>
      <c r="E2552" s="37">
        <v>45434.0</v>
      </c>
      <c r="F2552" s="25">
        <v>0.28541666666666665</v>
      </c>
      <c r="G2552" s="25">
        <v>0.7229166666666667</v>
      </c>
      <c r="H2552" s="27">
        <f t="shared" si="2"/>
        <v>0.4375</v>
      </c>
      <c r="I2552" s="28">
        <v>5.0</v>
      </c>
      <c r="J2552" s="29" t="s">
        <v>55</v>
      </c>
      <c r="K2552" s="30" t="s">
        <v>23</v>
      </c>
      <c r="L2552" s="31" t="str">
        <f>IFERROR(__xludf.DUMMYFUNCTION("IF(OR(E2552="""",K2552=""""),"""",IFERROR(IF(K2552="""","""",query('tbl user'!$A$2:$D10975,""SELECT A WHERE D = '""&amp;K2552&amp;""'"")),""USER TIDAK DIKETAHUI""))"),"#REF!")</f>
        <v>#REF!</v>
      </c>
    </row>
    <row r="2553">
      <c r="A2553" s="21">
        <f t="shared" si="1"/>
        <v>0</v>
      </c>
      <c r="B2553" s="32" t="s">
        <v>253</v>
      </c>
      <c r="C2553" s="23" t="s">
        <v>102</v>
      </c>
      <c r="D2553" s="23" t="s">
        <v>21</v>
      </c>
      <c r="E2553" s="37">
        <v>45434.0</v>
      </c>
      <c r="F2553" s="25">
        <v>0.2722222222222222</v>
      </c>
      <c r="G2553" s="25">
        <v>0.7395833333333334</v>
      </c>
      <c r="H2553" s="27">
        <f t="shared" si="2"/>
        <v>0.4673611111</v>
      </c>
      <c r="I2553" s="28">
        <v>5.0</v>
      </c>
      <c r="J2553" s="29" t="s">
        <v>55</v>
      </c>
      <c r="K2553" s="30" t="s">
        <v>23</v>
      </c>
      <c r="L2553" s="31" t="str">
        <f>IFERROR(__xludf.DUMMYFUNCTION("IF(OR(E2553="""",K2553=""""),"""",IFERROR(IF(K2553="""","""",query('tbl user'!$A$2:$D10975,""SELECT A WHERE D = '""&amp;K2553&amp;""'"")),""USER TIDAK DIKETAHUI""))"),"#REF!")</f>
        <v>#REF!</v>
      </c>
    </row>
    <row r="2554">
      <c r="A2554" s="21">
        <f t="shared" si="1"/>
        <v>0</v>
      </c>
      <c r="B2554" s="32" t="s">
        <v>159</v>
      </c>
      <c r="C2554" s="23" t="s">
        <v>306</v>
      </c>
      <c r="D2554" s="23" t="s">
        <v>21</v>
      </c>
      <c r="E2554" s="37">
        <v>45434.0</v>
      </c>
      <c r="F2554" s="25">
        <v>0.2847222222222222</v>
      </c>
      <c r="G2554" s="25">
        <v>0.7277777777777777</v>
      </c>
      <c r="H2554" s="27">
        <f t="shared" si="2"/>
        <v>0.4430555556</v>
      </c>
      <c r="I2554" s="28">
        <v>5.0</v>
      </c>
      <c r="J2554" s="29" t="s">
        <v>55</v>
      </c>
      <c r="K2554" s="30" t="s">
        <v>23</v>
      </c>
      <c r="L2554" s="31" t="str">
        <f>IFERROR(__xludf.DUMMYFUNCTION("IF(OR(E2554="""",K2554=""""),"""",IFERROR(IF(K2554="""","""",query('tbl user'!$A$2:$D10975,""SELECT A WHERE D = '""&amp;K2554&amp;""'"")),""USER TIDAK DIKETAHUI""))"),"#REF!")</f>
        <v>#REF!</v>
      </c>
    </row>
    <row r="2555">
      <c r="A2555" s="21">
        <f t="shared" si="1"/>
        <v>0</v>
      </c>
      <c r="B2555" s="32" t="s">
        <v>593</v>
      </c>
      <c r="C2555" s="23" t="s">
        <v>236</v>
      </c>
      <c r="D2555" s="23" t="s">
        <v>21</v>
      </c>
      <c r="E2555" s="37">
        <v>45434.0</v>
      </c>
      <c r="F2555" s="25">
        <v>0.2611111111111111</v>
      </c>
      <c r="G2555" s="25">
        <v>0.7444444444444445</v>
      </c>
      <c r="H2555" s="27">
        <f t="shared" si="2"/>
        <v>0.4833333333</v>
      </c>
      <c r="I2555" s="28">
        <v>5.0</v>
      </c>
      <c r="J2555" s="29" t="s">
        <v>55</v>
      </c>
      <c r="K2555" s="30" t="s">
        <v>23</v>
      </c>
      <c r="L2555" s="31" t="str">
        <f>IFERROR(__xludf.DUMMYFUNCTION("IF(OR(E2555="""",K2555=""""),"""",IFERROR(IF(K2555="""","""",query('tbl user'!$A$2:$D10975,""SELECT A WHERE D = '""&amp;K2555&amp;""'"")),""USER TIDAK DIKETAHUI""))"),"#REF!")</f>
        <v>#REF!</v>
      </c>
    </row>
    <row r="2556">
      <c r="A2556" s="21">
        <f t="shared" si="1"/>
        <v>0</v>
      </c>
      <c r="B2556" s="32" t="s">
        <v>131</v>
      </c>
      <c r="C2556" s="23" t="s">
        <v>339</v>
      </c>
      <c r="D2556" s="23" t="s">
        <v>21</v>
      </c>
      <c r="E2556" s="37">
        <v>45434.0</v>
      </c>
      <c r="F2556" s="25">
        <v>0.2513888888888889</v>
      </c>
      <c r="G2556" s="25">
        <v>0.7034722222222223</v>
      </c>
      <c r="H2556" s="27">
        <f t="shared" si="2"/>
        <v>0.4520833333</v>
      </c>
      <c r="I2556" s="28">
        <v>5.0</v>
      </c>
      <c r="J2556" s="29" t="s">
        <v>55</v>
      </c>
      <c r="K2556" s="30" t="s">
        <v>23</v>
      </c>
      <c r="L2556" s="31" t="str">
        <f>IFERROR(__xludf.DUMMYFUNCTION("IF(OR(E2556="""",K2556=""""),"""",IFERROR(IF(K2556="""","""",query('tbl user'!$A$2:$D10975,""SELECT A WHERE D = '""&amp;K2556&amp;""'"")),""USER TIDAK DIKETAHUI""))"),"#REF!")</f>
        <v>#REF!</v>
      </c>
    </row>
    <row r="2557">
      <c r="A2557" s="21">
        <f t="shared" si="1"/>
        <v>0</v>
      </c>
      <c r="B2557" s="32" t="s">
        <v>258</v>
      </c>
      <c r="C2557" s="23" t="s">
        <v>259</v>
      </c>
      <c r="D2557" s="23" t="s">
        <v>21</v>
      </c>
      <c r="E2557" s="37">
        <v>45434.0</v>
      </c>
      <c r="F2557" s="25">
        <v>0.26875</v>
      </c>
      <c r="G2557" s="25">
        <v>0.6868055555555556</v>
      </c>
      <c r="H2557" s="27">
        <f t="shared" si="2"/>
        <v>0.4180555556</v>
      </c>
      <c r="I2557" s="28">
        <v>5.0</v>
      </c>
      <c r="J2557" s="29" t="s">
        <v>55</v>
      </c>
      <c r="K2557" s="30" t="s">
        <v>23</v>
      </c>
      <c r="L2557" s="31" t="str">
        <f>IFERROR(__xludf.DUMMYFUNCTION("IF(OR(E2557="""",K2557=""""),"""",IFERROR(IF(K2557="""","""",query('tbl user'!$A$2:$D10975,""SELECT A WHERE D = '""&amp;K2557&amp;""'"")),""USER TIDAK DIKETAHUI""))"),"#REF!")</f>
        <v>#REF!</v>
      </c>
    </row>
    <row r="2558">
      <c r="A2558" s="21">
        <f t="shared" si="1"/>
        <v>0</v>
      </c>
      <c r="B2558" s="32" t="s">
        <v>87</v>
      </c>
      <c r="C2558" s="23" t="s">
        <v>88</v>
      </c>
      <c r="D2558" s="23" t="s">
        <v>21</v>
      </c>
      <c r="E2558" s="37">
        <v>45434.0</v>
      </c>
      <c r="F2558" s="25">
        <v>0.2548611111111111</v>
      </c>
      <c r="G2558" s="25">
        <v>0.7027777777777777</v>
      </c>
      <c r="H2558" s="27">
        <f t="shared" si="2"/>
        <v>0.4479166667</v>
      </c>
      <c r="I2558" s="28">
        <v>5.0</v>
      </c>
      <c r="J2558" s="29" t="s">
        <v>55</v>
      </c>
      <c r="K2558" s="30" t="s">
        <v>23</v>
      </c>
      <c r="L2558" s="31" t="str">
        <f>IFERROR(__xludf.DUMMYFUNCTION("IF(OR(E2558="""",K2558=""""),"""",IFERROR(IF(K2558="""","""",query('tbl user'!$A$2:$D10975,""SELECT A WHERE D = '""&amp;K2558&amp;""'"")),""USER TIDAK DIKETAHUI""))"),"#REF!")</f>
        <v>#REF!</v>
      </c>
    </row>
    <row r="2559">
      <c r="A2559" s="21">
        <f t="shared" si="1"/>
        <v>0</v>
      </c>
      <c r="B2559" s="32" t="s">
        <v>325</v>
      </c>
      <c r="C2559" s="23" t="s">
        <v>326</v>
      </c>
      <c r="D2559" s="23" t="s">
        <v>21</v>
      </c>
      <c r="E2559" s="37">
        <v>45434.0</v>
      </c>
      <c r="F2559" s="25">
        <v>0.2569444444444444</v>
      </c>
      <c r="G2559" s="25">
        <v>0.6597222222222222</v>
      </c>
      <c r="H2559" s="27">
        <f t="shared" si="2"/>
        <v>0.4027777778</v>
      </c>
      <c r="I2559" s="28">
        <v>5.0</v>
      </c>
      <c r="J2559" s="29" t="s">
        <v>55</v>
      </c>
      <c r="K2559" s="30" t="s">
        <v>23</v>
      </c>
      <c r="L2559" s="31" t="str">
        <f>IFERROR(__xludf.DUMMYFUNCTION("IF(OR(E2559="""",K2559=""""),"""",IFERROR(IF(K2559="""","""",query('tbl user'!$A$2:$D10975,""SELECT A WHERE D = '""&amp;K2559&amp;""'"")),""USER TIDAK DIKETAHUI""))"),"#REF!")</f>
        <v>#REF!</v>
      </c>
    </row>
    <row r="2560">
      <c r="A2560" s="21">
        <f t="shared" si="1"/>
        <v>0</v>
      </c>
      <c r="B2560" s="32" t="s">
        <v>601</v>
      </c>
      <c r="C2560" s="23" t="s">
        <v>323</v>
      </c>
      <c r="D2560" s="23" t="s">
        <v>21</v>
      </c>
      <c r="E2560" s="37">
        <v>45434.0</v>
      </c>
      <c r="F2560" s="25">
        <v>0.27708333333333335</v>
      </c>
      <c r="G2560" s="25">
        <v>0.7409722222222223</v>
      </c>
      <c r="H2560" s="27">
        <f t="shared" si="2"/>
        <v>0.4638888889</v>
      </c>
      <c r="I2560" s="28">
        <v>5.0</v>
      </c>
      <c r="J2560" s="29" t="s">
        <v>55</v>
      </c>
      <c r="K2560" s="30" t="s">
        <v>23</v>
      </c>
      <c r="L2560" s="31" t="str">
        <f>IFERROR(__xludf.DUMMYFUNCTION("IF(OR(E2560="""",K2560=""""),"""",IFERROR(IF(K2560="""","""",query('tbl user'!$A$2:$D10975,""SELECT A WHERE D = '""&amp;K2560&amp;""'"")),""USER TIDAK DIKETAHUI""))"),"#REF!")</f>
        <v>#REF!</v>
      </c>
    </row>
    <row r="2561">
      <c r="A2561" s="21">
        <f t="shared" si="1"/>
        <v>0</v>
      </c>
      <c r="B2561" s="32" t="s">
        <v>255</v>
      </c>
      <c r="C2561" s="23" t="s">
        <v>256</v>
      </c>
      <c r="D2561" s="23" t="s">
        <v>21</v>
      </c>
      <c r="E2561" s="37">
        <v>45434.0</v>
      </c>
      <c r="F2561" s="25">
        <v>0.2604166666666667</v>
      </c>
      <c r="G2561" s="25">
        <v>0.7527777777777778</v>
      </c>
      <c r="H2561" s="27">
        <f t="shared" si="2"/>
        <v>0.4923611111</v>
      </c>
      <c r="I2561" s="28">
        <v>6.0</v>
      </c>
      <c r="J2561" s="29" t="s">
        <v>55</v>
      </c>
      <c r="K2561" s="30" t="s">
        <v>23</v>
      </c>
      <c r="L2561" s="31" t="str">
        <f>IFERROR(__xludf.DUMMYFUNCTION("IF(OR(E2561="""",K2561=""""),"""",IFERROR(IF(K2561="""","""",query('tbl user'!$A$2:$D10975,""SELECT A WHERE D = '""&amp;K2561&amp;""'"")),""USER TIDAK DIKETAHUI""))"),"#REF!")</f>
        <v>#REF!</v>
      </c>
    </row>
    <row r="2562">
      <c r="A2562" s="21">
        <f t="shared" si="1"/>
        <v>0</v>
      </c>
      <c r="B2562" s="32" t="s">
        <v>53</v>
      </c>
      <c r="C2562" s="23" t="s">
        <v>54</v>
      </c>
      <c r="D2562" s="23" t="s">
        <v>21</v>
      </c>
      <c r="E2562" s="37">
        <v>45434.0</v>
      </c>
      <c r="F2562" s="25">
        <v>0.25833333333333336</v>
      </c>
      <c r="G2562" s="25">
        <v>0.7520833333333333</v>
      </c>
      <c r="H2562" s="27">
        <f t="shared" si="2"/>
        <v>0.49375</v>
      </c>
      <c r="I2562" s="28">
        <v>6.0</v>
      </c>
      <c r="J2562" s="29" t="s">
        <v>55</v>
      </c>
      <c r="K2562" s="30" t="s">
        <v>23</v>
      </c>
      <c r="L2562" s="31" t="str">
        <f>IFERROR(__xludf.DUMMYFUNCTION("IF(OR(E2562="""",K2562=""""),"""",IFERROR(IF(K2562="""","""",query('tbl user'!$A$2:$D10975,""SELECT A WHERE D = '""&amp;K2562&amp;""'"")),""USER TIDAK DIKETAHUI""))"),"#REF!")</f>
        <v>#REF!</v>
      </c>
    </row>
    <row r="2563">
      <c r="A2563" s="21">
        <f t="shared" si="1"/>
        <v>0</v>
      </c>
      <c r="B2563" s="32" t="s">
        <v>319</v>
      </c>
      <c r="C2563" s="23" t="s">
        <v>320</v>
      </c>
      <c r="D2563" s="23" t="s">
        <v>21</v>
      </c>
      <c r="E2563" s="37">
        <v>45434.0</v>
      </c>
      <c r="F2563" s="25">
        <v>0.2513888888888889</v>
      </c>
      <c r="G2563" s="25">
        <v>0.7243055555555555</v>
      </c>
      <c r="H2563" s="27">
        <f t="shared" si="2"/>
        <v>0.4729166667</v>
      </c>
      <c r="I2563" s="28">
        <v>6.0</v>
      </c>
      <c r="J2563" s="29" t="s">
        <v>55</v>
      </c>
      <c r="K2563" s="30" t="s">
        <v>23</v>
      </c>
      <c r="L2563" s="31" t="str">
        <f>IFERROR(__xludf.DUMMYFUNCTION("IF(OR(E2563="""",K2563=""""),"""",IFERROR(IF(K2563="""","""",query('tbl user'!$A$2:$D10975,""SELECT A WHERE D = '""&amp;K2563&amp;""'"")),""USER TIDAK DIKETAHUI""))"),"#REF!")</f>
        <v>#REF!</v>
      </c>
    </row>
    <row r="2564">
      <c r="A2564" s="21">
        <f t="shared" si="1"/>
        <v>0</v>
      </c>
      <c r="B2564" s="32" t="s">
        <v>363</v>
      </c>
      <c r="C2564" s="23" t="s">
        <v>90</v>
      </c>
      <c r="D2564" s="23" t="s">
        <v>32</v>
      </c>
      <c r="E2564" s="37">
        <v>45434.0</v>
      </c>
      <c r="F2564" s="25">
        <v>0.47708333333333336</v>
      </c>
      <c r="G2564" s="25">
        <v>0.6006944444444444</v>
      </c>
      <c r="H2564" s="27">
        <f t="shared" si="2"/>
        <v>0.1236111111</v>
      </c>
      <c r="I2564" s="28">
        <v>1.0</v>
      </c>
      <c r="J2564" s="29" t="s">
        <v>1202</v>
      </c>
      <c r="K2564" s="30" t="s">
        <v>23</v>
      </c>
      <c r="L2564" s="31" t="str">
        <f>IFERROR(__xludf.DUMMYFUNCTION("IF(OR(E2564="""",K2564=""""),"""",IFERROR(IF(K2564="""","""",query('tbl user'!$A$2:$D10975,""SELECT A WHERE D = '""&amp;K2564&amp;""'"")),""USER TIDAK DIKETAHUI""))"),"#REF!")</f>
        <v>#REF!</v>
      </c>
    </row>
    <row r="2565">
      <c r="A2565" s="21">
        <f t="shared" si="1"/>
        <v>0</v>
      </c>
      <c r="B2565" s="32" t="s">
        <v>120</v>
      </c>
      <c r="C2565" s="23" t="s">
        <v>121</v>
      </c>
      <c r="D2565" s="23" t="s">
        <v>32</v>
      </c>
      <c r="E2565" s="37">
        <v>45434.0</v>
      </c>
      <c r="F2565" s="25">
        <v>0.2638888888888889</v>
      </c>
      <c r="G2565" s="25">
        <v>0.7090277777777778</v>
      </c>
      <c r="H2565" s="27">
        <f t="shared" si="2"/>
        <v>0.4451388889</v>
      </c>
      <c r="I2565" s="28">
        <v>2.0</v>
      </c>
      <c r="J2565" s="29" t="s">
        <v>1203</v>
      </c>
      <c r="K2565" s="30" t="s">
        <v>23</v>
      </c>
      <c r="L2565" s="31" t="str">
        <f>IFERROR(__xludf.DUMMYFUNCTION("IF(OR(E2565="""",K2565=""""),"""",IFERROR(IF(K2565="""","""",query('tbl user'!$A$2:$D10975,""SELECT A WHERE D = '""&amp;K2565&amp;""'"")),""USER TIDAK DIKETAHUI""))"),"#REF!")</f>
        <v>#REF!</v>
      </c>
    </row>
    <row r="2566">
      <c r="A2566" s="21">
        <f t="shared" si="1"/>
        <v>0</v>
      </c>
      <c r="B2566" s="32" t="s">
        <v>127</v>
      </c>
      <c r="C2566" s="23" t="s">
        <v>128</v>
      </c>
      <c r="D2566" s="23" t="s">
        <v>32</v>
      </c>
      <c r="E2566" s="37">
        <v>45434.0</v>
      </c>
      <c r="F2566" s="25">
        <v>0.28055555555555556</v>
      </c>
      <c r="G2566" s="25">
        <v>0.5513888888888889</v>
      </c>
      <c r="H2566" s="27">
        <f t="shared" si="2"/>
        <v>0.2708333333</v>
      </c>
      <c r="I2566" s="28">
        <v>2.0</v>
      </c>
      <c r="J2566" s="29" t="s">
        <v>1204</v>
      </c>
      <c r="K2566" s="30" t="s">
        <v>23</v>
      </c>
      <c r="L2566" s="31" t="str">
        <f>IFERROR(__xludf.DUMMYFUNCTION("IF(OR(E2566="""",K2566=""""),"""",IFERROR(IF(K2566="""","""",query('tbl user'!$A$2:$D10975,""SELECT A WHERE D = '""&amp;K2566&amp;""'"")),""USER TIDAK DIKETAHUI""))"),"#REF!")</f>
        <v>#REF!</v>
      </c>
    </row>
    <row r="2567">
      <c r="A2567" s="21">
        <f t="shared" si="1"/>
        <v>0</v>
      </c>
      <c r="B2567" s="32" t="s">
        <v>412</v>
      </c>
      <c r="C2567" s="23" t="s">
        <v>413</v>
      </c>
      <c r="D2567" s="23" t="s">
        <v>32</v>
      </c>
      <c r="E2567" s="37">
        <v>45434.0</v>
      </c>
      <c r="F2567" s="25">
        <v>0.3055555555555556</v>
      </c>
      <c r="G2567" s="25">
        <v>0.6368055555555555</v>
      </c>
      <c r="H2567" s="27">
        <f t="shared" si="2"/>
        <v>0.33125</v>
      </c>
      <c r="I2567" s="28">
        <v>3.0</v>
      </c>
      <c r="J2567" s="29" t="s">
        <v>1205</v>
      </c>
      <c r="K2567" s="30" t="s">
        <v>23</v>
      </c>
      <c r="L2567" s="31" t="str">
        <f>IFERROR(__xludf.DUMMYFUNCTION("IF(OR(E2567="""",K2567=""""),"""",IFERROR(IF(K2567="""","""",query('tbl user'!$A$2:$D10975,""SELECT A WHERE D = '""&amp;K2567&amp;""'"")),""USER TIDAK DIKETAHUI""))"),"#REF!")</f>
        <v>#REF!</v>
      </c>
    </row>
    <row r="2568">
      <c r="A2568" s="21">
        <f t="shared" si="1"/>
        <v>0</v>
      </c>
      <c r="B2568" s="32" t="s">
        <v>46</v>
      </c>
      <c r="C2568" s="23" t="s">
        <v>47</v>
      </c>
      <c r="D2568" s="23" t="s">
        <v>32</v>
      </c>
      <c r="E2568" s="37">
        <v>45434.0</v>
      </c>
      <c r="F2568" s="25">
        <v>0.28194444444444444</v>
      </c>
      <c r="G2568" s="25">
        <v>0.6152777777777778</v>
      </c>
      <c r="H2568" s="27">
        <f t="shared" si="2"/>
        <v>0.3333333333</v>
      </c>
      <c r="I2568" s="28">
        <v>3.0</v>
      </c>
      <c r="J2568" s="29" t="s">
        <v>1206</v>
      </c>
      <c r="K2568" s="30" t="s">
        <v>23</v>
      </c>
      <c r="L2568" s="31" t="str">
        <f>IFERROR(__xludf.DUMMYFUNCTION("IF(OR(E2568="""",K2568=""""),"""",IFERROR(IF(K2568="""","""",query('tbl user'!$A$2:$D10975,""SELECT A WHERE D = '""&amp;K2568&amp;""'"")),""USER TIDAK DIKETAHUI""))"),"#REF!")</f>
        <v>#REF!</v>
      </c>
    </row>
    <row r="2569">
      <c r="A2569" s="21">
        <f t="shared" si="1"/>
        <v>0</v>
      </c>
      <c r="B2569" s="32" t="s">
        <v>250</v>
      </c>
      <c r="C2569" s="23" t="s">
        <v>315</v>
      </c>
      <c r="D2569" s="23" t="s">
        <v>32</v>
      </c>
      <c r="E2569" s="37">
        <v>45434.0</v>
      </c>
      <c r="F2569" s="25">
        <v>0.2791666666666667</v>
      </c>
      <c r="G2569" s="25">
        <v>0.6680555555555555</v>
      </c>
      <c r="H2569" s="27">
        <f t="shared" si="2"/>
        <v>0.3888888889</v>
      </c>
      <c r="I2569" s="28">
        <v>4.0</v>
      </c>
      <c r="J2569" s="29" t="s">
        <v>55</v>
      </c>
      <c r="K2569" s="30" t="s">
        <v>23</v>
      </c>
      <c r="L2569" s="31" t="str">
        <f>IFERROR(__xludf.DUMMYFUNCTION("IF(OR(E2569="""",K2569=""""),"""",IFERROR(IF(K2569="""","""",query('tbl user'!$A$2:$D10975,""SELECT A WHERE D = '""&amp;K2569&amp;""'"")),""USER TIDAK DIKETAHUI""))"),"#REF!")</f>
        <v>#REF!</v>
      </c>
    </row>
    <row r="2570">
      <c r="A2570" s="21">
        <f t="shared" si="1"/>
        <v>0</v>
      </c>
      <c r="B2570" s="32" t="s">
        <v>110</v>
      </c>
      <c r="C2570" s="23" t="s">
        <v>111</v>
      </c>
      <c r="D2570" s="23" t="s">
        <v>32</v>
      </c>
      <c r="E2570" s="37">
        <v>45434.0</v>
      </c>
      <c r="F2570" s="25">
        <v>0.2798611111111111</v>
      </c>
      <c r="G2570" s="25">
        <v>0.65625</v>
      </c>
      <c r="H2570" s="27">
        <f t="shared" si="2"/>
        <v>0.3763888889</v>
      </c>
      <c r="I2570" s="28">
        <v>4.0</v>
      </c>
      <c r="J2570" s="29" t="s">
        <v>55</v>
      </c>
      <c r="K2570" s="30" t="s">
        <v>23</v>
      </c>
      <c r="L2570" s="31" t="str">
        <f>IFERROR(__xludf.DUMMYFUNCTION("IF(OR(E2570="""",K2570=""""),"""",IFERROR(IF(K2570="""","""",query('tbl user'!$A$2:$D10975,""SELECT A WHERE D = '""&amp;K2570&amp;""'"")),""USER TIDAK DIKETAHUI""))"),"#REF!")</f>
        <v>#REF!</v>
      </c>
    </row>
    <row r="2571">
      <c r="A2571" s="21">
        <f t="shared" si="1"/>
        <v>0</v>
      </c>
      <c r="B2571" s="32" t="s">
        <v>115</v>
      </c>
      <c r="C2571" s="23" t="s">
        <v>116</v>
      </c>
      <c r="D2571" s="23" t="s">
        <v>32</v>
      </c>
      <c r="E2571" s="37">
        <v>45434.0</v>
      </c>
      <c r="F2571" s="25">
        <v>0.275</v>
      </c>
      <c r="G2571" s="25">
        <v>0.7256944444444444</v>
      </c>
      <c r="H2571" s="27">
        <f t="shared" si="2"/>
        <v>0.4506944444</v>
      </c>
      <c r="I2571" s="28">
        <v>4.0</v>
      </c>
      <c r="J2571" s="29" t="s">
        <v>55</v>
      </c>
      <c r="K2571" s="30" t="s">
        <v>23</v>
      </c>
      <c r="L2571" s="31" t="str">
        <f>IFERROR(__xludf.DUMMYFUNCTION("IF(OR(E2571="""",K2571=""""),"""",IFERROR(IF(K2571="""","""",query('tbl user'!$A$2:$D10975,""SELECT A WHERE D = '""&amp;K2571&amp;""'"")),""USER TIDAK DIKETAHUI""))"),"#REF!")</f>
        <v>#REF!</v>
      </c>
    </row>
    <row r="2572">
      <c r="A2572" s="21">
        <f t="shared" si="1"/>
        <v>0</v>
      </c>
      <c r="B2572" s="32" t="s">
        <v>263</v>
      </c>
      <c r="C2572" s="23" t="s">
        <v>264</v>
      </c>
      <c r="D2572" s="23" t="s">
        <v>32</v>
      </c>
      <c r="E2572" s="37">
        <v>45434.0</v>
      </c>
      <c r="F2572" s="25">
        <v>0.25972222222222224</v>
      </c>
      <c r="G2572" s="25">
        <v>0.7118055555555556</v>
      </c>
      <c r="H2572" s="27">
        <f t="shared" si="2"/>
        <v>0.4520833333</v>
      </c>
      <c r="I2572" s="28">
        <v>4.0</v>
      </c>
      <c r="J2572" s="29" t="s">
        <v>55</v>
      </c>
      <c r="K2572" s="30" t="s">
        <v>23</v>
      </c>
      <c r="L2572" s="31" t="str">
        <f>IFERROR(__xludf.DUMMYFUNCTION("IF(OR(E2572="""",K2572=""""),"""",IFERROR(IF(K2572="""","""",query('tbl user'!$A$2:$D10975,""SELECT A WHERE D = '""&amp;K2572&amp;""'"")),""USER TIDAK DIKETAHUI""))"),"#REF!")</f>
        <v>#REF!</v>
      </c>
    </row>
    <row r="2573">
      <c r="A2573" s="21">
        <f t="shared" si="1"/>
        <v>0</v>
      </c>
      <c r="B2573" s="32" t="s">
        <v>123</v>
      </c>
      <c r="C2573" s="23" t="s">
        <v>124</v>
      </c>
      <c r="D2573" s="23" t="s">
        <v>32</v>
      </c>
      <c r="E2573" s="37">
        <v>45434.0</v>
      </c>
      <c r="F2573" s="25">
        <v>0.26666666666666666</v>
      </c>
      <c r="G2573" s="25">
        <v>0.7243055555555555</v>
      </c>
      <c r="H2573" s="27">
        <f t="shared" si="2"/>
        <v>0.4576388889</v>
      </c>
      <c r="I2573" s="28">
        <v>4.0</v>
      </c>
      <c r="J2573" s="29" t="s">
        <v>55</v>
      </c>
      <c r="K2573" s="30" t="s">
        <v>23</v>
      </c>
      <c r="L2573" s="31" t="str">
        <f>IFERROR(__xludf.DUMMYFUNCTION("IF(OR(E2573="""",K2573=""""),"""",IFERROR(IF(K2573="""","""",query('tbl user'!$A$2:$D10975,""SELECT A WHERE D = '""&amp;K2573&amp;""'"")),""USER TIDAK DIKETAHUI""))"),"#REF!")</f>
        <v>#REF!</v>
      </c>
    </row>
    <row r="2574">
      <c r="A2574" s="21">
        <f t="shared" si="1"/>
        <v>0</v>
      </c>
      <c r="B2574" s="32" t="s">
        <v>125</v>
      </c>
      <c r="C2574" s="23" t="s">
        <v>126</v>
      </c>
      <c r="D2574" s="23" t="s">
        <v>32</v>
      </c>
      <c r="E2574" s="37">
        <v>45434.0</v>
      </c>
      <c r="F2574" s="25">
        <v>0.3034722222222222</v>
      </c>
      <c r="G2574" s="25">
        <v>0.725</v>
      </c>
      <c r="H2574" s="27">
        <f t="shared" si="2"/>
        <v>0.4215277778</v>
      </c>
      <c r="I2574" s="28">
        <v>4.0</v>
      </c>
      <c r="J2574" s="29" t="s">
        <v>55</v>
      </c>
      <c r="K2574" s="30" t="s">
        <v>23</v>
      </c>
      <c r="L2574" s="31" t="str">
        <f>IFERROR(__xludf.DUMMYFUNCTION("IF(OR(E2574="""",K2574=""""),"""",IFERROR(IF(K2574="""","""",query('tbl user'!$A$2:$D10975,""SELECT A WHERE D = '""&amp;K2574&amp;""'"")),""USER TIDAK DIKETAHUI""))"),"#REF!")</f>
        <v>#REF!</v>
      </c>
    </row>
    <row r="2575">
      <c r="A2575" s="21">
        <f t="shared" si="1"/>
        <v>0</v>
      </c>
      <c r="B2575" s="32" t="s">
        <v>135</v>
      </c>
      <c r="C2575" s="23" t="s">
        <v>136</v>
      </c>
      <c r="D2575" s="23" t="s">
        <v>32</v>
      </c>
      <c r="E2575" s="37">
        <v>45434.0</v>
      </c>
      <c r="F2575" s="25">
        <v>0.25763888888888886</v>
      </c>
      <c r="G2575" s="25">
        <v>0.6347222222222222</v>
      </c>
      <c r="H2575" s="27">
        <f t="shared" si="2"/>
        <v>0.3770833333</v>
      </c>
      <c r="I2575" s="28">
        <v>4.0</v>
      </c>
      <c r="J2575" s="29" t="s">
        <v>55</v>
      </c>
      <c r="K2575" s="30" t="s">
        <v>23</v>
      </c>
      <c r="L2575" s="31" t="str">
        <f>IFERROR(__xludf.DUMMYFUNCTION("IF(OR(E2575="""",K2575=""""),"""",IFERROR(IF(K2575="""","""",query('tbl user'!$A$2:$D10975,""SELECT A WHERE D = '""&amp;K2575&amp;""'"")),""USER TIDAK DIKETAHUI""))"),"#REF!")</f>
        <v>#REF!</v>
      </c>
    </row>
    <row r="2576">
      <c r="A2576" s="21">
        <f t="shared" si="1"/>
        <v>0</v>
      </c>
      <c r="B2576" s="32" t="s">
        <v>30</v>
      </c>
      <c r="C2576" s="23" t="s">
        <v>31</v>
      </c>
      <c r="D2576" s="23" t="s">
        <v>32</v>
      </c>
      <c r="E2576" s="37">
        <v>45434.0</v>
      </c>
      <c r="F2576" s="25">
        <v>0.2701388888888889</v>
      </c>
      <c r="G2576" s="25">
        <v>0.7111111111111111</v>
      </c>
      <c r="H2576" s="27">
        <f t="shared" si="2"/>
        <v>0.4409722222</v>
      </c>
      <c r="I2576" s="28">
        <v>4.0</v>
      </c>
      <c r="J2576" s="29" t="s">
        <v>55</v>
      </c>
      <c r="K2576" s="30" t="s">
        <v>23</v>
      </c>
      <c r="L2576" s="31" t="str">
        <f>IFERROR(__xludf.DUMMYFUNCTION("IF(OR(E2576="""",K2576=""""),"""",IFERROR(IF(K2576="""","""",query('tbl user'!$A$2:$D10975,""SELECT A WHERE D = '""&amp;K2576&amp;""'"")),""USER TIDAK DIKETAHUI""))"),"#REF!")</f>
        <v>#REF!</v>
      </c>
    </row>
    <row r="2577">
      <c r="A2577" s="21">
        <f t="shared" si="1"/>
        <v>0</v>
      </c>
      <c r="B2577" s="32" t="s">
        <v>40</v>
      </c>
      <c r="C2577" s="23" t="s">
        <v>41</v>
      </c>
      <c r="D2577" s="23" t="s">
        <v>32</v>
      </c>
      <c r="E2577" s="37">
        <v>45434.0</v>
      </c>
      <c r="F2577" s="25">
        <v>0.2777777777777778</v>
      </c>
      <c r="G2577" s="25">
        <v>0.7055555555555556</v>
      </c>
      <c r="H2577" s="27">
        <f t="shared" si="2"/>
        <v>0.4277777778</v>
      </c>
      <c r="I2577" s="28">
        <v>4.0</v>
      </c>
      <c r="J2577" s="29" t="s">
        <v>55</v>
      </c>
      <c r="K2577" s="30" t="s">
        <v>23</v>
      </c>
      <c r="L2577" s="31" t="str">
        <f>IFERROR(__xludf.DUMMYFUNCTION("IF(OR(E2577="""",K2577=""""),"""",IFERROR(IF(K2577="""","""",query('tbl user'!$A$2:$D10975,""SELECT A WHERE D = '""&amp;K2577&amp;""'"")),""USER TIDAK DIKETAHUI""))"),"#REF!")</f>
        <v>#REF!</v>
      </c>
    </row>
    <row r="2578">
      <c r="A2578" s="21">
        <f t="shared" si="1"/>
        <v>0</v>
      </c>
      <c r="B2578" s="32" t="s">
        <v>78</v>
      </c>
      <c r="C2578" s="23" t="s">
        <v>79</v>
      </c>
      <c r="D2578" s="23" t="s">
        <v>32</v>
      </c>
      <c r="E2578" s="37">
        <v>45434.0</v>
      </c>
      <c r="F2578" s="25">
        <v>0.2722222222222222</v>
      </c>
      <c r="G2578" s="25">
        <v>0.6444444444444445</v>
      </c>
      <c r="H2578" s="27">
        <f t="shared" si="2"/>
        <v>0.3722222222</v>
      </c>
      <c r="I2578" s="28">
        <v>4.0</v>
      </c>
      <c r="J2578" s="29" t="s">
        <v>55</v>
      </c>
      <c r="K2578" s="30" t="s">
        <v>23</v>
      </c>
      <c r="L2578" s="31" t="str">
        <f>IFERROR(__xludf.DUMMYFUNCTION("IF(OR(E2578="""",K2578=""""),"""",IFERROR(IF(K2578="""","""",query('tbl user'!$A$2:$D10975,""SELECT A WHERE D = '""&amp;K2578&amp;""'"")),""USER TIDAK DIKETAHUI""))"),"#REF!")</f>
        <v>#REF!</v>
      </c>
    </row>
    <row r="2579">
      <c r="A2579" s="21">
        <f t="shared" si="1"/>
        <v>0</v>
      </c>
      <c r="B2579" s="32" t="s">
        <v>267</v>
      </c>
      <c r="C2579" s="23" t="s">
        <v>268</v>
      </c>
      <c r="D2579" s="23" t="s">
        <v>32</v>
      </c>
      <c r="E2579" s="37">
        <v>45434.0</v>
      </c>
      <c r="F2579" s="25">
        <v>0.29444444444444445</v>
      </c>
      <c r="G2579" s="25">
        <v>0.7506944444444444</v>
      </c>
      <c r="H2579" s="27">
        <f t="shared" si="2"/>
        <v>0.45625</v>
      </c>
      <c r="I2579" s="28">
        <v>4.0</v>
      </c>
      <c r="J2579" s="29" t="s">
        <v>55</v>
      </c>
      <c r="K2579" s="30" t="s">
        <v>23</v>
      </c>
      <c r="L2579" s="31" t="str">
        <f>IFERROR(__xludf.DUMMYFUNCTION("IF(OR(E2579="""",K2579=""""),"""",IFERROR(IF(K2579="""","""",query('tbl user'!$A$2:$D10975,""SELECT A WHERE D = '""&amp;K2579&amp;""'"")),""USER TIDAK DIKETAHUI""))"),"#REF!")</f>
        <v>#REF!</v>
      </c>
    </row>
    <row r="2580">
      <c r="A2580" s="21">
        <f t="shared" si="1"/>
        <v>0</v>
      </c>
      <c r="B2580" s="32" t="s">
        <v>146</v>
      </c>
      <c r="C2580" s="23" t="s">
        <v>147</v>
      </c>
      <c r="D2580" s="23" t="s">
        <v>32</v>
      </c>
      <c r="E2580" s="37">
        <v>45434.0</v>
      </c>
      <c r="F2580" s="25">
        <v>0.27152777777777776</v>
      </c>
      <c r="G2580" s="25">
        <v>0.6375</v>
      </c>
      <c r="H2580" s="27">
        <f t="shared" si="2"/>
        <v>0.3659722222</v>
      </c>
      <c r="I2580" s="28">
        <v>4.0</v>
      </c>
      <c r="J2580" s="29" t="s">
        <v>55</v>
      </c>
      <c r="K2580" s="30" t="s">
        <v>23</v>
      </c>
      <c r="L2580" s="31" t="str">
        <f>IFERROR(__xludf.DUMMYFUNCTION("IF(OR(E2580="""",K2580=""""),"""",IFERROR(IF(K2580="""","""",query('tbl user'!$A$2:$D10975,""SELECT A WHERE D = '""&amp;K2580&amp;""'"")),""USER TIDAK DIKETAHUI""))"),"#REF!")</f>
        <v>#REF!</v>
      </c>
    </row>
    <row r="2581">
      <c r="A2581" s="21">
        <f t="shared" si="1"/>
        <v>0</v>
      </c>
      <c r="B2581" s="32" t="s">
        <v>149</v>
      </c>
      <c r="C2581" s="23" t="s">
        <v>150</v>
      </c>
      <c r="D2581" s="23" t="s">
        <v>32</v>
      </c>
      <c r="E2581" s="37">
        <v>45434.0</v>
      </c>
      <c r="F2581" s="25">
        <v>0.26458333333333334</v>
      </c>
      <c r="G2581" s="25">
        <v>0.7256944444444444</v>
      </c>
      <c r="H2581" s="27">
        <f t="shared" si="2"/>
        <v>0.4611111111</v>
      </c>
      <c r="I2581" s="28">
        <v>4.0</v>
      </c>
      <c r="J2581" s="29" t="s">
        <v>55</v>
      </c>
      <c r="K2581" s="30" t="s">
        <v>23</v>
      </c>
      <c r="L2581" s="31" t="str">
        <f>IFERROR(__xludf.DUMMYFUNCTION("IF(OR(E2581="""",K2581=""""),"""",IFERROR(IF(K2581="""","""",query('tbl user'!$A$2:$D10975,""SELECT A WHERE D = '""&amp;K2581&amp;""'"")),""USER TIDAK DIKETAHUI""))"),"#REF!")</f>
        <v>#REF!</v>
      </c>
    </row>
    <row r="2582">
      <c r="A2582" s="21">
        <f t="shared" si="1"/>
        <v>0</v>
      </c>
      <c r="B2582" s="32" t="s">
        <v>274</v>
      </c>
      <c r="C2582" s="23" t="s">
        <v>275</v>
      </c>
      <c r="D2582" s="23" t="s">
        <v>32</v>
      </c>
      <c r="E2582" s="37">
        <v>45434.0</v>
      </c>
      <c r="F2582" s="25">
        <v>0.2701388888888889</v>
      </c>
      <c r="G2582" s="25">
        <v>0.6673611111111111</v>
      </c>
      <c r="H2582" s="27">
        <f t="shared" si="2"/>
        <v>0.3972222222</v>
      </c>
      <c r="I2582" s="28">
        <v>4.0</v>
      </c>
      <c r="J2582" s="29" t="s">
        <v>55</v>
      </c>
      <c r="K2582" s="30" t="s">
        <v>23</v>
      </c>
      <c r="L2582" s="31" t="str">
        <f>IFERROR(__xludf.DUMMYFUNCTION("IF(OR(E2582="""",K2582=""""),"""",IFERROR(IF(K2582="""","""",query('tbl user'!$A$2:$D10975,""SELECT A WHERE D = '""&amp;K2582&amp;""'"")),""USER TIDAK DIKETAHUI""))"),"#REF!")</f>
        <v>#REF!</v>
      </c>
    </row>
    <row r="2583">
      <c r="A2583" s="21">
        <f t="shared" si="1"/>
        <v>0</v>
      </c>
      <c r="B2583" s="32" t="s">
        <v>151</v>
      </c>
      <c r="C2583" s="23" t="s">
        <v>152</v>
      </c>
      <c r="D2583" s="23" t="s">
        <v>32</v>
      </c>
      <c r="E2583" s="37">
        <v>45434.0</v>
      </c>
      <c r="F2583" s="25">
        <v>0.2743055555555556</v>
      </c>
      <c r="G2583" s="25">
        <v>0.7138888888888889</v>
      </c>
      <c r="H2583" s="27">
        <f t="shared" si="2"/>
        <v>0.4395833333</v>
      </c>
      <c r="I2583" s="28">
        <v>4.0</v>
      </c>
      <c r="J2583" s="29" t="s">
        <v>55</v>
      </c>
      <c r="K2583" s="30" t="s">
        <v>23</v>
      </c>
      <c r="L2583" s="31" t="str">
        <f>IFERROR(__xludf.DUMMYFUNCTION("IF(OR(E2583="""",K2583=""""),"""",IFERROR(IF(K2583="""","""",query('tbl user'!$A$2:$D10975,""SELECT A WHERE D = '""&amp;K2583&amp;""'"")),""USER TIDAK DIKETAHUI""))"),"#REF!")</f>
        <v>#REF!</v>
      </c>
    </row>
    <row r="2584">
      <c r="A2584" s="21">
        <f t="shared" si="1"/>
        <v>0</v>
      </c>
      <c r="B2584" s="32" t="s">
        <v>113</v>
      </c>
      <c r="C2584" s="23" t="s">
        <v>114</v>
      </c>
      <c r="D2584" s="23" t="s">
        <v>32</v>
      </c>
      <c r="E2584" s="37">
        <v>45434.0</v>
      </c>
      <c r="F2584" s="25">
        <v>0.2520833333333333</v>
      </c>
      <c r="G2584" s="25">
        <v>0.70625</v>
      </c>
      <c r="H2584" s="27">
        <f t="shared" si="2"/>
        <v>0.4541666667</v>
      </c>
      <c r="I2584" s="28">
        <v>5.0</v>
      </c>
      <c r="J2584" s="29" t="s">
        <v>55</v>
      </c>
      <c r="K2584" s="30" t="s">
        <v>23</v>
      </c>
      <c r="L2584" s="31" t="str">
        <f>IFERROR(__xludf.DUMMYFUNCTION("IF(OR(E2584="""",K2584=""""),"""",IFERROR(IF(K2584="""","""",query('tbl user'!$A$2:$D10975,""SELECT A WHERE D = '""&amp;K2584&amp;""'"")),""USER TIDAK DIKETAHUI""))"),"#REF!")</f>
        <v>#REF!</v>
      </c>
    </row>
    <row r="2585">
      <c r="A2585" s="21">
        <f t="shared" si="1"/>
        <v>0</v>
      </c>
      <c r="B2585" s="32" t="s">
        <v>225</v>
      </c>
      <c r="C2585" s="23" t="s">
        <v>211</v>
      </c>
      <c r="D2585" s="23" t="s">
        <v>58</v>
      </c>
      <c r="E2585" s="37">
        <v>45435.0</v>
      </c>
      <c r="F2585" s="25">
        <v>0.2923611111111111</v>
      </c>
      <c r="G2585" s="25">
        <v>0.6388888888888888</v>
      </c>
      <c r="H2585" s="27">
        <f t="shared" si="2"/>
        <v>0.3465277778</v>
      </c>
      <c r="I2585" s="28">
        <v>1.0</v>
      </c>
      <c r="J2585" s="29" t="s">
        <v>1207</v>
      </c>
      <c r="K2585" s="30" t="s">
        <v>23</v>
      </c>
      <c r="L2585" s="31" t="str">
        <f>IFERROR(__xludf.DUMMYFUNCTION("IF(OR(E2585="""",K2585=""""),"""",IFERROR(IF(K2585="""","""",query('tbl user'!$A$2:$D10975,""SELECT A WHERE D = '""&amp;K2585&amp;""'"")),""USER TIDAK DIKETAHUI""))"),"#REF!")</f>
        <v>#REF!</v>
      </c>
    </row>
    <row r="2586">
      <c r="A2586" s="21">
        <f t="shared" si="1"/>
        <v>0</v>
      </c>
      <c r="B2586" s="32" t="s">
        <v>51</v>
      </c>
      <c r="C2586" s="23" t="s">
        <v>57</v>
      </c>
      <c r="D2586" s="23" t="s">
        <v>58</v>
      </c>
      <c r="E2586" s="37">
        <v>45435.0</v>
      </c>
      <c r="F2586" s="25">
        <v>0.3263888888888889</v>
      </c>
      <c r="G2586" s="25">
        <v>0.49722222222222223</v>
      </c>
      <c r="H2586" s="27">
        <f t="shared" si="2"/>
        <v>0.1708333333</v>
      </c>
      <c r="I2586" s="28">
        <v>1.0</v>
      </c>
      <c r="J2586" s="29" t="s">
        <v>666</v>
      </c>
      <c r="K2586" s="30" t="s">
        <v>23</v>
      </c>
      <c r="L2586" s="31" t="str">
        <f>IFERROR(__xludf.DUMMYFUNCTION("IF(OR(E2586="""",K2586=""""),"""",IFERROR(IF(K2586="""","""",query('tbl user'!$A$2:$D10975,""SELECT A WHERE D = '""&amp;K2586&amp;""'"")),""USER TIDAK DIKETAHUI""))"),"#REF!")</f>
        <v>#REF!</v>
      </c>
    </row>
    <row r="2587">
      <c r="A2587" s="21">
        <f t="shared" si="1"/>
        <v>0</v>
      </c>
      <c r="B2587" s="32" t="s">
        <v>180</v>
      </c>
      <c r="C2587" s="23" t="s">
        <v>181</v>
      </c>
      <c r="D2587" s="23" t="s">
        <v>58</v>
      </c>
      <c r="E2587" s="37">
        <v>45435.0</v>
      </c>
      <c r="F2587" s="25">
        <v>0.23055555555555557</v>
      </c>
      <c r="G2587" s="25">
        <v>0.5270833333333333</v>
      </c>
      <c r="H2587" s="27">
        <f t="shared" si="2"/>
        <v>0.2965277778</v>
      </c>
      <c r="I2587" s="28">
        <v>2.0</v>
      </c>
      <c r="J2587" s="29" t="s">
        <v>1208</v>
      </c>
      <c r="K2587" s="30" t="s">
        <v>23</v>
      </c>
      <c r="L2587" s="31" t="str">
        <f>IFERROR(__xludf.DUMMYFUNCTION("IF(OR(E2587="""",K2587=""""),"""",IFERROR(IF(K2587="""","""",query('tbl user'!$A$2:$D10975,""SELECT A WHERE D = '""&amp;K2587&amp;""'"")),""USER TIDAK DIKETAHUI""))"),"#REF!")</f>
        <v>#REF!</v>
      </c>
    </row>
    <row r="2588">
      <c r="A2588" s="21">
        <f t="shared" si="1"/>
        <v>0</v>
      </c>
      <c r="B2588" s="32" t="s">
        <v>194</v>
      </c>
      <c r="C2588" s="23" t="s">
        <v>195</v>
      </c>
      <c r="D2588" s="23" t="s">
        <v>58</v>
      </c>
      <c r="E2588" s="37">
        <v>45435.0</v>
      </c>
      <c r="F2588" s="25">
        <v>0.22291666666666668</v>
      </c>
      <c r="G2588" s="25">
        <v>0.5472222222222223</v>
      </c>
      <c r="H2588" s="27">
        <f t="shared" si="2"/>
        <v>0.3243055556</v>
      </c>
      <c r="I2588" s="28">
        <v>2.0</v>
      </c>
      <c r="J2588" s="29" t="s">
        <v>1209</v>
      </c>
      <c r="K2588" s="30" t="s">
        <v>23</v>
      </c>
      <c r="L2588" s="31" t="str">
        <f>IFERROR(__xludf.DUMMYFUNCTION("IF(OR(E2588="""",K2588=""""),"""",IFERROR(IF(K2588="""","""",query('tbl user'!$A$2:$D10975,""SELECT A WHERE D = '""&amp;K2588&amp;""'"")),""USER TIDAK DIKETAHUI""))"),"#REF!")</f>
        <v>#REF!</v>
      </c>
    </row>
    <row r="2589">
      <c r="A2589" s="21">
        <f t="shared" si="1"/>
        <v>0</v>
      </c>
      <c r="B2589" s="32" t="s">
        <v>297</v>
      </c>
      <c r="C2589" s="23" t="s">
        <v>348</v>
      </c>
      <c r="D2589" s="23" t="s">
        <v>58</v>
      </c>
      <c r="E2589" s="37">
        <v>45435.0</v>
      </c>
      <c r="F2589" s="25">
        <v>0.2701388888888889</v>
      </c>
      <c r="G2589" s="25">
        <v>0.6020833333333333</v>
      </c>
      <c r="H2589" s="27">
        <f t="shared" si="2"/>
        <v>0.3319444444</v>
      </c>
      <c r="I2589" s="28">
        <v>2.0</v>
      </c>
      <c r="J2589" s="29" t="s">
        <v>1210</v>
      </c>
      <c r="K2589" s="30" t="s">
        <v>23</v>
      </c>
      <c r="L2589" s="31" t="str">
        <f>IFERROR(__xludf.DUMMYFUNCTION("IF(OR(E2589="""",K2589=""""),"""",IFERROR(IF(K2589="""","""",query('tbl user'!$A$2:$D10975,""SELECT A WHERE D = '""&amp;K2589&amp;""'"")),""USER TIDAK DIKETAHUI""))"),"#REF!")</f>
        <v>#REF!</v>
      </c>
    </row>
    <row r="2590">
      <c r="A2590" s="21">
        <f t="shared" si="1"/>
        <v>0</v>
      </c>
      <c r="B2590" s="32" t="s">
        <v>205</v>
      </c>
      <c r="C2590" s="23" t="s">
        <v>206</v>
      </c>
      <c r="D2590" s="23" t="s">
        <v>58</v>
      </c>
      <c r="E2590" s="37">
        <v>45435.0</v>
      </c>
      <c r="F2590" s="25">
        <v>0.25833333333333336</v>
      </c>
      <c r="G2590" s="25">
        <v>0.6354166666666666</v>
      </c>
      <c r="H2590" s="27">
        <f t="shared" si="2"/>
        <v>0.3770833333</v>
      </c>
      <c r="I2590" s="28">
        <v>2.0</v>
      </c>
      <c r="J2590" s="29" t="s">
        <v>1211</v>
      </c>
      <c r="K2590" s="30" t="s">
        <v>23</v>
      </c>
      <c r="L2590" s="31" t="str">
        <f>IFERROR(__xludf.DUMMYFUNCTION("IF(OR(E2590="""",K2590=""""),"""",IFERROR(IF(K2590="""","""",query('tbl user'!$A$2:$D10975,""SELECT A WHERE D = '""&amp;K2590&amp;""'"")),""USER TIDAK DIKETAHUI""))"),"#REF!")</f>
        <v>#REF!</v>
      </c>
    </row>
    <row r="2591">
      <c r="A2591" s="21">
        <f t="shared" si="1"/>
        <v>0</v>
      </c>
      <c r="B2591" s="32" t="s">
        <v>214</v>
      </c>
      <c r="C2591" s="23" t="s">
        <v>170</v>
      </c>
      <c r="D2591" s="23" t="s">
        <v>58</v>
      </c>
      <c r="E2591" s="37">
        <v>45435.0</v>
      </c>
      <c r="F2591" s="25">
        <v>0.29305555555555557</v>
      </c>
      <c r="G2591" s="25">
        <v>0.6979166666666666</v>
      </c>
      <c r="H2591" s="27">
        <f t="shared" si="2"/>
        <v>0.4048611111</v>
      </c>
      <c r="I2591" s="28">
        <v>3.0</v>
      </c>
      <c r="J2591" s="29" t="s">
        <v>1212</v>
      </c>
      <c r="K2591" s="30" t="s">
        <v>23</v>
      </c>
      <c r="L2591" s="31" t="str">
        <f>IFERROR(__xludf.DUMMYFUNCTION("IF(OR(E2591="""",K2591=""""),"""",IFERROR(IF(K2591="""","""",query('tbl user'!$A$2:$D10975,""SELECT A WHERE D = '""&amp;K2591&amp;""'"")),""USER TIDAK DIKETAHUI""))"),"#REF!")</f>
        <v>#REF!</v>
      </c>
    </row>
    <row r="2592">
      <c r="A2592" s="21">
        <f t="shared" si="1"/>
        <v>0</v>
      </c>
      <c r="B2592" s="32" t="s">
        <v>92</v>
      </c>
      <c r="C2592" s="23" t="s">
        <v>93</v>
      </c>
      <c r="D2592" s="23" t="s">
        <v>58</v>
      </c>
      <c r="E2592" s="37">
        <v>45435.0</v>
      </c>
      <c r="F2592" s="25">
        <v>0.2652777777777778</v>
      </c>
      <c r="G2592" s="25">
        <v>0.6777777777777778</v>
      </c>
      <c r="H2592" s="27">
        <f t="shared" si="2"/>
        <v>0.4125</v>
      </c>
      <c r="I2592" s="28">
        <v>3.0</v>
      </c>
      <c r="J2592" s="29" t="s">
        <v>1213</v>
      </c>
      <c r="K2592" s="30" t="s">
        <v>23</v>
      </c>
      <c r="L2592" s="31" t="str">
        <f>IFERROR(__xludf.DUMMYFUNCTION("IF(OR(E2592="""",K2592=""""),"""",IFERROR(IF(K2592="""","""",query('tbl user'!$A$2:$D10975,""SELECT A WHERE D = '""&amp;K2592&amp;""'"")),""USER TIDAK DIKETAHUI""))"),"#REF!")</f>
        <v>#REF!</v>
      </c>
    </row>
    <row r="2593">
      <c r="A2593" s="21">
        <f t="shared" si="1"/>
        <v>0</v>
      </c>
      <c r="B2593" s="32" t="s">
        <v>178</v>
      </c>
      <c r="C2593" s="23" t="s">
        <v>82</v>
      </c>
      <c r="D2593" s="23" t="s">
        <v>58</v>
      </c>
      <c r="E2593" s="37">
        <v>45435.0</v>
      </c>
      <c r="F2593" s="25">
        <v>0.29444444444444445</v>
      </c>
      <c r="G2593" s="25">
        <v>0.70625</v>
      </c>
      <c r="H2593" s="27">
        <f t="shared" si="2"/>
        <v>0.4118055556</v>
      </c>
      <c r="I2593" s="28">
        <v>3.0</v>
      </c>
      <c r="J2593" s="29" t="s">
        <v>1214</v>
      </c>
      <c r="K2593" s="30" t="s">
        <v>23</v>
      </c>
      <c r="L2593" s="31" t="str">
        <f>IFERROR(__xludf.DUMMYFUNCTION("IF(OR(E2593="""",K2593=""""),"""",IFERROR(IF(K2593="""","""",query('tbl user'!$A$2:$D10975,""SELECT A WHERE D = '""&amp;K2593&amp;""'"")),""USER TIDAK DIKETAHUI""))"),"#REF!")</f>
        <v>#REF!</v>
      </c>
    </row>
    <row r="2594">
      <c r="A2594" s="21">
        <f t="shared" si="1"/>
        <v>0</v>
      </c>
      <c r="B2594" s="32" t="s">
        <v>184</v>
      </c>
      <c r="C2594" s="23" t="s">
        <v>185</v>
      </c>
      <c r="D2594" s="23" t="s">
        <v>58</v>
      </c>
      <c r="E2594" s="37">
        <v>45435.0</v>
      </c>
      <c r="F2594" s="25">
        <v>0.2881944444444444</v>
      </c>
      <c r="G2594" s="25">
        <v>0.675</v>
      </c>
      <c r="H2594" s="27">
        <f t="shared" si="2"/>
        <v>0.3868055556</v>
      </c>
      <c r="I2594" s="28">
        <v>3.0</v>
      </c>
      <c r="J2594" s="29" t="s">
        <v>1213</v>
      </c>
      <c r="K2594" s="30" t="s">
        <v>23</v>
      </c>
      <c r="L2594" s="31" t="str">
        <f>IFERROR(__xludf.DUMMYFUNCTION("IF(OR(E2594="""",K2594=""""),"""",IFERROR(IF(K2594="""","""",query('tbl user'!$A$2:$D10975,""SELECT A WHERE D = '""&amp;K2594&amp;""'"")),""USER TIDAK DIKETAHUI""))"),"#REF!")</f>
        <v>#REF!</v>
      </c>
    </row>
    <row r="2595">
      <c r="A2595" s="21">
        <f t="shared" si="1"/>
        <v>0</v>
      </c>
      <c r="B2595" s="32" t="s">
        <v>95</v>
      </c>
      <c r="C2595" s="23" t="s">
        <v>190</v>
      </c>
      <c r="D2595" s="23" t="s">
        <v>58</v>
      </c>
      <c r="E2595" s="37">
        <v>45435.0</v>
      </c>
      <c r="F2595" s="25">
        <v>0.2861111111111111</v>
      </c>
      <c r="G2595" s="25">
        <v>0.68125</v>
      </c>
      <c r="H2595" s="27">
        <f t="shared" si="2"/>
        <v>0.3951388889</v>
      </c>
      <c r="I2595" s="28">
        <v>3.0</v>
      </c>
      <c r="J2595" s="29" t="s">
        <v>1213</v>
      </c>
      <c r="K2595" s="30" t="s">
        <v>23</v>
      </c>
      <c r="L2595" s="31" t="str">
        <f>IFERROR(__xludf.DUMMYFUNCTION("IF(OR(E2595="""",K2595=""""),"""",IFERROR(IF(K2595="""","""",query('tbl user'!$A$2:$D10975,""SELECT A WHERE D = '""&amp;K2595&amp;""'"")),""USER TIDAK DIKETAHUI""))"),"#REF!")</f>
        <v>#REF!</v>
      </c>
    </row>
    <row r="2596">
      <c r="A2596" s="21">
        <f t="shared" si="1"/>
        <v>0</v>
      </c>
      <c r="B2596" s="32" t="s">
        <v>191</v>
      </c>
      <c r="C2596" s="23" t="s">
        <v>192</v>
      </c>
      <c r="D2596" s="23" t="s">
        <v>58</v>
      </c>
      <c r="E2596" s="37">
        <v>45435.0</v>
      </c>
      <c r="F2596" s="25">
        <v>0.2513888888888889</v>
      </c>
      <c r="G2596" s="25">
        <v>0.6416666666666667</v>
      </c>
      <c r="H2596" s="27">
        <f t="shared" si="2"/>
        <v>0.3902777778</v>
      </c>
      <c r="I2596" s="28">
        <v>3.0</v>
      </c>
      <c r="J2596" s="29" t="s">
        <v>1213</v>
      </c>
      <c r="K2596" s="30" t="s">
        <v>23</v>
      </c>
      <c r="L2596" s="31" t="str">
        <f>IFERROR(__xludf.DUMMYFUNCTION("IF(OR(E2596="""",K2596=""""),"""",IFERROR(IF(K2596="""","""",query('tbl user'!$A$2:$D10975,""SELECT A WHERE D = '""&amp;K2596&amp;""'"")),""USER TIDAK DIKETAHUI""))"),"#REF!")</f>
        <v>#REF!</v>
      </c>
    </row>
    <row r="2597">
      <c r="A2597" s="21">
        <f t="shared" si="1"/>
        <v>0</v>
      </c>
      <c r="B2597" s="32" t="s">
        <v>197</v>
      </c>
      <c r="C2597" s="23" t="s">
        <v>198</v>
      </c>
      <c r="D2597" s="23" t="s">
        <v>58</v>
      </c>
      <c r="E2597" s="37">
        <v>45435.0</v>
      </c>
      <c r="F2597" s="25">
        <v>0.2048611111111111</v>
      </c>
      <c r="G2597" s="25">
        <v>0.6673611111111111</v>
      </c>
      <c r="H2597" s="27">
        <f t="shared" si="2"/>
        <v>0.4625</v>
      </c>
      <c r="I2597" s="28">
        <v>3.0</v>
      </c>
      <c r="J2597" s="29" t="s">
        <v>1215</v>
      </c>
      <c r="K2597" s="30" t="s">
        <v>23</v>
      </c>
      <c r="L2597" s="31" t="str">
        <f>IFERROR(__xludf.DUMMYFUNCTION("IF(OR(E2597="""",K2597=""""),"""",IFERROR(IF(K2597="""","""",query('tbl user'!$A$2:$D10975,""SELECT A WHERE D = '""&amp;K2597&amp;""'"")),""USER TIDAK DIKETAHUI""))"),"#REF!")</f>
        <v>#REF!</v>
      </c>
    </row>
    <row r="2598">
      <c r="A2598" s="21">
        <f t="shared" si="1"/>
        <v>0</v>
      </c>
      <c r="B2598" s="32" t="s">
        <v>200</v>
      </c>
      <c r="C2598" s="23" t="s">
        <v>201</v>
      </c>
      <c r="D2598" s="23" t="s">
        <v>58</v>
      </c>
      <c r="E2598" s="37">
        <v>45435.0</v>
      </c>
      <c r="F2598" s="25">
        <v>0.20555555555555555</v>
      </c>
      <c r="G2598" s="25">
        <v>0.6645833333333333</v>
      </c>
      <c r="H2598" s="27">
        <f t="shared" si="2"/>
        <v>0.4590277778</v>
      </c>
      <c r="I2598" s="28">
        <v>3.0</v>
      </c>
      <c r="J2598" s="29" t="s">
        <v>1216</v>
      </c>
      <c r="K2598" s="30" t="s">
        <v>23</v>
      </c>
      <c r="L2598" s="31" t="str">
        <f>IFERROR(__xludf.DUMMYFUNCTION("IF(OR(E2598="""",K2598=""""),"""",IFERROR(IF(K2598="""","""",query('tbl user'!$A$2:$D10975,""SELECT A WHERE D = '""&amp;K2598&amp;""'"")),""USER TIDAK DIKETAHUI""))"),"#REF!")</f>
        <v>#REF!</v>
      </c>
    </row>
    <row r="2599">
      <c r="A2599" s="21">
        <f t="shared" si="1"/>
        <v>0</v>
      </c>
      <c r="B2599" s="32" t="s">
        <v>104</v>
      </c>
      <c r="C2599" s="23" t="s">
        <v>105</v>
      </c>
      <c r="D2599" s="23" t="s">
        <v>58</v>
      </c>
      <c r="E2599" s="37">
        <v>45435.0</v>
      </c>
      <c r="F2599" s="25">
        <v>0.24444444444444444</v>
      </c>
      <c r="G2599" s="25">
        <v>0.6909722222222222</v>
      </c>
      <c r="H2599" s="27">
        <f t="shared" si="2"/>
        <v>0.4465277778</v>
      </c>
      <c r="I2599" s="28">
        <v>3.0</v>
      </c>
      <c r="J2599" s="29" t="s">
        <v>1213</v>
      </c>
      <c r="K2599" s="30" t="s">
        <v>23</v>
      </c>
      <c r="L2599" s="31" t="str">
        <f>IFERROR(__xludf.DUMMYFUNCTION("IF(OR(E2599="""",K2599=""""),"""",IFERROR(IF(K2599="""","""",query('tbl user'!$A$2:$D10975,""SELECT A WHERE D = '""&amp;K2599&amp;""'"")),""USER TIDAK DIKETAHUI""))"),"#REF!")</f>
        <v>#REF!</v>
      </c>
    </row>
    <row r="2600">
      <c r="A2600" s="21">
        <f t="shared" si="1"/>
        <v>0</v>
      </c>
      <c r="B2600" s="32" t="s">
        <v>202</v>
      </c>
      <c r="C2600" s="23" t="s">
        <v>203</v>
      </c>
      <c r="D2600" s="23" t="s">
        <v>58</v>
      </c>
      <c r="E2600" s="37">
        <v>45435.0</v>
      </c>
      <c r="F2600" s="25">
        <v>0.24583333333333332</v>
      </c>
      <c r="G2600" s="25">
        <v>0.675</v>
      </c>
      <c r="H2600" s="27">
        <f t="shared" si="2"/>
        <v>0.4291666667</v>
      </c>
      <c r="I2600" s="28">
        <v>3.0</v>
      </c>
      <c r="J2600" s="29" t="s">
        <v>1213</v>
      </c>
      <c r="K2600" s="30" t="s">
        <v>23</v>
      </c>
      <c r="L2600" s="31" t="str">
        <f>IFERROR(__xludf.DUMMYFUNCTION("IF(OR(E2600="""",K2600=""""),"""",IFERROR(IF(K2600="""","""",query('tbl user'!$A$2:$D10975,""SELECT A WHERE D = '""&amp;K2600&amp;""'"")),""USER TIDAK DIKETAHUI""))"),"#REF!")</f>
        <v>#REF!</v>
      </c>
    </row>
    <row r="2601">
      <c r="A2601" s="21">
        <f t="shared" si="1"/>
        <v>0</v>
      </c>
      <c r="B2601" s="32" t="s">
        <v>224</v>
      </c>
      <c r="C2601" s="23" t="s">
        <v>208</v>
      </c>
      <c r="D2601" s="23" t="s">
        <v>58</v>
      </c>
      <c r="E2601" s="37">
        <v>45435.0</v>
      </c>
      <c r="F2601" s="25">
        <v>0.24097222222222223</v>
      </c>
      <c r="G2601" s="25">
        <v>0.6770833333333334</v>
      </c>
      <c r="H2601" s="27">
        <f t="shared" si="2"/>
        <v>0.4361111111</v>
      </c>
      <c r="I2601" s="28">
        <v>3.0</v>
      </c>
      <c r="J2601" s="29" t="s">
        <v>1213</v>
      </c>
      <c r="K2601" s="30" t="s">
        <v>23</v>
      </c>
      <c r="L2601" s="31" t="str">
        <f>IFERROR(__xludf.DUMMYFUNCTION("IF(OR(E2601="""",K2601=""""),"""",IFERROR(IF(K2601="""","""",query('tbl user'!$A$2:$D10975,""SELECT A WHERE D = '""&amp;K2601&amp;""'"")),""USER TIDAK DIKETAHUI""))"),"#REF!")</f>
        <v>#REF!</v>
      </c>
    </row>
    <row r="2602">
      <c r="A2602" s="21">
        <f t="shared" si="1"/>
        <v>0</v>
      </c>
      <c r="B2602" s="32" t="s">
        <v>84</v>
      </c>
      <c r="C2602" s="23" t="s">
        <v>85</v>
      </c>
      <c r="D2602" s="23" t="s">
        <v>58</v>
      </c>
      <c r="E2602" s="37">
        <v>45435.0</v>
      </c>
      <c r="F2602" s="25">
        <v>0.27152777777777776</v>
      </c>
      <c r="G2602" s="25">
        <v>0.7194444444444444</v>
      </c>
      <c r="H2602" s="27">
        <f t="shared" si="2"/>
        <v>0.4479166667</v>
      </c>
      <c r="I2602" s="28">
        <v>3.0</v>
      </c>
      <c r="J2602" s="29" t="s">
        <v>1213</v>
      </c>
      <c r="K2602" s="30" t="s">
        <v>23</v>
      </c>
      <c r="L2602" s="31" t="str">
        <f>IFERROR(__xludf.DUMMYFUNCTION("IF(OR(E2602="""",K2602=""""),"""",IFERROR(IF(K2602="""","""",query('tbl user'!$A$2:$D10975,""SELECT A WHERE D = '""&amp;K2602&amp;""'"")),""USER TIDAK DIKETAHUI""))"),"#REF!")</f>
        <v>#REF!</v>
      </c>
    </row>
    <row r="2603">
      <c r="A2603" s="21">
        <f t="shared" si="1"/>
        <v>0</v>
      </c>
      <c r="B2603" s="32" t="s">
        <v>175</v>
      </c>
      <c r="C2603" s="23" t="s">
        <v>176</v>
      </c>
      <c r="D2603" s="23" t="s">
        <v>58</v>
      </c>
      <c r="E2603" s="37">
        <v>45435.0</v>
      </c>
      <c r="F2603" s="25">
        <v>0.23680555555555555</v>
      </c>
      <c r="G2603" s="25">
        <v>0.7125</v>
      </c>
      <c r="H2603" s="27">
        <f t="shared" si="2"/>
        <v>0.4756944444</v>
      </c>
      <c r="I2603" s="28">
        <v>4.0</v>
      </c>
      <c r="J2603" s="29" t="s">
        <v>55</v>
      </c>
      <c r="K2603" s="30" t="s">
        <v>23</v>
      </c>
      <c r="L2603" s="31" t="str">
        <f>IFERROR(__xludf.DUMMYFUNCTION("IF(OR(E2603="""",K2603=""""),"""",IFERROR(IF(K2603="""","""",query('tbl user'!$A$2:$D10975,""SELECT A WHERE D = '""&amp;K2603&amp;""'"")),""USER TIDAK DIKETAHUI""))"),"#REF!")</f>
        <v>#REF!</v>
      </c>
    </row>
    <row r="2604">
      <c r="A2604" s="21">
        <f t="shared" si="1"/>
        <v>0</v>
      </c>
      <c r="B2604" s="32" t="s">
        <v>182</v>
      </c>
      <c r="C2604" s="23" t="s">
        <v>183</v>
      </c>
      <c r="D2604" s="23" t="s">
        <v>58</v>
      </c>
      <c r="E2604" s="37">
        <v>45435.0</v>
      </c>
      <c r="F2604" s="25">
        <v>0.22430555555555556</v>
      </c>
      <c r="G2604" s="25">
        <v>0.7118055555555556</v>
      </c>
      <c r="H2604" s="27">
        <f t="shared" si="2"/>
        <v>0.4875</v>
      </c>
      <c r="I2604" s="28">
        <v>4.0</v>
      </c>
      <c r="J2604" s="29" t="s">
        <v>55</v>
      </c>
      <c r="K2604" s="30" t="s">
        <v>23</v>
      </c>
      <c r="L2604" s="31" t="str">
        <f>IFERROR(__xludf.DUMMYFUNCTION("IF(OR(E2604="""",K2604=""""),"""",IFERROR(IF(K2604="""","""",query('tbl user'!$A$2:$D10975,""SELECT A WHERE D = '""&amp;K2604&amp;""'"")),""USER TIDAK DIKETAHUI""))"),"#REF!")</f>
        <v>#REF!</v>
      </c>
    </row>
    <row r="2605">
      <c r="A2605" s="21">
        <f t="shared" si="1"/>
        <v>0</v>
      </c>
      <c r="B2605" s="32" t="s">
        <v>187</v>
      </c>
      <c r="C2605" s="23" t="s">
        <v>188</v>
      </c>
      <c r="D2605" s="23" t="s">
        <v>58</v>
      </c>
      <c r="E2605" s="37">
        <v>45435.0</v>
      </c>
      <c r="F2605" s="25">
        <v>0.21388888888888888</v>
      </c>
      <c r="G2605" s="25">
        <v>0.7013888888888888</v>
      </c>
      <c r="H2605" s="27">
        <f t="shared" si="2"/>
        <v>0.4875</v>
      </c>
      <c r="I2605" s="28">
        <v>4.0</v>
      </c>
      <c r="J2605" s="29" t="s">
        <v>55</v>
      </c>
      <c r="K2605" s="30" t="s">
        <v>23</v>
      </c>
      <c r="L2605" s="31" t="str">
        <f>IFERROR(__xludf.DUMMYFUNCTION("IF(OR(E2605="""",K2605=""""),"""",IFERROR(IF(K2605="""","""",query('tbl user'!$A$2:$D10975,""SELECT A WHERE D = '""&amp;K2605&amp;""'"")),""USER TIDAK DIKETAHUI""))"),"#REF!")</f>
        <v>#REF!</v>
      </c>
    </row>
    <row r="2606">
      <c r="A2606" s="21">
        <f t="shared" si="1"/>
        <v>0</v>
      </c>
      <c r="B2606" s="32" t="s">
        <v>43</v>
      </c>
      <c r="C2606" s="23" t="s">
        <v>282</v>
      </c>
      <c r="D2606" s="23" t="s">
        <v>21</v>
      </c>
      <c r="E2606" s="37">
        <v>45435.0</v>
      </c>
      <c r="F2606" s="25">
        <v>0.2965277777777778</v>
      </c>
      <c r="G2606" s="25">
        <v>0.5881944444444445</v>
      </c>
      <c r="H2606" s="27">
        <f t="shared" si="2"/>
        <v>0.2916666667</v>
      </c>
      <c r="I2606" s="28">
        <v>2.0</v>
      </c>
      <c r="J2606" s="29" t="s">
        <v>709</v>
      </c>
      <c r="K2606" s="30" t="s">
        <v>23</v>
      </c>
      <c r="L2606" s="31" t="str">
        <f>IFERROR(__xludf.DUMMYFUNCTION("IF(OR(E2606="""",K2606=""""),"""",IFERROR(IF(K2606="""","""",query('tbl user'!$A$2:$D10975,""SELECT A WHERE D = '""&amp;K2606&amp;""'"")),""USER TIDAK DIKETAHUI""))"),"#REF!")</f>
        <v>#REF!</v>
      </c>
    </row>
    <row r="2607">
      <c r="A2607" s="21">
        <f t="shared" si="1"/>
        <v>0</v>
      </c>
      <c r="B2607" s="32" t="s">
        <v>64</v>
      </c>
      <c r="C2607" s="23" t="s">
        <v>65</v>
      </c>
      <c r="D2607" s="23" t="s">
        <v>21</v>
      </c>
      <c r="E2607" s="37">
        <v>45435.0</v>
      </c>
      <c r="F2607" s="25">
        <v>0.32430555555555557</v>
      </c>
      <c r="G2607" s="25">
        <v>0.7333333333333333</v>
      </c>
      <c r="H2607" s="27">
        <f t="shared" si="2"/>
        <v>0.4090277778</v>
      </c>
      <c r="I2607" s="28">
        <v>3.0</v>
      </c>
      <c r="J2607" s="29" t="s">
        <v>709</v>
      </c>
      <c r="K2607" s="30" t="s">
        <v>23</v>
      </c>
      <c r="L2607" s="31" t="str">
        <f>IFERROR(__xludf.DUMMYFUNCTION("IF(OR(E2607="""",K2607=""""),"""",IFERROR(IF(K2607="""","""",query('tbl user'!$A$2:$D10975,""SELECT A WHERE D = '""&amp;K2607&amp;""'"")),""USER TIDAK DIKETAHUI""))"),"#REF!")</f>
        <v>#REF!</v>
      </c>
    </row>
    <row r="2608">
      <c r="A2608" s="21">
        <f t="shared" si="1"/>
        <v>0</v>
      </c>
      <c r="B2608" s="32" t="s">
        <v>284</v>
      </c>
      <c r="C2608" s="23" t="s">
        <v>285</v>
      </c>
      <c r="D2608" s="23" t="s">
        <v>21</v>
      </c>
      <c r="E2608" s="37">
        <v>45435.0</v>
      </c>
      <c r="F2608" s="25">
        <v>0.3034722222222222</v>
      </c>
      <c r="G2608" s="25">
        <v>0.6430555555555556</v>
      </c>
      <c r="H2608" s="27">
        <f t="shared" si="2"/>
        <v>0.3395833333</v>
      </c>
      <c r="I2608" s="28">
        <v>3.0</v>
      </c>
      <c r="J2608" s="29" t="s">
        <v>709</v>
      </c>
      <c r="K2608" s="30" t="s">
        <v>23</v>
      </c>
      <c r="L2608" s="31" t="str">
        <f>IFERROR(__xludf.DUMMYFUNCTION("IF(OR(E2608="""",K2608=""""),"""",IFERROR(IF(K2608="""","""",query('tbl user'!$A$2:$D10975,""SELECT A WHERE D = '""&amp;K2608&amp;""'"")),""USER TIDAK DIKETAHUI""))"),"#REF!")</f>
        <v>#REF!</v>
      </c>
    </row>
    <row r="2609">
      <c r="A2609" s="21">
        <f t="shared" si="1"/>
        <v>0</v>
      </c>
      <c r="B2609" s="32" t="s">
        <v>286</v>
      </c>
      <c r="C2609" s="23" t="s">
        <v>287</v>
      </c>
      <c r="D2609" s="23" t="s">
        <v>21</v>
      </c>
      <c r="E2609" s="37">
        <v>45435.0</v>
      </c>
      <c r="F2609" s="25">
        <v>0.2847222222222222</v>
      </c>
      <c r="G2609" s="25">
        <v>0.5951388888888889</v>
      </c>
      <c r="H2609" s="27">
        <f t="shared" si="2"/>
        <v>0.3104166667</v>
      </c>
      <c r="I2609" s="28">
        <v>3.0</v>
      </c>
      <c r="J2609" s="29" t="s">
        <v>1217</v>
      </c>
      <c r="K2609" s="30" t="s">
        <v>23</v>
      </c>
      <c r="L2609" s="31" t="str">
        <f>IFERROR(__xludf.DUMMYFUNCTION("IF(OR(E2609="""",K2609=""""),"""",IFERROR(IF(K2609="""","""",query('tbl user'!$A$2:$D10975,""SELECT A WHERE D = '""&amp;K2609&amp;""'"")),""USER TIDAK DIKETAHUI""))"),"#REF!")</f>
        <v>#REF!</v>
      </c>
    </row>
    <row r="2610">
      <c r="A2610" s="21">
        <f t="shared" si="1"/>
        <v>0</v>
      </c>
      <c r="B2610" s="32" t="s">
        <v>243</v>
      </c>
      <c r="C2610" s="23" t="s">
        <v>244</v>
      </c>
      <c r="D2610" s="23" t="s">
        <v>21</v>
      </c>
      <c r="E2610" s="37">
        <v>45435.0</v>
      </c>
      <c r="F2610" s="25">
        <v>0.30625</v>
      </c>
      <c r="G2610" s="25">
        <v>0.6145833333333334</v>
      </c>
      <c r="H2610" s="27">
        <f t="shared" si="2"/>
        <v>0.3083333333</v>
      </c>
      <c r="I2610" s="28">
        <v>2.0</v>
      </c>
      <c r="J2610" s="29" t="s">
        <v>1218</v>
      </c>
      <c r="K2610" s="30" t="s">
        <v>23</v>
      </c>
      <c r="L2610" s="31" t="str">
        <f>IFERROR(__xludf.DUMMYFUNCTION("IF(OR(E2610="""",K2610=""""),"""",IFERROR(IF(K2610="""","""",query('tbl user'!$A$2:$D10975,""SELECT A WHERE D = '""&amp;K2610&amp;""'"")),""USER TIDAK DIKETAHUI""))"),"#REF!")</f>
        <v>#REF!</v>
      </c>
    </row>
    <row r="2611">
      <c r="A2611" s="21">
        <f t="shared" si="1"/>
        <v>0</v>
      </c>
      <c r="B2611" s="32" t="s">
        <v>81</v>
      </c>
      <c r="C2611" s="23" t="s">
        <v>234</v>
      </c>
      <c r="D2611" s="23" t="s">
        <v>21</v>
      </c>
      <c r="E2611" s="37">
        <v>45435.0</v>
      </c>
      <c r="F2611" s="25">
        <v>0.27847222222222223</v>
      </c>
      <c r="G2611" s="25">
        <v>0.725</v>
      </c>
      <c r="H2611" s="27">
        <f t="shared" si="2"/>
        <v>0.4465277778</v>
      </c>
      <c r="I2611" s="28">
        <v>2.0</v>
      </c>
      <c r="J2611" s="29" t="s">
        <v>1219</v>
      </c>
      <c r="K2611" s="30" t="s">
        <v>23</v>
      </c>
      <c r="L2611" s="31" t="str">
        <f>IFERROR(__xludf.DUMMYFUNCTION("IF(OR(E2611="""",K2611=""""),"""",IFERROR(IF(K2611="""","""",query('tbl user'!$A$2:$D10975,""SELECT A WHERE D = '""&amp;K2611&amp;""'"")),""USER TIDAK DIKETAHUI""))"),"#REF!")</f>
        <v>#REF!</v>
      </c>
    </row>
    <row r="2612">
      <c r="A2612" s="21">
        <f t="shared" si="1"/>
        <v>0</v>
      </c>
      <c r="B2612" s="32" t="s">
        <v>258</v>
      </c>
      <c r="C2612" s="23" t="s">
        <v>259</v>
      </c>
      <c r="D2612" s="23" t="s">
        <v>21</v>
      </c>
      <c r="E2612" s="37">
        <v>45435.0</v>
      </c>
      <c r="F2612" s="25">
        <v>0.2604166666666667</v>
      </c>
      <c r="G2612" s="25">
        <v>0.4701388888888889</v>
      </c>
      <c r="H2612" s="27">
        <f t="shared" si="2"/>
        <v>0.2097222222</v>
      </c>
      <c r="I2612" s="28">
        <v>2.0</v>
      </c>
      <c r="J2612" s="29" t="s">
        <v>1220</v>
      </c>
      <c r="K2612" s="30" t="s">
        <v>23</v>
      </c>
      <c r="L2612" s="31" t="str">
        <f>IFERROR(__xludf.DUMMYFUNCTION("IF(OR(E2612="""",K2612=""""),"""",IFERROR(IF(K2612="""","""",query('tbl user'!$A$2:$D10975,""SELECT A WHERE D = '""&amp;K2612&amp;""'"")),""USER TIDAK DIKETAHUI""))"),"#REF!")</f>
        <v>#REF!</v>
      </c>
    </row>
    <row r="2613">
      <c r="A2613" s="21">
        <f t="shared" si="1"/>
        <v>0</v>
      </c>
      <c r="B2613" s="32" t="s">
        <v>24</v>
      </c>
      <c r="C2613" s="23" t="s">
        <v>25</v>
      </c>
      <c r="D2613" s="23" t="s">
        <v>21</v>
      </c>
      <c r="E2613" s="37">
        <v>45435.0</v>
      </c>
      <c r="F2613" s="25">
        <v>0.39652777777777776</v>
      </c>
      <c r="G2613" s="25">
        <v>0.6701388888888888</v>
      </c>
      <c r="H2613" s="27">
        <f t="shared" si="2"/>
        <v>0.2736111111</v>
      </c>
      <c r="I2613" s="28">
        <v>3.0</v>
      </c>
      <c r="J2613" s="29" t="s">
        <v>213</v>
      </c>
      <c r="K2613" s="30" t="s">
        <v>23</v>
      </c>
      <c r="L2613" s="31" t="str">
        <f>IFERROR(__xludf.DUMMYFUNCTION("IF(OR(E2613="""",K2613=""""),"""",IFERROR(IF(K2613="""","""",query('tbl user'!$A$2:$D10975,""SELECT A WHERE D = '""&amp;K2613&amp;""'"")),""USER TIDAK DIKETAHUI""))"),"#REF!")</f>
        <v>#REF!</v>
      </c>
    </row>
    <row r="2614">
      <c r="A2614" s="21">
        <f t="shared" si="1"/>
        <v>0</v>
      </c>
      <c r="B2614" s="32" t="s">
        <v>333</v>
      </c>
      <c r="C2614" s="23" t="s">
        <v>334</v>
      </c>
      <c r="D2614" s="23" t="s">
        <v>21</v>
      </c>
      <c r="E2614" s="37">
        <v>45435.0</v>
      </c>
      <c r="F2614" s="25">
        <v>0.2965277777777778</v>
      </c>
      <c r="G2614" s="25">
        <v>0.6145833333333334</v>
      </c>
      <c r="H2614" s="27">
        <f t="shared" si="2"/>
        <v>0.3180555556</v>
      </c>
      <c r="I2614" s="28">
        <v>3.0</v>
      </c>
      <c r="J2614" s="29" t="s">
        <v>1221</v>
      </c>
      <c r="K2614" s="30" t="s">
        <v>23</v>
      </c>
      <c r="L2614" s="31" t="str">
        <f>IFERROR(__xludf.DUMMYFUNCTION("IF(OR(E2614="""",K2614=""""),"""",IFERROR(IF(K2614="""","""",query('tbl user'!$A$2:$D10975,""SELECT A WHERE D = '""&amp;K2614&amp;""'"")),""USER TIDAK DIKETAHUI""))"),"#REF!")</f>
        <v>#REF!</v>
      </c>
    </row>
    <row r="2615">
      <c r="A2615" s="21">
        <f t="shared" si="1"/>
        <v>0</v>
      </c>
      <c r="B2615" s="32" t="s">
        <v>716</v>
      </c>
      <c r="C2615" s="23" t="s">
        <v>316</v>
      </c>
      <c r="D2615" s="23" t="s">
        <v>21</v>
      </c>
      <c r="E2615" s="37">
        <v>45435.0</v>
      </c>
      <c r="F2615" s="25">
        <v>0.27569444444444446</v>
      </c>
      <c r="G2615" s="25">
        <v>0.5965277777777778</v>
      </c>
      <c r="H2615" s="27">
        <f t="shared" si="2"/>
        <v>0.3208333333</v>
      </c>
      <c r="I2615" s="28">
        <v>3.0</v>
      </c>
      <c r="J2615" s="29" t="s">
        <v>1222</v>
      </c>
      <c r="K2615" s="30" t="s">
        <v>23</v>
      </c>
      <c r="L2615" s="31" t="str">
        <f>IFERROR(__xludf.DUMMYFUNCTION("IF(OR(E2615="""",K2615=""""),"""",IFERROR(IF(K2615="""","""",query('tbl user'!$A$2:$D10975,""SELECT A WHERE D = '""&amp;K2615&amp;""'"")),""USER TIDAK DIKETAHUI""))"),"#REF!")</f>
        <v>#REF!</v>
      </c>
    </row>
    <row r="2616">
      <c r="A2616" s="21">
        <f t="shared" si="1"/>
        <v>0</v>
      </c>
      <c r="B2616" s="32" t="s">
        <v>325</v>
      </c>
      <c r="C2616" s="23" t="s">
        <v>326</v>
      </c>
      <c r="D2616" s="23" t="s">
        <v>21</v>
      </c>
      <c r="E2616" s="37">
        <v>45435.0</v>
      </c>
      <c r="F2616" s="25">
        <v>0.26875</v>
      </c>
      <c r="G2616" s="25">
        <v>0.5583333333333333</v>
      </c>
      <c r="H2616" s="27">
        <f t="shared" si="2"/>
        <v>0.2895833333</v>
      </c>
      <c r="I2616" s="28">
        <v>3.0</v>
      </c>
      <c r="J2616" s="29" t="s">
        <v>1223</v>
      </c>
      <c r="K2616" s="30" t="s">
        <v>23</v>
      </c>
      <c r="L2616" s="31" t="str">
        <f>IFERROR(__xludf.DUMMYFUNCTION("IF(OR(E2616="""",K2616=""""),"""",IFERROR(IF(K2616="""","""",query('tbl user'!$A$2:$D10975,""SELECT A WHERE D = '""&amp;K2616&amp;""'"")),""USER TIDAK DIKETAHUI""))"),"#REF!")</f>
        <v>#REF!</v>
      </c>
    </row>
    <row r="2617">
      <c r="A2617" s="21">
        <f t="shared" si="1"/>
        <v>0</v>
      </c>
      <c r="B2617" s="32" t="s">
        <v>238</v>
      </c>
      <c r="C2617" s="23" t="s">
        <v>239</v>
      </c>
      <c r="D2617" s="23" t="s">
        <v>21</v>
      </c>
      <c r="E2617" s="37">
        <v>45435.0</v>
      </c>
      <c r="F2617" s="25">
        <v>0.2986111111111111</v>
      </c>
      <c r="G2617" s="25">
        <v>0.6770833333333334</v>
      </c>
      <c r="H2617" s="27">
        <f t="shared" si="2"/>
        <v>0.3784722222</v>
      </c>
      <c r="I2617" s="28">
        <v>4.0</v>
      </c>
      <c r="J2617" s="29" t="s">
        <v>585</v>
      </c>
      <c r="K2617" s="30" t="s">
        <v>23</v>
      </c>
      <c r="L2617" s="31" t="str">
        <f>IFERROR(__xludf.DUMMYFUNCTION("IF(OR(E2617="""",K2617=""""),"""",IFERROR(IF(K2617="""","""",query('tbl user'!$A$2:$D10975,""SELECT A WHERE D = '""&amp;K2617&amp;""'"")),""USER TIDAK DIKETAHUI""))"),"#REF!")</f>
        <v>#REF!</v>
      </c>
    </row>
    <row r="2618">
      <c r="A2618" s="21">
        <f t="shared" si="1"/>
        <v>0</v>
      </c>
      <c r="B2618" s="32" t="s">
        <v>37</v>
      </c>
      <c r="C2618" s="23" t="s">
        <v>99</v>
      </c>
      <c r="D2618" s="23" t="s">
        <v>21</v>
      </c>
      <c r="E2618" s="37">
        <v>45435.0</v>
      </c>
      <c r="F2618" s="25">
        <v>0.2881944444444444</v>
      </c>
      <c r="G2618" s="25">
        <v>0.7256944444444444</v>
      </c>
      <c r="H2618" s="27">
        <f t="shared" si="2"/>
        <v>0.4375</v>
      </c>
      <c r="I2618" s="28">
        <v>4.0</v>
      </c>
      <c r="J2618" s="29" t="s">
        <v>213</v>
      </c>
      <c r="K2618" s="30" t="s">
        <v>23</v>
      </c>
      <c r="L2618" s="31" t="str">
        <f>IFERROR(__xludf.DUMMYFUNCTION("IF(OR(E2618="""",K2618=""""),"""",IFERROR(IF(K2618="""","""",query('tbl user'!$A$2:$D10975,""SELECT A WHERE D = '""&amp;K2618&amp;""'"")),""USER TIDAK DIKETAHUI""))"),"#REF!")</f>
        <v>#REF!</v>
      </c>
    </row>
    <row r="2619">
      <c r="A2619" s="21">
        <f t="shared" si="1"/>
        <v>0</v>
      </c>
      <c r="B2619" s="32" t="s">
        <v>153</v>
      </c>
      <c r="C2619" s="23" t="s">
        <v>44</v>
      </c>
      <c r="D2619" s="23" t="s">
        <v>21</v>
      </c>
      <c r="E2619" s="37">
        <v>45435.0</v>
      </c>
      <c r="F2619" s="25">
        <v>0.27361111111111114</v>
      </c>
      <c r="G2619" s="25">
        <v>0.6868055555555556</v>
      </c>
      <c r="H2619" s="27">
        <f t="shared" si="2"/>
        <v>0.4131944444</v>
      </c>
      <c r="I2619" s="28">
        <v>4.0</v>
      </c>
      <c r="J2619" s="29" t="s">
        <v>213</v>
      </c>
      <c r="K2619" s="30" t="s">
        <v>23</v>
      </c>
      <c r="L2619" s="31" t="str">
        <f>IFERROR(__xludf.DUMMYFUNCTION("IF(OR(E2619="""",K2619=""""),"""",IFERROR(IF(K2619="""","""",query('tbl user'!$A$2:$D10975,""SELECT A WHERE D = '""&amp;K2619&amp;""'"")),""USER TIDAK DIKETAHUI""))"),"#REF!")</f>
        <v>#REF!</v>
      </c>
    </row>
    <row r="2620">
      <c r="A2620" s="21">
        <f t="shared" si="1"/>
        <v>0</v>
      </c>
      <c r="B2620" s="32" t="s">
        <v>255</v>
      </c>
      <c r="C2620" s="23" t="s">
        <v>256</v>
      </c>
      <c r="D2620" s="23" t="s">
        <v>21</v>
      </c>
      <c r="E2620" s="37">
        <v>45435.0</v>
      </c>
      <c r="F2620" s="25">
        <v>0.37777777777777777</v>
      </c>
      <c r="G2620" s="25">
        <v>0.7520833333333333</v>
      </c>
      <c r="H2620" s="27">
        <f t="shared" si="2"/>
        <v>0.3743055556</v>
      </c>
      <c r="I2620" s="28">
        <v>4.0</v>
      </c>
      <c r="J2620" s="29" t="s">
        <v>1224</v>
      </c>
      <c r="K2620" s="30" t="s">
        <v>23</v>
      </c>
      <c r="L2620" s="31" t="str">
        <f>IFERROR(__xludf.DUMMYFUNCTION("IF(OR(E2620="""",K2620=""""),"""",IFERROR(IF(K2620="""","""",query('tbl user'!$A$2:$D10975,""SELECT A WHERE D = '""&amp;K2620&amp;""'"")),""USER TIDAK DIKETAHUI""))"),"#REF!")</f>
        <v>#REF!</v>
      </c>
    </row>
    <row r="2621">
      <c r="A2621" s="21">
        <f t="shared" si="1"/>
        <v>0</v>
      </c>
      <c r="B2621" s="32" t="s">
        <v>331</v>
      </c>
      <c r="C2621" s="23" t="s">
        <v>332</v>
      </c>
      <c r="D2621" s="23" t="s">
        <v>21</v>
      </c>
      <c r="E2621" s="37">
        <v>45435.0</v>
      </c>
      <c r="F2621" s="25">
        <v>0.23958333333333334</v>
      </c>
      <c r="G2621" s="25">
        <v>0.6159722222222223</v>
      </c>
      <c r="H2621" s="27">
        <f t="shared" si="2"/>
        <v>0.3763888889</v>
      </c>
      <c r="I2621" s="28">
        <v>4.0</v>
      </c>
      <c r="J2621" s="29" t="s">
        <v>213</v>
      </c>
      <c r="K2621" s="30" t="s">
        <v>23</v>
      </c>
      <c r="L2621" s="31" t="str">
        <f>IFERROR(__xludf.DUMMYFUNCTION("IF(OR(E2621="""",K2621=""""),"""",IFERROR(IF(K2621="""","""",query('tbl user'!$A$2:$D10975,""SELECT A WHERE D = '""&amp;K2621&amp;""'"")),""USER TIDAK DIKETAHUI""))"),"#REF!")</f>
        <v>#REF!</v>
      </c>
    </row>
    <row r="2622">
      <c r="A2622" s="21">
        <f t="shared" si="1"/>
        <v>0</v>
      </c>
      <c r="B2622" s="32" t="s">
        <v>335</v>
      </c>
      <c r="C2622" s="23" t="s">
        <v>336</v>
      </c>
      <c r="D2622" s="23" t="s">
        <v>21</v>
      </c>
      <c r="E2622" s="37">
        <v>45435.0</v>
      </c>
      <c r="F2622" s="25">
        <v>0.28125</v>
      </c>
      <c r="G2622" s="25">
        <v>0.6479166666666667</v>
      </c>
      <c r="H2622" s="27">
        <f t="shared" si="2"/>
        <v>0.3666666667</v>
      </c>
      <c r="I2622" s="28">
        <v>4.0</v>
      </c>
      <c r="J2622" s="29" t="s">
        <v>1225</v>
      </c>
      <c r="K2622" s="30" t="s">
        <v>23</v>
      </c>
      <c r="L2622" s="31" t="str">
        <f>IFERROR(__xludf.DUMMYFUNCTION("IF(OR(E2622="""",K2622=""""),"""",IFERROR(IF(K2622="""","""",query('tbl user'!$A$2:$D10975,""SELECT A WHERE D = '""&amp;K2622&amp;""'"")),""USER TIDAK DIKETAHUI""))"),"#REF!")</f>
        <v>#REF!</v>
      </c>
    </row>
    <row r="2623">
      <c r="A2623" s="21">
        <f t="shared" si="1"/>
        <v>0</v>
      </c>
      <c r="B2623" s="32" t="s">
        <v>209</v>
      </c>
      <c r="C2623" s="23" t="s">
        <v>340</v>
      </c>
      <c r="D2623" s="23" t="s">
        <v>21</v>
      </c>
      <c r="E2623" s="37">
        <v>45435.0</v>
      </c>
      <c r="F2623" s="25">
        <v>0.2708333333333333</v>
      </c>
      <c r="G2623" s="25">
        <v>0.6597222222222222</v>
      </c>
      <c r="H2623" s="27">
        <f t="shared" si="2"/>
        <v>0.3888888889</v>
      </c>
      <c r="I2623" s="28">
        <v>4.0</v>
      </c>
      <c r="J2623" s="29" t="s">
        <v>213</v>
      </c>
      <c r="K2623" s="30" t="s">
        <v>23</v>
      </c>
      <c r="L2623" s="31" t="str">
        <f>IFERROR(__xludf.DUMMYFUNCTION("IF(OR(E2623="""",K2623=""""),"""",IFERROR(IF(K2623="""","""",query('tbl user'!$A$2:$D10975,""SELECT A WHERE D = '""&amp;K2623&amp;""'"")),""USER TIDAK DIKETAHUI""))"),"#REF!")</f>
        <v>#REF!</v>
      </c>
    </row>
    <row r="2624">
      <c r="A2624" s="21">
        <f t="shared" si="1"/>
        <v>0</v>
      </c>
      <c r="B2624" s="32" t="s">
        <v>577</v>
      </c>
      <c r="C2624" s="23" t="s">
        <v>330</v>
      </c>
      <c r="D2624" s="23" t="s">
        <v>21</v>
      </c>
      <c r="E2624" s="37">
        <v>45435.0</v>
      </c>
      <c r="F2624" s="25">
        <v>0.28680555555555554</v>
      </c>
      <c r="G2624" s="25">
        <v>0.7138888888888889</v>
      </c>
      <c r="H2624" s="27">
        <f t="shared" si="2"/>
        <v>0.4270833333</v>
      </c>
      <c r="I2624" s="28">
        <v>4.0</v>
      </c>
      <c r="J2624" s="29" t="s">
        <v>213</v>
      </c>
      <c r="K2624" s="30" t="s">
        <v>23</v>
      </c>
      <c r="L2624" s="31" t="str">
        <f>IFERROR(__xludf.DUMMYFUNCTION("IF(OR(E2624="""",K2624=""""),"""",IFERROR(IF(K2624="""","""",query('tbl user'!$A$2:$D10975,""SELECT A WHERE D = '""&amp;K2624&amp;""'"")),""USER TIDAK DIKETAHUI""))"),"#REF!")</f>
        <v>#REF!</v>
      </c>
    </row>
    <row r="2625">
      <c r="A2625" s="21">
        <f t="shared" si="1"/>
        <v>0</v>
      </c>
      <c r="B2625" s="32" t="s">
        <v>601</v>
      </c>
      <c r="C2625" s="23" t="s">
        <v>323</v>
      </c>
      <c r="D2625" s="23" t="s">
        <v>21</v>
      </c>
      <c r="E2625" s="37">
        <v>45435.0</v>
      </c>
      <c r="F2625" s="25">
        <v>0.2791666666666667</v>
      </c>
      <c r="G2625" s="25">
        <v>0.6868055555555556</v>
      </c>
      <c r="H2625" s="27">
        <f t="shared" si="2"/>
        <v>0.4076388889</v>
      </c>
      <c r="I2625" s="28">
        <v>4.0</v>
      </c>
      <c r="J2625" s="29" t="s">
        <v>213</v>
      </c>
      <c r="K2625" s="30" t="s">
        <v>23</v>
      </c>
      <c r="L2625" s="31" t="str">
        <f>IFERROR(__xludf.DUMMYFUNCTION("IF(OR(E2625="""",K2625=""""),"""",IFERROR(IF(K2625="""","""",query('tbl user'!$A$2:$D10975,""SELECT A WHERE D = '""&amp;K2625&amp;""'"")),""USER TIDAK DIKETAHUI""))"),"#REF!")</f>
        <v>#REF!</v>
      </c>
    </row>
    <row r="2626">
      <c r="A2626" s="21">
        <f t="shared" si="1"/>
        <v>0</v>
      </c>
      <c r="B2626" s="32" t="s">
        <v>260</v>
      </c>
      <c r="C2626" s="23" t="s">
        <v>261</v>
      </c>
      <c r="D2626" s="23" t="s">
        <v>21</v>
      </c>
      <c r="E2626" s="37">
        <v>45435.0</v>
      </c>
      <c r="F2626" s="25">
        <v>0.2722222222222222</v>
      </c>
      <c r="G2626" s="25">
        <v>0.725</v>
      </c>
      <c r="H2626" s="27">
        <f t="shared" si="2"/>
        <v>0.4527777778</v>
      </c>
      <c r="I2626" s="28">
        <v>4.0</v>
      </c>
      <c r="J2626" s="29" t="s">
        <v>1226</v>
      </c>
      <c r="K2626" s="30" t="s">
        <v>23</v>
      </c>
      <c r="L2626" s="31" t="str">
        <f>IFERROR(__xludf.DUMMYFUNCTION("IF(OR(E2626="""",K2626=""""),"""",IFERROR(IF(K2626="""","""",query('tbl user'!$A$2:$D10975,""SELECT A WHERE D = '""&amp;K2626&amp;""'"")),""USER TIDAK DIKETAHUI""))"),"#REF!")</f>
        <v>#REF!</v>
      </c>
    </row>
    <row r="2627">
      <c r="A2627" s="21">
        <f t="shared" si="1"/>
        <v>0</v>
      </c>
      <c r="B2627" s="32" t="s">
        <v>34</v>
      </c>
      <c r="C2627" s="23" t="s">
        <v>35</v>
      </c>
      <c r="D2627" s="23" t="s">
        <v>21</v>
      </c>
      <c r="E2627" s="37">
        <v>45435.0</v>
      </c>
      <c r="F2627" s="25">
        <v>0.2861111111111111</v>
      </c>
      <c r="G2627" s="25">
        <v>0.7416666666666667</v>
      </c>
      <c r="H2627" s="27">
        <f t="shared" si="2"/>
        <v>0.4555555556</v>
      </c>
      <c r="I2627" s="28">
        <v>5.0</v>
      </c>
      <c r="J2627" s="29" t="s">
        <v>55</v>
      </c>
      <c r="K2627" s="30" t="s">
        <v>23</v>
      </c>
      <c r="L2627" s="31" t="str">
        <f>IFERROR(__xludf.DUMMYFUNCTION("IF(OR(E2627="""",K2627=""""),"""",IFERROR(IF(K2627="""","""",query('tbl user'!$A$2:$D10975,""SELECT A WHERE D = '""&amp;K2627&amp;""'"")),""USER TIDAK DIKETAHUI""))"),"#REF!")</f>
        <v>#REF!</v>
      </c>
    </row>
    <row r="2628">
      <c r="A2628" s="21">
        <f t="shared" si="1"/>
        <v>0</v>
      </c>
      <c r="B2628" s="32" t="s">
        <v>305</v>
      </c>
      <c r="C2628" s="23" t="s">
        <v>251</v>
      </c>
      <c r="D2628" s="23" t="s">
        <v>21</v>
      </c>
      <c r="E2628" s="37">
        <v>45435.0</v>
      </c>
      <c r="F2628" s="25">
        <v>0.22847222222222222</v>
      </c>
      <c r="G2628" s="25">
        <v>0.7298611111111111</v>
      </c>
      <c r="H2628" s="27">
        <f t="shared" si="2"/>
        <v>0.5013888889</v>
      </c>
      <c r="I2628" s="28">
        <v>5.0</v>
      </c>
      <c r="J2628" s="29" t="s">
        <v>55</v>
      </c>
      <c r="K2628" s="30" t="s">
        <v>23</v>
      </c>
      <c r="L2628" s="31" t="str">
        <f>IFERROR(__xludf.DUMMYFUNCTION("IF(OR(E2628="""",K2628=""""),"""",IFERROR(IF(K2628="""","""",query('tbl user'!$A$2:$D10975,""SELECT A WHERE D = '""&amp;K2628&amp;""'"")),""USER TIDAK DIKETAHUI""))"),"#REF!")</f>
        <v>#REF!</v>
      </c>
    </row>
    <row r="2629">
      <c r="A2629" s="21">
        <f t="shared" si="1"/>
        <v>0</v>
      </c>
      <c r="B2629" s="32" t="s">
        <v>253</v>
      </c>
      <c r="C2629" s="23" t="s">
        <v>102</v>
      </c>
      <c r="D2629" s="23" t="s">
        <v>21</v>
      </c>
      <c r="E2629" s="37">
        <v>45435.0</v>
      </c>
      <c r="F2629" s="25">
        <v>0.2298611111111111</v>
      </c>
      <c r="G2629" s="25">
        <v>0.7638888888888888</v>
      </c>
      <c r="H2629" s="27">
        <f t="shared" si="2"/>
        <v>0.5340277778</v>
      </c>
      <c r="I2629" s="28">
        <v>5.0</v>
      </c>
      <c r="J2629" s="29" t="s">
        <v>55</v>
      </c>
      <c r="K2629" s="30" t="s">
        <v>23</v>
      </c>
      <c r="L2629" s="31" t="str">
        <f>IFERROR(__xludf.DUMMYFUNCTION("IF(OR(E2629="""",K2629=""""),"""",IFERROR(IF(K2629="""","""",query('tbl user'!$A$2:$D10975,""SELECT A WHERE D = '""&amp;K2629&amp;""'"")),""USER TIDAK DIKETAHUI""))"),"#REF!")</f>
        <v>#REF!</v>
      </c>
    </row>
    <row r="2630">
      <c r="A2630" s="21">
        <f t="shared" si="1"/>
        <v>0</v>
      </c>
      <c r="B2630" s="32" t="s">
        <v>159</v>
      </c>
      <c r="C2630" s="23" t="s">
        <v>306</v>
      </c>
      <c r="D2630" s="23" t="s">
        <v>21</v>
      </c>
      <c r="E2630" s="37">
        <v>45435.0</v>
      </c>
      <c r="F2630" s="25">
        <v>0.3277777777777778</v>
      </c>
      <c r="G2630" s="25">
        <v>0.7583333333333333</v>
      </c>
      <c r="H2630" s="27">
        <f t="shared" si="2"/>
        <v>0.4305555556</v>
      </c>
      <c r="I2630" s="28">
        <v>5.0</v>
      </c>
      <c r="J2630" s="29" t="s">
        <v>55</v>
      </c>
      <c r="K2630" s="30" t="s">
        <v>23</v>
      </c>
      <c r="L2630" s="31" t="str">
        <f>IFERROR(__xludf.DUMMYFUNCTION("IF(OR(E2630="""",K2630=""""),"""",IFERROR(IF(K2630="""","""",query('tbl user'!$A$2:$D10975,""SELECT A WHERE D = '""&amp;K2630&amp;""'"")),""USER TIDAK DIKETAHUI""))"),"#REF!")</f>
        <v>#REF!</v>
      </c>
    </row>
    <row r="2631">
      <c r="A2631" s="21">
        <f t="shared" si="1"/>
        <v>0</v>
      </c>
      <c r="B2631" s="32" t="s">
        <v>593</v>
      </c>
      <c r="C2631" s="23" t="s">
        <v>236</v>
      </c>
      <c r="D2631" s="23" t="s">
        <v>21</v>
      </c>
      <c r="E2631" s="37">
        <v>45435.0</v>
      </c>
      <c r="F2631" s="25">
        <v>0.23472222222222222</v>
      </c>
      <c r="G2631" s="25">
        <v>0.7513888888888889</v>
      </c>
      <c r="H2631" s="27">
        <f t="shared" si="2"/>
        <v>0.5166666667</v>
      </c>
      <c r="I2631" s="28">
        <v>5.0</v>
      </c>
      <c r="J2631" s="29" t="s">
        <v>55</v>
      </c>
      <c r="K2631" s="30" t="s">
        <v>23</v>
      </c>
      <c r="L2631" s="31" t="str">
        <f>IFERROR(__xludf.DUMMYFUNCTION("IF(OR(E2631="""",K2631=""""),"""",IFERROR(IF(K2631="""","""",query('tbl user'!$A$2:$D10975,""SELECT A WHERE D = '""&amp;K2631&amp;""'"")),""USER TIDAK DIKETAHUI""))"),"#REF!")</f>
        <v>#REF!</v>
      </c>
    </row>
    <row r="2632">
      <c r="A2632" s="21">
        <f t="shared" si="1"/>
        <v>0</v>
      </c>
      <c r="B2632" s="32" t="s">
        <v>131</v>
      </c>
      <c r="C2632" s="23" t="s">
        <v>339</v>
      </c>
      <c r="D2632" s="23" t="s">
        <v>21</v>
      </c>
      <c r="E2632" s="37">
        <v>45435.0</v>
      </c>
      <c r="F2632" s="25">
        <v>0.26458333333333334</v>
      </c>
      <c r="G2632" s="25">
        <v>0.6861111111111111</v>
      </c>
      <c r="H2632" s="27">
        <f t="shared" si="2"/>
        <v>0.4215277778</v>
      </c>
      <c r="I2632" s="28">
        <v>5.0</v>
      </c>
      <c r="J2632" s="29" t="s">
        <v>55</v>
      </c>
      <c r="K2632" s="30" t="s">
        <v>23</v>
      </c>
      <c r="L2632" s="31" t="str">
        <f>IFERROR(__xludf.DUMMYFUNCTION("IF(OR(E2632="""",K2632=""""),"""",IFERROR(IF(K2632="""","""",query('tbl user'!$A$2:$D10975,""SELECT A WHERE D = '""&amp;K2632&amp;""'"")),""USER TIDAK DIKETAHUI""))"),"#REF!")</f>
        <v>#REF!</v>
      </c>
    </row>
    <row r="2633">
      <c r="A2633" s="21">
        <f t="shared" si="1"/>
        <v>0</v>
      </c>
      <c r="B2633" s="32" t="s">
        <v>328</v>
      </c>
      <c r="C2633" s="23" t="s">
        <v>329</v>
      </c>
      <c r="D2633" s="23" t="s">
        <v>21</v>
      </c>
      <c r="E2633" s="37">
        <v>45435.0</v>
      </c>
      <c r="F2633" s="25">
        <v>0.26180555555555557</v>
      </c>
      <c r="G2633" s="25">
        <v>0.6965277777777777</v>
      </c>
      <c r="H2633" s="27">
        <f t="shared" si="2"/>
        <v>0.4347222222</v>
      </c>
      <c r="I2633" s="28">
        <v>5.0</v>
      </c>
      <c r="J2633" s="29" t="s">
        <v>55</v>
      </c>
      <c r="K2633" s="30" t="s">
        <v>23</v>
      </c>
      <c r="L2633" s="31" t="str">
        <f>IFERROR(__xludf.DUMMYFUNCTION("IF(OR(E2633="""",K2633=""""),"""",IFERROR(IF(K2633="""","""",query('tbl user'!$A$2:$D10975,""SELECT A WHERE D = '""&amp;K2633&amp;""'"")),""USER TIDAK DIKETAHUI""))"),"#REF!")</f>
        <v>#REF!</v>
      </c>
    </row>
    <row r="2634">
      <c r="A2634" s="21">
        <f t="shared" si="1"/>
        <v>0</v>
      </c>
      <c r="B2634" s="32" t="s">
        <v>87</v>
      </c>
      <c r="C2634" s="23" t="s">
        <v>88</v>
      </c>
      <c r="D2634" s="23" t="s">
        <v>21</v>
      </c>
      <c r="E2634" s="37">
        <v>45435.0</v>
      </c>
      <c r="F2634" s="25">
        <v>0.25069444444444444</v>
      </c>
      <c r="G2634" s="25">
        <v>0.7020833333333333</v>
      </c>
      <c r="H2634" s="27">
        <f t="shared" si="2"/>
        <v>0.4513888889</v>
      </c>
      <c r="I2634" s="28">
        <v>5.0</v>
      </c>
      <c r="J2634" s="29" t="s">
        <v>55</v>
      </c>
      <c r="K2634" s="30" t="s">
        <v>23</v>
      </c>
      <c r="L2634" s="31" t="str">
        <f>IFERROR(__xludf.DUMMYFUNCTION("IF(OR(E2634="""",K2634=""""),"""",IFERROR(IF(K2634="""","""",query('tbl user'!$A$2:$D10975,""SELECT A WHERE D = '""&amp;K2634&amp;""'"")),""USER TIDAK DIKETAHUI""))"),"#REF!")</f>
        <v>#REF!</v>
      </c>
    </row>
    <row r="2635">
      <c r="A2635" s="21">
        <f t="shared" si="1"/>
        <v>0</v>
      </c>
      <c r="B2635" s="32" t="s">
        <v>53</v>
      </c>
      <c r="C2635" s="23" t="s">
        <v>54</v>
      </c>
      <c r="D2635" s="23" t="s">
        <v>21</v>
      </c>
      <c r="E2635" s="37">
        <v>45435.0</v>
      </c>
      <c r="F2635" s="25">
        <v>0.2986111111111111</v>
      </c>
      <c r="G2635" s="25">
        <v>0.7361111111111112</v>
      </c>
      <c r="H2635" s="27">
        <f t="shared" si="2"/>
        <v>0.4375</v>
      </c>
      <c r="I2635" s="28">
        <v>5.0</v>
      </c>
      <c r="J2635" s="29" t="s">
        <v>55</v>
      </c>
      <c r="K2635" s="30" t="s">
        <v>23</v>
      </c>
      <c r="L2635" s="31" t="str">
        <f>IFERROR(__xludf.DUMMYFUNCTION("IF(OR(E2635="""",K2635=""""),"""",IFERROR(IF(K2635="""","""",query('tbl user'!$A$2:$D10975,""SELECT A WHERE D = '""&amp;K2635&amp;""'"")),""USER TIDAK DIKETAHUI""))"),"#REF!")</f>
        <v>#REF!</v>
      </c>
    </row>
    <row r="2636">
      <c r="A2636" s="21">
        <f t="shared" si="1"/>
        <v>0</v>
      </c>
      <c r="B2636" s="32" t="s">
        <v>319</v>
      </c>
      <c r="C2636" s="23" t="s">
        <v>320</v>
      </c>
      <c r="D2636" s="23" t="s">
        <v>21</v>
      </c>
      <c r="E2636" s="37">
        <v>45435.0</v>
      </c>
      <c r="F2636" s="25">
        <v>0.20416666666666666</v>
      </c>
      <c r="G2636" s="25">
        <v>0.6840277777777778</v>
      </c>
      <c r="H2636" s="27">
        <f t="shared" si="2"/>
        <v>0.4798611111</v>
      </c>
      <c r="I2636" s="28">
        <v>5.0</v>
      </c>
      <c r="J2636" s="29" t="s">
        <v>55</v>
      </c>
      <c r="K2636" s="30" t="s">
        <v>23</v>
      </c>
      <c r="L2636" s="31" t="str">
        <f>IFERROR(__xludf.DUMMYFUNCTION("IF(OR(E2636="""",K2636=""""),"""",IFERROR(IF(K2636="""","""",query('tbl user'!$A$2:$D10975,""SELECT A WHERE D = '""&amp;K2636&amp;""'"")),""USER TIDAK DIKETAHUI""))"),"#REF!")</f>
        <v>#REF!</v>
      </c>
    </row>
    <row r="2637">
      <c r="A2637" s="21">
        <f t="shared" si="1"/>
        <v>0</v>
      </c>
      <c r="B2637" s="32" t="s">
        <v>337</v>
      </c>
      <c r="C2637" s="23" t="s">
        <v>338</v>
      </c>
      <c r="D2637" s="23" t="s">
        <v>21</v>
      </c>
      <c r="E2637" s="37">
        <v>45435.0</v>
      </c>
      <c r="F2637" s="25">
        <v>0.26458333333333334</v>
      </c>
      <c r="G2637" s="25">
        <v>0.7506944444444444</v>
      </c>
      <c r="H2637" s="27">
        <f t="shared" si="2"/>
        <v>0.4861111111</v>
      </c>
      <c r="I2637" s="28">
        <v>6.0</v>
      </c>
      <c r="J2637" s="29" t="s">
        <v>55</v>
      </c>
      <c r="K2637" s="30" t="s">
        <v>23</v>
      </c>
      <c r="L2637" s="31" t="str">
        <f>IFERROR(__xludf.DUMMYFUNCTION("IF(OR(E2637="""",K2637=""""),"""",IFERROR(IF(K2637="""","""",query('tbl user'!$A$2:$D10975,""SELECT A WHERE D = '""&amp;K2637&amp;""'"")),""USER TIDAK DIKETAHUI""))"),"#REF!")</f>
        <v>#REF!</v>
      </c>
    </row>
    <row r="2638">
      <c r="A2638" s="21">
        <f t="shared" si="1"/>
        <v>0</v>
      </c>
      <c r="B2638" s="32" t="s">
        <v>312</v>
      </c>
      <c r="C2638" s="23" t="s">
        <v>313</v>
      </c>
      <c r="D2638" s="23" t="s">
        <v>32</v>
      </c>
      <c r="E2638" s="37">
        <v>45435.0</v>
      </c>
      <c r="F2638" s="25">
        <v>0.22916666666666666</v>
      </c>
      <c r="G2638" s="25">
        <v>0.46944444444444444</v>
      </c>
      <c r="H2638" s="27">
        <f t="shared" si="2"/>
        <v>0.2402777778</v>
      </c>
      <c r="I2638" s="28">
        <v>1.0</v>
      </c>
      <c r="J2638" s="29" t="s">
        <v>1227</v>
      </c>
      <c r="K2638" s="30" t="s">
        <v>23</v>
      </c>
      <c r="L2638" s="31" t="str">
        <f>IFERROR(__xludf.DUMMYFUNCTION("IF(OR(E2638="""",K2638=""""),"""",IFERROR(IF(K2638="""","""",query('tbl user'!$A$2:$D10975,""SELECT A WHERE D = '""&amp;K2638&amp;""'"")),""USER TIDAK DIKETAHUI""))"),"#REF!")</f>
        <v>#REF!</v>
      </c>
    </row>
    <row r="2639">
      <c r="A2639" s="21">
        <f t="shared" si="1"/>
        <v>0</v>
      </c>
      <c r="B2639" s="32" t="s">
        <v>277</v>
      </c>
      <c r="C2639" s="23" t="s">
        <v>278</v>
      </c>
      <c r="D2639" s="23" t="s">
        <v>32</v>
      </c>
      <c r="E2639" s="37">
        <v>45435.0</v>
      </c>
      <c r="F2639" s="25">
        <v>0.29375</v>
      </c>
      <c r="G2639" s="25">
        <v>0.6444444444444445</v>
      </c>
      <c r="H2639" s="27">
        <f t="shared" si="2"/>
        <v>0.3506944444</v>
      </c>
      <c r="I2639" s="28">
        <v>1.0</v>
      </c>
      <c r="J2639" s="29" t="s">
        <v>1228</v>
      </c>
      <c r="K2639" s="30" t="s">
        <v>23</v>
      </c>
      <c r="L2639" s="31" t="str">
        <f>IFERROR(__xludf.DUMMYFUNCTION("IF(OR(E2639="""",K2639=""""),"""",IFERROR(IF(K2639="""","""",query('tbl user'!$A$2:$D10975,""SELECT A WHERE D = '""&amp;K2639&amp;""'"")),""USER TIDAK DIKETAHUI""))"),"#REF!")</f>
        <v>#REF!</v>
      </c>
    </row>
    <row r="2640">
      <c r="A2640" s="21">
        <f t="shared" si="1"/>
        <v>0</v>
      </c>
      <c r="B2640" s="32" t="s">
        <v>110</v>
      </c>
      <c r="C2640" s="23" t="s">
        <v>111</v>
      </c>
      <c r="D2640" s="23" t="s">
        <v>32</v>
      </c>
      <c r="E2640" s="37">
        <v>45435.0</v>
      </c>
      <c r="F2640" s="25">
        <v>0.28680555555555554</v>
      </c>
      <c r="G2640" s="25">
        <v>0.5270833333333333</v>
      </c>
      <c r="H2640" s="27">
        <f t="shared" si="2"/>
        <v>0.2402777778</v>
      </c>
      <c r="I2640" s="28">
        <v>1.0</v>
      </c>
      <c r="J2640" s="29" t="s">
        <v>1229</v>
      </c>
      <c r="K2640" s="30" t="s">
        <v>23</v>
      </c>
      <c r="L2640" s="31" t="str">
        <f>IFERROR(__xludf.DUMMYFUNCTION("IF(OR(E2640="""",K2640=""""),"""",IFERROR(IF(K2640="""","""",query('tbl user'!$A$2:$D10975,""SELECT A WHERE D = '""&amp;K2640&amp;""'"")),""USER TIDAK DIKETAHUI""))"),"#REF!")</f>
        <v>#REF!</v>
      </c>
    </row>
    <row r="2641">
      <c r="A2641" s="21">
        <f t="shared" si="1"/>
        <v>0</v>
      </c>
      <c r="B2641" s="32" t="s">
        <v>113</v>
      </c>
      <c r="C2641" s="23" t="s">
        <v>114</v>
      </c>
      <c r="D2641" s="23" t="s">
        <v>32</v>
      </c>
      <c r="E2641" s="37">
        <v>45435.0</v>
      </c>
      <c r="F2641" s="25">
        <v>0.20902777777777778</v>
      </c>
      <c r="G2641" s="25">
        <v>0.4826388888888889</v>
      </c>
      <c r="H2641" s="27">
        <f t="shared" si="2"/>
        <v>0.2736111111</v>
      </c>
      <c r="I2641" s="28">
        <v>2.0</v>
      </c>
      <c r="J2641" s="29" t="s">
        <v>1230</v>
      </c>
      <c r="K2641" s="30" t="s">
        <v>23</v>
      </c>
      <c r="L2641" s="31" t="str">
        <f>IFERROR(__xludf.DUMMYFUNCTION("IF(OR(E2641="""",K2641=""""),"""",IFERROR(IF(K2641="""","""",query('tbl user'!$A$2:$D10975,""SELECT A WHERE D = '""&amp;K2641&amp;""'"")),""USER TIDAK DIKETAHUI""))"),"#REF!")</f>
        <v>#REF!</v>
      </c>
    </row>
    <row r="2642">
      <c r="A2642" s="21">
        <f t="shared" si="1"/>
        <v>0</v>
      </c>
      <c r="B2642" s="32" t="s">
        <v>412</v>
      </c>
      <c r="C2642" s="23" t="s">
        <v>413</v>
      </c>
      <c r="D2642" s="23" t="s">
        <v>32</v>
      </c>
      <c r="E2642" s="37">
        <v>45435.0</v>
      </c>
      <c r="F2642" s="25">
        <v>0.29791666666666666</v>
      </c>
      <c r="G2642" s="25">
        <v>0.5798611111111112</v>
      </c>
      <c r="H2642" s="27">
        <f t="shared" si="2"/>
        <v>0.2819444444</v>
      </c>
      <c r="I2642" s="28">
        <v>2.0</v>
      </c>
      <c r="J2642" s="29" t="s">
        <v>1231</v>
      </c>
      <c r="K2642" s="30" t="s">
        <v>23</v>
      </c>
      <c r="L2642" s="31" t="str">
        <f>IFERROR(__xludf.DUMMYFUNCTION("IF(OR(E2642="""",K2642=""""),"""",IFERROR(IF(K2642="""","""",query('tbl user'!$A$2:$D10975,""SELECT A WHERE D = '""&amp;K2642&amp;""'"")),""USER TIDAK DIKETAHUI""))"),"#REF!")</f>
        <v>#REF!</v>
      </c>
    </row>
    <row r="2643">
      <c r="A2643" s="21">
        <f t="shared" si="1"/>
        <v>0</v>
      </c>
      <c r="B2643" s="32" t="s">
        <v>269</v>
      </c>
      <c r="C2643" s="23" t="s">
        <v>270</v>
      </c>
      <c r="D2643" s="23" t="s">
        <v>32</v>
      </c>
      <c r="E2643" s="37">
        <v>45435.0</v>
      </c>
      <c r="F2643" s="25">
        <v>0.27291666666666664</v>
      </c>
      <c r="G2643" s="25">
        <v>0.5694444444444444</v>
      </c>
      <c r="H2643" s="27">
        <f t="shared" si="2"/>
        <v>0.2965277778</v>
      </c>
      <c r="I2643" s="28">
        <v>2.0</v>
      </c>
      <c r="J2643" s="29" t="s">
        <v>300</v>
      </c>
      <c r="K2643" s="30" t="s">
        <v>23</v>
      </c>
      <c r="L2643" s="31" t="str">
        <f>IFERROR(__xludf.DUMMYFUNCTION("IF(OR(E2643="""",K2643=""""),"""",IFERROR(IF(K2643="""","""",query('tbl user'!$A$2:$D10975,""SELECT A WHERE D = '""&amp;K2643&amp;""'"")),""USER TIDAK DIKETAHUI""))"),"#REF!")</f>
        <v>#REF!</v>
      </c>
    </row>
    <row r="2644">
      <c r="A2644" s="21">
        <f t="shared" si="1"/>
        <v>0</v>
      </c>
      <c r="B2644" s="32" t="s">
        <v>146</v>
      </c>
      <c r="C2644" s="23" t="s">
        <v>147</v>
      </c>
      <c r="D2644" s="23" t="s">
        <v>32</v>
      </c>
      <c r="E2644" s="37">
        <v>45435.0</v>
      </c>
      <c r="F2644" s="25">
        <v>0.2777777777777778</v>
      </c>
      <c r="G2644" s="25">
        <v>0.6840277777777778</v>
      </c>
      <c r="H2644" s="27">
        <f t="shared" si="2"/>
        <v>0.40625</v>
      </c>
      <c r="I2644" s="28">
        <v>3.0</v>
      </c>
      <c r="J2644" s="29" t="s">
        <v>1232</v>
      </c>
      <c r="K2644" s="30" t="s">
        <v>23</v>
      </c>
      <c r="L2644" s="31" t="str">
        <f>IFERROR(__xludf.DUMMYFUNCTION("IF(OR(E2644="""",K2644=""""),"""",IFERROR(IF(K2644="""","""",query('tbl user'!$A$2:$D10975,""SELECT A WHERE D = '""&amp;K2644&amp;""'"")),""USER TIDAK DIKETAHUI""))"),"#REF!")</f>
        <v>#REF!</v>
      </c>
    </row>
    <row r="2645">
      <c r="A2645" s="21">
        <f t="shared" si="1"/>
        <v>0</v>
      </c>
      <c r="B2645" s="32" t="s">
        <v>78</v>
      </c>
      <c r="C2645" s="23" t="s">
        <v>79</v>
      </c>
      <c r="D2645" s="23" t="s">
        <v>32</v>
      </c>
      <c r="E2645" s="37">
        <v>45435.0</v>
      </c>
      <c r="F2645" s="25">
        <v>0.2861111111111111</v>
      </c>
      <c r="G2645" s="25">
        <v>0.6701388888888888</v>
      </c>
      <c r="H2645" s="27">
        <f t="shared" si="2"/>
        <v>0.3840277778</v>
      </c>
      <c r="I2645" s="28">
        <v>3.0</v>
      </c>
      <c r="J2645" s="29" t="s">
        <v>1232</v>
      </c>
      <c r="K2645" s="30" t="s">
        <v>23</v>
      </c>
      <c r="L2645" s="31" t="str">
        <f>IFERROR(__xludf.DUMMYFUNCTION("IF(OR(E2645="""",K2645=""""),"""",IFERROR(IF(K2645="""","""",query('tbl user'!$A$2:$D10975,""SELECT A WHERE D = '""&amp;K2645&amp;""'"")),""USER TIDAK DIKETAHUI""))"),"#REF!")</f>
        <v>#REF!</v>
      </c>
    </row>
    <row r="2646">
      <c r="A2646" s="21">
        <f t="shared" si="1"/>
        <v>0</v>
      </c>
      <c r="B2646" s="32" t="s">
        <v>141</v>
      </c>
      <c r="C2646" s="23" t="s">
        <v>142</v>
      </c>
      <c r="D2646" s="23" t="s">
        <v>32</v>
      </c>
      <c r="E2646" s="37">
        <v>45435.0</v>
      </c>
      <c r="F2646" s="25">
        <v>0.27569444444444446</v>
      </c>
      <c r="G2646" s="25">
        <v>0.64375</v>
      </c>
      <c r="H2646" s="27">
        <f t="shared" si="2"/>
        <v>0.3680555556</v>
      </c>
      <c r="I2646" s="28">
        <v>3.0</v>
      </c>
      <c r="J2646" s="29" t="s">
        <v>1232</v>
      </c>
      <c r="K2646" s="30" t="s">
        <v>23</v>
      </c>
      <c r="L2646" s="31" t="str">
        <f>IFERROR(__xludf.DUMMYFUNCTION("IF(OR(E2646="""",K2646=""""),"""",IFERROR(IF(K2646="""","""",query('tbl user'!$A$2:$D10975,""SELECT A WHERE D = '""&amp;K2646&amp;""'"")),""USER TIDAK DIKETAHUI""))"),"#REF!")</f>
        <v>#REF!</v>
      </c>
    </row>
    <row r="2647">
      <c r="A2647" s="21">
        <f t="shared" si="1"/>
        <v>0</v>
      </c>
      <c r="B2647" s="32" t="s">
        <v>279</v>
      </c>
      <c r="C2647" s="23" t="s">
        <v>280</v>
      </c>
      <c r="D2647" s="23" t="s">
        <v>32</v>
      </c>
      <c r="E2647" s="37">
        <v>45435.0</v>
      </c>
      <c r="F2647" s="25">
        <v>0.2743055555555556</v>
      </c>
      <c r="G2647" s="25">
        <v>0.6444444444444445</v>
      </c>
      <c r="H2647" s="27">
        <f t="shared" si="2"/>
        <v>0.3701388889</v>
      </c>
      <c r="I2647" s="28">
        <v>3.0</v>
      </c>
      <c r="J2647" s="29" t="s">
        <v>1232</v>
      </c>
      <c r="K2647" s="30" t="s">
        <v>23</v>
      </c>
      <c r="L2647" s="31" t="str">
        <f>IFERROR(__xludf.DUMMYFUNCTION("IF(OR(E2647="""",K2647=""""),"""",IFERROR(IF(K2647="""","""",query('tbl user'!$A$2:$D10975,""SELECT A WHERE D = '""&amp;K2647&amp;""'"")),""USER TIDAK DIKETAHUI""))"),"#REF!")</f>
        <v>#REF!</v>
      </c>
    </row>
    <row r="2648">
      <c r="A2648" s="21">
        <f t="shared" si="1"/>
        <v>0</v>
      </c>
      <c r="B2648" s="32" t="s">
        <v>267</v>
      </c>
      <c r="C2648" s="23" t="s">
        <v>268</v>
      </c>
      <c r="D2648" s="23" t="s">
        <v>32</v>
      </c>
      <c r="E2648" s="37">
        <v>45435.0</v>
      </c>
      <c r="F2648" s="25">
        <v>0.27291666666666664</v>
      </c>
      <c r="G2648" s="25">
        <v>0.6944444444444444</v>
      </c>
      <c r="H2648" s="27">
        <f t="shared" si="2"/>
        <v>0.4215277778</v>
      </c>
      <c r="I2648" s="28">
        <v>3.0</v>
      </c>
      <c r="J2648" s="29" t="s">
        <v>1233</v>
      </c>
      <c r="K2648" s="30" t="s">
        <v>23</v>
      </c>
      <c r="L2648" s="31" t="str">
        <f>IFERROR(__xludf.DUMMYFUNCTION("IF(OR(E2648="""",K2648=""""),"""",IFERROR(IF(K2648="""","""",query('tbl user'!$A$2:$D10975,""SELECT A WHERE D = '""&amp;K2648&amp;""'"")),""USER TIDAK DIKETAHUI""))"),"#REF!")</f>
        <v>#REF!</v>
      </c>
    </row>
    <row r="2649">
      <c r="A2649" s="21">
        <f t="shared" si="1"/>
        <v>0</v>
      </c>
      <c r="B2649" s="32" t="s">
        <v>40</v>
      </c>
      <c r="C2649" s="23" t="s">
        <v>41</v>
      </c>
      <c r="D2649" s="23" t="s">
        <v>32</v>
      </c>
      <c r="E2649" s="37">
        <v>45435.0</v>
      </c>
      <c r="F2649" s="25">
        <v>0.38333333333333336</v>
      </c>
      <c r="G2649" s="25">
        <v>0.6965277777777777</v>
      </c>
      <c r="H2649" s="27">
        <f t="shared" si="2"/>
        <v>0.3131944444</v>
      </c>
      <c r="I2649" s="28">
        <v>3.0</v>
      </c>
      <c r="J2649" s="29" t="s">
        <v>1234</v>
      </c>
      <c r="K2649" s="30" t="s">
        <v>23</v>
      </c>
      <c r="L2649" s="31" t="str">
        <f>IFERROR(__xludf.DUMMYFUNCTION("IF(OR(E2649="""",K2649=""""),"""",IFERROR(IF(K2649="""","""",query('tbl user'!$A$2:$D10975,""SELECT A WHERE D = '""&amp;K2649&amp;""'"")),""USER TIDAK DIKETAHUI""))"),"#REF!")</f>
        <v>#REF!</v>
      </c>
    </row>
    <row r="2650">
      <c r="A2650" s="21">
        <f t="shared" si="1"/>
        <v>0</v>
      </c>
      <c r="B2650" s="32" t="s">
        <v>250</v>
      </c>
      <c r="C2650" s="23" t="s">
        <v>315</v>
      </c>
      <c r="D2650" s="23" t="s">
        <v>32</v>
      </c>
      <c r="E2650" s="37">
        <v>45435.0</v>
      </c>
      <c r="F2650" s="25">
        <v>0.26180555555555557</v>
      </c>
      <c r="G2650" s="25">
        <v>0.75625</v>
      </c>
      <c r="H2650" s="27">
        <f t="shared" si="2"/>
        <v>0.4944444444</v>
      </c>
      <c r="I2650" s="28">
        <v>3.0</v>
      </c>
      <c r="J2650" s="29" t="s">
        <v>1235</v>
      </c>
      <c r="K2650" s="30" t="s">
        <v>23</v>
      </c>
      <c r="L2650" s="31" t="str">
        <f>IFERROR(__xludf.DUMMYFUNCTION("IF(OR(E2650="""",K2650=""""),"""",IFERROR(IF(K2650="""","""",query('tbl user'!$A$2:$D10975,""SELECT A WHERE D = '""&amp;K2650&amp;""'"")),""USER TIDAK DIKETAHUI""))"),"#REF!")</f>
        <v>#REF!</v>
      </c>
    </row>
    <row r="2651">
      <c r="A2651" s="21">
        <f t="shared" si="1"/>
        <v>0</v>
      </c>
      <c r="B2651" s="32" t="s">
        <v>151</v>
      </c>
      <c r="C2651" s="23" t="s">
        <v>152</v>
      </c>
      <c r="D2651" s="23" t="s">
        <v>32</v>
      </c>
      <c r="E2651" s="37">
        <v>45435.0</v>
      </c>
      <c r="F2651" s="25">
        <v>0.27569444444444446</v>
      </c>
      <c r="G2651" s="25">
        <v>0.6472222222222223</v>
      </c>
      <c r="H2651" s="27">
        <f t="shared" si="2"/>
        <v>0.3715277778</v>
      </c>
      <c r="I2651" s="28">
        <v>3.0</v>
      </c>
      <c r="J2651" s="29" t="s">
        <v>1232</v>
      </c>
      <c r="K2651" s="30" t="s">
        <v>23</v>
      </c>
      <c r="L2651" s="31" t="str">
        <f>IFERROR(__xludf.DUMMYFUNCTION("IF(OR(E2651="""",K2651=""""),"""",IFERROR(IF(K2651="""","""",query('tbl user'!$A$2:$D10975,""SELECT A WHERE D = '""&amp;K2651&amp;""'"")),""USER TIDAK DIKETAHUI""))"),"#REF!")</f>
        <v>#REF!</v>
      </c>
    </row>
    <row r="2652">
      <c r="A2652" s="21">
        <f t="shared" si="1"/>
        <v>0</v>
      </c>
      <c r="B2652" s="32" t="s">
        <v>274</v>
      </c>
      <c r="C2652" s="23" t="s">
        <v>275</v>
      </c>
      <c r="D2652" s="23" t="s">
        <v>32</v>
      </c>
      <c r="E2652" s="37">
        <v>45435.0</v>
      </c>
      <c r="F2652" s="25">
        <v>0.25277777777777777</v>
      </c>
      <c r="G2652" s="25">
        <v>0.6777777777777778</v>
      </c>
      <c r="H2652" s="27">
        <f t="shared" si="2"/>
        <v>0.425</v>
      </c>
      <c r="I2652" s="28">
        <v>4.0</v>
      </c>
      <c r="J2652" s="29" t="s">
        <v>55</v>
      </c>
      <c r="K2652" s="30" t="s">
        <v>23</v>
      </c>
      <c r="L2652" s="31" t="str">
        <f>IFERROR(__xludf.DUMMYFUNCTION("IF(OR(E2652="""",K2652=""""),"""",IFERROR(IF(K2652="""","""",query('tbl user'!$A$2:$D10975,""SELECT A WHERE D = '""&amp;K2652&amp;""'"")),""USER TIDAK DIKETAHUI""))"),"#REF!")</f>
        <v>#REF!</v>
      </c>
    </row>
    <row r="2653">
      <c r="A2653" s="21">
        <f t="shared" si="1"/>
        <v>0</v>
      </c>
      <c r="B2653" s="32" t="s">
        <v>149</v>
      </c>
      <c r="C2653" s="23" t="s">
        <v>150</v>
      </c>
      <c r="D2653" s="23" t="s">
        <v>32</v>
      </c>
      <c r="E2653" s="37">
        <v>45435.0</v>
      </c>
      <c r="F2653" s="25">
        <v>0.24375</v>
      </c>
      <c r="G2653" s="25">
        <v>0.7166666666666667</v>
      </c>
      <c r="H2653" s="27">
        <f t="shared" si="2"/>
        <v>0.4729166667</v>
      </c>
      <c r="I2653" s="28">
        <v>4.0</v>
      </c>
      <c r="J2653" s="29" t="s">
        <v>55</v>
      </c>
      <c r="K2653" s="30" t="s">
        <v>23</v>
      </c>
      <c r="L2653" s="31" t="str">
        <f>IFERROR(__xludf.DUMMYFUNCTION("IF(OR(E2653="""",K2653=""""),"""",IFERROR(IF(K2653="""","""",query('tbl user'!$A$2:$D10975,""SELECT A WHERE D = '""&amp;K2653&amp;""'"")),""USER TIDAK DIKETAHUI""))"),"#REF!")</f>
        <v>#REF!</v>
      </c>
    </row>
    <row r="2654">
      <c r="A2654" s="21">
        <f t="shared" si="1"/>
        <v>0</v>
      </c>
      <c r="B2654" s="32" t="s">
        <v>137</v>
      </c>
      <c r="C2654" s="23" t="s">
        <v>138</v>
      </c>
      <c r="D2654" s="23" t="s">
        <v>32</v>
      </c>
      <c r="E2654" s="37">
        <v>45435.0</v>
      </c>
      <c r="F2654" s="25">
        <v>0.24375</v>
      </c>
      <c r="G2654" s="25">
        <v>0.6611111111111111</v>
      </c>
      <c r="H2654" s="27">
        <f t="shared" si="2"/>
        <v>0.4173611111</v>
      </c>
      <c r="I2654" s="28">
        <v>4.0</v>
      </c>
      <c r="J2654" s="29" t="s">
        <v>55</v>
      </c>
      <c r="K2654" s="30" t="s">
        <v>23</v>
      </c>
      <c r="L2654" s="31" t="str">
        <f>IFERROR(__xludf.DUMMYFUNCTION("IF(OR(E2654="""",K2654=""""),"""",IFERROR(IF(K2654="""","""",query('tbl user'!$A$2:$D10975,""SELECT A WHERE D = '""&amp;K2654&amp;""'"")),""USER TIDAK DIKETAHUI""))"),"#REF!")</f>
        <v>#REF!</v>
      </c>
    </row>
    <row r="2655">
      <c r="A2655" s="21">
        <f t="shared" si="1"/>
        <v>0</v>
      </c>
      <c r="B2655" s="32" t="s">
        <v>363</v>
      </c>
      <c r="C2655" s="23" t="s">
        <v>132</v>
      </c>
      <c r="D2655" s="23" t="s">
        <v>32</v>
      </c>
      <c r="E2655" s="37">
        <v>45435.0</v>
      </c>
      <c r="F2655" s="25">
        <v>0.3159722222222222</v>
      </c>
      <c r="G2655" s="25">
        <v>0.7034722222222223</v>
      </c>
      <c r="H2655" s="27">
        <f t="shared" si="2"/>
        <v>0.3875</v>
      </c>
      <c r="I2655" s="28">
        <v>4.0</v>
      </c>
      <c r="J2655" s="29" t="s">
        <v>55</v>
      </c>
      <c r="K2655" s="30" t="s">
        <v>23</v>
      </c>
      <c r="L2655" s="31" t="str">
        <f>IFERROR(__xludf.DUMMYFUNCTION("IF(OR(E2655="""",K2655=""""),"""",IFERROR(IF(K2655="""","""",query('tbl user'!$A$2:$D10975,""SELECT A WHERE D = '""&amp;K2655&amp;""'"")),""USER TIDAK DIKETAHUI""))"),"#REF!")</f>
        <v>#REF!</v>
      </c>
    </row>
    <row r="2656">
      <c r="A2656" s="21">
        <f t="shared" si="1"/>
        <v>0</v>
      </c>
      <c r="B2656" s="32" t="s">
        <v>118</v>
      </c>
      <c r="C2656" s="23" t="s">
        <v>119</v>
      </c>
      <c r="D2656" s="23" t="s">
        <v>32</v>
      </c>
      <c r="E2656" s="37">
        <v>45435.0</v>
      </c>
      <c r="F2656" s="25">
        <v>0.24444444444444444</v>
      </c>
      <c r="G2656" s="25">
        <v>0.6236111111111111</v>
      </c>
      <c r="H2656" s="27">
        <f t="shared" si="2"/>
        <v>0.3791666667</v>
      </c>
      <c r="I2656" s="28">
        <v>4.0</v>
      </c>
      <c r="J2656" s="29" t="s">
        <v>55</v>
      </c>
      <c r="K2656" s="30" t="s">
        <v>23</v>
      </c>
      <c r="L2656" s="31" t="str">
        <f>IFERROR(__xludf.DUMMYFUNCTION("IF(OR(E2656="""",K2656=""""),"""",IFERROR(IF(K2656="""","""",query('tbl user'!$A$2:$D10975,""SELECT A WHERE D = '""&amp;K2656&amp;""'"")),""USER TIDAK DIKETAHUI""))"),"#REF!")</f>
        <v>#REF!</v>
      </c>
    </row>
    <row r="2657">
      <c r="A2657" s="21">
        <f t="shared" si="1"/>
        <v>0</v>
      </c>
      <c r="B2657" s="32" t="s">
        <v>46</v>
      </c>
      <c r="C2657" s="23" t="s">
        <v>47</v>
      </c>
      <c r="D2657" s="23" t="s">
        <v>32</v>
      </c>
      <c r="E2657" s="37">
        <v>45435.0</v>
      </c>
      <c r="F2657" s="25">
        <v>0.25972222222222224</v>
      </c>
      <c r="G2657" s="25">
        <v>0.6722222222222223</v>
      </c>
      <c r="H2657" s="27">
        <f t="shared" si="2"/>
        <v>0.4125</v>
      </c>
      <c r="I2657" s="28">
        <v>4.0</v>
      </c>
      <c r="J2657" s="29" t="s">
        <v>55</v>
      </c>
      <c r="K2657" s="30" t="s">
        <v>23</v>
      </c>
      <c r="L2657" s="31" t="str">
        <f>IFERROR(__xludf.DUMMYFUNCTION("IF(OR(E2657="""",K2657=""""),"""",IFERROR(IF(K2657="""","""",query('tbl user'!$A$2:$D10975,""SELECT A WHERE D = '""&amp;K2657&amp;""'"")),""USER TIDAK DIKETAHUI""))"),"#REF!")</f>
        <v>#REF!</v>
      </c>
    </row>
    <row r="2658">
      <c r="A2658" s="21">
        <f t="shared" si="1"/>
        <v>0</v>
      </c>
      <c r="B2658" s="32" t="s">
        <v>30</v>
      </c>
      <c r="C2658" s="23" t="s">
        <v>31</v>
      </c>
      <c r="D2658" s="23" t="s">
        <v>32</v>
      </c>
      <c r="E2658" s="37">
        <v>45435.0</v>
      </c>
      <c r="F2658" s="25">
        <v>0.20625</v>
      </c>
      <c r="G2658" s="25">
        <v>0.7118055555555556</v>
      </c>
      <c r="H2658" s="27">
        <f t="shared" si="2"/>
        <v>0.5055555556</v>
      </c>
      <c r="I2658" s="28">
        <v>5.0</v>
      </c>
      <c r="J2658" s="29" t="s">
        <v>55</v>
      </c>
      <c r="K2658" s="30" t="s">
        <v>23</v>
      </c>
      <c r="L2658" s="31" t="str">
        <f>IFERROR(__xludf.DUMMYFUNCTION("IF(OR(E2658="""",K2658=""""),"""",IFERROR(IF(K2658="""","""",query('tbl user'!$A$2:$D10975,""SELECT A WHERE D = '""&amp;K2658&amp;""'"")),""USER TIDAK DIKETAHUI""))"),"#REF!")</f>
        <v>#REF!</v>
      </c>
    </row>
    <row r="2659">
      <c r="A2659" s="21">
        <f t="shared" si="1"/>
        <v>0</v>
      </c>
      <c r="B2659" s="32" t="s">
        <v>225</v>
      </c>
      <c r="C2659" s="23" t="s">
        <v>211</v>
      </c>
      <c r="D2659" s="23" t="s">
        <v>58</v>
      </c>
      <c r="E2659" s="37">
        <v>45436.0</v>
      </c>
      <c r="F2659" s="25">
        <v>0.2763888888888889</v>
      </c>
      <c r="G2659" s="25">
        <v>0.41875</v>
      </c>
      <c r="H2659" s="27">
        <f t="shared" si="2"/>
        <v>0.1423611111</v>
      </c>
      <c r="I2659" s="28">
        <v>1.0</v>
      </c>
      <c r="J2659" s="29" t="s">
        <v>1236</v>
      </c>
      <c r="K2659" s="30" t="s">
        <v>23</v>
      </c>
      <c r="L2659" s="31" t="str">
        <f>IFERROR(__xludf.DUMMYFUNCTION("IF(OR(E2659="""",K2659=""""),"""",IFERROR(IF(K2659="""","""",query('tbl user'!$A$2:$D10975,""SELECT A WHERE D = '""&amp;K2659&amp;""'"")),""USER TIDAK DIKETAHUI""))"),"#REF!")</f>
        <v>#REF!</v>
      </c>
    </row>
    <row r="2660">
      <c r="A2660" s="21">
        <f t="shared" si="1"/>
        <v>0</v>
      </c>
      <c r="B2660" s="32" t="s">
        <v>172</v>
      </c>
      <c r="C2660" s="23" t="s">
        <v>170</v>
      </c>
      <c r="D2660" s="23" t="s">
        <v>58</v>
      </c>
      <c r="E2660" s="37">
        <v>45436.0</v>
      </c>
      <c r="F2660" s="25">
        <v>0.3416666666666667</v>
      </c>
      <c r="G2660" s="25">
        <v>0.7090277777777778</v>
      </c>
      <c r="H2660" s="27">
        <f t="shared" si="2"/>
        <v>0.3673611111</v>
      </c>
      <c r="I2660" s="28">
        <v>1.0</v>
      </c>
      <c r="J2660" s="29" t="s">
        <v>1237</v>
      </c>
      <c r="K2660" s="30" t="s">
        <v>23</v>
      </c>
      <c r="L2660" s="31" t="str">
        <f>IFERROR(__xludf.DUMMYFUNCTION("IF(OR(E2660="""",K2660=""""),"""",IFERROR(IF(K2660="""","""",query('tbl user'!$A$2:$D10975,""SELECT A WHERE D = '""&amp;K2660&amp;""'"")),""USER TIDAK DIKETAHUI""))"),"#REF!")</f>
        <v>#REF!</v>
      </c>
    </row>
    <row r="2661">
      <c r="A2661" s="21">
        <f t="shared" si="1"/>
        <v>0</v>
      </c>
      <c r="B2661" s="32" t="s">
        <v>92</v>
      </c>
      <c r="C2661" s="23" t="s">
        <v>93</v>
      </c>
      <c r="D2661" s="23" t="s">
        <v>58</v>
      </c>
      <c r="E2661" s="37">
        <v>45436.0</v>
      </c>
      <c r="F2661" s="25">
        <v>0.2708333333333333</v>
      </c>
      <c r="G2661" s="25">
        <v>0.41180555555555554</v>
      </c>
      <c r="H2661" s="27">
        <f t="shared" si="2"/>
        <v>0.1409722222</v>
      </c>
      <c r="I2661" s="28">
        <v>1.0</v>
      </c>
      <c r="J2661" s="29" t="s">
        <v>1238</v>
      </c>
      <c r="K2661" s="30" t="s">
        <v>23</v>
      </c>
      <c r="L2661" s="31" t="str">
        <f>IFERROR(__xludf.DUMMYFUNCTION("IF(OR(E2661="""",K2661=""""),"""",IFERROR(IF(K2661="""","""",query('tbl user'!$A$2:$D10975,""SELECT A WHERE D = '""&amp;K2661&amp;""'"")),""USER TIDAK DIKETAHUI""))"),"#REF!")</f>
        <v>#REF!</v>
      </c>
    </row>
    <row r="2662">
      <c r="A2662" s="21">
        <f t="shared" si="1"/>
        <v>0</v>
      </c>
      <c r="B2662" s="32" t="s">
        <v>104</v>
      </c>
      <c r="C2662" s="23" t="s">
        <v>105</v>
      </c>
      <c r="D2662" s="23" t="s">
        <v>58</v>
      </c>
      <c r="E2662" s="37">
        <v>45436.0</v>
      </c>
      <c r="F2662" s="25">
        <v>0.23680555555555555</v>
      </c>
      <c r="G2662" s="25">
        <v>0.3576388888888889</v>
      </c>
      <c r="H2662" s="27">
        <f t="shared" si="2"/>
        <v>0.1208333333</v>
      </c>
      <c r="I2662" s="28">
        <v>1.0</v>
      </c>
      <c r="J2662" s="29" t="s">
        <v>1239</v>
      </c>
      <c r="K2662" s="30" t="s">
        <v>23</v>
      </c>
      <c r="L2662" s="31" t="str">
        <f>IFERROR(__xludf.DUMMYFUNCTION("IF(OR(E2662="""",K2662=""""),"""",IFERROR(IF(K2662="""","""",query('tbl user'!$A$2:$D10975,""SELECT A WHERE D = '""&amp;K2662&amp;""'"")),""USER TIDAK DIKETAHUI""))"),"#REF!")</f>
        <v>#REF!</v>
      </c>
    </row>
    <row r="2663">
      <c r="A2663" s="21">
        <f t="shared" si="1"/>
        <v>0</v>
      </c>
      <c r="B2663" s="32" t="s">
        <v>175</v>
      </c>
      <c r="C2663" s="23" t="s">
        <v>176</v>
      </c>
      <c r="D2663" s="23" t="s">
        <v>58</v>
      </c>
      <c r="E2663" s="37">
        <v>45436.0</v>
      </c>
      <c r="F2663" s="25">
        <v>0.24375</v>
      </c>
      <c r="G2663" s="25">
        <v>0.6444444444444445</v>
      </c>
      <c r="H2663" s="27">
        <f t="shared" si="2"/>
        <v>0.4006944444</v>
      </c>
      <c r="I2663" s="28">
        <v>2.0</v>
      </c>
      <c r="J2663" s="29" t="s">
        <v>1240</v>
      </c>
      <c r="K2663" s="30" t="s">
        <v>23</v>
      </c>
      <c r="L2663" s="31" t="str">
        <f>IFERROR(__xludf.DUMMYFUNCTION("IF(OR(E2663="""",K2663=""""),"""",IFERROR(IF(K2663="""","""",query('tbl user'!$A$2:$D10975,""SELECT A WHERE D = '""&amp;K2663&amp;""'"")),""USER TIDAK DIKETAHUI""))"),"#REF!")</f>
        <v>#REF!</v>
      </c>
    </row>
    <row r="2664">
      <c r="A2664" s="21">
        <f t="shared" si="1"/>
        <v>0</v>
      </c>
      <c r="B2664" s="32" t="s">
        <v>184</v>
      </c>
      <c r="C2664" s="23" t="s">
        <v>185</v>
      </c>
      <c r="D2664" s="23" t="s">
        <v>58</v>
      </c>
      <c r="E2664" s="37">
        <v>45436.0</v>
      </c>
      <c r="F2664" s="25">
        <v>0.24722222222222223</v>
      </c>
      <c r="G2664" s="25">
        <v>0.5652777777777778</v>
      </c>
      <c r="H2664" s="27">
        <f t="shared" si="2"/>
        <v>0.3180555556</v>
      </c>
      <c r="I2664" s="28">
        <v>2.0</v>
      </c>
      <c r="J2664" s="29" t="s">
        <v>1241</v>
      </c>
      <c r="K2664" s="30" t="s">
        <v>23</v>
      </c>
      <c r="L2664" s="31" t="str">
        <f>IFERROR(__xludf.DUMMYFUNCTION("IF(OR(E2664="""",K2664=""""),"""",IFERROR(IF(K2664="""","""",query('tbl user'!$A$2:$D10975,""SELECT A WHERE D = '""&amp;K2664&amp;""'"")),""USER TIDAK DIKETAHUI""))"),"#REF!")</f>
        <v>#REF!</v>
      </c>
    </row>
    <row r="2665">
      <c r="A2665" s="21">
        <f t="shared" si="1"/>
        <v>0</v>
      </c>
      <c r="B2665" s="32" t="s">
        <v>202</v>
      </c>
      <c r="C2665" s="23" t="s">
        <v>203</v>
      </c>
      <c r="D2665" s="23" t="s">
        <v>58</v>
      </c>
      <c r="E2665" s="37">
        <v>45436.0</v>
      </c>
      <c r="F2665" s="25">
        <v>0.2534722222222222</v>
      </c>
      <c r="G2665" s="25">
        <v>0.6229166666666667</v>
      </c>
      <c r="H2665" s="27">
        <f t="shared" si="2"/>
        <v>0.3694444444</v>
      </c>
      <c r="I2665" s="28">
        <v>2.0</v>
      </c>
      <c r="J2665" s="29" t="s">
        <v>1242</v>
      </c>
      <c r="K2665" s="30" t="s">
        <v>23</v>
      </c>
      <c r="L2665" s="31" t="str">
        <f>IFERROR(__xludf.DUMMYFUNCTION("IF(OR(E2665="""",K2665=""""),"""",IFERROR(IF(K2665="""","""",query('tbl user'!$A$2:$D10975,""SELECT A WHERE D = '""&amp;K2665&amp;""'"")),""USER TIDAK DIKETAHUI""))"),"#REF!")</f>
        <v>#REF!</v>
      </c>
    </row>
    <row r="2666">
      <c r="A2666" s="21">
        <f t="shared" si="1"/>
        <v>0</v>
      </c>
      <c r="B2666" s="32" t="s">
        <v>34</v>
      </c>
      <c r="C2666" s="23" t="s">
        <v>348</v>
      </c>
      <c r="D2666" s="23" t="s">
        <v>58</v>
      </c>
      <c r="E2666" s="37">
        <v>45436.0</v>
      </c>
      <c r="F2666" s="25">
        <v>0.3368055555555556</v>
      </c>
      <c r="G2666" s="25">
        <v>0.6625</v>
      </c>
      <c r="H2666" s="27">
        <f t="shared" si="2"/>
        <v>0.3256944444</v>
      </c>
      <c r="I2666" s="28">
        <v>2.0</v>
      </c>
      <c r="J2666" s="29" t="s">
        <v>1243</v>
      </c>
      <c r="K2666" s="30" t="s">
        <v>23</v>
      </c>
      <c r="L2666" s="31" t="str">
        <f>IFERROR(__xludf.DUMMYFUNCTION("IF(OR(E2666="""",K2666=""""),"""",IFERROR(IF(K2666="""","""",query('tbl user'!$A$2:$D10975,""SELECT A WHERE D = '""&amp;K2666&amp;""'"")),""USER TIDAK DIKETAHUI""))"),"#REF!")</f>
        <v>#REF!</v>
      </c>
    </row>
    <row r="2667">
      <c r="A2667" s="21">
        <f t="shared" si="1"/>
        <v>0</v>
      </c>
      <c r="B2667" s="32" t="s">
        <v>153</v>
      </c>
      <c r="C2667" s="23" t="s">
        <v>68</v>
      </c>
      <c r="D2667" s="23" t="s">
        <v>58</v>
      </c>
      <c r="E2667" s="37">
        <v>45436.0</v>
      </c>
      <c r="F2667" s="25">
        <v>0.2791666666666667</v>
      </c>
      <c r="G2667" s="25">
        <v>0.6923611111111111</v>
      </c>
      <c r="H2667" s="27">
        <f t="shared" si="2"/>
        <v>0.4131944444</v>
      </c>
      <c r="I2667" s="28">
        <v>3.0</v>
      </c>
      <c r="J2667" s="29" t="s">
        <v>1057</v>
      </c>
      <c r="K2667" s="30" t="s">
        <v>23</v>
      </c>
      <c r="L2667" s="31" t="str">
        <f>IFERROR(__xludf.DUMMYFUNCTION("IF(OR(E2667="""",K2667=""""),"""",IFERROR(IF(K2667="""","""",query('tbl user'!$A$2:$D10975,""SELECT A WHERE D = '""&amp;K2667&amp;""'"")),""USER TIDAK DIKETAHUI""))"),"#REF!")</f>
        <v>#REF!</v>
      </c>
    </row>
    <row r="2668">
      <c r="A2668" s="21">
        <f t="shared" si="1"/>
        <v>0</v>
      </c>
      <c r="B2668" s="32" t="s">
        <v>167</v>
      </c>
      <c r="C2668" s="23" t="s">
        <v>168</v>
      </c>
      <c r="D2668" s="23" t="s">
        <v>58</v>
      </c>
      <c r="E2668" s="37">
        <v>45436.0</v>
      </c>
      <c r="F2668" s="25">
        <v>0.26875</v>
      </c>
      <c r="G2668" s="25">
        <v>0.6416666666666667</v>
      </c>
      <c r="H2668" s="27">
        <f t="shared" si="2"/>
        <v>0.3729166667</v>
      </c>
      <c r="I2668" s="28">
        <v>3.0</v>
      </c>
      <c r="J2668" s="29" t="s">
        <v>1244</v>
      </c>
      <c r="K2668" s="30" t="s">
        <v>23</v>
      </c>
      <c r="L2668" s="31" t="str">
        <f>IFERROR(__xludf.DUMMYFUNCTION("IF(OR(E2668="""",K2668=""""),"""",IFERROR(IF(K2668="""","""",query('tbl user'!$A$2:$D10975,""SELECT A WHERE D = '""&amp;K2668&amp;""'"")),""USER TIDAK DIKETAHUI""))"),"#REF!")</f>
        <v>#REF!</v>
      </c>
    </row>
    <row r="2669">
      <c r="A2669" s="21">
        <f t="shared" si="1"/>
        <v>0</v>
      </c>
      <c r="B2669" s="32" t="s">
        <v>56</v>
      </c>
      <c r="C2669" s="23" t="s">
        <v>57</v>
      </c>
      <c r="D2669" s="23" t="s">
        <v>58</v>
      </c>
      <c r="E2669" s="37">
        <v>45436.0</v>
      </c>
      <c r="F2669" s="25">
        <v>0.26875</v>
      </c>
      <c r="G2669" s="25">
        <v>0.6611111111111111</v>
      </c>
      <c r="H2669" s="27">
        <f t="shared" si="2"/>
        <v>0.3923611111</v>
      </c>
      <c r="I2669" s="28">
        <v>3.0</v>
      </c>
      <c r="J2669" s="29" t="s">
        <v>894</v>
      </c>
      <c r="K2669" s="30" t="s">
        <v>23</v>
      </c>
      <c r="L2669" s="31" t="str">
        <f>IFERROR(__xludf.DUMMYFUNCTION("IF(OR(E2669="""",K2669=""""),"""",IFERROR(IF(K2669="""","""",query('tbl user'!$A$2:$D10975,""SELECT A WHERE D = '""&amp;K2669&amp;""'"")),""USER TIDAK DIKETAHUI""))"),"#REF!")</f>
        <v>#REF!</v>
      </c>
    </row>
    <row r="2670">
      <c r="A2670" s="21">
        <f t="shared" si="1"/>
        <v>0</v>
      </c>
      <c r="B2670" s="32" t="s">
        <v>178</v>
      </c>
      <c r="C2670" s="23" t="s">
        <v>82</v>
      </c>
      <c r="D2670" s="23" t="s">
        <v>58</v>
      </c>
      <c r="E2670" s="37">
        <v>45436.0</v>
      </c>
      <c r="F2670" s="25">
        <v>0.24791666666666667</v>
      </c>
      <c r="G2670" s="25">
        <v>0.6270833333333333</v>
      </c>
      <c r="H2670" s="27">
        <f t="shared" si="2"/>
        <v>0.3791666667</v>
      </c>
      <c r="I2670" s="28">
        <v>3.0</v>
      </c>
      <c r="J2670" s="29" t="s">
        <v>1245</v>
      </c>
      <c r="K2670" s="30" t="s">
        <v>23</v>
      </c>
      <c r="L2670" s="31" t="str">
        <f>IFERROR(__xludf.DUMMYFUNCTION("IF(OR(E2670="""",K2670=""""),"""",IFERROR(IF(K2670="""","""",query('tbl user'!$A$2:$D10975,""SELECT A WHERE D = '""&amp;K2670&amp;""'"")),""USER TIDAK DIKETAHUI""))"),"#REF!")</f>
        <v>#REF!</v>
      </c>
    </row>
    <row r="2671">
      <c r="A2671" s="21">
        <f t="shared" si="1"/>
        <v>0</v>
      </c>
      <c r="B2671" s="32" t="s">
        <v>187</v>
      </c>
      <c r="C2671" s="23" t="s">
        <v>188</v>
      </c>
      <c r="D2671" s="23" t="s">
        <v>58</v>
      </c>
      <c r="E2671" s="37">
        <v>45436.0</v>
      </c>
      <c r="F2671" s="25">
        <v>0.23402777777777778</v>
      </c>
      <c r="G2671" s="25">
        <v>0.6909722222222222</v>
      </c>
      <c r="H2671" s="27">
        <f t="shared" si="2"/>
        <v>0.4569444444</v>
      </c>
      <c r="I2671" s="28">
        <v>3.0</v>
      </c>
      <c r="J2671" s="29" t="s">
        <v>1246</v>
      </c>
      <c r="K2671" s="30" t="s">
        <v>23</v>
      </c>
      <c r="L2671" s="31" t="str">
        <f>IFERROR(__xludf.DUMMYFUNCTION("IF(OR(E2671="""",K2671=""""),"""",IFERROR(IF(K2671="""","""",query('tbl user'!$A$2:$D10975,""SELECT A WHERE D = '""&amp;K2671&amp;""'"")),""USER TIDAK DIKETAHUI""))"),"#REF!")</f>
        <v>#REF!</v>
      </c>
    </row>
    <row r="2672">
      <c r="A2672" s="21">
        <f t="shared" si="1"/>
        <v>0</v>
      </c>
      <c r="B2672" s="32" t="s">
        <v>95</v>
      </c>
      <c r="C2672" s="23" t="s">
        <v>190</v>
      </c>
      <c r="D2672" s="23" t="s">
        <v>58</v>
      </c>
      <c r="E2672" s="37">
        <v>45436.0</v>
      </c>
      <c r="F2672" s="25">
        <v>0.26805555555555555</v>
      </c>
      <c r="G2672" s="25">
        <v>0.61875</v>
      </c>
      <c r="H2672" s="27">
        <f t="shared" si="2"/>
        <v>0.3506944444</v>
      </c>
      <c r="I2672" s="28">
        <v>3.0</v>
      </c>
      <c r="J2672" s="29" t="s">
        <v>894</v>
      </c>
      <c r="K2672" s="30" t="s">
        <v>23</v>
      </c>
      <c r="L2672" s="31" t="str">
        <f>IFERROR(__xludf.DUMMYFUNCTION("IF(OR(E2672="""",K2672=""""),"""",IFERROR(IF(K2672="""","""",query('tbl user'!$A$2:$D10975,""SELECT A WHERE D = '""&amp;K2672&amp;""'"")),""USER TIDAK DIKETAHUI""))"),"#REF!")</f>
        <v>#REF!</v>
      </c>
    </row>
    <row r="2673">
      <c r="A2673" s="21">
        <f t="shared" si="1"/>
        <v>0</v>
      </c>
      <c r="B2673" s="32" t="s">
        <v>191</v>
      </c>
      <c r="C2673" s="23" t="s">
        <v>192</v>
      </c>
      <c r="D2673" s="23" t="s">
        <v>58</v>
      </c>
      <c r="E2673" s="37">
        <v>45436.0</v>
      </c>
      <c r="F2673" s="25">
        <v>0.2590277777777778</v>
      </c>
      <c r="G2673" s="25">
        <v>0.6395833333333333</v>
      </c>
      <c r="H2673" s="27">
        <f t="shared" si="2"/>
        <v>0.3805555556</v>
      </c>
      <c r="I2673" s="28">
        <v>3.0</v>
      </c>
      <c r="J2673" s="29" t="s">
        <v>894</v>
      </c>
      <c r="K2673" s="30" t="s">
        <v>23</v>
      </c>
      <c r="L2673" s="31" t="str">
        <f>IFERROR(__xludf.DUMMYFUNCTION("IF(OR(E2673="""",K2673=""""),"""",IFERROR(IF(K2673="""","""",query('tbl user'!$A$2:$D10975,""SELECT A WHERE D = '""&amp;K2673&amp;""'"")),""USER TIDAK DIKETAHUI""))"),"#REF!")</f>
        <v>#REF!</v>
      </c>
    </row>
    <row r="2674">
      <c r="A2674" s="21">
        <f t="shared" si="1"/>
        <v>0</v>
      </c>
      <c r="B2674" s="32" t="s">
        <v>194</v>
      </c>
      <c r="C2674" s="23" t="s">
        <v>195</v>
      </c>
      <c r="D2674" s="23" t="s">
        <v>58</v>
      </c>
      <c r="E2674" s="37">
        <v>45436.0</v>
      </c>
      <c r="F2674" s="25">
        <v>0.2298611111111111</v>
      </c>
      <c r="G2674" s="25">
        <v>0.6159722222222223</v>
      </c>
      <c r="H2674" s="27">
        <f t="shared" si="2"/>
        <v>0.3861111111</v>
      </c>
      <c r="I2674" s="28">
        <v>3.0</v>
      </c>
      <c r="J2674" s="29" t="s">
        <v>894</v>
      </c>
      <c r="K2674" s="30" t="s">
        <v>23</v>
      </c>
      <c r="L2674" s="31" t="str">
        <f>IFERROR(__xludf.DUMMYFUNCTION("IF(OR(E2674="""",K2674=""""),"""",IFERROR(IF(K2674="""","""",query('tbl user'!$A$2:$D10975,""SELECT A WHERE D = '""&amp;K2674&amp;""'"")),""USER TIDAK DIKETAHUI""))"),"#REF!")</f>
        <v>#REF!</v>
      </c>
    </row>
    <row r="2675">
      <c r="A2675" s="21">
        <f t="shared" si="1"/>
        <v>0</v>
      </c>
      <c r="B2675" s="32" t="s">
        <v>224</v>
      </c>
      <c r="C2675" s="23" t="s">
        <v>208</v>
      </c>
      <c r="D2675" s="23" t="s">
        <v>58</v>
      </c>
      <c r="E2675" s="37">
        <v>45436.0</v>
      </c>
      <c r="F2675" s="25">
        <v>0.25833333333333336</v>
      </c>
      <c r="G2675" s="25">
        <v>0.6993055555555555</v>
      </c>
      <c r="H2675" s="27">
        <f t="shared" si="2"/>
        <v>0.4409722222</v>
      </c>
      <c r="I2675" s="28">
        <v>3.0</v>
      </c>
      <c r="J2675" s="29" t="s">
        <v>894</v>
      </c>
      <c r="K2675" s="30" t="s">
        <v>23</v>
      </c>
      <c r="L2675" s="31" t="str">
        <f>IFERROR(__xludf.DUMMYFUNCTION("IF(OR(E2675="""",K2675=""""),"""",IFERROR(IF(K2675="""","""",query('tbl user'!$A$2:$D10975,""SELECT A WHERE D = '""&amp;K2675&amp;""'"")),""USER TIDAK DIKETAHUI""))"),"#REF!")</f>
        <v>#REF!</v>
      </c>
    </row>
    <row r="2676">
      <c r="A2676" s="21">
        <f t="shared" si="1"/>
        <v>0</v>
      </c>
      <c r="B2676" s="32" t="s">
        <v>84</v>
      </c>
      <c r="C2676" s="23" t="s">
        <v>85</v>
      </c>
      <c r="D2676" s="23" t="s">
        <v>58</v>
      </c>
      <c r="E2676" s="37">
        <v>45436.0</v>
      </c>
      <c r="F2676" s="25">
        <v>0.27847222222222223</v>
      </c>
      <c r="G2676" s="25">
        <v>0.6819444444444445</v>
      </c>
      <c r="H2676" s="27">
        <f t="shared" si="2"/>
        <v>0.4034722222</v>
      </c>
      <c r="I2676" s="28">
        <v>3.0</v>
      </c>
      <c r="J2676" s="29" t="s">
        <v>894</v>
      </c>
      <c r="K2676" s="30" t="s">
        <v>23</v>
      </c>
      <c r="L2676" s="31" t="str">
        <f>IFERROR(__xludf.DUMMYFUNCTION("IF(OR(E2676="""",K2676=""""),"""",IFERROR(IF(K2676="""","""",query('tbl user'!$A$2:$D10975,""SELECT A WHERE D = '""&amp;K2676&amp;""'"")),""USER TIDAK DIKETAHUI""))"),"#REF!")</f>
        <v>#REF!</v>
      </c>
    </row>
    <row r="2677">
      <c r="A2677" s="21">
        <f t="shared" si="1"/>
        <v>0</v>
      </c>
      <c r="B2677" s="32" t="s">
        <v>180</v>
      </c>
      <c r="C2677" s="23" t="s">
        <v>181</v>
      </c>
      <c r="D2677" s="23" t="s">
        <v>58</v>
      </c>
      <c r="E2677" s="37">
        <v>45436.0</v>
      </c>
      <c r="F2677" s="25">
        <v>0.2263888888888889</v>
      </c>
      <c r="G2677" s="25">
        <v>0.6673611111111111</v>
      </c>
      <c r="H2677" s="27">
        <f t="shared" si="2"/>
        <v>0.4409722222</v>
      </c>
      <c r="I2677" s="28">
        <v>4.0</v>
      </c>
      <c r="J2677" s="29" t="s">
        <v>55</v>
      </c>
      <c r="K2677" s="30" t="s">
        <v>23</v>
      </c>
      <c r="L2677" s="31" t="str">
        <f>IFERROR(__xludf.DUMMYFUNCTION("IF(OR(E2677="""",K2677=""""),"""",IFERROR(IF(K2677="""","""",query('tbl user'!$A$2:$D10975,""SELECT A WHERE D = '""&amp;K2677&amp;""'"")),""USER TIDAK DIKETAHUI""))"),"#REF!")</f>
        <v>#REF!</v>
      </c>
    </row>
    <row r="2678">
      <c r="A2678" s="21">
        <f t="shared" si="1"/>
        <v>0</v>
      </c>
      <c r="B2678" s="32" t="s">
        <v>182</v>
      </c>
      <c r="C2678" s="23" t="s">
        <v>183</v>
      </c>
      <c r="D2678" s="23" t="s">
        <v>58</v>
      </c>
      <c r="E2678" s="37">
        <v>45436.0</v>
      </c>
      <c r="F2678" s="25">
        <v>0.23402777777777778</v>
      </c>
      <c r="G2678" s="25">
        <v>0.6618055555555555</v>
      </c>
      <c r="H2678" s="27">
        <f t="shared" si="2"/>
        <v>0.4277777778</v>
      </c>
      <c r="I2678" s="28">
        <v>4.0</v>
      </c>
      <c r="J2678" s="29" t="s">
        <v>55</v>
      </c>
      <c r="K2678" s="30" t="s">
        <v>23</v>
      </c>
      <c r="L2678" s="31" t="str">
        <f>IFERROR(__xludf.DUMMYFUNCTION("IF(OR(E2678="""",K2678=""""),"""",IFERROR(IF(K2678="""","""",query('tbl user'!$A$2:$D10975,""SELECT A WHERE D = '""&amp;K2678&amp;""'"")),""USER TIDAK DIKETAHUI""))"),"#REF!")</f>
        <v>#REF!</v>
      </c>
    </row>
    <row r="2679">
      <c r="A2679" s="21">
        <f t="shared" si="1"/>
        <v>0</v>
      </c>
      <c r="B2679" s="32" t="s">
        <v>197</v>
      </c>
      <c r="C2679" s="23" t="s">
        <v>198</v>
      </c>
      <c r="D2679" s="23" t="s">
        <v>58</v>
      </c>
      <c r="E2679" s="37">
        <v>45436.0</v>
      </c>
      <c r="F2679" s="25">
        <v>0.20555555555555555</v>
      </c>
      <c r="G2679" s="25">
        <v>0.65625</v>
      </c>
      <c r="H2679" s="27">
        <f t="shared" si="2"/>
        <v>0.4506944444</v>
      </c>
      <c r="I2679" s="28">
        <v>4.0</v>
      </c>
      <c r="J2679" s="29" t="s">
        <v>55</v>
      </c>
      <c r="K2679" s="30" t="s">
        <v>23</v>
      </c>
      <c r="L2679" s="31" t="str">
        <f>IFERROR(__xludf.DUMMYFUNCTION("IF(OR(E2679="""",K2679=""""),"""",IFERROR(IF(K2679="""","""",query('tbl user'!$A$2:$D10975,""SELECT A WHERE D = '""&amp;K2679&amp;""'"")),""USER TIDAK DIKETAHUI""))"),"#REF!")</f>
        <v>#REF!</v>
      </c>
    </row>
    <row r="2680">
      <c r="A2680" s="21">
        <f t="shared" si="1"/>
        <v>0</v>
      </c>
      <c r="B2680" s="32" t="s">
        <v>200</v>
      </c>
      <c r="C2680" s="23" t="s">
        <v>201</v>
      </c>
      <c r="D2680" s="23" t="s">
        <v>58</v>
      </c>
      <c r="E2680" s="37">
        <v>45436.0</v>
      </c>
      <c r="F2680" s="25">
        <v>0.20625</v>
      </c>
      <c r="G2680" s="25">
        <v>0.68125</v>
      </c>
      <c r="H2680" s="27">
        <f t="shared" si="2"/>
        <v>0.475</v>
      </c>
      <c r="I2680" s="28">
        <v>4.0</v>
      </c>
      <c r="J2680" s="29" t="s">
        <v>55</v>
      </c>
      <c r="K2680" s="30" t="s">
        <v>23</v>
      </c>
      <c r="L2680" s="31" t="str">
        <f>IFERROR(__xludf.DUMMYFUNCTION("IF(OR(E2680="""",K2680=""""),"""",IFERROR(IF(K2680="""","""",query('tbl user'!$A$2:$D10975,""SELECT A WHERE D = '""&amp;K2680&amp;""'"")),""USER TIDAK DIKETAHUI""))"),"#REF!")</f>
        <v>#REF!</v>
      </c>
    </row>
    <row r="2681">
      <c r="A2681" s="21">
        <f t="shared" si="1"/>
        <v>0</v>
      </c>
      <c r="B2681" s="32" t="s">
        <v>64</v>
      </c>
      <c r="C2681" s="23" t="s">
        <v>65</v>
      </c>
      <c r="D2681" s="23" t="s">
        <v>21</v>
      </c>
      <c r="E2681" s="37">
        <v>45436.0</v>
      </c>
      <c r="F2681" s="25">
        <v>0.2881944444444444</v>
      </c>
      <c r="G2681" s="25">
        <v>0.4791666666666667</v>
      </c>
      <c r="H2681" s="27">
        <f t="shared" si="2"/>
        <v>0.1909722222</v>
      </c>
      <c r="I2681" s="28">
        <v>1.0</v>
      </c>
      <c r="J2681" s="29" t="s">
        <v>1247</v>
      </c>
      <c r="K2681" s="30" t="s">
        <v>23</v>
      </c>
      <c r="L2681" s="31" t="str">
        <f>IFERROR(__xludf.DUMMYFUNCTION("IF(OR(E2681="""",K2681=""""),"""",IFERROR(IF(K2681="""","""",query('tbl user'!$A$2:$D10975,""SELECT A WHERE D = '""&amp;K2681&amp;""'"")),""USER TIDAK DIKETAHUI""))"),"#REF!")</f>
        <v>#REF!</v>
      </c>
    </row>
    <row r="2682">
      <c r="A2682" s="21">
        <f t="shared" si="1"/>
        <v>0</v>
      </c>
      <c r="B2682" s="32" t="s">
        <v>61</v>
      </c>
      <c r="C2682" s="23" t="s">
        <v>285</v>
      </c>
      <c r="D2682" s="23" t="s">
        <v>21</v>
      </c>
      <c r="E2682" s="37">
        <v>45436.0</v>
      </c>
      <c r="F2682" s="25">
        <v>0.28888888888888886</v>
      </c>
      <c r="G2682" s="25">
        <v>0.5451388888888888</v>
      </c>
      <c r="H2682" s="27">
        <f t="shared" si="2"/>
        <v>0.25625</v>
      </c>
      <c r="I2682" s="28">
        <v>1.0</v>
      </c>
      <c r="J2682" s="29" t="s">
        <v>1248</v>
      </c>
      <c r="K2682" s="30" t="s">
        <v>23</v>
      </c>
      <c r="L2682" s="31" t="str">
        <f>IFERROR(__xludf.DUMMYFUNCTION("IF(OR(E2682="""",K2682=""""),"""",IFERROR(IF(K2682="""","""",query('tbl user'!$A$2:$D10975,""SELECT A WHERE D = '""&amp;K2682&amp;""'"")),""USER TIDAK DIKETAHUI""))"),"#REF!")</f>
        <v>#REF!</v>
      </c>
    </row>
    <row r="2683">
      <c r="A2683" s="21">
        <f t="shared" si="1"/>
        <v>0</v>
      </c>
      <c r="B2683" s="32" t="s">
        <v>101</v>
      </c>
      <c r="C2683" s="23" t="s">
        <v>282</v>
      </c>
      <c r="D2683" s="23" t="s">
        <v>21</v>
      </c>
      <c r="E2683" s="37">
        <v>45436.0</v>
      </c>
      <c r="F2683" s="25">
        <v>0.2881944444444444</v>
      </c>
      <c r="G2683" s="25">
        <v>0.6208333333333333</v>
      </c>
      <c r="H2683" s="27">
        <f t="shared" si="2"/>
        <v>0.3326388889</v>
      </c>
      <c r="I2683" s="28">
        <v>2.0</v>
      </c>
      <c r="J2683" s="29" t="s">
        <v>1249</v>
      </c>
      <c r="K2683" s="30" t="s">
        <v>23</v>
      </c>
      <c r="L2683" s="31" t="str">
        <f>IFERROR(__xludf.DUMMYFUNCTION("IF(OR(E2683="""",K2683=""""),"""",IFERROR(IF(K2683="""","""",query('tbl user'!$A$2:$D10975,""SELECT A WHERE D = '""&amp;K2683&amp;""'"")),""USER TIDAK DIKETAHUI""))"),"#REF!")</f>
        <v>#REF!</v>
      </c>
    </row>
    <row r="2684">
      <c r="A2684" s="21">
        <f t="shared" si="1"/>
        <v>0</v>
      </c>
      <c r="B2684" s="32" t="s">
        <v>289</v>
      </c>
      <c r="C2684" s="23" t="s">
        <v>290</v>
      </c>
      <c r="D2684" s="23" t="s">
        <v>21</v>
      </c>
      <c r="E2684" s="37">
        <v>45436.0</v>
      </c>
      <c r="F2684" s="25">
        <v>0.26458333333333334</v>
      </c>
      <c r="G2684" s="25">
        <v>0.6694444444444444</v>
      </c>
      <c r="H2684" s="27">
        <f t="shared" si="2"/>
        <v>0.4048611111</v>
      </c>
      <c r="I2684" s="28">
        <v>2.0</v>
      </c>
      <c r="J2684" s="29" t="s">
        <v>621</v>
      </c>
      <c r="K2684" s="30" t="s">
        <v>23</v>
      </c>
      <c r="L2684" s="31" t="str">
        <f>IFERROR(__xludf.DUMMYFUNCTION("IF(OR(E2684="""",K2684=""""),"""",IFERROR(IF(K2684="""","""",query('tbl user'!$A$2:$D10975,""SELECT A WHERE D = '""&amp;K2684&amp;""'"")),""USER TIDAK DIKETAHUI""))"),"#REF!")</f>
        <v>#REF!</v>
      </c>
    </row>
    <row r="2685">
      <c r="A2685" s="21">
        <f t="shared" si="1"/>
        <v>0</v>
      </c>
      <c r="B2685" s="32" t="s">
        <v>51</v>
      </c>
      <c r="C2685" s="23" t="s">
        <v>27</v>
      </c>
      <c r="D2685" s="23" t="s">
        <v>21</v>
      </c>
      <c r="E2685" s="37">
        <v>45436.0</v>
      </c>
      <c r="F2685" s="25">
        <v>0.2902777777777778</v>
      </c>
      <c r="G2685" s="25">
        <v>0.6701388888888888</v>
      </c>
      <c r="H2685" s="27">
        <f t="shared" si="2"/>
        <v>0.3798611111</v>
      </c>
      <c r="I2685" s="28">
        <v>2.0</v>
      </c>
      <c r="J2685" s="29" t="s">
        <v>894</v>
      </c>
      <c r="K2685" s="30" t="s">
        <v>23</v>
      </c>
      <c r="L2685" s="31" t="str">
        <f>IFERROR(__xludf.DUMMYFUNCTION("IF(OR(E2685="""",K2685=""""),"""",IFERROR(IF(K2685="""","""",query('tbl user'!$A$2:$D10975,""SELECT A WHERE D = '""&amp;K2685&amp;""'"")),""USER TIDAK DIKETAHUI""))"),"#REF!")</f>
        <v>#REF!</v>
      </c>
    </row>
    <row r="2686">
      <c r="A2686" s="21">
        <f t="shared" si="1"/>
        <v>0</v>
      </c>
      <c r="B2686" s="32" t="s">
        <v>37</v>
      </c>
      <c r="C2686" s="23" t="s">
        <v>38</v>
      </c>
      <c r="D2686" s="23" t="s">
        <v>21</v>
      </c>
      <c r="E2686" s="37">
        <v>45436.0</v>
      </c>
      <c r="F2686" s="25">
        <v>0.28194444444444444</v>
      </c>
      <c r="G2686" s="25">
        <v>0.6826388888888889</v>
      </c>
      <c r="H2686" s="27">
        <f t="shared" si="2"/>
        <v>0.4006944444</v>
      </c>
      <c r="I2686" s="28">
        <v>3.0</v>
      </c>
      <c r="J2686" s="29" t="s">
        <v>894</v>
      </c>
      <c r="K2686" s="30" t="s">
        <v>23</v>
      </c>
      <c r="L2686" s="31" t="str">
        <f>IFERROR(__xludf.DUMMYFUNCTION("IF(OR(E2686="""",K2686=""""),"""",IFERROR(IF(K2686="""","""",query('tbl user'!$A$2:$D10975,""SELECT A WHERE D = '""&amp;K2686&amp;""'"")),""USER TIDAK DIKETAHUI""))"),"#REF!")</f>
        <v>#REF!</v>
      </c>
    </row>
    <row r="2687">
      <c r="A2687" s="21">
        <f t="shared" si="1"/>
        <v>0</v>
      </c>
      <c r="B2687" s="32" t="s">
        <v>253</v>
      </c>
      <c r="C2687" s="23" t="s">
        <v>102</v>
      </c>
      <c r="D2687" s="23" t="s">
        <v>21</v>
      </c>
      <c r="E2687" s="37">
        <v>45436.0</v>
      </c>
      <c r="F2687" s="25">
        <v>0.25972222222222224</v>
      </c>
      <c r="G2687" s="25">
        <v>0.40694444444444444</v>
      </c>
      <c r="H2687" s="27">
        <f t="shared" si="2"/>
        <v>0.1472222222</v>
      </c>
      <c r="I2687" s="28">
        <v>1.0</v>
      </c>
      <c r="J2687" s="29" t="s">
        <v>1250</v>
      </c>
      <c r="K2687" s="30" t="s">
        <v>23</v>
      </c>
      <c r="L2687" s="31" t="str">
        <f>IFERROR(__xludf.DUMMYFUNCTION("IF(OR(E2687="""",K2687=""""),"""",IFERROR(IF(K2687="""","""",query('tbl user'!$A$2:$D10975,""SELECT A WHERE D = '""&amp;K2687&amp;""'"")),""USER TIDAK DIKETAHUI""))"),"#REF!")</f>
        <v>#REF!</v>
      </c>
    </row>
    <row r="2688">
      <c r="A2688" s="21">
        <f t="shared" si="1"/>
        <v>0</v>
      </c>
      <c r="B2688" s="32" t="s">
        <v>43</v>
      </c>
      <c r="C2688" s="23" t="s">
        <v>44</v>
      </c>
      <c r="D2688" s="23" t="s">
        <v>21</v>
      </c>
      <c r="E2688" s="37">
        <v>45436.0</v>
      </c>
      <c r="F2688" s="25">
        <v>0.2743055555555556</v>
      </c>
      <c r="G2688" s="25">
        <v>0.6465277777777778</v>
      </c>
      <c r="H2688" s="27">
        <f t="shared" si="2"/>
        <v>0.3722222222</v>
      </c>
      <c r="I2688" s="28">
        <v>2.0</v>
      </c>
      <c r="J2688" s="29" t="s">
        <v>1251</v>
      </c>
      <c r="K2688" s="30" t="s">
        <v>23</v>
      </c>
      <c r="L2688" s="31" t="str">
        <f>IFERROR(__xludf.DUMMYFUNCTION("IF(OR(E2688="""",K2688=""""),"""",IFERROR(IF(K2688="""","""",query('tbl user'!$A$2:$D10975,""SELECT A WHERE D = '""&amp;K2688&amp;""'"")),""USER TIDAK DIKETAHUI""))"),"#REF!")</f>
        <v>#REF!</v>
      </c>
    </row>
    <row r="2689">
      <c r="A2689" s="21">
        <f t="shared" si="1"/>
        <v>0</v>
      </c>
      <c r="B2689" s="32" t="s">
        <v>593</v>
      </c>
      <c r="C2689" s="23" t="s">
        <v>236</v>
      </c>
      <c r="D2689" s="23" t="s">
        <v>21</v>
      </c>
      <c r="E2689" s="37">
        <v>45436.0</v>
      </c>
      <c r="F2689" s="25">
        <v>0.23958333333333334</v>
      </c>
      <c r="G2689" s="25">
        <v>0.44166666666666665</v>
      </c>
      <c r="H2689" s="27">
        <f t="shared" si="2"/>
        <v>0.2020833333</v>
      </c>
      <c r="I2689" s="28">
        <v>2.0</v>
      </c>
      <c r="J2689" s="29" t="s">
        <v>1252</v>
      </c>
      <c r="K2689" s="30" t="s">
        <v>23</v>
      </c>
      <c r="L2689" s="31" t="str">
        <f>IFERROR(__xludf.DUMMYFUNCTION("IF(OR(E2689="""",K2689=""""),"""",IFERROR(IF(K2689="""","""",query('tbl user'!$A$2:$D10975,""SELECT A WHERE D = '""&amp;K2689&amp;""'"")),""USER TIDAK DIKETAHUI""))"),"#REF!")</f>
        <v>#REF!</v>
      </c>
    </row>
    <row r="2690">
      <c r="A2690" s="21">
        <f t="shared" si="1"/>
        <v>0</v>
      </c>
      <c r="B2690" s="32" t="s">
        <v>577</v>
      </c>
      <c r="C2690" s="23" t="s">
        <v>330</v>
      </c>
      <c r="D2690" s="23" t="s">
        <v>21</v>
      </c>
      <c r="E2690" s="37">
        <v>45436.0</v>
      </c>
      <c r="F2690" s="25">
        <v>0.2604166666666667</v>
      </c>
      <c r="G2690" s="25">
        <v>0.5333333333333333</v>
      </c>
      <c r="H2690" s="27">
        <f t="shared" si="2"/>
        <v>0.2729166667</v>
      </c>
      <c r="I2690" s="28">
        <v>2.0</v>
      </c>
      <c r="J2690" s="29" t="s">
        <v>1253</v>
      </c>
      <c r="K2690" s="30" t="s">
        <v>23</v>
      </c>
      <c r="L2690" s="31" t="str">
        <f>IFERROR(__xludf.DUMMYFUNCTION("IF(OR(E2690="""",K2690=""""),"""",IFERROR(IF(K2690="""","""",query('tbl user'!$A$2:$D10975,""SELECT A WHERE D = '""&amp;K2690&amp;""'"")),""USER TIDAK DIKETAHUI""))"),"#REF!")</f>
        <v>#REF!</v>
      </c>
    </row>
    <row r="2691">
      <c r="A2691" s="21">
        <f t="shared" si="1"/>
        <v>0</v>
      </c>
      <c r="B2691" s="32" t="s">
        <v>260</v>
      </c>
      <c r="C2691" s="23" t="s">
        <v>261</v>
      </c>
      <c r="D2691" s="23" t="s">
        <v>21</v>
      </c>
      <c r="E2691" s="37">
        <v>45436.0</v>
      </c>
      <c r="F2691" s="25">
        <v>0.23125</v>
      </c>
      <c r="G2691" s="25">
        <v>0.5444444444444444</v>
      </c>
      <c r="H2691" s="27">
        <f t="shared" si="2"/>
        <v>0.3131944444</v>
      </c>
      <c r="I2691" s="28">
        <v>2.0</v>
      </c>
      <c r="J2691" s="29" t="s">
        <v>1254</v>
      </c>
      <c r="K2691" s="30" t="s">
        <v>23</v>
      </c>
      <c r="L2691" s="31" t="str">
        <f>IFERROR(__xludf.DUMMYFUNCTION("IF(OR(E2691="""",K2691=""""),"""",IFERROR(IF(K2691="""","""",query('tbl user'!$A$2:$D10975,""SELECT A WHERE D = '""&amp;K2691&amp;""'"")),""USER TIDAK DIKETAHUI""))"),"#REF!")</f>
        <v>#REF!</v>
      </c>
    </row>
    <row r="2692">
      <c r="A2692" s="21">
        <f t="shared" si="1"/>
        <v>0</v>
      </c>
      <c r="B2692" s="32" t="s">
        <v>333</v>
      </c>
      <c r="C2692" s="23" t="s">
        <v>334</v>
      </c>
      <c r="D2692" s="23" t="s">
        <v>21</v>
      </c>
      <c r="E2692" s="37">
        <v>45436.0</v>
      </c>
      <c r="F2692" s="25">
        <v>0.2847222222222222</v>
      </c>
      <c r="G2692" s="25">
        <v>0.71875</v>
      </c>
      <c r="H2692" s="27">
        <f t="shared" si="2"/>
        <v>0.4340277778</v>
      </c>
      <c r="I2692" s="28">
        <v>3.0</v>
      </c>
      <c r="J2692" s="29" t="s">
        <v>1255</v>
      </c>
      <c r="K2692" s="30" t="s">
        <v>23</v>
      </c>
      <c r="L2692" s="31" t="str">
        <f>IFERROR(__xludf.DUMMYFUNCTION("IF(OR(E2692="""",K2692=""""),"""",IFERROR(IF(K2692="""","""",query('tbl user'!$A$2:$D10975,""SELECT A WHERE D = '""&amp;K2692&amp;""'"")),""USER TIDAK DIKETAHUI""))"),"#REF!")</f>
        <v>#REF!</v>
      </c>
    </row>
    <row r="2693">
      <c r="A2693" s="21">
        <f t="shared" si="1"/>
        <v>0</v>
      </c>
      <c r="B2693" s="32" t="s">
        <v>335</v>
      </c>
      <c r="C2693" s="23" t="s">
        <v>336</v>
      </c>
      <c r="D2693" s="23" t="s">
        <v>21</v>
      </c>
      <c r="E2693" s="37">
        <v>45436.0</v>
      </c>
      <c r="F2693" s="25">
        <v>0.2652777777777778</v>
      </c>
      <c r="G2693" s="25">
        <v>0.6819444444444445</v>
      </c>
      <c r="H2693" s="27">
        <f t="shared" si="2"/>
        <v>0.4166666667</v>
      </c>
      <c r="I2693" s="28">
        <v>3.0</v>
      </c>
      <c r="J2693" s="29" t="s">
        <v>894</v>
      </c>
      <c r="K2693" s="30" t="s">
        <v>23</v>
      </c>
      <c r="L2693" s="31" t="str">
        <f>IFERROR(__xludf.DUMMYFUNCTION("IF(OR(E2693="""",K2693=""""),"""",IFERROR(IF(K2693="""","""",query('tbl user'!$A$2:$D10975,""SELECT A WHERE D = '""&amp;K2693&amp;""'"")),""USER TIDAK DIKETAHUI""))"),"#REF!")</f>
        <v>#REF!</v>
      </c>
    </row>
    <row r="2694">
      <c r="A2694" s="21">
        <f t="shared" si="1"/>
        <v>0</v>
      </c>
      <c r="B2694" s="32" t="s">
        <v>219</v>
      </c>
      <c r="C2694" s="23" t="s">
        <v>329</v>
      </c>
      <c r="D2694" s="23" t="s">
        <v>21</v>
      </c>
      <c r="E2694" s="37">
        <v>45436.0</v>
      </c>
      <c r="F2694" s="25">
        <v>0.30833333333333335</v>
      </c>
      <c r="G2694" s="25">
        <v>0.6256944444444444</v>
      </c>
      <c r="H2694" s="27">
        <f t="shared" si="2"/>
        <v>0.3173611111</v>
      </c>
      <c r="I2694" s="28">
        <v>3.0</v>
      </c>
      <c r="J2694" s="29" t="s">
        <v>894</v>
      </c>
      <c r="K2694" s="30" t="s">
        <v>23</v>
      </c>
      <c r="L2694" s="31" t="str">
        <f>IFERROR(__xludf.DUMMYFUNCTION("IF(OR(E2694="""",K2694=""""),"""",IFERROR(IF(K2694="""","""",query('tbl user'!$A$2:$D10975,""SELECT A WHERE D = '""&amp;K2694&amp;""'"")),""USER TIDAK DIKETAHUI""))"),"#REF!")</f>
        <v>#REF!</v>
      </c>
    </row>
    <row r="2695">
      <c r="A2695" s="21">
        <f t="shared" si="1"/>
        <v>0</v>
      </c>
      <c r="B2695" s="32" t="s">
        <v>601</v>
      </c>
      <c r="C2695" s="23" t="s">
        <v>323</v>
      </c>
      <c r="D2695" s="23" t="s">
        <v>21</v>
      </c>
      <c r="E2695" s="37">
        <v>45436.0</v>
      </c>
      <c r="F2695" s="25">
        <v>0.2701388888888889</v>
      </c>
      <c r="G2695" s="25">
        <v>0.675</v>
      </c>
      <c r="H2695" s="27">
        <f t="shared" si="2"/>
        <v>0.4048611111</v>
      </c>
      <c r="I2695" s="28">
        <v>3.0</v>
      </c>
      <c r="J2695" s="29" t="s">
        <v>1256</v>
      </c>
      <c r="K2695" s="30" t="s">
        <v>23</v>
      </c>
      <c r="L2695" s="31" t="str">
        <f>IFERROR(__xludf.DUMMYFUNCTION("IF(OR(E2695="""",K2695=""""),"""",IFERROR(IF(K2695="""","""",query('tbl user'!$A$2:$D10975,""SELECT A WHERE D = '""&amp;K2695&amp;""'"")),""USER TIDAK DIKETAHUI""))"),"#REF!")</f>
        <v>#REF!</v>
      </c>
    </row>
    <row r="2696">
      <c r="A2696" s="21">
        <f t="shared" si="1"/>
        <v>0</v>
      </c>
      <c r="B2696" s="32" t="s">
        <v>246</v>
      </c>
      <c r="C2696" s="23" t="s">
        <v>99</v>
      </c>
      <c r="D2696" s="23" t="s">
        <v>21</v>
      </c>
      <c r="E2696" s="37">
        <v>45436.0</v>
      </c>
      <c r="F2696" s="25">
        <v>0.2833333333333333</v>
      </c>
      <c r="G2696" s="25">
        <v>0.7034722222222223</v>
      </c>
      <c r="H2696" s="27">
        <f t="shared" si="2"/>
        <v>0.4201388889</v>
      </c>
      <c r="I2696" s="28">
        <v>4.0</v>
      </c>
      <c r="J2696" s="29" t="s">
        <v>894</v>
      </c>
      <c r="K2696" s="30" t="s">
        <v>23</v>
      </c>
      <c r="L2696" s="31" t="str">
        <f>IFERROR(__xludf.DUMMYFUNCTION("IF(OR(E2696="""",K2696=""""),"""",IFERROR(IF(K2696="""","""",query('tbl user'!$A$2:$D10975,""SELECT A WHERE D = '""&amp;K2696&amp;""'"")),""USER TIDAK DIKETAHUI""))"),"#REF!")</f>
        <v>#REF!</v>
      </c>
    </row>
    <row r="2697">
      <c r="A2697" s="21">
        <f t="shared" si="1"/>
        <v>0</v>
      </c>
      <c r="B2697" s="32" t="s">
        <v>209</v>
      </c>
      <c r="C2697" s="23" t="s">
        <v>244</v>
      </c>
      <c r="D2697" s="23" t="s">
        <v>21</v>
      </c>
      <c r="E2697" s="37">
        <v>45436.0</v>
      </c>
      <c r="F2697" s="25">
        <v>0.26805555555555555</v>
      </c>
      <c r="G2697" s="25">
        <v>0.7013888888888888</v>
      </c>
      <c r="H2697" s="27">
        <f t="shared" si="2"/>
        <v>0.4333333333</v>
      </c>
      <c r="I2697" s="28">
        <v>4.0</v>
      </c>
      <c r="J2697" s="29" t="s">
        <v>894</v>
      </c>
      <c r="K2697" s="30" t="s">
        <v>23</v>
      </c>
      <c r="L2697" s="31" t="str">
        <f>IFERROR(__xludf.DUMMYFUNCTION("IF(OR(E2697="""",K2697=""""),"""",IFERROR(IF(K2697="""","""",query('tbl user'!$A$2:$D10975,""SELECT A WHERE D = '""&amp;K2697&amp;""'"")),""USER TIDAK DIKETAHUI""))"),"#REF!")</f>
        <v>#REF!</v>
      </c>
    </row>
    <row r="2698">
      <c r="A2698" s="21">
        <f t="shared" si="1"/>
        <v>0</v>
      </c>
      <c r="B2698" s="32" t="s">
        <v>24</v>
      </c>
      <c r="C2698" s="23" t="s">
        <v>25</v>
      </c>
      <c r="D2698" s="23" t="s">
        <v>21</v>
      </c>
      <c r="E2698" s="37">
        <v>45436.0</v>
      </c>
      <c r="F2698" s="25">
        <v>0.23125</v>
      </c>
      <c r="G2698" s="25">
        <v>0.6673611111111111</v>
      </c>
      <c r="H2698" s="27">
        <f t="shared" si="2"/>
        <v>0.4361111111</v>
      </c>
      <c r="I2698" s="28">
        <v>4.0</v>
      </c>
      <c r="J2698" s="29" t="s">
        <v>894</v>
      </c>
      <c r="K2698" s="30" t="s">
        <v>23</v>
      </c>
      <c r="L2698" s="31" t="str">
        <f>IFERROR(__xludf.DUMMYFUNCTION("IF(OR(E2698="""",K2698=""""),"""",IFERROR(IF(K2698="""","""",query('tbl user'!$A$2:$D10975,""SELECT A WHERE D = '""&amp;K2698&amp;""'"")),""USER TIDAK DIKETAHUI""))"),"#REF!")</f>
        <v>#REF!</v>
      </c>
    </row>
    <row r="2699">
      <c r="A2699" s="21">
        <f t="shared" si="1"/>
        <v>0</v>
      </c>
      <c r="B2699" s="32" t="s">
        <v>81</v>
      </c>
      <c r="C2699" s="23" t="s">
        <v>234</v>
      </c>
      <c r="D2699" s="23" t="s">
        <v>21</v>
      </c>
      <c r="E2699" s="37">
        <v>45436.0</v>
      </c>
      <c r="F2699" s="25">
        <v>0.2465277777777778</v>
      </c>
      <c r="G2699" s="25">
        <v>0.7263888888888889</v>
      </c>
      <c r="H2699" s="27">
        <f t="shared" si="2"/>
        <v>0.4798611111</v>
      </c>
      <c r="I2699" s="28">
        <v>4.0</v>
      </c>
      <c r="J2699" s="29" t="s">
        <v>1109</v>
      </c>
      <c r="K2699" s="30" t="s">
        <v>23</v>
      </c>
      <c r="L2699" s="31" t="str">
        <f>IFERROR(__xludf.DUMMYFUNCTION("IF(OR(E2699="""",K2699=""""),"""",IFERROR(IF(K2699="""","""",query('tbl user'!$A$2:$D10975,""SELECT A WHERE D = '""&amp;K2699&amp;""'"")),""USER TIDAK DIKETAHUI""))"),"#REF!")</f>
        <v>#REF!</v>
      </c>
    </row>
    <row r="2700">
      <c r="A2700" s="21">
        <f t="shared" si="1"/>
        <v>0</v>
      </c>
      <c r="B2700" s="32" t="s">
        <v>331</v>
      </c>
      <c r="C2700" s="23" t="s">
        <v>332</v>
      </c>
      <c r="D2700" s="23" t="s">
        <v>21</v>
      </c>
      <c r="E2700" s="37">
        <v>45436.0</v>
      </c>
      <c r="F2700" s="25">
        <v>0.3090277777777778</v>
      </c>
      <c r="G2700" s="25">
        <v>0.725</v>
      </c>
      <c r="H2700" s="27">
        <f t="shared" si="2"/>
        <v>0.4159722222</v>
      </c>
      <c r="I2700" s="28">
        <v>4.0</v>
      </c>
      <c r="J2700" s="29" t="s">
        <v>1257</v>
      </c>
      <c r="K2700" s="30" t="s">
        <v>23</v>
      </c>
      <c r="L2700" s="31" t="str">
        <f>IFERROR(__xludf.DUMMYFUNCTION("IF(OR(E2700="""",K2700=""""),"""",IFERROR(IF(K2700="""","""",query('tbl user'!$A$2:$D10975,""SELECT A WHERE D = '""&amp;K2700&amp;""'"")),""USER TIDAK DIKETAHUI""))"),"#REF!")</f>
        <v>#REF!</v>
      </c>
    </row>
    <row r="2701">
      <c r="A2701" s="21">
        <f t="shared" si="1"/>
        <v>0</v>
      </c>
      <c r="B2701" s="32" t="s">
        <v>716</v>
      </c>
      <c r="C2701" s="23" t="s">
        <v>316</v>
      </c>
      <c r="D2701" s="23" t="s">
        <v>21</v>
      </c>
      <c r="E2701" s="37">
        <v>45436.0</v>
      </c>
      <c r="F2701" s="25">
        <v>0.26944444444444443</v>
      </c>
      <c r="G2701" s="25">
        <v>0.7013888888888888</v>
      </c>
      <c r="H2701" s="27">
        <f t="shared" si="2"/>
        <v>0.4319444444</v>
      </c>
      <c r="I2701" s="28">
        <v>4.0</v>
      </c>
      <c r="J2701" s="29" t="s">
        <v>894</v>
      </c>
      <c r="K2701" s="30" t="s">
        <v>23</v>
      </c>
      <c r="L2701" s="31" t="str">
        <f>IFERROR(__xludf.DUMMYFUNCTION("IF(OR(E2701="""",K2701=""""),"""",IFERROR(IF(K2701="""","""",query('tbl user'!$A$2:$D10975,""SELECT A WHERE D = '""&amp;K2701&amp;""'"")),""USER TIDAK DIKETAHUI""))"),"#REF!")</f>
        <v>#REF!</v>
      </c>
    </row>
    <row r="2702">
      <c r="A2702" s="21">
        <f t="shared" si="1"/>
        <v>0</v>
      </c>
      <c r="B2702" s="32" t="s">
        <v>87</v>
      </c>
      <c r="C2702" s="23" t="s">
        <v>88</v>
      </c>
      <c r="D2702" s="23" t="s">
        <v>21</v>
      </c>
      <c r="E2702" s="37">
        <v>45436.0</v>
      </c>
      <c r="F2702" s="25">
        <v>0.2659722222222222</v>
      </c>
      <c r="G2702" s="25">
        <v>0.6993055555555555</v>
      </c>
      <c r="H2702" s="27">
        <f t="shared" si="2"/>
        <v>0.4333333333</v>
      </c>
      <c r="I2702" s="28">
        <v>4.0</v>
      </c>
      <c r="J2702" s="29" t="s">
        <v>1258</v>
      </c>
      <c r="K2702" s="30" t="s">
        <v>23</v>
      </c>
      <c r="L2702" s="31" t="str">
        <f>IFERROR(__xludf.DUMMYFUNCTION("IF(OR(E2702="""",K2702=""""),"""",IFERROR(IF(K2702="""","""",query('tbl user'!$A$2:$D10975,""SELECT A WHERE D = '""&amp;K2702&amp;""'"")),""USER TIDAK DIKETAHUI""))"),"#REF!")</f>
        <v>#REF!</v>
      </c>
    </row>
    <row r="2703">
      <c r="A2703" s="21">
        <f t="shared" si="1"/>
        <v>0</v>
      </c>
      <c r="B2703" s="32" t="s">
        <v>53</v>
      </c>
      <c r="C2703" s="23" t="s">
        <v>54</v>
      </c>
      <c r="D2703" s="23" t="s">
        <v>21</v>
      </c>
      <c r="E2703" s="37">
        <v>45436.0</v>
      </c>
      <c r="F2703" s="25">
        <v>0.2638888888888889</v>
      </c>
      <c r="G2703" s="25">
        <v>0.7097222222222223</v>
      </c>
      <c r="H2703" s="27">
        <f t="shared" si="2"/>
        <v>0.4458333333</v>
      </c>
      <c r="I2703" s="28">
        <v>4.0</v>
      </c>
      <c r="J2703" s="29" t="s">
        <v>1259</v>
      </c>
      <c r="K2703" s="30" t="s">
        <v>23</v>
      </c>
      <c r="L2703" s="31" t="str">
        <f>IFERROR(__xludf.DUMMYFUNCTION("IF(OR(E2703="""",K2703=""""),"""",IFERROR(IF(K2703="""","""",query('tbl user'!$A$2:$D10975,""SELECT A WHERE D = '""&amp;K2703&amp;""'"")),""USER TIDAK DIKETAHUI""))"),"#REF!")</f>
        <v>#REF!</v>
      </c>
    </row>
    <row r="2704">
      <c r="A2704" s="21">
        <f t="shared" si="1"/>
        <v>0</v>
      </c>
      <c r="B2704" s="32" t="s">
        <v>319</v>
      </c>
      <c r="C2704" s="23" t="s">
        <v>320</v>
      </c>
      <c r="D2704" s="23" t="s">
        <v>21</v>
      </c>
      <c r="E2704" s="37">
        <v>45436.0</v>
      </c>
      <c r="F2704" s="25">
        <v>0.23402777777777778</v>
      </c>
      <c r="G2704" s="25">
        <v>0.6625</v>
      </c>
      <c r="H2704" s="27">
        <f t="shared" si="2"/>
        <v>0.4284722222</v>
      </c>
      <c r="I2704" s="28">
        <v>4.0</v>
      </c>
      <c r="J2704" s="29" t="s">
        <v>571</v>
      </c>
      <c r="K2704" s="30" t="s">
        <v>23</v>
      </c>
      <c r="L2704" s="31" t="str">
        <f>IFERROR(__xludf.DUMMYFUNCTION("IF(OR(E2704="""",K2704=""""),"""",IFERROR(IF(K2704="""","""",query('tbl user'!$A$2:$D10975,""SELECT A WHERE D = '""&amp;K2704&amp;""'"")),""USER TIDAK DIKETAHUI""))"),"#REF!")</f>
        <v>#REF!</v>
      </c>
    </row>
    <row r="2705">
      <c r="A2705" s="21">
        <f t="shared" si="1"/>
        <v>0</v>
      </c>
      <c r="B2705" s="32" t="s">
        <v>325</v>
      </c>
      <c r="C2705" s="23" t="s">
        <v>326</v>
      </c>
      <c r="D2705" s="23" t="s">
        <v>21</v>
      </c>
      <c r="E2705" s="37">
        <v>45436.0</v>
      </c>
      <c r="F2705" s="25">
        <v>0.2708333333333333</v>
      </c>
      <c r="G2705" s="25">
        <v>0.6875</v>
      </c>
      <c r="H2705" s="27">
        <f t="shared" si="2"/>
        <v>0.4166666667</v>
      </c>
      <c r="I2705" s="28">
        <v>4.0</v>
      </c>
      <c r="J2705" s="29" t="s">
        <v>894</v>
      </c>
      <c r="K2705" s="30" t="s">
        <v>23</v>
      </c>
      <c r="L2705" s="31" t="str">
        <f>IFERROR(__xludf.DUMMYFUNCTION("IF(OR(E2705="""",K2705=""""),"""",IFERROR(IF(K2705="""","""",query('tbl user'!$A$2:$D10975,""SELECT A WHERE D = '""&amp;K2705&amp;""'"")),""USER TIDAK DIKETAHUI""))"),"#REF!")</f>
        <v>#REF!</v>
      </c>
    </row>
    <row r="2706">
      <c r="A2706" s="21">
        <f t="shared" si="1"/>
        <v>0</v>
      </c>
      <c r="B2706" s="32" t="s">
        <v>305</v>
      </c>
      <c r="C2706" s="23" t="s">
        <v>251</v>
      </c>
      <c r="D2706" s="23" t="s">
        <v>21</v>
      </c>
      <c r="E2706" s="37">
        <v>45436.0</v>
      </c>
      <c r="F2706" s="25">
        <v>0.2298611111111111</v>
      </c>
      <c r="G2706" s="25">
        <v>0.6972222222222222</v>
      </c>
      <c r="H2706" s="27">
        <f t="shared" si="2"/>
        <v>0.4673611111</v>
      </c>
      <c r="I2706" s="28">
        <v>5.0</v>
      </c>
      <c r="J2706" s="29" t="s">
        <v>55</v>
      </c>
      <c r="K2706" s="30" t="s">
        <v>23</v>
      </c>
      <c r="L2706" s="31" t="str">
        <f>IFERROR(__xludf.DUMMYFUNCTION("IF(OR(E2706="""",K2706=""""),"""",IFERROR(IF(K2706="""","""",query('tbl user'!$A$2:$D10975,""SELECT A WHERE D = '""&amp;K2706&amp;""'"")),""USER TIDAK DIKETAHUI""))"),"#REF!")</f>
        <v>#REF!</v>
      </c>
    </row>
    <row r="2707">
      <c r="A2707" s="21">
        <f t="shared" si="1"/>
        <v>0</v>
      </c>
      <c r="B2707" s="32" t="s">
        <v>131</v>
      </c>
      <c r="C2707" s="23" t="s">
        <v>339</v>
      </c>
      <c r="D2707" s="23" t="s">
        <v>21</v>
      </c>
      <c r="E2707" s="37">
        <v>45436.0</v>
      </c>
      <c r="F2707" s="25">
        <v>0.2569444444444444</v>
      </c>
      <c r="G2707" s="25">
        <v>0.6881944444444444</v>
      </c>
      <c r="H2707" s="27">
        <f t="shared" si="2"/>
        <v>0.43125</v>
      </c>
      <c r="I2707" s="28">
        <v>5.0</v>
      </c>
      <c r="J2707" s="29" t="s">
        <v>55</v>
      </c>
      <c r="K2707" s="30" t="s">
        <v>23</v>
      </c>
      <c r="L2707" s="31" t="str">
        <f>IFERROR(__xludf.DUMMYFUNCTION("IF(OR(E2707="""",K2707=""""),"""",IFERROR(IF(K2707="""","""",query('tbl user'!$A$2:$D10975,""SELECT A WHERE D = '""&amp;K2707&amp;""'"")),""USER TIDAK DIKETAHUI""))"),"#REF!")</f>
        <v>#REF!</v>
      </c>
    </row>
    <row r="2708">
      <c r="A2708" s="21">
        <f t="shared" si="1"/>
        <v>0</v>
      </c>
      <c r="B2708" s="32" t="s">
        <v>258</v>
      </c>
      <c r="C2708" s="23" t="s">
        <v>259</v>
      </c>
      <c r="D2708" s="23" t="s">
        <v>21</v>
      </c>
      <c r="E2708" s="37">
        <v>45436.0</v>
      </c>
      <c r="F2708" s="25">
        <v>0.2604166666666667</v>
      </c>
      <c r="G2708" s="25">
        <v>0.6993055555555555</v>
      </c>
      <c r="H2708" s="27">
        <f t="shared" si="2"/>
        <v>0.4388888889</v>
      </c>
      <c r="I2708" s="28">
        <v>5.0</v>
      </c>
      <c r="J2708" s="29" t="s">
        <v>55</v>
      </c>
      <c r="K2708" s="30" t="s">
        <v>23</v>
      </c>
      <c r="L2708" s="31" t="str">
        <f>IFERROR(__xludf.DUMMYFUNCTION("IF(OR(E2708="""",K2708=""""),"""",IFERROR(IF(K2708="""","""",query('tbl user'!$A$2:$D10975,""SELECT A WHERE D = '""&amp;K2708&amp;""'"")),""USER TIDAK DIKETAHUI""))"),"#REF!")</f>
        <v>#REF!</v>
      </c>
    </row>
    <row r="2709">
      <c r="A2709" s="21">
        <f t="shared" si="1"/>
        <v>0</v>
      </c>
      <c r="B2709" s="32" t="s">
        <v>337</v>
      </c>
      <c r="C2709" s="23" t="s">
        <v>338</v>
      </c>
      <c r="D2709" s="23" t="s">
        <v>21</v>
      </c>
      <c r="E2709" s="37">
        <v>45436.0</v>
      </c>
      <c r="F2709" s="25">
        <v>0.22916666666666666</v>
      </c>
      <c r="G2709" s="25">
        <v>0.71875</v>
      </c>
      <c r="H2709" s="27">
        <f t="shared" si="2"/>
        <v>0.4895833333</v>
      </c>
      <c r="I2709" s="28">
        <v>5.0</v>
      </c>
      <c r="J2709" s="29" t="s">
        <v>55</v>
      </c>
      <c r="K2709" s="30" t="s">
        <v>23</v>
      </c>
      <c r="L2709" s="31" t="str">
        <f>IFERROR(__xludf.DUMMYFUNCTION("IF(OR(E2709="""",K2709=""""),"""",IFERROR(IF(K2709="""","""",query('tbl user'!$A$2:$D10975,""SELECT A WHERE D = '""&amp;K2709&amp;""'"")),""USER TIDAK DIKETAHUI""))"),"#REF!")</f>
        <v>#REF!</v>
      </c>
    </row>
    <row r="2710">
      <c r="A2710" s="21">
        <f t="shared" si="1"/>
        <v>0</v>
      </c>
      <c r="B2710" s="32" t="s">
        <v>125</v>
      </c>
      <c r="C2710" s="23" t="s">
        <v>126</v>
      </c>
      <c r="D2710" s="23" t="s">
        <v>32</v>
      </c>
      <c r="E2710" s="37">
        <v>45436.0</v>
      </c>
      <c r="F2710" s="25">
        <v>0.3</v>
      </c>
      <c r="G2710" s="25">
        <v>0.43472222222222223</v>
      </c>
      <c r="H2710" s="27">
        <f t="shared" si="2"/>
        <v>0.1347222222</v>
      </c>
      <c r="I2710" s="28">
        <v>1.0</v>
      </c>
      <c r="J2710" s="29" t="s">
        <v>1260</v>
      </c>
      <c r="K2710" s="30" t="s">
        <v>23</v>
      </c>
      <c r="L2710" s="31" t="str">
        <f>IFERROR(__xludf.DUMMYFUNCTION("IF(OR(E2710="""",K2710=""""),"""",IFERROR(IF(K2710="""","""",query('tbl user'!$A$2:$D10975,""SELECT A WHERE D = '""&amp;K2710&amp;""'"")),""USER TIDAK DIKETAHUI""))"),"#REF!")</f>
        <v>#REF!</v>
      </c>
    </row>
    <row r="2711">
      <c r="A2711" s="21">
        <f t="shared" si="1"/>
        <v>0</v>
      </c>
      <c r="B2711" s="32" t="s">
        <v>113</v>
      </c>
      <c r="C2711" s="23" t="s">
        <v>90</v>
      </c>
      <c r="D2711" s="23" t="s">
        <v>32</v>
      </c>
      <c r="E2711" s="37">
        <v>45436.0</v>
      </c>
      <c r="F2711" s="25">
        <v>0.3597222222222222</v>
      </c>
      <c r="G2711" s="25">
        <v>0.4861111111111111</v>
      </c>
      <c r="H2711" s="27">
        <f t="shared" si="2"/>
        <v>0.1263888889</v>
      </c>
      <c r="I2711" s="28">
        <v>1.0</v>
      </c>
      <c r="J2711" s="29" t="s">
        <v>1261</v>
      </c>
      <c r="K2711" s="30" t="s">
        <v>23</v>
      </c>
      <c r="L2711" s="31" t="str">
        <f>IFERROR(__xludf.DUMMYFUNCTION("IF(OR(E2711="""",K2711=""""),"""",IFERROR(IF(K2711="""","""",query('tbl user'!$A$2:$D10975,""SELECT A WHERE D = '""&amp;K2711&amp;""'"")),""USER TIDAK DIKETAHUI""))"),"#REF!")</f>
        <v>#REF!</v>
      </c>
    </row>
    <row r="2712">
      <c r="A2712" s="21">
        <f t="shared" si="1"/>
        <v>0</v>
      </c>
      <c r="B2712" s="32" t="s">
        <v>146</v>
      </c>
      <c r="C2712" s="23" t="s">
        <v>147</v>
      </c>
      <c r="D2712" s="23" t="s">
        <v>32</v>
      </c>
      <c r="E2712" s="37">
        <v>45436.0</v>
      </c>
      <c r="F2712" s="25">
        <v>0.26458333333333334</v>
      </c>
      <c r="G2712" s="25">
        <v>0.6805555555555556</v>
      </c>
      <c r="H2712" s="27">
        <f t="shared" si="2"/>
        <v>0.4159722222</v>
      </c>
      <c r="I2712" s="28">
        <v>1.0</v>
      </c>
      <c r="J2712" s="29" t="s">
        <v>1262</v>
      </c>
      <c r="K2712" s="30" t="s">
        <v>23</v>
      </c>
      <c r="L2712" s="31" t="str">
        <f>IFERROR(__xludf.DUMMYFUNCTION("IF(OR(E2712="""",K2712=""""),"""",IFERROR(IF(K2712="""","""",query('tbl user'!$A$2:$D10975,""SELECT A WHERE D = '""&amp;K2712&amp;""'"")),""USER TIDAK DIKETAHUI""))"),"#REF!")</f>
        <v>#REF!</v>
      </c>
    </row>
    <row r="2713">
      <c r="A2713" s="21">
        <f t="shared" si="1"/>
        <v>0</v>
      </c>
      <c r="B2713" s="32" t="s">
        <v>118</v>
      </c>
      <c r="C2713" s="23" t="s">
        <v>119</v>
      </c>
      <c r="D2713" s="23" t="s">
        <v>32</v>
      </c>
      <c r="E2713" s="37">
        <v>45436.0</v>
      </c>
      <c r="F2713" s="25">
        <v>0.23055555555555557</v>
      </c>
      <c r="G2713" s="25">
        <v>0.6666666666666666</v>
      </c>
      <c r="H2713" s="27">
        <f t="shared" si="2"/>
        <v>0.4361111111</v>
      </c>
      <c r="I2713" s="28">
        <v>2.0</v>
      </c>
      <c r="J2713" s="29" t="s">
        <v>1263</v>
      </c>
      <c r="K2713" s="30" t="s">
        <v>23</v>
      </c>
      <c r="L2713" s="31" t="str">
        <f>IFERROR(__xludf.DUMMYFUNCTION("IF(OR(E2713="""",K2713=""""),"""",IFERROR(IF(K2713="""","""",query('tbl user'!$A$2:$D10975,""SELECT A WHERE D = '""&amp;K2713&amp;""'"")),""USER TIDAK DIKETAHUI""))"),"#REF!")</f>
        <v>#REF!</v>
      </c>
    </row>
    <row r="2714">
      <c r="A2714" s="21">
        <f t="shared" si="1"/>
        <v>0</v>
      </c>
      <c r="B2714" s="32" t="s">
        <v>40</v>
      </c>
      <c r="C2714" s="23" t="s">
        <v>41</v>
      </c>
      <c r="D2714" s="23" t="s">
        <v>32</v>
      </c>
      <c r="E2714" s="37">
        <v>45436.0</v>
      </c>
      <c r="F2714" s="25">
        <v>0.2263888888888889</v>
      </c>
      <c r="G2714" s="25">
        <v>0.5916666666666667</v>
      </c>
      <c r="H2714" s="27">
        <f t="shared" si="2"/>
        <v>0.3652777778</v>
      </c>
      <c r="I2714" s="28">
        <v>2.0</v>
      </c>
      <c r="J2714" s="29" t="s">
        <v>1264</v>
      </c>
      <c r="K2714" s="30" t="s">
        <v>23</v>
      </c>
      <c r="L2714" s="31" t="str">
        <f>IFERROR(__xludf.DUMMYFUNCTION("IF(OR(E2714="""",K2714=""""),"""",IFERROR(IF(K2714="""","""",query('tbl user'!$A$2:$D10975,""SELECT A WHERE D = '""&amp;K2714&amp;""'"")),""USER TIDAK DIKETAHUI""))"),"#REF!")</f>
        <v>#REF!</v>
      </c>
    </row>
    <row r="2715">
      <c r="A2715" s="21">
        <f t="shared" si="1"/>
        <v>0</v>
      </c>
      <c r="B2715" s="32" t="s">
        <v>312</v>
      </c>
      <c r="C2715" s="23" t="s">
        <v>313</v>
      </c>
      <c r="D2715" s="23" t="s">
        <v>32</v>
      </c>
      <c r="E2715" s="37">
        <v>45436.0</v>
      </c>
      <c r="F2715" s="25">
        <v>0.24375</v>
      </c>
      <c r="G2715" s="25">
        <v>0.6479166666666667</v>
      </c>
      <c r="H2715" s="27">
        <f t="shared" si="2"/>
        <v>0.4041666667</v>
      </c>
      <c r="I2715" s="28">
        <v>2.0</v>
      </c>
      <c r="J2715" s="29" t="s">
        <v>1265</v>
      </c>
      <c r="K2715" s="30" t="s">
        <v>23</v>
      </c>
      <c r="L2715" s="31" t="str">
        <f>IFERROR(__xludf.DUMMYFUNCTION("IF(OR(E2715="""",K2715=""""),"""",IFERROR(IF(K2715="""","""",query('tbl user'!$A$2:$D10975,""SELECT A WHERE D = '""&amp;K2715&amp;""'"")),""USER TIDAK DIKETAHUI""))"),"#REF!")</f>
        <v>#REF!</v>
      </c>
    </row>
    <row r="2716">
      <c r="A2716" s="21">
        <f t="shared" si="1"/>
        <v>0</v>
      </c>
      <c r="B2716" s="32" t="s">
        <v>279</v>
      </c>
      <c r="C2716" s="23" t="s">
        <v>280</v>
      </c>
      <c r="D2716" s="23" t="s">
        <v>32</v>
      </c>
      <c r="E2716" s="37">
        <v>45436.0</v>
      </c>
      <c r="F2716" s="25">
        <v>0.2611111111111111</v>
      </c>
      <c r="G2716" s="25">
        <v>0.5444444444444444</v>
      </c>
      <c r="H2716" s="27">
        <f t="shared" si="2"/>
        <v>0.2833333333</v>
      </c>
      <c r="I2716" s="28">
        <v>2.0</v>
      </c>
      <c r="J2716" s="29" t="s">
        <v>940</v>
      </c>
      <c r="K2716" s="30" t="s">
        <v>23</v>
      </c>
      <c r="L2716" s="31" t="str">
        <f>IFERROR(__xludf.DUMMYFUNCTION("IF(OR(E2716="""",K2716=""""),"""",IFERROR(IF(K2716="""","""",query('tbl user'!$A$2:$D10975,""SELECT A WHERE D = '""&amp;K2716&amp;""'"")),""USER TIDAK DIKETAHUI""))"),"#REF!")</f>
        <v>#REF!</v>
      </c>
    </row>
    <row r="2717">
      <c r="A2717" s="21">
        <f t="shared" si="1"/>
        <v>0</v>
      </c>
      <c r="B2717" s="32" t="s">
        <v>141</v>
      </c>
      <c r="C2717" s="23" t="s">
        <v>142</v>
      </c>
      <c r="D2717" s="23" t="s">
        <v>32</v>
      </c>
      <c r="E2717" s="37">
        <v>45436.0</v>
      </c>
      <c r="F2717" s="25">
        <v>0.2722222222222222</v>
      </c>
      <c r="G2717" s="25">
        <v>0.6854166666666667</v>
      </c>
      <c r="H2717" s="27">
        <f t="shared" si="2"/>
        <v>0.4131944444</v>
      </c>
      <c r="I2717" s="28">
        <v>2.0</v>
      </c>
      <c r="J2717" s="29" t="s">
        <v>295</v>
      </c>
      <c r="K2717" s="30" t="s">
        <v>23</v>
      </c>
      <c r="L2717" s="31" t="str">
        <f>IFERROR(__xludf.DUMMYFUNCTION("IF(OR(E2717="""",K2717=""""),"""",IFERROR(IF(K2717="""","""",query('tbl user'!$A$2:$D10975,""SELECT A WHERE D = '""&amp;K2717&amp;""'"")),""USER TIDAK DIKETAHUI""))"),"#REF!")</f>
        <v>#REF!</v>
      </c>
    </row>
    <row r="2718">
      <c r="A2718" s="21">
        <f t="shared" si="1"/>
        <v>0</v>
      </c>
      <c r="B2718" s="32" t="s">
        <v>78</v>
      </c>
      <c r="C2718" s="23" t="s">
        <v>79</v>
      </c>
      <c r="D2718" s="23" t="s">
        <v>32</v>
      </c>
      <c r="E2718" s="37">
        <v>45436.0</v>
      </c>
      <c r="F2718" s="25">
        <v>0.22708333333333333</v>
      </c>
      <c r="G2718" s="25">
        <v>0.5333333333333333</v>
      </c>
      <c r="H2718" s="27">
        <f t="shared" si="2"/>
        <v>0.30625</v>
      </c>
      <c r="I2718" s="28">
        <v>2.0</v>
      </c>
      <c r="J2718" s="29" t="s">
        <v>1266</v>
      </c>
      <c r="K2718" s="30" t="s">
        <v>23</v>
      </c>
      <c r="L2718" s="31" t="str">
        <f>IFERROR(__xludf.DUMMYFUNCTION("IF(OR(E2718="""",K2718=""""),"""",IFERROR(IF(K2718="""","""",query('tbl user'!$A$2:$D10975,""SELECT A WHERE D = '""&amp;K2718&amp;""'"")),""USER TIDAK DIKETAHUI""))"),"#REF!")</f>
        <v>#REF!</v>
      </c>
    </row>
    <row r="2719">
      <c r="A2719" s="21">
        <f t="shared" si="1"/>
        <v>0</v>
      </c>
      <c r="B2719" s="32" t="s">
        <v>269</v>
      </c>
      <c r="C2719" s="23" t="s">
        <v>270</v>
      </c>
      <c r="D2719" s="23" t="s">
        <v>32</v>
      </c>
      <c r="E2719" s="37">
        <v>45436.0</v>
      </c>
      <c r="F2719" s="25">
        <v>0.26875</v>
      </c>
      <c r="G2719" s="25">
        <v>0.6604166666666667</v>
      </c>
      <c r="H2719" s="27">
        <f t="shared" si="2"/>
        <v>0.3916666667</v>
      </c>
      <c r="I2719" s="28">
        <v>3.0</v>
      </c>
      <c r="J2719" s="29" t="s">
        <v>1265</v>
      </c>
      <c r="K2719" s="30" t="s">
        <v>23</v>
      </c>
      <c r="L2719" s="31" t="str">
        <f>IFERROR(__xludf.DUMMYFUNCTION("IF(OR(E2719="""",K2719=""""),"""",IFERROR(IF(K2719="""","""",query('tbl user'!$A$2:$D10975,""SELECT A WHERE D = '""&amp;K2719&amp;""'"")),""USER TIDAK DIKETAHUI""))"),"#REF!")</f>
        <v>#REF!</v>
      </c>
    </row>
    <row r="2720">
      <c r="A2720" s="21">
        <f t="shared" si="1"/>
        <v>0</v>
      </c>
      <c r="B2720" s="32" t="s">
        <v>75</v>
      </c>
      <c r="C2720" s="23" t="s">
        <v>76</v>
      </c>
      <c r="D2720" s="23" t="s">
        <v>32</v>
      </c>
      <c r="E2720" s="37">
        <v>45436.0</v>
      </c>
      <c r="F2720" s="25">
        <v>0.26666666666666666</v>
      </c>
      <c r="G2720" s="25">
        <v>0.7465277777777778</v>
      </c>
      <c r="H2720" s="27">
        <f t="shared" si="2"/>
        <v>0.4798611111</v>
      </c>
      <c r="I2720" s="28">
        <v>3.0</v>
      </c>
      <c r="J2720" s="29" t="s">
        <v>1265</v>
      </c>
      <c r="K2720" s="30" t="s">
        <v>23</v>
      </c>
      <c r="L2720" s="31" t="str">
        <f>IFERROR(__xludf.DUMMYFUNCTION("IF(OR(E2720="""",K2720=""""),"""",IFERROR(IF(K2720="""","""",query('tbl user'!$A$2:$D10975,""SELECT A WHERE D = '""&amp;K2720&amp;""'"")),""USER TIDAK DIKETAHUI""))"),"#REF!")</f>
        <v>#REF!</v>
      </c>
    </row>
    <row r="2721">
      <c r="A2721" s="21">
        <f t="shared" si="1"/>
        <v>0</v>
      </c>
      <c r="B2721" s="32" t="s">
        <v>127</v>
      </c>
      <c r="C2721" s="23" t="s">
        <v>128</v>
      </c>
      <c r="D2721" s="23" t="s">
        <v>32</v>
      </c>
      <c r="E2721" s="37">
        <v>45436.0</v>
      </c>
      <c r="F2721" s="25">
        <v>0.26180555555555557</v>
      </c>
      <c r="G2721" s="25">
        <v>0.7256944444444444</v>
      </c>
      <c r="H2721" s="27">
        <f t="shared" si="2"/>
        <v>0.4638888889</v>
      </c>
      <c r="I2721" s="28">
        <v>3.0</v>
      </c>
      <c r="J2721" s="29" t="s">
        <v>894</v>
      </c>
      <c r="K2721" s="30" t="s">
        <v>23</v>
      </c>
      <c r="L2721" s="31" t="str">
        <f>IFERROR(__xludf.DUMMYFUNCTION("IF(OR(E2721="""",K2721=""""),"""",IFERROR(IF(K2721="""","""",query('tbl user'!$A$2:$D10975,""SELECT A WHERE D = '""&amp;K2721&amp;""'"")),""USER TIDAK DIKETAHUI""))"),"#REF!")</f>
        <v>#REF!</v>
      </c>
    </row>
    <row r="2722">
      <c r="A2722" s="21">
        <f t="shared" si="1"/>
        <v>0</v>
      </c>
      <c r="B2722" s="32" t="s">
        <v>135</v>
      </c>
      <c r="C2722" s="23" t="s">
        <v>136</v>
      </c>
      <c r="D2722" s="23" t="s">
        <v>32</v>
      </c>
      <c r="E2722" s="37">
        <v>45436.0</v>
      </c>
      <c r="F2722" s="25">
        <v>0.2534722222222222</v>
      </c>
      <c r="G2722" s="25">
        <v>0.6423611111111112</v>
      </c>
      <c r="H2722" s="27">
        <f t="shared" si="2"/>
        <v>0.3888888889</v>
      </c>
      <c r="I2722" s="28">
        <v>3.0</v>
      </c>
      <c r="J2722" s="29" t="s">
        <v>1267</v>
      </c>
      <c r="K2722" s="30" t="s">
        <v>23</v>
      </c>
      <c r="L2722" s="31" t="str">
        <f>IFERROR(__xludf.DUMMYFUNCTION("IF(OR(E2722="""",K2722=""""),"""",IFERROR(IF(K2722="""","""",query('tbl user'!$A$2:$D10975,""SELECT A WHERE D = '""&amp;K2722&amp;""'"")),""USER TIDAK DIKETAHUI""))"),"#REF!")</f>
        <v>#REF!</v>
      </c>
    </row>
    <row r="2723">
      <c r="A2723" s="21">
        <f t="shared" si="1"/>
        <v>0</v>
      </c>
      <c r="B2723" s="32" t="s">
        <v>30</v>
      </c>
      <c r="C2723" s="23" t="s">
        <v>31</v>
      </c>
      <c r="D2723" s="23" t="s">
        <v>32</v>
      </c>
      <c r="E2723" s="37">
        <v>45436.0</v>
      </c>
      <c r="F2723" s="25">
        <v>0.22708333333333333</v>
      </c>
      <c r="G2723" s="25">
        <v>0.6638888888888889</v>
      </c>
      <c r="H2723" s="27">
        <f t="shared" si="2"/>
        <v>0.4368055556</v>
      </c>
      <c r="I2723" s="28">
        <v>3.0</v>
      </c>
      <c r="J2723" s="29" t="s">
        <v>1268</v>
      </c>
      <c r="K2723" s="30" t="s">
        <v>23</v>
      </c>
      <c r="L2723" s="31" t="str">
        <f>IFERROR(__xludf.DUMMYFUNCTION("IF(OR(E2723="""",K2723=""""),"""",IFERROR(IF(K2723="""","""",query('tbl user'!$A$2:$D10975,""SELECT A WHERE D = '""&amp;K2723&amp;""'"")),""USER TIDAK DIKETAHUI""))"),"#REF!")</f>
        <v>#REF!</v>
      </c>
    </row>
    <row r="2724">
      <c r="A2724" s="21">
        <f t="shared" si="1"/>
        <v>0</v>
      </c>
      <c r="B2724" s="32" t="s">
        <v>149</v>
      </c>
      <c r="C2724" s="23" t="s">
        <v>150</v>
      </c>
      <c r="D2724" s="23" t="s">
        <v>32</v>
      </c>
      <c r="E2724" s="37">
        <v>45436.0</v>
      </c>
      <c r="F2724" s="25">
        <v>0.25416666666666665</v>
      </c>
      <c r="G2724" s="25">
        <v>0.7229166666666667</v>
      </c>
      <c r="H2724" s="27">
        <f t="shared" si="2"/>
        <v>0.46875</v>
      </c>
      <c r="I2724" s="28">
        <v>3.0</v>
      </c>
      <c r="J2724" s="29" t="s">
        <v>1269</v>
      </c>
      <c r="K2724" s="30" t="s">
        <v>23</v>
      </c>
      <c r="L2724" s="31" t="str">
        <f>IFERROR(__xludf.DUMMYFUNCTION("IF(OR(E2724="""",K2724=""""),"""",IFERROR(IF(K2724="""","""",query('tbl user'!$A$2:$D10975,""SELECT A WHERE D = '""&amp;K2724&amp;""'"")),""USER TIDAK DIKETAHUI""))"),"#REF!")</f>
        <v>#REF!</v>
      </c>
    </row>
    <row r="2725">
      <c r="A2725" s="21">
        <f t="shared" si="1"/>
        <v>0</v>
      </c>
      <c r="B2725" s="32" t="s">
        <v>263</v>
      </c>
      <c r="C2725" s="23" t="s">
        <v>264</v>
      </c>
      <c r="D2725" s="23" t="s">
        <v>32</v>
      </c>
      <c r="E2725" s="37">
        <v>45436.0</v>
      </c>
      <c r="F2725" s="25">
        <v>0.26180555555555557</v>
      </c>
      <c r="G2725" s="25">
        <v>0.7444444444444445</v>
      </c>
      <c r="H2725" s="27">
        <f t="shared" si="2"/>
        <v>0.4826388889</v>
      </c>
      <c r="I2725" s="28">
        <v>4.0</v>
      </c>
      <c r="J2725" s="29" t="s">
        <v>55</v>
      </c>
      <c r="K2725" s="30" t="s">
        <v>23</v>
      </c>
      <c r="L2725" s="31" t="str">
        <f>IFERROR(__xludf.DUMMYFUNCTION("IF(OR(E2725="""",K2725=""""),"""",IFERROR(IF(K2725="""","""",query('tbl user'!$A$2:$D10975,""SELECT A WHERE D = '""&amp;K2725&amp;""'"")),""USER TIDAK DIKETAHUI""))"),"#REF!")</f>
        <v>#REF!</v>
      </c>
    </row>
    <row r="2726">
      <c r="A2726" s="21">
        <f t="shared" si="1"/>
        <v>0</v>
      </c>
      <c r="B2726" s="32" t="s">
        <v>123</v>
      </c>
      <c r="C2726" s="23" t="s">
        <v>124</v>
      </c>
      <c r="D2726" s="23" t="s">
        <v>32</v>
      </c>
      <c r="E2726" s="37">
        <v>45436.0</v>
      </c>
      <c r="F2726" s="25">
        <v>0.25277777777777777</v>
      </c>
      <c r="G2726" s="25">
        <v>0.7465277777777778</v>
      </c>
      <c r="H2726" s="27">
        <f t="shared" si="2"/>
        <v>0.49375</v>
      </c>
      <c r="I2726" s="28">
        <v>4.0</v>
      </c>
      <c r="J2726" s="29" t="s">
        <v>55</v>
      </c>
      <c r="K2726" s="30" t="s">
        <v>23</v>
      </c>
      <c r="L2726" s="31" t="str">
        <f>IFERROR(__xludf.DUMMYFUNCTION("IF(OR(E2726="""",K2726=""""),"""",IFERROR(IF(K2726="""","""",query('tbl user'!$A$2:$D10975,""SELECT A WHERE D = '""&amp;K2726&amp;""'"")),""USER TIDAK DIKETAHUI""))"),"#REF!")</f>
        <v>#REF!</v>
      </c>
    </row>
    <row r="2727">
      <c r="A2727" s="21">
        <f t="shared" si="1"/>
        <v>0</v>
      </c>
      <c r="B2727" s="32" t="s">
        <v>137</v>
      </c>
      <c r="C2727" s="23" t="s">
        <v>138</v>
      </c>
      <c r="D2727" s="23" t="s">
        <v>32</v>
      </c>
      <c r="E2727" s="37">
        <v>45436.0</v>
      </c>
      <c r="F2727" s="25">
        <v>0.25069444444444444</v>
      </c>
      <c r="G2727" s="25">
        <v>0.7368055555555556</v>
      </c>
      <c r="H2727" s="27">
        <f t="shared" si="2"/>
        <v>0.4861111111</v>
      </c>
      <c r="I2727" s="28">
        <v>4.0</v>
      </c>
      <c r="J2727" s="29" t="s">
        <v>55</v>
      </c>
      <c r="K2727" s="30" t="s">
        <v>23</v>
      </c>
      <c r="L2727" s="31" t="str">
        <f>IFERROR(__xludf.DUMMYFUNCTION("IF(OR(E2727="""",K2727=""""),"""",IFERROR(IF(K2727="""","""",query('tbl user'!$A$2:$D10975,""SELECT A WHERE D = '""&amp;K2727&amp;""'"")),""USER TIDAK DIKETAHUI""))"),"#REF!")</f>
        <v>#REF!</v>
      </c>
    </row>
    <row r="2728">
      <c r="A2728" s="21">
        <f t="shared" si="1"/>
        <v>0</v>
      </c>
      <c r="B2728" s="32" t="s">
        <v>267</v>
      </c>
      <c r="C2728" s="23" t="s">
        <v>268</v>
      </c>
      <c r="D2728" s="23" t="s">
        <v>32</v>
      </c>
      <c r="E2728" s="37">
        <v>45436.0</v>
      </c>
      <c r="F2728" s="25">
        <v>0.21597222222222223</v>
      </c>
      <c r="G2728" s="25">
        <v>0.7347222222222223</v>
      </c>
      <c r="H2728" s="27">
        <f t="shared" si="2"/>
        <v>0.51875</v>
      </c>
      <c r="I2728" s="28">
        <v>4.0</v>
      </c>
      <c r="J2728" s="29" t="s">
        <v>55</v>
      </c>
      <c r="K2728" s="30" t="s">
        <v>23</v>
      </c>
      <c r="L2728" s="31" t="str">
        <f>IFERROR(__xludf.DUMMYFUNCTION("IF(OR(E2728="""",K2728=""""),"""",IFERROR(IF(K2728="""","""",query('tbl user'!$A$2:$D10975,""SELECT A WHERE D = '""&amp;K2728&amp;""'"")),""USER TIDAK DIKETAHUI""))"),"#REF!")</f>
        <v>#REF!</v>
      </c>
    </row>
    <row r="2729">
      <c r="A2729" s="21">
        <f t="shared" si="1"/>
        <v>0</v>
      </c>
      <c r="B2729" s="32" t="s">
        <v>277</v>
      </c>
      <c r="C2729" s="23" t="s">
        <v>278</v>
      </c>
      <c r="D2729" s="23" t="s">
        <v>32</v>
      </c>
      <c r="E2729" s="37">
        <v>45436.0</v>
      </c>
      <c r="F2729" s="25">
        <v>0.2513888888888889</v>
      </c>
      <c r="G2729" s="25">
        <v>0.7256944444444444</v>
      </c>
      <c r="H2729" s="27">
        <f t="shared" si="2"/>
        <v>0.4743055556</v>
      </c>
      <c r="I2729" s="28">
        <v>4.0</v>
      </c>
      <c r="J2729" s="29" t="s">
        <v>55</v>
      </c>
      <c r="K2729" s="30" t="s">
        <v>23</v>
      </c>
      <c r="L2729" s="31" t="str">
        <f>IFERROR(__xludf.DUMMYFUNCTION("IF(OR(E2729="""",K2729=""""),"""",IFERROR(IF(K2729="""","""",query('tbl user'!$A$2:$D10975,""SELECT A WHERE D = '""&amp;K2729&amp;""'"")),""USER TIDAK DIKETAHUI""))"),"#REF!")</f>
        <v>#REF!</v>
      </c>
    </row>
    <row r="2730">
      <c r="A2730" s="21">
        <f t="shared" si="1"/>
        <v>0</v>
      </c>
      <c r="B2730" s="32" t="s">
        <v>175</v>
      </c>
      <c r="C2730" s="23" t="s">
        <v>211</v>
      </c>
      <c r="D2730" s="23" t="s">
        <v>58</v>
      </c>
      <c r="E2730" s="37">
        <v>45437.0</v>
      </c>
      <c r="F2730" s="25">
        <v>0.2881944444444444</v>
      </c>
      <c r="G2730" s="25">
        <v>0.6472222222222223</v>
      </c>
      <c r="H2730" s="27">
        <f t="shared" si="2"/>
        <v>0.3590277778</v>
      </c>
      <c r="I2730" s="28">
        <v>2.0</v>
      </c>
      <c r="J2730" s="29" t="s">
        <v>1270</v>
      </c>
      <c r="K2730" s="30" t="s">
        <v>23</v>
      </c>
      <c r="L2730" s="31" t="str">
        <f>IFERROR(__xludf.DUMMYFUNCTION("IF(OR(E2730="""",K2730=""""),"""",IFERROR(IF(K2730="""","""",query('tbl user'!$A$2:$D10975,""SELECT A WHERE D = '""&amp;K2730&amp;""'"")),""USER TIDAK DIKETAHUI""))"),"#REF!")</f>
        <v>#REF!</v>
      </c>
    </row>
    <row r="2731">
      <c r="A2731" s="21">
        <f t="shared" si="1"/>
        <v>0</v>
      </c>
      <c r="B2731" s="32" t="s">
        <v>297</v>
      </c>
      <c r="C2731" s="23" t="s">
        <v>348</v>
      </c>
      <c r="D2731" s="23" t="s">
        <v>58</v>
      </c>
      <c r="E2731" s="37">
        <v>45437.0</v>
      </c>
      <c r="F2731" s="25">
        <v>0.27847222222222223</v>
      </c>
      <c r="G2731" s="25">
        <v>0.5666666666666667</v>
      </c>
      <c r="H2731" s="27">
        <f t="shared" si="2"/>
        <v>0.2881944444</v>
      </c>
      <c r="I2731" s="28">
        <v>2.0</v>
      </c>
      <c r="J2731" s="29" t="s">
        <v>1271</v>
      </c>
      <c r="K2731" s="30" t="s">
        <v>23</v>
      </c>
      <c r="L2731" s="31" t="str">
        <f>IFERROR(__xludf.DUMMYFUNCTION("IF(OR(E2731="""",K2731=""""),"""",IFERROR(IF(K2731="""","""",query('tbl user'!$A$2:$D10975,""SELECT A WHERE D = '""&amp;K2731&amp;""'"")),""USER TIDAK DIKETAHUI""))"),"#REF!")</f>
        <v>#REF!</v>
      </c>
    </row>
    <row r="2732">
      <c r="A2732" s="21">
        <f t="shared" si="1"/>
        <v>0</v>
      </c>
      <c r="B2732" s="32" t="s">
        <v>205</v>
      </c>
      <c r="C2732" s="23" t="s">
        <v>206</v>
      </c>
      <c r="D2732" s="23" t="s">
        <v>58</v>
      </c>
      <c r="E2732" s="37">
        <v>45437.0</v>
      </c>
      <c r="F2732" s="25">
        <v>0.20694444444444443</v>
      </c>
      <c r="G2732" s="25">
        <v>0.6951388888888889</v>
      </c>
      <c r="H2732" s="27">
        <f t="shared" si="2"/>
        <v>0.4881944444</v>
      </c>
      <c r="I2732" s="28">
        <v>2.0</v>
      </c>
      <c r="J2732" s="29" t="s">
        <v>1272</v>
      </c>
      <c r="K2732" s="30" t="s">
        <v>23</v>
      </c>
      <c r="L2732" s="31" t="str">
        <f>IFERROR(__xludf.DUMMYFUNCTION("IF(OR(E2732="""",K2732=""""),"""",IFERROR(IF(K2732="""","""",query('tbl user'!$A$2:$D10975,""SELECT A WHERE D = '""&amp;K2732&amp;""'"")),""USER TIDAK DIKETAHUI""))"),"#REF!")</f>
        <v>#REF!</v>
      </c>
    </row>
    <row r="2733">
      <c r="A2733" s="21">
        <f t="shared" si="1"/>
        <v>0</v>
      </c>
      <c r="B2733" s="32" t="s">
        <v>67</v>
      </c>
      <c r="C2733" s="23" t="s">
        <v>68</v>
      </c>
      <c r="D2733" s="23" t="s">
        <v>58</v>
      </c>
      <c r="E2733" s="37">
        <v>45437.0</v>
      </c>
      <c r="F2733" s="25">
        <v>0.2659722222222222</v>
      </c>
      <c r="G2733" s="25">
        <v>0.6465277777777778</v>
      </c>
      <c r="H2733" s="27">
        <f t="shared" si="2"/>
        <v>0.3805555556</v>
      </c>
      <c r="I2733" s="28">
        <v>3.0</v>
      </c>
      <c r="J2733" s="29" t="s">
        <v>218</v>
      </c>
      <c r="K2733" s="30" t="s">
        <v>23</v>
      </c>
      <c r="L2733" s="31" t="str">
        <f>IFERROR(__xludf.DUMMYFUNCTION("IF(OR(E2733="""",K2733=""""),"""",IFERROR(IF(K2733="""","""",query('tbl user'!$A$2:$D10975,""SELECT A WHERE D = '""&amp;K2733&amp;""'"")),""USER TIDAK DIKETAHUI""))"),"#REF!")</f>
        <v>#REF!</v>
      </c>
    </row>
    <row r="2734">
      <c r="A2734" s="21">
        <f t="shared" si="1"/>
        <v>0</v>
      </c>
      <c r="B2734" s="32" t="s">
        <v>167</v>
      </c>
      <c r="C2734" s="23" t="s">
        <v>168</v>
      </c>
      <c r="D2734" s="23" t="s">
        <v>58</v>
      </c>
      <c r="E2734" s="37">
        <v>45437.0</v>
      </c>
      <c r="F2734" s="25">
        <v>0.3784722222222222</v>
      </c>
      <c r="G2734" s="25">
        <v>0.7090277777777778</v>
      </c>
      <c r="H2734" s="27">
        <f t="shared" si="2"/>
        <v>0.3305555556</v>
      </c>
      <c r="I2734" s="28">
        <v>3.0</v>
      </c>
      <c r="J2734" s="29" t="s">
        <v>1273</v>
      </c>
      <c r="K2734" s="30" t="s">
        <v>23</v>
      </c>
      <c r="L2734" s="31" t="str">
        <f>IFERROR(__xludf.DUMMYFUNCTION("IF(OR(E2734="""",K2734=""""),"""",IFERROR(IF(K2734="""","""",query('tbl user'!$A$2:$D10975,""SELECT A WHERE D = '""&amp;K2734&amp;""'"")),""USER TIDAK DIKETAHUI""))"),"#REF!")</f>
        <v>#REF!</v>
      </c>
    </row>
    <row r="2735">
      <c r="A2735" s="21">
        <f t="shared" si="1"/>
        <v>0</v>
      </c>
      <c r="B2735" s="32" t="s">
        <v>214</v>
      </c>
      <c r="C2735" s="23" t="s">
        <v>170</v>
      </c>
      <c r="D2735" s="23" t="s">
        <v>58</v>
      </c>
      <c r="E2735" s="37">
        <v>45437.0</v>
      </c>
      <c r="F2735" s="25">
        <v>0.2923611111111111</v>
      </c>
      <c r="G2735" s="25">
        <v>0.6673611111111111</v>
      </c>
      <c r="H2735" s="27">
        <f t="shared" si="2"/>
        <v>0.375</v>
      </c>
      <c r="I2735" s="28">
        <v>3.0</v>
      </c>
      <c r="J2735" s="29" t="s">
        <v>1274</v>
      </c>
      <c r="K2735" s="30" t="s">
        <v>23</v>
      </c>
      <c r="L2735" s="31" t="str">
        <f>IFERROR(__xludf.DUMMYFUNCTION("IF(OR(E2735="""",K2735=""""),"""",IFERROR(IF(K2735="""","""",query('tbl user'!$A$2:$D10975,""SELECT A WHERE D = '""&amp;K2735&amp;""'"")),""USER TIDAK DIKETAHUI""))"),"#REF!")</f>
        <v>#REF!</v>
      </c>
    </row>
    <row r="2736">
      <c r="A2736" s="21">
        <f t="shared" si="1"/>
        <v>0</v>
      </c>
      <c r="B2736" s="32" t="s">
        <v>182</v>
      </c>
      <c r="C2736" s="23" t="s">
        <v>183</v>
      </c>
      <c r="D2736" s="23" t="s">
        <v>58</v>
      </c>
      <c r="E2736" s="37">
        <v>45437.0</v>
      </c>
      <c r="F2736" s="25">
        <v>0.22847222222222222</v>
      </c>
      <c r="G2736" s="25">
        <v>0.6368055555555555</v>
      </c>
      <c r="H2736" s="27">
        <f t="shared" si="2"/>
        <v>0.4083333333</v>
      </c>
      <c r="I2736" s="28">
        <v>3.0</v>
      </c>
      <c r="J2736" s="29" t="s">
        <v>171</v>
      </c>
      <c r="K2736" s="30" t="s">
        <v>23</v>
      </c>
      <c r="L2736" s="31" t="str">
        <f>IFERROR(__xludf.DUMMYFUNCTION("IF(OR(E2736="""",K2736=""""),"""",IFERROR(IF(K2736="""","""",query('tbl user'!$A$2:$D10975,""SELECT A WHERE D = '""&amp;K2736&amp;""'"")),""USER TIDAK DIKETAHUI""))"),"#REF!")</f>
        <v>#REF!</v>
      </c>
    </row>
    <row r="2737">
      <c r="A2737" s="21">
        <f t="shared" si="1"/>
        <v>0</v>
      </c>
      <c r="B2737" s="32" t="s">
        <v>200</v>
      </c>
      <c r="C2737" s="23" t="s">
        <v>201</v>
      </c>
      <c r="D2737" s="23" t="s">
        <v>58</v>
      </c>
      <c r="E2737" s="37">
        <v>45437.0</v>
      </c>
      <c r="F2737" s="25">
        <v>0.20625</v>
      </c>
      <c r="G2737" s="25">
        <v>0.6034722222222222</v>
      </c>
      <c r="H2737" s="27">
        <f t="shared" si="2"/>
        <v>0.3972222222</v>
      </c>
      <c r="I2737" s="28">
        <v>3.0</v>
      </c>
      <c r="J2737" s="29" t="s">
        <v>1275</v>
      </c>
      <c r="K2737" s="30" t="s">
        <v>23</v>
      </c>
      <c r="L2737" s="31" t="str">
        <f>IFERROR(__xludf.DUMMYFUNCTION("IF(OR(E2737="""",K2737=""""),"""",IFERROR(IF(K2737="""","""",query('tbl user'!$A$2:$D10975,""SELECT A WHERE D = '""&amp;K2737&amp;""'"")),""USER TIDAK DIKETAHUI""))"),"#REF!")</f>
        <v>#REF!</v>
      </c>
    </row>
    <row r="2738">
      <c r="A2738" s="21">
        <f t="shared" si="1"/>
        <v>0</v>
      </c>
      <c r="B2738" s="32" t="s">
        <v>104</v>
      </c>
      <c r="C2738" s="23" t="s">
        <v>105</v>
      </c>
      <c r="D2738" s="23" t="s">
        <v>58</v>
      </c>
      <c r="E2738" s="37">
        <v>45437.0</v>
      </c>
      <c r="F2738" s="25">
        <v>0.28194444444444444</v>
      </c>
      <c r="G2738" s="25">
        <v>0.6881944444444444</v>
      </c>
      <c r="H2738" s="27">
        <f t="shared" si="2"/>
        <v>0.40625</v>
      </c>
      <c r="I2738" s="28">
        <v>3.0</v>
      </c>
      <c r="J2738" s="29" t="s">
        <v>171</v>
      </c>
      <c r="K2738" s="30" t="s">
        <v>23</v>
      </c>
      <c r="L2738" s="31" t="str">
        <f>IFERROR(__xludf.DUMMYFUNCTION("IF(OR(E2738="""",K2738=""""),"""",IFERROR(IF(K2738="""","""",query('tbl user'!$A$2:$D10975,""SELECT A WHERE D = '""&amp;K2738&amp;""'"")),""USER TIDAK DIKETAHUI""))"),"#REF!")</f>
        <v>#REF!</v>
      </c>
    </row>
    <row r="2739">
      <c r="A2739" s="21">
        <f t="shared" si="1"/>
        <v>0</v>
      </c>
      <c r="B2739" s="32" t="s">
        <v>202</v>
      </c>
      <c r="C2739" s="23" t="s">
        <v>203</v>
      </c>
      <c r="D2739" s="23" t="s">
        <v>58</v>
      </c>
      <c r="E2739" s="37">
        <v>45437.0</v>
      </c>
      <c r="F2739" s="25">
        <v>0.2548611111111111</v>
      </c>
      <c r="G2739" s="25">
        <v>0.6159722222222223</v>
      </c>
      <c r="H2739" s="27">
        <f t="shared" si="2"/>
        <v>0.3611111111</v>
      </c>
      <c r="I2739" s="28">
        <v>3.0</v>
      </c>
      <c r="J2739" s="29" t="s">
        <v>1276</v>
      </c>
      <c r="K2739" s="30" t="s">
        <v>23</v>
      </c>
      <c r="L2739" s="31" t="str">
        <f>IFERROR(__xludf.DUMMYFUNCTION("IF(OR(E2739="""",K2739=""""),"""",IFERROR(IF(K2739="""","""",query('tbl user'!$A$2:$D10975,""SELECT A WHERE D = '""&amp;K2739&amp;""'"")),""USER TIDAK DIKETAHUI""))"),"#REF!")</f>
        <v>#REF!</v>
      </c>
    </row>
    <row r="2740">
      <c r="A2740" s="21">
        <f t="shared" si="1"/>
        <v>0</v>
      </c>
      <c r="B2740" s="32" t="s">
        <v>84</v>
      </c>
      <c r="C2740" s="23" t="s">
        <v>85</v>
      </c>
      <c r="D2740" s="23" t="s">
        <v>58</v>
      </c>
      <c r="E2740" s="37">
        <v>45437.0</v>
      </c>
      <c r="F2740" s="25">
        <v>0.25069444444444444</v>
      </c>
      <c r="G2740" s="25">
        <v>0.6833333333333333</v>
      </c>
      <c r="H2740" s="27">
        <f t="shared" si="2"/>
        <v>0.4326388889</v>
      </c>
      <c r="I2740" s="28">
        <v>3.0</v>
      </c>
      <c r="J2740" s="29" t="s">
        <v>1277</v>
      </c>
      <c r="K2740" s="30" t="s">
        <v>23</v>
      </c>
      <c r="L2740" s="31" t="str">
        <f>IFERROR(__xludf.DUMMYFUNCTION("IF(OR(E2740="""",K2740=""""),"""",IFERROR(IF(K2740="""","""",query('tbl user'!$A$2:$D10975,""SELECT A WHERE D = '""&amp;K2740&amp;""'"")),""USER TIDAK DIKETAHUI""))"),"#REF!")</f>
        <v>#REF!</v>
      </c>
    </row>
    <row r="2741">
      <c r="A2741" s="21">
        <f t="shared" si="1"/>
        <v>0</v>
      </c>
      <c r="B2741" s="32" t="s">
        <v>92</v>
      </c>
      <c r="C2741" s="23" t="s">
        <v>93</v>
      </c>
      <c r="D2741" s="23" t="s">
        <v>58</v>
      </c>
      <c r="E2741" s="37">
        <v>45437.0</v>
      </c>
      <c r="F2741" s="25">
        <v>0.2513888888888889</v>
      </c>
      <c r="G2741" s="25">
        <v>0.6604166666666667</v>
      </c>
      <c r="H2741" s="27">
        <f t="shared" si="2"/>
        <v>0.4090277778</v>
      </c>
      <c r="I2741" s="28">
        <v>4.0</v>
      </c>
      <c r="J2741" s="29" t="s">
        <v>55</v>
      </c>
      <c r="K2741" s="30" t="s">
        <v>23</v>
      </c>
      <c r="L2741" s="31" t="str">
        <f>IFERROR(__xludf.DUMMYFUNCTION("IF(OR(E2741="""",K2741=""""),"""",IFERROR(IF(K2741="""","""",query('tbl user'!$A$2:$D10975,""SELECT A WHERE D = '""&amp;K2741&amp;""'"")),""USER TIDAK DIKETAHUI""))"),"#REF!")</f>
        <v>#REF!</v>
      </c>
    </row>
    <row r="2742">
      <c r="A2742" s="21">
        <f t="shared" si="1"/>
        <v>0</v>
      </c>
      <c r="B2742" s="32" t="s">
        <v>81</v>
      </c>
      <c r="C2742" s="23" t="s">
        <v>82</v>
      </c>
      <c r="D2742" s="23" t="s">
        <v>58</v>
      </c>
      <c r="E2742" s="37">
        <v>45437.0</v>
      </c>
      <c r="F2742" s="25">
        <v>0.28541666666666665</v>
      </c>
      <c r="G2742" s="25">
        <v>0.7263888888888889</v>
      </c>
      <c r="H2742" s="27">
        <f t="shared" si="2"/>
        <v>0.4409722222</v>
      </c>
      <c r="I2742" s="28">
        <v>4.0</v>
      </c>
      <c r="J2742" s="29" t="s">
        <v>55</v>
      </c>
      <c r="K2742" s="30" t="s">
        <v>23</v>
      </c>
      <c r="L2742" s="31" t="str">
        <f>IFERROR(__xludf.DUMMYFUNCTION("IF(OR(E2742="""",K2742=""""),"""",IFERROR(IF(K2742="""","""",query('tbl user'!$A$2:$D10975,""SELECT A WHERE D = '""&amp;K2742&amp;""'"")),""USER TIDAK DIKETAHUI""))"),"#REF!")</f>
        <v>#REF!</v>
      </c>
    </row>
    <row r="2743">
      <c r="A2743" s="21">
        <f t="shared" si="1"/>
        <v>0</v>
      </c>
      <c r="B2743" s="32" t="s">
        <v>180</v>
      </c>
      <c r="C2743" s="23" t="s">
        <v>181</v>
      </c>
      <c r="D2743" s="23" t="s">
        <v>58</v>
      </c>
      <c r="E2743" s="37">
        <v>45437.0</v>
      </c>
      <c r="F2743" s="25">
        <v>0.225</v>
      </c>
      <c r="G2743" s="25">
        <v>0.6576388888888889</v>
      </c>
      <c r="H2743" s="27">
        <f t="shared" si="2"/>
        <v>0.4326388889</v>
      </c>
      <c r="I2743" s="28">
        <v>4.0</v>
      </c>
      <c r="J2743" s="29" t="s">
        <v>55</v>
      </c>
      <c r="K2743" s="30" t="s">
        <v>23</v>
      </c>
      <c r="L2743" s="31" t="str">
        <f>IFERROR(__xludf.DUMMYFUNCTION("IF(OR(E2743="""",K2743=""""),"""",IFERROR(IF(K2743="""","""",query('tbl user'!$A$2:$D10975,""SELECT A WHERE D = '""&amp;K2743&amp;""'"")),""USER TIDAK DIKETAHUI""))"),"#REF!")</f>
        <v>#REF!</v>
      </c>
    </row>
    <row r="2744">
      <c r="A2744" s="21">
        <f t="shared" si="1"/>
        <v>0</v>
      </c>
      <c r="B2744" s="32" t="s">
        <v>184</v>
      </c>
      <c r="C2744" s="23" t="s">
        <v>185</v>
      </c>
      <c r="D2744" s="23" t="s">
        <v>58</v>
      </c>
      <c r="E2744" s="37">
        <v>45437.0</v>
      </c>
      <c r="F2744" s="25">
        <v>0.27152777777777776</v>
      </c>
      <c r="G2744" s="25">
        <v>0.6840277777777778</v>
      </c>
      <c r="H2744" s="27">
        <f t="shared" si="2"/>
        <v>0.4125</v>
      </c>
      <c r="I2744" s="28">
        <v>4.0</v>
      </c>
      <c r="J2744" s="29" t="s">
        <v>55</v>
      </c>
      <c r="K2744" s="30" t="s">
        <v>23</v>
      </c>
      <c r="L2744" s="31" t="str">
        <f>IFERROR(__xludf.DUMMYFUNCTION("IF(OR(E2744="""",K2744=""""),"""",IFERROR(IF(K2744="""","""",query('tbl user'!$A$2:$D10975,""SELECT A WHERE D = '""&amp;K2744&amp;""'"")),""USER TIDAK DIKETAHUI""))"),"#REF!")</f>
        <v>#REF!</v>
      </c>
    </row>
    <row r="2745">
      <c r="A2745" s="21">
        <f t="shared" si="1"/>
        <v>0</v>
      </c>
      <c r="B2745" s="32" t="s">
        <v>189</v>
      </c>
      <c r="C2745" s="23" t="s">
        <v>190</v>
      </c>
      <c r="D2745" s="23" t="s">
        <v>58</v>
      </c>
      <c r="E2745" s="37">
        <v>45437.0</v>
      </c>
      <c r="F2745" s="25">
        <v>0.2722222222222222</v>
      </c>
      <c r="G2745" s="25">
        <v>0.7097222222222223</v>
      </c>
      <c r="H2745" s="27">
        <f t="shared" si="2"/>
        <v>0.4375</v>
      </c>
      <c r="I2745" s="28">
        <v>4.0</v>
      </c>
      <c r="J2745" s="29" t="s">
        <v>55</v>
      </c>
      <c r="K2745" s="30" t="s">
        <v>23</v>
      </c>
      <c r="L2745" s="31" t="str">
        <f>IFERROR(__xludf.DUMMYFUNCTION("IF(OR(E2745="""",K2745=""""),"""",IFERROR(IF(K2745="""","""",query('tbl user'!$A$2:$D10975,""SELECT A WHERE D = '""&amp;K2745&amp;""'"")),""USER TIDAK DIKETAHUI""))"),"#REF!")</f>
        <v>#REF!</v>
      </c>
    </row>
    <row r="2746">
      <c r="A2746" s="21">
        <f t="shared" si="1"/>
        <v>0</v>
      </c>
      <c r="B2746" s="32" t="s">
        <v>191</v>
      </c>
      <c r="C2746" s="23" t="s">
        <v>192</v>
      </c>
      <c r="D2746" s="23" t="s">
        <v>58</v>
      </c>
      <c r="E2746" s="37">
        <v>45437.0</v>
      </c>
      <c r="F2746" s="25">
        <v>0.2520833333333333</v>
      </c>
      <c r="G2746" s="25">
        <v>0.6951388888888889</v>
      </c>
      <c r="H2746" s="27">
        <f t="shared" si="2"/>
        <v>0.4430555556</v>
      </c>
      <c r="I2746" s="28">
        <v>4.0</v>
      </c>
      <c r="J2746" s="29" t="s">
        <v>55</v>
      </c>
      <c r="K2746" s="30" t="s">
        <v>23</v>
      </c>
      <c r="L2746" s="31" t="str">
        <f>IFERROR(__xludf.DUMMYFUNCTION("IF(OR(E2746="""",K2746=""""),"""",IFERROR(IF(K2746="""","""",query('tbl user'!$A$2:$D10975,""SELECT A WHERE D = '""&amp;K2746&amp;""'"")),""USER TIDAK DIKETAHUI""))"),"#REF!")</f>
        <v>#REF!</v>
      </c>
    </row>
    <row r="2747">
      <c r="A2747" s="21">
        <f t="shared" si="1"/>
        <v>0</v>
      </c>
      <c r="B2747" s="32" t="s">
        <v>194</v>
      </c>
      <c r="C2747" s="23" t="s">
        <v>195</v>
      </c>
      <c r="D2747" s="23" t="s">
        <v>58</v>
      </c>
      <c r="E2747" s="37">
        <v>45437.0</v>
      </c>
      <c r="F2747" s="25">
        <v>0.22569444444444445</v>
      </c>
      <c r="G2747" s="25">
        <v>0.6458333333333334</v>
      </c>
      <c r="H2747" s="27">
        <f t="shared" si="2"/>
        <v>0.4201388889</v>
      </c>
      <c r="I2747" s="28">
        <v>4.0</v>
      </c>
      <c r="J2747" s="29" t="s">
        <v>55</v>
      </c>
      <c r="K2747" s="30" t="s">
        <v>23</v>
      </c>
      <c r="L2747" s="31" t="str">
        <f>IFERROR(__xludf.DUMMYFUNCTION("IF(OR(E2747="""",K2747=""""),"""",IFERROR(IF(K2747="""","""",query('tbl user'!$A$2:$D10975,""SELECT A WHERE D = '""&amp;K2747&amp;""'"")),""USER TIDAK DIKETAHUI""))"),"#REF!")</f>
        <v>#REF!</v>
      </c>
    </row>
    <row r="2748">
      <c r="A2748" s="21">
        <f t="shared" si="1"/>
        <v>0</v>
      </c>
      <c r="B2748" s="32" t="s">
        <v>197</v>
      </c>
      <c r="C2748" s="23" t="s">
        <v>198</v>
      </c>
      <c r="D2748" s="23" t="s">
        <v>58</v>
      </c>
      <c r="E2748" s="37">
        <v>45437.0</v>
      </c>
      <c r="F2748" s="25">
        <v>0.22083333333333333</v>
      </c>
      <c r="G2748" s="25">
        <v>0.6020833333333333</v>
      </c>
      <c r="H2748" s="27">
        <f t="shared" si="2"/>
        <v>0.38125</v>
      </c>
      <c r="I2748" s="28">
        <v>4.0</v>
      </c>
      <c r="J2748" s="29" t="s">
        <v>55</v>
      </c>
      <c r="K2748" s="30" t="s">
        <v>23</v>
      </c>
      <c r="L2748" s="31" t="str">
        <f>IFERROR(__xludf.DUMMYFUNCTION("IF(OR(E2748="""",K2748=""""),"""",IFERROR(IF(K2748="""","""",query('tbl user'!$A$2:$D10975,""SELECT A WHERE D = '""&amp;K2748&amp;""'"")),""USER TIDAK DIKETAHUI""))"),"#REF!")</f>
        <v>#REF!</v>
      </c>
    </row>
    <row r="2749">
      <c r="A2749" s="21">
        <f t="shared" si="1"/>
        <v>0</v>
      </c>
      <c r="B2749" s="32" t="s">
        <v>95</v>
      </c>
      <c r="C2749" s="23" t="s">
        <v>282</v>
      </c>
      <c r="D2749" s="23" t="s">
        <v>21</v>
      </c>
      <c r="E2749" s="37">
        <v>45437.0</v>
      </c>
      <c r="F2749" s="25">
        <v>0.3090277777777778</v>
      </c>
      <c r="G2749" s="25">
        <v>0.4666666666666667</v>
      </c>
      <c r="H2749" s="27">
        <f t="shared" si="2"/>
        <v>0.1576388889</v>
      </c>
      <c r="I2749" s="28">
        <v>1.0</v>
      </c>
      <c r="J2749" s="29" t="s">
        <v>171</v>
      </c>
      <c r="K2749" s="30" t="s">
        <v>23</v>
      </c>
      <c r="L2749" s="31" t="str">
        <f>IFERROR(__xludf.DUMMYFUNCTION("IF(OR(E2749="""",K2749=""""),"""",IFERROR(IF(K2749="""","""",query('tbl user'!$A$2:$D10975,""SELECT A WHERE D = '""&amp;K2749&amp;""'"")),""USER TIDAK DIKETAHUI""))"),"#REF!")</f>
        <v>#REF!</v>
      </c>
    </row>
    <row r="2750">
      <c r="A2750" s="21">
        <f t="shared" si="1"/>
        <v>0</v>
      </c>
      <c r="B2750" s="32" t="s">
        <v>37</v>
      </c>
      <c r="C2750" s="23" t="s">
        <v>38</v>
      </c>
      <c r="D2750" s="23" t="s">
        <v>21</v>
      </c>
      <c r="E2750" s="37">
        <v>45437.0</v>
      </c>
      <c r="F2750" s="25">
        <v>0.2791666666666667</v>
      </c>
      <c r="G2750" s="25">
        <v>0.5</v>
      </c>
      <c r="H2750" s="27">
        <f t="shared" si="2"/>
        <v>0.2208333333</v>
      </c>
      <c r="I2750" s="28">
        <v>2.0</v>
      </c>
      <c r="J2750" s="29" t="s">
        <v>171</v>
      </c>
      <c r="K2750" s="30" t="s">
        <v>23</v>
      </c>
      <c r="L2750" s="31" t="str">
        <f>IFERROR(__xludf.DUMMYFUNCTION("IF(OR(E2750="""",K2750=""""),"""",IFERROR(IF(K2750="""","""",query('tbl user'!$A$2:$D10975,""SELECT A WHERE D = '""&amp;K2750&amp;""'"")),""USER TIDAK DIKETAHUI""))"),"#REF!")</f>
        <v>#REF!</v>
      </c>
    </row>
    <row r="2751">
      <c r="A2751" s="21">
        <f t="shared" si="1"/>
        <v>0</v>
      </c>
      <c r="B2751" s="32" t="s">
        <v>51</v>
      </c>
      <c r="C2751" s="23" t="s">
        <v>27</v>
      </c>
      <c r="D2751" s="23" t="s">
        <v>21</v>
      </c>
      <c r="E2751" s="37">
        <v>45437.0</v>
      </c>
      <c r="F2751" s="25">
        <v>0.26666666666666666</v>
      </c>
      <c r="G2751" s="25">
        <v>0.5006944444444444</v>
      </c>
      <c r="H2751" s="27">
        <f t="shared" si="2"/>
        <v>0.2340277778</v>
      </c>
      <c r="I2751" s="28">
        <v>2.0</v>
      </c>
      <c r="J2751" s="29" t="s">
        <v>171</v>
      </c>
      <c r="K2751" s="30" t="s">
        <v>23</v>
      </c>
      <c r="L2751" s="31" t="str">
        <f>IFERROR(__xludf.DUMMYFUNCTION("IF(OR(E2751="""",K2751=""""),"""",IFERROR(IF(K2751="""","""",query('tbl user'!$A$2:$D10975,""SELECT A WHERE D = '""&amp;K2751&amp;""'"")),""USER TIDAK DIKETAHUI""))"),"#REF!")</f>
        <v>#REF!</v>
      </c>
    </row>
    <row r="2752">
      <c r="A2752" s="21">
        <f t="shared" si="1"/>
        <v>0</v>
      </c>
      <c r="B2752" s="32" t="s">
        <v>305</v>
      </c>
      <c r="C2752" s="23" t="s">
        <v>251</v>
      </c>
      <c r="D2752" s="23" t="s">
        <v>21</v>
      </c>
      <c r="E2752" s="37">
        <v>45437.0</v>
      </c>
      <c r="F2752" s="25">
        <v>0.225</v>
      </c>
      <c r="G2752" s="25">
        <v>0.37916666666666665</v>
      </c>
      <c r="H2752" s="27">
        <f t="shared" si="2"/>
        <v>0.1541666667</v>
      </c>
      <c r="I2752" s="28">
        <v>1.0</v>
      </c>
      <c r="J2752" s="29" t="s">
        <v>1278</v>
      </c>
      <c r="K2752" s="30" t="s">
        <v>23</v>
      </c>
      <c r="L2752" s="31" t="str">
        <f>IFERROR(__xludf.DUMMYFUNCTION("IF(OR(E2752="""",K2752=""""),"""",IFERROR(IF(K2752="""","""",query('tbl user'!$A$2:$D10975,""SELECT A WHERE D = '""&amp;K2752&amp;""'"")),""USER TIDAK DIKETAHUI""))"),"#REF!")</f>
        <v>#REF!</v>
      </c>
    </row>
    <row r="2753">
      <c r="A2753" s="21">
        <f t="shared" si="1"/>
        <v>0</v>
      </c>
      <c r="B2753" s="32" t="s">
        <v>159</v>
      </c>
      <c r="C2753" s="23" t="s">
        <v>306</v>
      </c>
      <c r="D2753" s="23" t="s">
        <v>21</v>
      </c>
      <c r="E2753" s="37">
        <v>45437.0</v>
      </c>
      <c r="F2753" s="25">
        <v>0.2965277777777778</v>
      </c>
      <c r="G2753" s="25">
        <v>0.5472222222222223</v>
      </c>
      <c r="H2753" s="27">
        <f t="shared" si="2"/>
        <v>0.2506944444</v>
      </c>
      <c r="I2753" s="28">
        <v>2.0</v>
      </c>
      <c r="J2753" s="29" t="s">
        <v>1279</v>
      </c>
      <c r="K2753" s="30" t="s">
        <v>23</v>
      </c>
      <c r="L2753" s="31" t="str">
        <f>IFERROR(__xludf.DUMMYFUNCTION("IF(OR(E2753="""",K2753=""""),"""",IFERROR(IF(K2753="""","""",query('tbl user'!$A$2:$D10975,""SELECT A WHERE D = '""&amp;K2753&amp;""'"")),""USER TIDAK DIKETAHUI""))"),"#REF!")</f>
        <v>#REF!</v>
      </c>
    </row>
    <row r="2754">
      <c r="A2754" s="21">
        <f t="shared" si="1"/>
        <v>0</v>
      </c>
      <c r="B2754" s="32" t="s">
        <v>258</v>
      </c>
      <c r="C2754" s="23" t="s">
        <v>259</v>
      </c>
      <c r="D2754" s="23" t="s">
        <v>21</v>
      </c>
      <c r="E2754" s="37">
        <v>45437.0</v>
      </c>
      <c r="F2754" s="25">
        <v>0.2625</v>
      </c>
      <c r="G2754" s="25">
        <v>0.5444444444444444</v>
      </c>
      <c r="H2754" s="27">
        <f t="shared" si="2"/>
        <v>0.2819444444</v>
      </c>
      <c r="I2754" s="28">
        <v>2.0</v>
      </c>
      <c r="J2754" s="29" t="s">
        <v>1280</v>
      </c>
      <c r="K2754" s="30" t="s">
        <v>23</v>
      </c>
      <c r="L2754" s="31" t="str">
        <f>IFERROR(__xludf.DUMMYFUNCTION("IF(OR(E2754="""",K2754=""""),"""",IFERROR(IF(K2754="""","""",query('tbl user'!$A$2:$D10975,""SELECT A WHERE D = '""&amp;K2754&amp;""'"")),""USER TIDAK DIKETAHUI""))"),"#REF!")</f>
        <v>#REF!</v>
      </c>
    </row>
    <row r="2755">
      <c r="A2755" s="21">
        <f t="shared" si="1"/>
        <v>0</v>
      </c>
      <c r="B2755" s="32" t="s">
        <v>24</v>
      </c>
      <c r="C2755" s="23" t="s">
        <v>25</v>
      </c>
      <c r="D2755" s="23" t="s">
        <v>21</v>
      </c>
      <c r="E2755" s="37">
        <v>45437.0</v>
      </c>
      <c r="F2755" s="25">
        <v>0.29930555555555555</v>
      </c>
      <c r="G2755" s="25">
        <v>0.5756944444444444</v>
      </c>
      <c r="H2755" s="27">
        <f t="shared" si="2"/>
        <v>0.2763888889</v>
      </c>
      <c r="I2755" s="28">
        <v>3.0</v>
      </c>
      <c r="J2755" s="29" t="s">
        <v>1281</v>
      </c>
      <c r="K2755" s="30" t="s">
        <v>23</v>
      </c>
      <c r="L2755" s="31" t="str">
        <f>IFERROR(__xludf.DUMMYFUNCTION("IF(OR(E2755="""",K2755=""""),"""",IFERROR(IF(K2755="""","""",query('tbl user'!$A$2:$D10975,""SELECT A WHERE D = '""&amp;K2755&amp;""'"")),""USER TIDAK DIKETAHUI""))"),"#REF!")</f>
        <v>#REF!</v>
      </c>
    </row>
    <row r="2756">
      <c r="A2756" s="21">
        <f t="shared" si="1"/>
        <v>0</v>
      </c>
      <c r="B2756" s="32" t="s">
        <v>593</v>
      </c>
      <c r="C2756" s="23" t="s">
        <v>236</v>
      </c>
      <c r="D2756" s="23" t="s">
        <v>21</v>
      </c>
      <c r="E2756" s="37">
        <v>45437.0</v>
      </c>
      <c r="F2756" s="25">
        <v>0.24444444444444444</v>
      </c>
      <c r="G2756" s="25">
        <v>0.5708333333333333</v>
      </c>
      <c r="H2756" s="27">
        <f t="shared" si="2"/>
        <v>0.3263888889</v>
      </c>
      <c r="I2756" s="28">
        <v>3.0</v>
      </c>
      <c r="J2756" s="29" t="s">
        <v>1282</v>
      </c>
      <c r="K2756" s="30" t="s">
        <v>23</v>
      </c>
      <c r="L2756" s="31" t="str">
        <f>IFERROR(__xludf.DUMMYFUNCTION("IF(OR(E2756="""",K2756=""""),"""",IFERROR(IF(K2756="""","""",query('tbl user'!$A$2:$D10975,""SELECT A WHERE D = '""&amp;K2756&amp;""'"")),""USER TIDAK DIKETAHUI""))"),"#REF!")</f>
        <v>#REF!</v>
      </c>
    </row>
    <row r="2757">
      <c r="A2757" s="21">
        <f t="shared" si="1"/>
        <v>0</v>
      </c>
      <c r="B2757" s="32" t="s">
        <v>131</v>
      </c>
      <c r="C2757" s="23" t="s">
        <v>339</v>
      </c>
      <c r="D2757" s="23" t="s">
        <v>21</v>
      </c>
      <c r="E2757" s="37">
        <v>45437.0</v>
      </c>
      <c r="F2757" s="25">
        <v>0.2951388888888889</v>
      </c>
      <c r="G2757" s="25">
        <v>0.5763888888888888</v>
      </c>
      <c r="H2757" s="27">
        <f t="shared" si="2"/>
        <v>0.28125</v>
      </c>
      <c r="I2757" s="28">
        <v>3.0</v>
      </c>
      <c r="J2757" s="29" t="s">
        <v>508</v>
      </c>
      <c r="K2757" s="30" t="s">
        <v>23</v>
      </c>
      <c r="L2757" s="31" t="str">
        <f>IFERROR(__xludf.DUMMYFUNCTION("IF(OR(E2757="""",K2757=""""),"""",IFERROR(IF(K2757="""","""",query('tbl user'!$A$2:$D10975,""SELECT A WHERE D = '""&amp;K2757&amp;""'"")),""USER TIDAK DIKETAHUI""))"),"#REF!")</f>
        <v>#REF!</v>
      </c>
    </row>
    <row r="2758">
      <c r="A2758" s="21">
        <f t="shared" si="1"/>
        <v>0</v>
      </c>
      <c r="B2758" s="32" t="s">
        <v>246</v>
      </c>
      <c r="C2758" s="23" t="s">
        <v>99</v>
      </c>
      <c r="D2758" s="23" t="s">
        <v>21</v>
      </c>
      <c r="E2758" s="37">
        <v>45437.0</v>
      </c>
      <c r="F2758" s="25">
        <v>0.27708333333333335</v>
      </c>
      <c r="G2758" s="25">
        <v>0.6472222222222223</v>
      </c>
      <c r="H2758" s="27">
        <f t="shared" si="2"/>
        <v>0.3701388889</v>
      </c>
      <c r="I2758" s="28">
        <v>4.0</v>
      </c>
      <c r="J2758" s="29" t="s">
        <v>213</v>
      </c>
      <c r="K2758" s="30" t="s">
        <v>23</v>
      </c>
      <c r="L2758" s="31" t="str">
        <f>IFERROR(__xludf.DUMMYFUNCTION("IF(OR(E2758="""",K2758=""""),"""",IFERROR(IF(K2758="""","""",query('tbl user'!$A$2:$D10975,""SELECT A WHERE D = '""&amp;K2758&amp;""'"")),""USER TIDAK DIKETAHUI""))"),"#REF!")</f>
        <v>#REF!</v>
      </c>
    </row>
    <row r="2759">
      <c r="A2759" s="21">
        <f t="shared" si="1"/>
        <v>0</v>
      </c>
      <c r="B2759" s="32" t="s">
        <v>209</v>
      </c>
      <c r="C2759" s="23" t="s">
        <v>244</v>
      </c>
      <c r="D2759" s="23" t="s">
        <v>21</v>
      </c>
      <c r="E2759" s="37">
        <v>45437.0</v>
      </c>
      <c r="F2759" s="25">
        <v>0.28541666666666665</v>
      </c>
      <c r="G2759" s="25">
        <v>0.6263888888888889</v>
      </c>
      <c r="H2759" s="27">
        <f t="shared" si="2"/>
        <v>0.3409722222</v>
      </c>
      <c r="I2759" s="28">
        <v>4.0</v>
      </c>
      <c r="J2759" s="29" t="s">
        <v>1283</v>
      </c>
      <c r="K2759" s="30" t="s">
        <v>23</v>
      </c>
      <c r="L2759" s="31" t="str">
        <f>IFERROR(__xludf.DUMMYFUNCTION("IF(OR(E2759="""",K2759=""""),"""",IFERROR(IF(K2759="""","""",query('tbl user'!$A$2:$D10975,""SELECT A WHERE D = '""&amp;K2759&amp;""'"")),""USER TIDAK DIKETAHUI""))"),"#REF!")</f>
        <v>#REF!</v>
      </c>
    </row>
    <row r="2760">
      <c r="A2760" s="21">
        <f t="shared" si="1"/>
        <v>0</v>
      </c>
      <c r="B2760" s="32" t="s">
        <v>577</v>
      </c>
      <c r="C2760" s="23" t="s">
        <v>232</v>
      </c>
      <c r="D2760" s="23" t="s">
        <v>21</v>
      </c>
      <c r="E2760" s="37">
        <v>45437.0</v>
      </c>
      <c r="F2760" s="25">
        <v>0.3194444444444444</v>
      </c>
      <c r="G2760" s="33">
        <v>0.6673611111111111</v>
      </c>
      <c r="H2760" s="27">
        <f t="shared" si="2"/>
        <v>0.3479166667</v>
      </c>
      <c r="I2760" s="28">
        <v>4.0</v>
      </c>
      <c r="J2760" s="29" t="s">
        <v>213</v>
      </c>
      <c r="K2760" s="30" t="s">
        <v>23</v>
      </c>
      <c r="L2760" s="31" t="str">
        <f>IFERROR(__xludf.DUMMYFUNCTION("IF(OR(E2760="""",K2760=""""),"""",IFERROR(IF(K2760="""","""",query('tbl user'!$A$2:$D10975,""SELECT A WHERE D = '""&amp;K2760&amp;""'"")),""USER TIDAK DIKETAHUI""))"),"#REF!")</f>
        <v>#REF!</v>
      </c>
    </row>
    <row r="2761">
      <c r="A2761" s="21">
        <f t="shared" si="1"/>
        <v>0</v>
      </c>
      <c r="B2761" s="32" t="s">
        <v>101</v>
      </c>
      <c r="C2761" s="23" t="s">
        <v>102</v>
      </c>
      <c r="D2761" s="23" t="s">
        <v>21</v>
      </c>
      <c r="E2761" s="37">
        <v>45437.0</v>
      </c>
      <c r="F2761" s="25">
        <v>0.33611111111111114</v>
      </c>
      <c r="G2761" s="25">
        <v>0.6965277777777777</v>
      </c>
      <c r="H2761" s="27">
        <f t="shared" si="2"/>
        <v>0.3604166667</v>
      </c>
      <c r="I2761" s="28">
        <v>4.0</v>
      </c>
      <c r="J2761" s="29" t="s">
        <v>213</v>
      </c>
      <c r="K2761" s="30" t="s">
        <v>23</v>
      </c>
      <c r="L2761" s="31" t="str">
        <f>IFERROR(__xludf.DUMMYFUNCTION("IF(OR(E2761="""",K2761=""""),"""",IFERROR(IF(K2761="""","""",query('tbl user'!$A$2:$D10975,""SELECT A WHERE D = '""&amp;K2761&amp;""'"")),""USER TIDAK DIKETAHUI""))"),"#REF!")</f>
        <v>#REF!</v>
      </c>
    </row>
    <row r="2762">
      <c r="A2762" s="21">
        <f t="shared" si="1"/>
        <v>0</v>
      </c>
      <c r="B2762" s="32" t="s">
        <v>331</v>
      </c>
      <c r="C2762" s="23" t="s">
        <v>332</v>
      </c>
      <c r="D2762" s="23" t="s">
        <v>21</v>
      </c>
      <c r="E2762" s="37">
        <v>45437.0</v>
      </c>
      <c r="F2762" s="25">
        <v>0.23680555555555555</v>
      </c>
      <c r="G2762" s="25">
        <v>0.6604166666666667</v>
      </c>
      <c r="H2762" s="27">
        <f t="shared" si="2"/>
        <v>0.4236111111</v>
      </c>
      <c r="I2762" s="28">
        <v>4.0</v>
      </c>
      <c r="J2762" s="29" t="s">
        <v>1284</v>
      </c>
      <c r="K2762" s="30" t="s">
        <v>23</v>
      </c>
      <c r="L2762" s="31" t="str">
        <f>IFERROR(__xludf.DUMMYFUNCTION("IF(OR(E2762="""",K2762=""""),"""",IFERROR(IF(K2762="""","""",query('tbl user'!$A$2:$D10975,""SELECT A WHERE D = '""&amp;K2762&amp;""'"")),""USER TIDAK DIKETAHUI""))"),"#REF!")</f>
        <v>#REF!</v>
      </c>
    </row>
    <row r="2763">
      <c r="A2763" s="21">
        <f t="shared" si="1"/>
        <v>0</v>
      </c>
      <c r="B2763" s="32" t="s">
        <v>333</v>
      </c>
      <c r="C2763" s="23" t="s">
        <v>334</v>
      </c>
      <c r="D2763" s="23" t="s">
        <v>21</v>
      </c>
      <c r="E2763" s="37">
        <v>45437.0</v>
      </c>
      <c r="F2763" s="25">
        <v>0.2673611111111111</v>
      </c>
      <c r="G2763" s="25">
        <v>0.7083333333333334</v>
      </c>
      <c r="H2763" s="27">
        <f t="shared" si="2"/>
        <v>0.4409722222</v>
      </c>
      <c r="I2763" s="28">
        <v>4.0</v>
      </c>
      <c r="J2763" s="29" t="s">
        <v>1285</v>
      </c>
      <c r="K2763" s="30" t="s">
        <v>23</v>
      </c>
      <c r="L2763" s="31" t="str">
        <f>IFERROR(__xludf.DUMMYFUNCTION("IF(OR(E2763="""",K2763=""""),"""",IFERROR(IF(K2763="""","""",query('tbl user'!$A$2:$D10975,""SELECT A WHERE D = '""&amp;K2763&amp;""'"")),""USER TIDAK DIKETAHUI""))"),"#REF!")</f>
        <v>#REF!</v>
      </c>
    </row>
    <row r="2764">
      <c r="A2764" s="21">
        <f t="shared" si="1"/>
        <v>0</v>
      </c>
      <c r="B2764" s="32" t="s">
        <v>219</v>
      </c>
      <c r="C2764" s="23" t="s">
        <v>340</v>
      </c>
      <c r="D2764" s="23" t="s">
        <v>21</v>
      </c>
      <c r="E2764" s="37">
        <v>45437.0</v>
      </c>
      <c r="F2764" s="25">
        <v>0.2569444444444444</v>
      </c>
      <c r="G2764" s="25">
        <v>0.6680555555555555</v>
      </c>
      <c r="H2764" s="27">
        <f t="shared" si="2"/>
        <v>0.4111111111</v>
      </c>
      <c r="I2764" s="28">
        <v>4.0</v>
      </c>
      <c r="J2764" s="29" t="s">
        <v>213</v>
      </c>
      <c r="K2764" s="30" t="s">
        <v>23</v>
      </c>
      <c r="L2764" s="31" t="str">
        <f>IFERROR(__xludf.DUMMYFUNCTION("IF(OR(E2764="""",K2764=""""),"""",IFERROR(IF(K2764="""","""",query('tbl user'!$A$2:$D10975,""SELECT A WHERE D = '""&amp;K2764&amp;""'"")),""USER TIDAK DIKETAHUI""))"),"#REF!")</f>
        <v>#REF!</v>
      </c>
    </row>
    <row r="2765">
      <c r="A2765" s="21">
        <f t="shared" si="1"/>
        <v>0</v>
      </c>
      <c r="B2765" s="32" t="s">
        <v>328</v>
      </c>
      <c r="C2765" s="23" t="s">
        <v>329</v>
      </c>
      <c r="D2765" s="23" t="s">
        <v>21</v>
      </c>
      <c r="E2765" s="37">
        <v>45437.0</v>
      </c>
      <c r="F2765" s="25">
        <v>0.29444444444444445</v>
      </c>
      <c r="G2765" s="25">
        <v>0.6138888888888889</v>
      </c>
      <c r="H2765" s="27">
        <f t="shared" si="2"/>
        <v>0.3194444444</v>
      </c>
      <c r="I2765" s="28">
        <v>4.0</v>
      </c>
      <c r="J2765" s="29" t="s">
        <v>213</v>
      </c>
      <c r="K2765" s="30" t="s">
        <v>23</v>
      </c>
      <c r="L2765" s="31" t="str">
        <f>IFERROR(__xludf.DUMMYFUNCTION("IF(OR(E2765="""",K2765=""""),"""",IFERROR(IF(K2765="""","""",query('tbl user'!$A$2:$D10975,""SELECT A WHERE D = '""&amp;K2765&amp;""'"")),""USER TIDAK DIKETAHUI""))"),"#REF!")</f>
        <v>#REF!</v>
      </c>
    </row>
    <row r="2766">
      <c r="A2766" s="21">
        <f t="shared" si="1"/>
        <v>0</v>
      </c>
      <c r="B2766" s="32" t="s">
        <v>153</v>
      </c>
      <c r="C2766" s="23" t="s">
        <v>44</v>
      </c>
      <c r="D2766" s="23" t="s">
        <v>21</v>
      </c>
      <c r="E2766" s="37">
        <v>45437.0</v>
      </c>
      <c r="F2766" s="25">
        <v>0.2847222222222222</v>
      </c>
      <c r="G2766" s="25">
        <v>0.7104166666666667</v>
      </c>
      <c r="H2766" s="27">
        <f t="shared" si="2"/>
        <v>0.4256944444</v>
      </c>
      <c r="I2766" s="28">
        <v>5.0</v>
      </c>
      <c r="J2766" s="29" t="s">
        <v>55</v>
      </c>
      <c r="K2766" s="30" t="s">
        <v>23</v>
      </c>
      <c r="L2766" s="31" t="str">
        <f>IFERROR(__xludf.DUMMYFUNCTION("IF(OR(E2766="""",K2766=""""),"""",IFERROR(IF(K2766="""","""",query('tbl user'!$A$2:$D10975,""SELECT A WHERE D = '""&amp;K2766&amp;""'"")),""USER TIDAK DIKETAHUI""))"),"#REF!")</f>
        <v>#REF!</v>
      </c>
    </row>
    <row r="2767">
      <c r="A2767" s="21">
        <f t="shared" si="1"/>
        <v>0</v>
      </c>
      <c r="B2767" s="32" t="s">
        <v>662</v>
      </c>
      <c r="C2767" s="23" t="s">
        <v>234</v>
      </c>
      <c r="D2767" s="23" t="s">
        <v>21</v>
      </c>
      <c r="E2767" s="37">
        <v>45437.0</v>
      </c>
      <c r="F2767" s="25">
        <v>0.2763888888888889</v>
      </c>
      <c r="G2767" s="25">
        <v>0.6979166666666666</v>
      </c>
      <c r="H2767" s="27">
        <f t="shared" si="2"/>
        <v>0.4215277778</v>
      </c>
      <c r="I2767" s="28">
        <v>5.0</v>
      </c>
      <c r="J2767" s="29" t="s">
        <v>55</v>
      </c>
      <c r="K2767" s="30" t="s">
        <v>23</v>
      </c>
      <c r="L2767" s="31" t="str">
        <f>IFERROR(__xludf.DUMMYFUNCTION("IF(OR(E2767="""",K2767=""""),"""",IFERROR(IF(K2767="""","""",query('tbl user'!$A$2:$D10975,""SELECT A WHERE D = '""&amp;K2767&amp;""'"")),""USER TIDAK DIKETAHUI""))"),"#REF!")</f>
        <v>#REF!</v>
      </c>
    </row>
    <row r="2768">
      <c r="A2768" s="21">
        <f t="shared" si="1"/>
        <v>0</v>
      </c>
      <c r="B2768" s="32" t="s">
        <v>255</v>
      </c>
      <c r="C2768" s="23" t="s">
        <v>256</v>
      </c>
      <c r="D2768" s="23" t="s">
        <v>21</v>
      </c>
      <c r="E2768" s="37">
        <v>45437.0</v>
      </c>
      <c r="F2768" s="25">
        <v>0.2902777777777778</v>
      </c>
      <c r="G2768" s="25">
        <v>0.6993055555555555</v>
      </c>
      <c r="H2768" s="27">
        <f t="shared" si="2"/>
        <v>0.4090277778</v>
      </c>
      <c r="I2768" s="28">
        <v>5.0</v>
      </c>
      <c r="J2768" s="29" t="s">
        <v>55</v>
      </c>
      <c r="K2768" s="30" t="s">
        <v>23</v>
      </c>
      <c r="L2768" s="31" t="str">
        <f>IFERROR(__xludf.DUMMYFUNCTION("IF(OR(E2768="""",K2768=""""),"""",IFERROR(IF(K2768="""","""",query('tbl user'!$A$2:$D10975,""SELECT A WHERE D = '""&amp;K2768&amp;""'"")),""USER TIDAK DIKETAHUI""))"),"#REF!")</f>
        <v>#REF!</v>
      </c>
    </row>
    <row r="2769">
      <c r="A2769" s="21">
        <f t="shared" si="1"/>
        <v>0</v>
      </c>
      <c r="B2769" s="32" t="s">
        <v>335</v>
      </c>
      <c r="C2769" s="23" t="s">
        <v>336</v>
      </c>
      <c r="D2769" s="23" t="s">
        <v>21</v>
      </c>
      <c r="E2769" s="37">
        <v>45437.0</v>
      </c>
      <c r="F2769" s="25">
        <v>0.3090277777777778</v>
      </c>
      <c r="G2769" s="25">
        <v>0.7041666666666667</v>
      </c>
      <c r="H2769" s="27">
        <f t="shared" si="2"/>
        <v>0.3951388889</v>
      </c>
      <c r="I2769" s="28">
        <v>5.0</v>
      </c>
      <c r="J2769" s="29" t="s">
        <v>55</v>
      </c>
      <c r="K2769" s="30" t="s">
        <v>23</v>
      </c>
      <c r="L2769" s="31" t="str">
        <f>IFERROR(__xludf.DUMMYFUNCTION("IF(OR(E2769="""",K2769=""""),"""",IFERROR(IF(K2769="""","""",query('tbl user'!$A$2:$D10975,""SELECT A WHERE D = '""&amp;K2769&amp;""'"")),""USER TIDAK DIKETAHUI""))"),"#REF!")</f>
        <v>#REF!</v>
      </c>
    </row>
    <row r="2770">
      <c r="A2770" s="21">
        <f t="shared" si="1"/>
        <v>0</v>
      </c>
      <c r="B2770" s="32" t="s">
        <v>716</v>
      </c>
      <c r="C2770" s="23" t="s">
        <v>316</v>
      </c>
      <c r="D2770" s="23" t="s">
        <v>21</v>
      </c>
      <c r="E2770" s="37">
        <v>45437.0</v>
      </c>
      <c r="F2770" s="25">
        <v>0.2652777777777778</v>
      </c>
      <c r="G2770" s="25">
        <v>0.6618055555555555</v>
      </c>
      <c r="H2770" s="27">
        <f t="shared" si="2"/>
        <v>0.3965277778</v>
      </c>
      <c r="I2770" s="28">
        <v>5.0</v>
      </c>
      <c r="J2770" s="29" t="s">
        <v>55</v>
      </c>
      <c r="K2770" s="30" t="s">
        <v>23</v>
      </c>
      <c r="L2770" s="31" t="str">
        <f>IFERROR(__xludf.DUMMYFUNCTION("IF(OR(E2770="""",K2770=""""),"""",IFERROR(IF(K2770="""","""",query('tbl user'!$A$2:$D10975,""SELECT A WHERE D = '""&amp;K2770&amp;""'"")),""USER TIDAK DIKETAHUI""))"),"#REF!")</f>
        <v>#REF!</v>
      </c>
    </row>
    <row r="2771">
      <c r="A2771" s="21">
        <f t="shared" si="1"/>
        <v>0</v>
      </c>
      <c r="B2771" s="32" t="s">
        <v>87</v>
      </c>
      <c r="C2771" s="23" t="s">
        <v>88</v>
      </c>
      <c r="D2771" s="23" t="s">
        <v>21</v>
      </c>
      <c r="E2771" s="37">
        <v>45437.0</v>
      </c>
      <c r="F2771" s="25">
        <v>0.25833333333333336</v>
      </c>
      <c r="G2771" s="25">
        <v>0.6701388888888888</v>
      </c>
      <c r="H2771" s="27">
        <f t="shared" si="2"/>
        <v>0.4118055556</v>
      </c>
      <c r="I2771" s="28">
        <v>5.0</v>
      </c>
      <c r="J2771" s="29" t="s">
        <v>55</v>
      </c>
      <c r="K2771" s="30" t="s">
        <v>23</v>
      </c>
      <c r="L2771" s="31" t="str">
        <f>IFERROR(__xludf.DUMMYFUNCTION("IF(OR(E2771="""",K2771=""""),"""",IFERROR(IF(K2771="""","""",query('tbl user'!$A$2:$D10975,""SELECT A WHERE D = '""&amp;K2771&amp;""'"")),""USER TIDAK DIKETAHUI""))"),"#REF!")</f>
        <v>#REF!</v>
      </c>
    </row>
    <row r="2772">
      <c r="A2772" s="21">
        <f t="shared" si="1"/>
        <v>0</v>
      </c>
      <c r="B2772" s="32" t="s">
        <v>53</v>
      </c>
      <c r="C2772" s="23" t="s">
        <v>54</v>
      </c>
      <c r="D2772" s="23" t="s">
        <v>21</v>
      </c>
      <c r="E2772" s="37">
        <v>45437.0</v>
      </c>
      <c r="F2772" s="25">
        <v>0.26875</v>
      </c>
      <c r="G2772" s="25">
        <v>0.6847222222222222</v>
      </c>
      <c r="H2772" s="27">
        <f t="shared" si="2"/>
        <v>0.4159722222</v>
      </c>
      <c r="I2772" s="28">
        <v>5.0</v>
      </c>
      <c r="J2772" s="29" t="s">
        <v>55</v>
      </c>
      <c r="K2772" s="30" t="s">
        <v>23</v>
      </c>
      <c r="L2772" s="31" t="str">
        <f>IFERROR(__xludf.DUMMYFUNCTION("IF(OR(E2772="""",K2772=""""),"""",IFERROR(IF(K2772="""","""",query('tbl user'!$A$2:$D10975,""SELECT A WHERE D = '""&amp;K2772&amp;""'"")),""USER TIDAK DIKETAHUI""))"),"#REF!")</f>
        <v>#REF!</v>
      </c>
    </row>
    <row r="2773">
      <c r="A2773" s="21">
        <f t="shared" si="1"/>
        <v>0</v>
      </c>
      <c r="B2773" s="32" t="s">
        <v>319</v>
      </c>
      <c r="C2773" s="23" t="s">
        <v>320</v>
      </c>
      <c r="D2773" s="23" t="s">
        <v>21</v>
      </c>
      <c r="E2773" s="37">
        <v>45437.0</v>
      </c>
      <c r="F2773" s="25">
        <v>0.2465277777777778</v>
      </c>
      <c r="G2773" s="25">
        <v>0.6645833333333333</v>
      </c>
      <c r="H2773" s="27">
        <f t="shared" si="2"/>
        <v>0.4180555556</v>
      </c>
      <c r="I2773" s="28">
        <v>5.0</v>
      </c>
      <c r="J2773" s="29" t="s">
        <v>55</v>
      </c>
      <c r="K2773" s="30" t="s">
        <v>23</v>
      </c>
      <c r="L2773" s="31" t="str">
        <f>IFERROR(__xludf.DUMMYFUNCTION("IF(OR(E2773="""",K2773=""""),"""",IFERROR(IF(K2773="""","""",query('tbl user'!$A$2:$D10975,""SELECT A WHERE D = '""&amp;K2773&amp;""'"")),""USER TIDAK DIKETAHUI""))"),"#REF!")</f>
        <v>#REF!</v>
      </c>
    </row>
    <row r="2774">
      <c r="A2774" s="21">
        <f t="shared" si="1"/>
        <v>0</v>
      </c>
      <c r="B2774" s="32" t="s">
        <v>325</v>
      </c>
      <c r="C2774" s="23" t="s">
        <v>326</v>
      </c>
      <c r="D2774" s="23" t="s">
        <v>21</v>
      </c>
      <c r="E2774" s="37">
        <v>45437.0</v>
      </c>
      <c r="F2774" s="25">
        <v>0.27569444444444446</v>
      </c>
      <c r="G2774" s="25">
        <v>0.7041666666666667</v>
      </c>
      <c r="H2774" s="27">
        <f t="shared" si="2"/>
        <v>0.4284722222</v>
      </c>
      <c r="I2774" s="28">
        <v>5.0</v>
      </c>
      <c r="J2774" s="29" t="s">
        <v>55</v>
      </c>
      <c r="K2774" s="30" t="s">
        <v>23</v>
      </c>
      <c r="L2774" s="31" t="str">
        <f>IFERROR(__xludf.DUMMYFUNCTION("IF(OR(E2774="""",K2774=""""),"""",IFERROR(IF(K2774="""","""",query('tbl user'!$A$2:$D10975,""SELECT A WHERE D = '""&amp;K2774&amp;""'"")),""USER TIDAK DIKETAHUI""))"),"#REF!")</f>
        <v>#REF!</v>
      </c>
    </row>
    <row r="2775">
      <c r="A2775" s="21">
        <f t="shared" si="1"/>
        <v>0</v>
      </c>
      <c r="B2775" s="32" t="s">
        <v>337</v>
      </c>
      <c r="C2775" s="23" t="s">
        <v>338</v>
      </c>
      <c r="D2775" s="23" t="s">
        <v>21</v>
      </c>
      <c r="E2775" s="37">
        <v>45437.0</v>
      </c>
      <c r="F2775" s="25">
        <v>0.22361111111111112</v>
      </c>
      <c r="G2775" s="25">
        <v>0.6951388888888889</v>
      </c>
      <c r="H2775" s="27">
        <f t="shared" si="2"/>
        <v>0.4715277778</v>
      </c>
      <c r="I2775" s="28">
        <v>5.0</v>
      </c>
      <c r="J2775" s="29" t="s">
        <v>55</v>
      </c>
      <c r="K2775" s="30" t="s">
        <v>23</v>
      </c>
      <c r="L2775" s="31" t="str">
        <f>IFERROR(__xludf.DUMMYFUNCTION("IF(OR(E2775="""",K2775=""""),"""",IFERROR(IF(K2775="""","""",query('tbl user'!$A$2:$D10975,""SELECT A WHERE D = '""&amp;K2775&amp;""'"")),""USER TIDAK DIKETAHUI""))"),"#REF!")</f>
        <v>#REF!</v>
      </c>
    </row>
    <row r="2776">
      <c r="A2776" s="21">
        <f t="shared" si="1"/>
        <v>0</v>
      </c>
      <c r="B2776" s="32" t="s">
        <v>601</v>
      </c>
      <c r="C2776" s="23" t="s">
        <v>323</v>
      </c>
      <c r="D2776" s="23" t="s">
        <v>21</v>
      </c>
      <c r="E2776" s="37">
        <v>45437.0</v>
      </c>
      <c r="F2776" s="25">
        <v>0.2881944444444444</v>
      </c>
      <c r="G2776" s="25">
        <v>0.7034722222222223</v>
      </c>
      <c r="H2776" s="27">
        <f t="shared" si="2"/>
        <v>0.4152777778</v>
      </c>
      <c r="I2776" s="28">
        <v>5.0</v>
      </c>
      <c r="J2776" s="29" t="s">
        <v>55</v>
      </c>
      <c r="K2776" s="30" t="s">
        <v>23</v>
      </c>
      <c r="L2776" s="31" t="str">
        <f>IFERROR(__xludf.DUMMYFUNCTION("IF(OR(E2776="""",K2776=""""),"""",IFERROR(IF(K2776="""","""",query('tbl user'!$A$2:$D10975,""SELECT A WHERE D = '""&amp;K2776&amp;""'"")),""USER TIDAK DIKETAHUI""))"),"#REF!")</f>
        <v>#REF!</v>
      </c>
    </row>
    <row r="2777">
      <c r="A2777" s="21">
        <f t="shared" si="1"/>
        <v>0</v>
      </c>
      <c r="B2777" s="32" t="s">
        <v>260</v>
      </c>
      <c r="C2777" s="23" t="s">
        <v>261</v>
      </c>
      <c r="D2777" s="23" t="s">
        <v>21</v>
      </c>
      <c r="E2777" s="37">
        <v>45437.0</v>
      </c>
      <c r="F2777" s="25">
        <v>0.25277777777777777</v>
      </c>
      <c r="G2777" s="25">
        <v>0.6826388888888889</v>
      </c>
      <c r="H2777" s="27">
        <f t="shared" si="2"/>
        <v>0.4298611111</v>
      </c>
      <c r="I2777" s="28">
        <v>5.0</v>
      </c>
      <c r="J2777" s="29" t="s">
        <v>55</v>
      </c>
      <c r="K2777" s="30" t="s">
        <v>23</v>
      </c>
      <c r="L2777" s="31" t="str">
        <f>IFERROR(__xludf.DUMMYFUNCTION("IF(OR(E2777="""",K2777=""""),"""",IFERROR(IF(K2777="""","""",query('tbl user'!$A$2:$D10975,""SELECT A WHERE D = '""&amp;K2777&amp;""'"")),""USER TIDAK DIKETAHUI""))"),"#REF!")</f>
        <v>#REF!</v>
      </c>
    </row>
    <row r="2778">
      <c r="A2778" s="21">
        <f t="shared" si="1"/>
        <v>0</v>
      </c>
      <c r="B2778" s="32" t="s">
        <v>34</v>
      </c>
      <c r="C2778" s="23" t="s">
        <v>35</v>
      </c>
      <c r="D2778" s="23" t="s">
        <v>21</v>
      </c>
      <c r="E2778" s="37">
        <v>45437.0</v>
      </c>
      <c r="F2778" s="25">
        <v>0.26180555555555557</v>
      </c>
      <c r="G2778" s="25">
        <v>0.7020833333333333</v>
      </c>
      <c r="H2778" s="27">
        <f t="shared" si="2"/>
        <v>0.4402777778</v>
      </c>
      <c r="I2778" s="28">
        <v>6.0</v>
      </c>
      <c r="J2778" s="29" t="s">
        <v>55</v>
      </c>
      <c r="K2778" s="30" t="s">
        <v>23</v>
      </c>
      <c r="L2778" s="31" t="str">
        <f>IFERROR(__xludf.DUMMYFUNCTION("IF(OR(E2778="""",K2778=""""),"""",IFERROR(IF(K2778="""","""",query('tbl user'!$A$2:$D10975,""SELECT A WHERE D = '""&amp;K2778&amp;""'"")),""USER TIDAK DIKETAHUI""))"),"#REF!")</f>
        <v>#REF!</v>
      </c>
    </row>
    <row r="2779">
      <c r="A2779" s="21">
        <f t="shared" si="1"/>
        <v>0</v>
      </c>
      <c r="B2779" s="32" t="s">
        <v>238</v>
      </c>
      <c r="C2779" s="23" t="s">
        <v>239</v>
      </c>
      <c r="D2779" s="23" t="s">
        <v>21</v>
      </c>
      <c r="E2779" s="37">
        <v>45437.0</v>
      </c>
      <c r="F2779" s="25">
        <v>0.3388888888888889</v>
      </c>
      <c r="G2779" s="25">
        <v>0.7104166666666667</v>
      </c>
      <c r="H2779" s="27">
        <f t="shared" si="2"/>
        <v>0.3715277778</v>
      </c>
      <c r="I2779" s="28">
        <v>6.0</v>
      </c>
      <c r="J2779" s="29" t="s">
        <v>55</v>
      </c>
      <c r="K2779" s="30" t="s">
        <v>23</v>
      </c>
      <c r="L2779" s="31" t="str">
        <f>IFERROR(__xludf.DUMMYFUNCTION("IF(OR(E2779="""",K2779=""""),"""",IFERROR(IF(K2779="""","""",query('tbl user'!$A$2:$D10975,""SELECT A WHERE D = '""&amp;K2779&amp;""'"")),""USER TIDAK DIKETAHUI""))"),"#REF!")</f>
        <v>#REF!</v>
      </c>
    </row>
    <row r="2780">
      <c r="A2780" s="21">
        <f t="shared" si="1"/>
        <v>0</v>
      </c>
      <c r="B2780" s="32" t="s">
        <v>137</v>
      </c>
      <c r="C2780" s="23" t="s">
        <v>138</v>
      </c>
      <c r="D2780" s="23" t="s">
        <v>32</v>
      </c>
      <c r="E2780" s="37">
        <v>45437.0</v>
      </c>
      <c r="F2780" s="25">
        <v>0.29305555555555557</v>
      </c>
      <c r="G2780" s="25">
        <v>0.5659722222222222</v>
      </c>
      <c r="H2780" s="27">
        <f t="shared" si="2"/>
        <v>0.2729166667</v>
      </c>
      <c r="I2780" s="28">
        <v>1.0</v>
      </c>
      <c r="J2780" s="29" t="s">
        <v>1286</v>
      </c>
      <c r="K2780" s="30" t="s">
        <v>23</v>
      </c>
      <c r="L2780" s="31" t="str">
        <f>IFERROR(__xludf.DUMMYFUNCTION("IF(OR(E2780="""",K2780=""""),"""",IFERROR(IF(K2780="""","""",query('tbl user'!$A$2:$D10975,""SELECT A WHERE D = '""&amp;K2780&amp;""'"")),""USER TIDAK DIKETAHUI""))"),"#REF!")</f>
        <v>#REF!</v>
      </c>
    </row>
    <row r="2781">
      <c r="A2781" s="21">
        <f t="shared" si="1"/>
        <v>0</v>
      </c>
      <c r="B2781" s="32" t="s">
        <v>110</v>
      </c>
      <c r="C2781" s="23" t="s">
        <v>111</v>
      </c>
      <c r="D2781" s="23" t="s">
        <v>32</v>
      </c>
      <c r="E2781" s="37">
        <v>45437.0</v>
      </c>
      <c r="F2781" s="25">
        <v>0.29444444444444445</v>
      </c>
      <c r="G2781" s="33">
        <v>0.5465277777777777</v>
      </c>
      <c r="H2781" s="27">
        <f t="shared" si="2"/>
        <v>0.2520833333</v>
      </c>
      <c r="I2781" s="28">
        <v>2.0</v>
      </c>
      <c r="J2781" s="29" t="s">
        <v>1287</v>
      </c>
      <c r="K2781" s="30" t="s">
        <v>23</v>
      </c>
      <c r="L2781" s="31" t="str">
        <f>IFERROR(__xludf.DUMMYFUNCTION("IF(OR(E2781="""",K2781=""""),"""",IFERROR(IF(K2781="""","""",query('tbl user'!$A$2:$D10975,""SELECT A WHERE D = '""&amp;K2781&amp;""'"")),""USER TIDAK DIKETAHUI""))"),"#REF!")</f>
        <v>#REF!</v>
      </c>
    </row>
    <row r="2782">
      <c r="A2782" s="21">
        <f t="shared" si="1"/>
        <v>0</v>
      </c>
      <c r="B2782" s="32" t="s">
        <v>115</v>
      </c>
      <c r="C2782" s="23" t="s">
        <v>116</v>
      </c>
      <c r="D2782" s="23" t="s">
        <v>32</v>
      </c>
      <c r="E2782" s="37">
        <v>45437.0</v>
      </c>
      <c r="F2782" s="25">
        <v>0.28541666666666665</v>
      </c>
      <c r="G2782" s="25">
        <v>0.5923611111111111</v>
      </c>
      <c r="H2782" s="27">
        <f t="shared" si="2"/>
        <v>0.3069444444</v>
      </c>
      <c r="I2782" s="28">
        <v>2.0</v>
      </c>
      <c r="J2782" s="29" t="s">
        <v>1288</v>
      </c>
      <c r="K2782" s="30" t="s">
        <v>23</v>
      </c>
      <c r="L2782" s="31" t="str">
        <f>IFERROR(__xludf.DUMMYFUNCTION("IF(OR(E2782="""",K2782=""""),"""",IFERROR(IF(K2782="""","""",query('tbl user'!$A$2:$D10975,""SELECT A WHERE D = '""&amp;K2782&amp;""'"")),""USER TIDAK DIKETAHUI""))"),"#REF!")</f>
        <v>#REF!</v>
      </c>
    </row>
    <row r="2783">
      <c r="A2783" s="21">
        <f t="shared" si="1"/>
        <v>0</v>
      </c>
      <c r="B2783" s="32" t="s">
        <v>151</v>
      </c>
      <c r="C2783" s="23" t="s">
        <v>152</v>
      </c>
      <c r="D2783" s="23" t="s">
        <v>32</v>
      </c>
      <c r="E2783" s="37">
        <v>45437.0</v>
      </c>
      <c r="F2783" s="25">
        <v>0.2569444444444444</v>
      </c>
      <c r="G2783" s="25">
        <v>0.5923611111111111</v>
      </c>
      <c r="H2783" s="27">
        <f t="shared" si="2"/>
        <v>0.3354166667</v>
      </c>
      <c r="I2783" s="28">
        <v>3.0</v>
      </c>
      <c r="J2783" s="29" t="s">
        <v>1289</v>
      </c>
      <c r="K2783" s="30" t="s">
        <v>23</v>
      </c>
      <c r="L2783" s="31" t="str">
        <f>IFERROR(__xludf.DUMMYFUNCTION("IF(OR(E2783="""",K2783=""""),"""",IFERROR(IF(K2783="""","""",query('tbl user'!$A$2:$D10975,""SELECT A WHERE D = '""&amp;K2783&amp;""'"")),""USER TIDAK DIKETAHUI""))"),"#REF!")</f>
        <v>#REF!</v>
      </c>
    </row>
    <row r="2784">
      <c r="A2784" s="21">
        <f t="shared" si="1"/>
        <v>0</v>
      </c>
      <c r="B2784" s="32" t="s">
        <v>250</v>
      </c>
      <c r="C2784" s="23" t="s">
        <v>315</v>
      </c>
      <c r="D2784" s="23" t="s">
        <v>32</v>
      </c>
      <c r="E2784" s="37">
        <v>45437.0</v>
      </c>
      <c r="F2784" s="25">
        <v>0.2375</v>
      </c>
      <c r="G2784" s="33">
        <v>0.7027777777777777</v>
      </c>
      <c r="H2784" s="27">
        <f t="shared" si="2"/>
        <v>0.4652777778</v>
      </c>
      <c r="I2784" s="28">
        <v>4.0</v>
      </c>
      <c r="J2784" s="29" t="s">
        <v>55</v>
      </c>
      <c r="K2784" s="30" t="s">
        <v>23</v>
      </c>
      <c r="L2784" s="31" t="str">
        <f>IFERROR(__xludf.DUMMYFUNCTION("IF(OR(E2784="""",K2784=""""),"""",IFERROR(IF(K2784="""","""",query('tbl user'!$A$2:$D10975,""SELECT A WHERE D = '""&amp;K2784&amp;""'"")),""USER TIDAK DIKETAHUI""))"),"#REF!")</f>
        <v>#REF!</v>
      </c>
    </row>
    <row r="2785">
      <c r="A2785" s="21">
        <f t="shared" si="1"/>
        <v>0</v>
      </c>
      <c r="B2785" s="32" t="s">
        <v>113</v>
      </c>
      <c r="C2785" s="23" t="s">
        <v>114</v>
      </c>
      <c r="D2785" s="23" t="s">
        <v>32</v>
      </c>
      <c r="E2785" s="37">
        <v>45437.0</v>
      </c>
      <c r="F2785" s="25">
        <v>0.2048611111111111</v>
      </c>
      <c r="G2785" s="25">
        <v>0.6701388888888888</v>
      </c>
      <c r="H2785" s="27">
        <f t="shared" si="2"/>
        <v>0.4652777778</v>
      </c>
      <c r="I2785" s="28">
        <v>4.0</v>
      </c>
      <c r="J2785" s="29" t="s">
        <v>55</v>
      </c>
      <c r="K2785" s="30" t="s">
        <v>23</v>
      </c>
      <c r="L2785" s="31" t="str">
        <f>IFERROR(__xludf.DUMMYFUNCTION("IF(OR(E2785="""",K2785=""""),"""",IFERROR(IF(K2785="""","""",query('tbl user'!$A$2:$D10975,""SELECT A WHERE D = '""&amp;K2785&amp;""'"")),""USER TIDAK DIKETAHUI""))"),"#REF!")</f>
        <v>#REF!</v>
      </c>
    </row>
    <row r="2786">
      <c r="A2786" s="21">
        <f t="shared" si="1"/>
        <v>0</v>
      </c>
      <c r="B2786" s="32" t="s">
        <v>46</v>
      </c>
      <c r="C2786" s="23" t="s">
        <v>47</v>
      </c>
      <c r="D2786" s="23" t="s">
        <v>32</v>
      </c>
      <c r="E2786" s="37">
        <v>45437.0</v>
      </c>
      <c r="F2786" s="25">
        <v>0.27569444444444446</v>
      </c>
      <c r="G2786" s="25">
        <v>0.7256944444444444</v>
      </c>
      <c r="H2786" s="27">
        <f t="shared" si="2"/>
        <v>0.45</v>
      </c>
      <c r="I2786" s="28">
        <v>4.0</v>
      </c>
      <c r="J2786" s="29" t="s">
        <v>55</v>
      </c>
      <c r="K2786" s="30" t="s">
        <v>23</v>
      </c>
      <c r="L2786" s="31" t="str">
        <f>IFERROR(__xludf.DUMMYFUNCTION("IF(OR(E2786="""",K2786=""""),"""",IFERROR(IF(K2786="""","""",query('tbl user'!$A$2:$D10975,""SELECT A WHERE D = '""&amp;K2786&amp;""'"")),""USER TIDAK DIKETAHUI""))"),"#REF!")</f>
        <v>#REF!</v>
      </c>
    </row>
    <row r="2787">
      <c r="A2787" s="21">
        <f t="shared" si="1"/>
        <v>0</v>
      </c>
      <c r="B2787" s="32" t="s">
        <v>120</v>
      </c>
      <c r="C2787" s="23" t="s">
        <v>121</v>
      </c>
      <c r="D2787" s="23" t="s">
        <v>32</v>
      </c>
      <c r="E2787" s="37">
        <v>45437.0</v>
      </c>
      <c r="F2787" s="25">
        <v>0.25972222222222224</v>
      </c>
      <c r="G2787" s="25">
        <v>0.6576388888888889</v>
      </c>
      <c r="H2787" s="27">
        <f t="shared" si="2"/>
        <v>0.3979166667</v>
      </c>
      <c r="I2787" s="28">
        <v>4.0</v>
      </c>
      <c r="J2787" s="29" t="s">
        <v>55</v>
      </c>
      <c r="K2787" s="30" t="s">
        <v>23</v>
      </c>
      <c r="L2787" s="31" t="str">
        <f>IFERROR(__xludf.DUMMYFUNCTION("IF(OR(E2787="""",K2787=""""),"""",IFERROR(IF(K2787="""","""",query('tbl user'!$A$2:$D10975,""SELECT A WHERE D = '""&amp;K2787&amp;""'"")),""USER TIDAK DIKETAHUI""))"),"#REF!")</f>
        <v>#REF!</v>
      </c>
    </row>
    <row r="2788">
      <c r="A2788" s="21">
        <f t="shared" si="1"/>
        <v>0</v>
      </c>
      <c r="B2788" s="32" t="s">
        <v>263</v>
      </c>
      <c r="C2788" s="23" t="s">
        <v>264</v>
      </c>
      <c r="D2788" s="23" t="s">
        <v>32</v>
      </c>
      <c r="E2788" s="37">
        <v>45437.0</v>
      </c>
      <c r="F2788" s="25">
        <v>0.2375</v>
      </c>
      <c r="G2788" s="25">
        <v>0.6319444444444444</v>
      </c>
      <c r="H2788" s="27">
        <f t="shared" si="2"/>
        <v>0.3944444444</v>
      </c>
      <c r="I2788" s="28">
        <v>4.0</v>
      </c>
      <c r="J2788" s="29" t="s">
        <v>55</v>
      </c>
      <c r="K2788" s="30" t="s">
        <v>23</v>
      </c>
      <c r="L2788" s="31" t="str">
        <f>IFERROR(__xludf.DUMMYFUNCTION("IF(OR(E2788="""",K2788=""""),"""",IFERROR(IF(K2788="""","""",query('tbl user'!$A$2:$D10975,""SELECT A WHERE D = '""&amp;K2788&amp;""'"")),""USER TIDAK DIKETAHUI""))"),"#REF!")</f>
        <v>#REF!</v>
      </c>
    </row>
    <row r="2789">
      <c r="A2789" s="21">
        <f t="shared" si="1"/>
        <v>0</v>
      </c>
      <c r="B2789" s="32" t="s">
        <v>75</v>
      </c>
      <c r="C2789" s="23" t="s">
        <v>76</v>
      </c>
      <c r="D2789" s="23" t="s">
        <v>32</v>
      </c>
      <c r="E2789" s="37">
        <v>45437.0</v>
      </c>
      <c r="F2789" s="25">
        <v>0.2326388888888889</v>
      </c>
      <c r="G2789" s="25">
        <v>0.6708333333333333</v>
      </c>
      <c r="H2789" s="27">
        <f t="shared" si="2"/>
        <v>0.4381944444</v>
      </c>
      <c r="I2789" s="28">
        <v>4.0</v>
      </c>
      <c r="J2789" s="29" t="s">
        <v>55</v>
      </c>
      <c r="K2789" s="30" t="s">
        <v>23</v>
      </c>
      <c r="L2789" s="31" t="str">
        <f>IFERROR(__xludf.DUMMYFUNCTION("IF(OR(E2789="""",K2789=""""),"""",IFERROR(IF(K2789="""","""",query('tbl user'!$A$2:$D10975,""SELECT A WHERE D = '""&amp;K2789&amp;""'"")),""USER TIDAK DIKETAHUI""))"),"#REF!")</f>
        <v>#REF!</v>
      </c>
    </row>
    <row r="2790">
      <c r="A2790" s="21">
        <f t="shared" si="1"/>
        <v>0</v>
      </c>
      <c r="B2790" s="32" t="s">
        <v>123</v>
      </c>
      <c r="C2790" s="23" t="s">
        <v>124</v>
      </c>
      <c r="D2790" s="23" t="s">
        <v>32</v>
      </c>
      <c r="E2790" s="37">
        <v>45437.0</v>
      </c>
      <c r="F2790" s="25">
        <v>0.2534722222222222</v>
      </c>
      <c r="G2790" s="25">
        <v>0.6972222222222222</v>
      </c>
      <c r="H2790" s="27">
        <f t="shared" si="2"/>
        <v>0.44375</v>
      </c>
      <c r="I2790" s="28">
        <v>4.0</v>
      </c>
      <c r="J2790" s="29" t="s">
        <v>55</v>
      </c>
      <c r="K2790" s="30" t="s">
        <v>23</v>
      </c>
      <c r="L2790" s="31" t="str">
        <f>IFERROR(__xludf.DUMMYFUNCTION("IF(OR(E2790="""",K2790=""""),"""",IFERROR(IF(K2790="""","""",query('tbl user'!$A$2:$D10975,""SELECT A WHERE D = '""&amp;K2790&amp;""'"")),""USER TIDAK DIKETAHUI""))"),"#REF!")</f>
        <v>#REF!</v>
      </c>
    </row>
    <row r="2791">
      <c r="A2791" s="21">
        <f t="shared" si="1"/>
        <v>0</v>
      </c>
      <c r="B2791" s="32" t="s">
        <v>127</v>
      </c>
      <c r="C2791" s="23" t="s">
        <v>128</v>
      </c>
      <c r="D2791" s="23" t="s">
        <v>32</v>
      </c>
      <c r="E2791" s="37">
        <v>45437.0</v>
      </c>
      <c r="F2791" s="25">
        <v>0.2777777777777778</v>
      </c>
      <c r="G2791" s="25">
        <v>0.6833333333333333</v>
      </c>
      <c r="H2791" s="27">
        <f t="shared" si="2"/>
        <v>0.4055555556</v>
      </c>
      <c r="I2791" s="28">
        <v>4.0</v>
      </c>
      <c r="J2791" s="29" t="s">
        <v>55</v>
      </c>
      <c r="K2791" s="30" t="s">
        <v>23</v>
      </c>
      <c r="L2791" s="31" t="str">
        <f>IFERROR(__xludf.DUMMYFUNCTION("IF(OR(E2791="""",K2791=""""),"""",IFERROR(IF(K2791="""","""",query('tbl user'!$A$2:$D10975,""SELECT A WHERE D = '""&amp;K2791&amp;""'"")),""USER TIDAK DIKETAHUI""))"),"#REF!")</f>
        <v>#REF!</v>
      </c>
    </row>
    <row r="2792">
      <c r="A2792" s="21">
        <f t="shared" si="1"/>
        <v>0</v>
      </c>
      <c r="B2792" s="32" t="s">
        <v>72</v>
      </c>
      <c r="C2792" s="23" t="s">
        <v>73</v>
      </c>
      <c r="D2792" s="23" t="s">
        <v>32</v>
      </c>
      <c r="E2792" s="37">
        <v>45437.0</v>
      </c>
      <c r="F2792" s="25">
        <v>0.24513888888888888</v>
      </c>
      <c r="G2792" s="25">
        <v>0.68125</v>
      </c>
      <c r="H2792" s="27">
        <f t="shared" si="2"/>
        <v>0.4361111111</v>
      </c>
      <c r="I2792" s="28">
        <v>4.0</v>
      </c>
      <c r="J2792" s="29" t="s">
        <v>55</v>
      </c>
      <c r="K2792" s="30" t="s">
        <v>23</v>
      </c>
      <c r="L2792" s="31" t="str">
        <f>IFERROR(__xludf.DUMMYFUNCTION("IF(OR(E2792="""",K2792=""""),"""",IFERROR(IF(K2792="""","""",query('tbl user'!$A$2:$D10975,""SELECT A WHERE D = '""&amp;K2792&amp;""'"")),""USER TIDAK DIKETAHUI""))"),"#REF!")</f>
        <v>#REF!</v>
      </c>
    </row>
    <row r="2793">
      <c r="A2793" s="21">
        <f t="shared" si="1"/>
        <v>0</v>
      </c>
      <c r="B2793" s="32" t="s">
        <v>135</v>
      </c>
      <c r="C2793" s="23" t="s">
        <v>136</v>
      </c>
      <c r="D2793" s="23" t="s">
        <v>32</v>
      </c>
      <c r="E2793" s="37">
        <v>45437.0</v>
      </c>
      <c r="F2793" s="25">
        <v>0.28055555555555556</v>
      </c>
      <c r="G2793" s="25">
        <v>0.7222222222222222</v>
      </c>
      <c r="H2793" s="27">
        <f t="shared" si="2"/>
        <v>0.4416666667</v>
      </c>
      <c r="I2793" s="28">
        <v>4.0</v>
      </c>
      <c r="J2793" s="29" t="s">
        <v>55</v>
      </c>
      <c r="K2793" s="30" t="s">
        <v>23</v>
      </c>
      <c r="L2793" s="31" t="str">
        <f>IFERROR(__xludf.DUMMYFUNCTION("IF(OR(E2793="""",K2793=""""),"""",IFERROR(IF(K2793="""","""",query('tbl user'!$A$2:$D10975,""SELECT A WHERE D = '""&amp;K2793&amp;""'"")),""USER TIDAK DIKETAHUI""))"),"#REF!")</f>
        <v>#REF!</v>
      </c>
    </row>
    <row r="2794">
      <c r="A2794" s="21">
        <f t="shared" si="1"/>
        <v>0</v>
      </c>
      <c r="B2794" s="32" t="s">
        <v>30</v>
      </c>
      <c r="C2794" s="23" t="s">
        <v>31</v>
      </c>
      <c r="D2794" s="23" t="s">
        <v>32</v>
      </c>
      <c r="E2794" s="37">
        <v>45437.0</v>
      </c>
      <c r="F2794" s="25">
        <v>0.21875</v>
      </c>
      <c r="G2794" s="25">
        <v>0.6819444444444445</v>
      </c>
      <c r="H2794" s="27">
        <f t="shared" si="2"/>
        <v>0.4631944444</v>
      </c>
      <c r="I2794" s="28">
        <v>4.0</v>
      </c>
      <c r="J2794" s="29" t="s">
        <v>55</v>
      </c>
      <c r="K2794" s="30" t="s">
        <v>23</v>
      </c>
      <c r="L2794" s="31" t="str">
        <f>IFERROR(__xludf.DUMMYFUNCTION("IF(OR(E2794="""",K2794=""""),"""",IFERROR(IF(K2794="""","""",query('tbl user'!$A$2:$D10975,""SELECT A WHERE D = '""&amp;K2794&amp;""'"")),""USER TIDAK DIKETAHUI""))"),"#REF!")</f>
        <v>#REF!</v>
      </c>
    </row>
    <row r="2795">
      <c r="A2795" s="21">
        <f t="shared" si="1"/>
        <v>0</v>
      </c>
      <c r="B2795" s="32" t="s">
        <v>40</v>
      </c>
      <c r="C2795" s="23" t="s">
        <v>41</v>
      </c>
      <c r="D2795" s="23" t="s">
        <v>32</v>
      </c>
      <c r="E2795" s="37">
        <v>45437.0</v>
      </c>
      <c r="F2795" s="25">
        <v>0.22569444444444445</v>
      </c>
      <c r="G2795" s="25">
        <v>0.6909722222222222</v>
      </c>
      <c r="H2795" s="27">
        <f t="shared" si="2"/>
        <v>0.4652777778</v>
      </c>
      <c r="I2795" s="28">
        <v>4.0</v>
      </c>
      <c r="J2795" s="29" t="s">
        <v>55</v>
      </c>
      <c r="K2795" s="30" t="s">
        <v>23</v>
      </c>
      <c r="L2795" s="31" t="str">
        <f>IFERROR(__xludf.DUMMYFUNCTION("IF(OR(E2795="""",K2795=""""),"""",IFERROR(IF(K2795="""","""",query('tbl user'!$A$2:$D10975,""SELECT A WHERE D = '""&amp;K2795&amp;""'"")),""USER TIDAK DIKETAHUI""))"),"#REF!")</f>
        <v>#REF!</v>
      </c>
    </row>
    <row r="2796">
      <c r="A2796" s="21">
        <f t="shared" si="1"/>
        <v>0</v>
      </c>
      <c r="B2796" s="32" t="s">
        <v>146</v>
      </c>
      <c r="C2796" s="23" t="s">
        <v>147</v>
      </c>
      <c r="D2796" s="23" t="s">
        <v>32</v>
      </c>
      <c r="E2796" s="37">
        <v>45437.0</v>
      </c>
      <c r="F2796" s="25">
        <v>0.3125</v>
      </c>
      <c r="G2796" s="25">
        <v>0.6145833333333334</v>
      </c>
      <c r="H2796" s="27">
        <f t="shared" si="2"/>
        <v>0.3020833333</v>
      </c>
      <c r="I2796" s="28">
        <v>4.0</v>
      </c>
      <c r="J2796" s="29" t="s">
        <v>55</v>
      </c>
      <c r="K2796" s="30" t="s">
        <v>23</v>
      </c>
      <c r="L2796" s="31" t="str">
        <f>IFERROR(__xludf.DUMMYFUNCTION("IF(OR(E2796="""",K2796=""""),"""",IFERROR(IF(K2796="""","""",query('tbl user'!$A$2:$D10975,""SELECT A WHERE D = '""&amp;K2796&amp;""'"")),""USER TIDAK DIKETAHUI""))"),"#REF!")</f>
        <v>#REF!</v>
      </c>
    </row>
    <row r="2797">
      <c r="A2797" s="21">
        <f t="shared" si="1"/>
        <v>0</v>
      </c>
      <c r="B2797" s="32" t="s">
        <v>274</v>
      </c>
      <c r="C2797" s="23" t="s">
        <v>275</v>
      </c>
      <c r="D2797" s="23" t="s">
        <v>32</v>
      </c>
      <c r="E2797" s="37">
        <v>45437.0</v>
      </c>
      <c r="F2797" s="25">
        <v>0.24375</v>
      </c>
      <c r="G2797" s="25">
        <v>0.6138888888888889</v>
      </c>
      <c r="H2797" s="27">
        <f t="shared" si="2"/>
        <v>0.3701388889</v>
      </c>
      <c r="I2797" s="28">
        <v>4.0</v>
      </c>
      <c r="J2797" s="29" t="s">
        <v>55</v>
      </c>
      <c r="K2797" s="30" t="s">
        <v>23</v>
      </c>
      <c r="L2797" s="31" t="str">
        <f>IFERROR(__xludf.DUMMYFUNCTION("IF(OR(E2797="""",K2797=""""),"""",IFERROR(IF(K2797="""","""",query('tbl user'!$A$2:$D10975,""SELECT A WHERE D = '""&amp;K2797&amp;""'"")),""USER TIDAK DIKETAHUI""))"),"#REF!")</f>
        <v>#REF!</v>
      </c>
    </row>
    <row r="2798">
      <c r="A2798" s="21">
        <f t="shared" si="1"/>
        <v>0</v>
      </c>
      <c r="B2798" s="32" t="s">
        <v>125</v>
      </c>
      <c r="C2798" s="23" t="s">
        <v>126</v>
      </c>
      <c r="D2798" s="23" t="s">
        <v>32</v>
      </c>
      <c r="E2798" s="37">
        <v>45437.0</v>
      </c>
      <c r="F2798" s="25">
        <v>0.25069444444444444</v>
      </c>
      <c r="G2798" s="25">
        <v>0.6736111111111112</v>
      </c>
      <c r="H2798" s="27">
        <f t="shared" si="2"/>
        <v>0.4229166667</v>
      </c>
      <c r="I2798" s="28">
        <v>5.0</v>
      </c>
      <c r="J2798" s="29" t="s">
        <v>55</v>
      </c>
      <c r="K2798" s="30" t="s">
        <v>23</v>
      </c>
      <c r="L2798" s="31" t="str">
        <f>IFERROR(__xludf.DUMMYFUNCTION("IF(OR(E2798="""",K2798=""""),"""",IFERROR(IF(K2798="""","""",query('tbl user'!$A$2:$D10975,""SELECT A WHERE D = '""&amp;K2798&amp;""'"")),""USER TIDAK DIKETAHUI""))"),"#REF!")</f>
        <v>#REF!</v>
      </c>
    </row>
    <row r="2799">
      <c r="A2799" s="21">
        <f t="shared" si="1"/>
        <v>0</v>
      </c>
      <c r="B2799" s="32" t="s">
        <v>191</v>
      </c>
      <c r="C2799" s="23" t="s">
        <v>192</v>
      </c>
      <c r="D2799" s="23" t="s">
        <v>58</v>
      </c>
      <c r="E2799" s="37">
        <v>45438.0</v>
      </c>
      <c r="F2799" s="25">
        <v>0.3958333333333333</v>
      </c>
      <c r="G2799" s="25">
        <v>0.6055555555555555</v>
      </c>
      <c r="H2799" s="27">
        <f t="shared" si="2"/>
        <v>0.2097222222</v>
      </c>
      <c r="I2799" s="28">
        <v>1.0</v>
      </c>
      <c r="J2799" s="29" t="s">
        <v>295</v>
      </c>
      <c r="K2799" s="30" t="s">
        <v>23</v>
      </c>
      <c r="L2799" s="31" t="str">
        <f>IFERROR(__xludf.DUMMYFUNCTION("IF(OR(E2799="""",K2799=""""),"""",IFERROR(IF(K2799="""","""",query('tbl user'!$A$2:$D10975,""SELECT A WHERE D = '""&amp;K2799&amp;""'"")),""USER TIDAK DIKETAHUI""))"),"#REF!")</f>
        <v>#REF!</v>
      </c>
    </row>
    <row r="2800">
      <c r="A2800" s="21">
        <f t="shared" si="1"/>
        <v>0</v>
      </c>
      <c r="B2800" s="32" t="s">
        <v>205</v>
      </c>
      <c r="C2800" s="23" t="s">
        <v>206</v>
      </c>
      <c r="D2800" s="23" t="s">
        <v>58</v>
      </c>
      <c r="E2800" s="37">
        <v>45438.0</v>
      </c>
      <c r="F2800" s="25">
        <v>0.26180555555555557</v>
      </c>
      <c r="G2800" s="25">
        <v>0.40347222222222223</v>
      </c>
      <c r="H2800" s="27">
        <f t="shared" si="2"/>
        <v>0.1416666667</v>
      </c>
      <c r="I2800" s="28">
        <v>1.0</v>
      </c>
      <c r="J2800" s="29" t="s">
        <v>1290</v>
      </c>
      <c r="K2800" s="30" t="s">
        <v>23</v>
      </c>
      <c r="L2800" s="31" t="str">
        <f>IFERROR(__xludf.DUMMYFUNCTION("IF(OR(E2800="""",K2800=""""),"""",IFERROR(IF(K2800="""","""",query('tbl user'!$A$2:$D10975,""SELECT A WHERE D = '""&amp;K2800&amp;""'"")),""USER TIDAK DIKETAHUI""))"),"#REF!")</f>
        <v>#REF!</v>
      </c>
    </row>
    <row r="2801">
      <c r="A2801" s="21">
        <f t="shared" si="1"/>
        <v>0</v>
      </c>
      <c r="B2801" s="32" t="s">
        <v>214</v>
      </c>
      <c r="C2801" s="23" t="s">
        <v>170</v>
      </c>
      <c r="D2801" s="23" t="s">
        <v>58</v>
      </c>
      <c r="E2801" s="37">
        <v>45438.0</v>
      </c>
      <c r="F2801" s="25">
        <v>0.4513888888888889</v>
      </c>
      <c r="G2801" s="25">
        <v>0.6638888888888889</v>
      </c>
      <c r="H2801" s="27">
        <f t="shared" si="2"/>
        <v>0.2125</v>
      </c>
      <c r="I2801" s="28">
        <v>2.0</v>
      </c>
      <c r="J2801" s="29" t="s">
        <v>1291</v>
      </c>
      <c r="K2801" s="30" t="s">
        <v>23</v>
      </c>
      <c r="L2801" s="31" t="str">
        <f>IFERROR(__xludf.DUMMYFUNCTION("IF(OR(E2801="""",K2801=""""),"""",IFERROR(IF(K2801="""","""",query('tbl user'!$A$2:$D10975,""SELECT A WHERE D = '""&amp;K2801&amp;""'"")),""USER TIDAK DIKETAHUI""))"),"#REF!")</f>
        <v>#REF!</v>
      </c>
    </row>
    <row r="2802">
      <c r="A2802" s="21">
        <f t="shared" si="1"/>
        <v>0</v>
      </c>
      <c r="B2802" s="32" t="s">
        <v>197</v>
      </c>
      <c r="C2802" s="23" t="s">
        <v>198</v>
      </c>
      <c r="D2802" s="23" t="s">
        <v>58</v>
      </c>
      <c r="E2802" s="37">
        <v>45438.0</v>
      </c>
      <c r="F2802" s="25">
        <v>0.4340277777777778</v>
      </c>
      <c r="G2802" s="25">
        <v>0.6631944444444444</v>
      </c>
      <c r="H2802" s="27">
        <f t="shared" si="2"/>
        <v>0.2291666667</v>
      </c>
      <c r="I2802" s="28">
        <v>2.0</v>
      </c>
      <c r="J2802" s="29" t="s">
        <v>1292</v>
      </c>
      <c r="K2802" s="30" t="s">
        <v>23</v>
      </c>
      <c r="L2802" s="31" t="str">
        <f>IFERROR(__xludf.DUMMYFUNCTION("IF(OR(E2802="""",K2802=""""),"""",IFERROR(IF(K2802="""","""",query('tbl user'!$A$2:$D10975,""SELECT A WHERE D = '""&amp;K2802&amp;""'"")),""USER TIDAK DIKETAHUI""))"),"#REF!")</f>
        <v>#REF!</v>
      </c>
    </row>
    <row r="2803">
      <c r="A2803" s="21">
        <f t="shared" si="1"/>
        <v>0</v>
      </c>
      <c r="B2803" s="32" t="s">
        <v>67</v>
      </c>
      <c r="C2803" s="23" t="s">
        <v>68</v>
      </c>
      <c r="D2803" s="23" t="s">
        <v>58</v>
      </c>
      <c r="E2803" s="37">
        <v>45438.0</v>
      </c>
      <c r="F2803" s="25">
        <v>0.3590277777777778</v>
      </c>
      <c r="G2803" s="25">
        <v>0.6881944444444444</v>
      </c>
      <c r="H2803" s="27">
        <f t="shared" si="2"/>
        <v>0.3291666667</v>
      </c>
      <c r="I2803" s="28">
        <v>3.0</v>
      </c>
      <c r="J2803" s="29" t="s">
        <v>1293</v>
      </c>
      <c r="K2803" s="30" t="s">
        <v>23</v>
      </c>
      <c r="L2803" s="31" t="str">
        <f>IFERROR(__xludf.DUMMYFUNCTION("IF(OR(E2803="""",K2803=""""),"""",IFERROR(IF(K2803="""","""",query('tbl user'!$A$2:$D10975,""SELECT A WHERE D = '""&amp;K2803&amp;""'"")),""USER TIDAK DIKETAHUI""))"),"#REF!")</f>
        <v>#REF!</v>
      </c>
    </row>
    <row r="2804">
      <c r="A2804" s="21">
        <f t="shared" si="1"/>
        <v>0</v>
      </c>
      <c r="B2804" s="32" t="s">
        <v>92</v>
      </c>
      <c r="C2804" s="23" t="s">
        <v>93</v>
      </c>
      <c r="D2804" s="23" t="s">
        <v>58</v>
      </c>
      <c r="E2804" s="37">
        <v>45438.0</v>
      </c>
      <c r="F2804" s="25">
        <v>0.25416666666666665</v>
      </c>
      <c r="G2804" s="25">
        <v>0.5520833333333334</v>
      </c>
      <c r="H2804" s="27">
        <f t="shared" si="2"/>
        <v>0.2979166667</v>
      </c>
      <c r="I2804" s="28">
        <v>3.0</v>
      </c>
      <c r="J2804" s="29" t="s">
        <v>1294</v>
      </c>
      <c r="K2804" s="30" t="s">
        <v>23</v>
      </c>
      <c r="L2804" s="31" t="str">
        <f>IFERROR(__xludf.DUMMYFUNCTION("IF(OR(E2804="""",K2804=""""),"""",IFERROR(IF(K2804="""","""",query('tbl user'!$A$2:$D10975,""SELECT A WHERE D = '""&amp;K2804&amp;""'"")),""USER TIDAK DIKETAHUI""))"),"#REF!")</f>
        <v>#REF!</v>
      </c>
    </row>
    <row r="2805">
      <c r="A2805" s="21">
        <f t="shared" si="1"/>
        <v>0</v>
      </c>
      <c r="B2805" s="32" t="s">
        <v>175</v>
      </c>
      <c r="C2805" s="23" t="s">
        <v>176</v>
      </c>
      <c r="D2805" s="23" t="s">
        <v>58</v>
      </c>
      <c r="E2805" s="37">
        <v>45438.0</v>
      </c>
      <c r="F2805" s="25">
        <v>0.25763888888888886</v>
      </c>
      <c r="G2805" s="25">
        <v>0.6555555555555556</v>
      </c>
      <c r="H2805" s="27">
        <f t="shared" si="2"/>
        <v>0.3979166667</v>
      </c>
      <c r="I2805" s="28">
        <v>3.0</v>
      </c>
      <c r="J2805" s="29" t="s">
        <v>1295</v>
      </c>
      <c r="K2805" s="30" t="s">
        <v>23</v>
      </c>
      <c r="L2805" s="31" t="str">
        <f>IFERROR(__xludf.DUMMYFUNCTION("IF(OR(E2805="""",K2805=""""),"""",IFERROR(IF(K2805="""","""",query('tbl user'!$A$2:$D10975,""SELECT A WHERE D = '""&amp;K2805&amp;""'"")),""USER TIDAK DIKETAHUI""))"),"#REF!")</f>
        <v>#REF!</v>
      </c>
    </row>
    <row r="2806">
      <c r="A2806" s="21">
        <f t="shared" si="1"/>
        <v>0</v>
      </c>
      <c r="B2806" s="32" t="s">
        <v>56</v>
      </c>
      <c r="C2806" s="23" t="s">
        <v>57</v>
      </c>
      <c r="D2806" s="23" t="s">
        <v>58</v>
      </c>
      <c r="E2806" s="37">
        <v>45438.0</v>
      </c>
      <c r="F2806" s="25">
        <v>0.2743055555555556</v>
      </c>
      <c r="G2806" s="25">
        <v>0.6395833333333333</v>
      </c>
      <c r="H2806" s="27">
        <f t="shared" si="2"/>
        <v>0.3652777778</v>
      </c>
      <c r="I2806" s="28">
        <v>3.0</v>
      </c>
      <c r="J2806" s="29" t="s">
        <v>171</v>
      </c>
      <c r="K2806" s="30" t="s">
        <v>23</v>
      </c>
      <c r="L2806" s="31" t="str">
        <f>IFERROR(__xludf.DUMMYFUNCTION("IF(OR(E2806="""",K2806=""""),"""",IFERROR(IF(K2806="""","""",query('tbl user'!$A$2:$D10975,""SELECT A WHERE D = '""&amp;K2806&amp;""'"")),""USER TIDAK DIKETAHUI""))"),"#REF!")</f>
        <v>#REF!</v>
      </c>
    </row>
    <row r="2807">
      <c r="A2807" s="21">
        <f t="shared" si="1"/>
        <v>0</v>
      </c>
      <c r="B2807" s="32" t="s">
        <v>182</v>
      </c>
      <c r="C2807" s="23" t="s">
        <v>183</v>
      </c>
      <c r="D2807" s="23" t="s">
        <v>58</v>
      </c>
      <c r="E2807" s="37">
        <v>45438.0</v>
      </c>
      <c r="F2807" s="25">
        <v>0.23333333333333334</v>
      </c>
      <c r="G2807" s="33">
        <v>0.5715277777777777</v>
      </c>
      <c r="H2807" s="27">
        <f t="shared" si="2"/>
        <v>0.3381944444</v>
      </c>
      <c r="I2807" s="28">
        <v>3.0</v>
      </c>
      <c r="J2807" s="29" t="s">
        <v>1296</v>
      </c>
      <c r="K2807" s="30" t="s">
        <v>23</v>
      </c>
      <c r="L2807" s="31" t="str">
        <f>IFERROR(__xludf.DUMMYFUNCTION("IF(OR(E2807="""",K2807=""""),"""",IFERROR(IF(K2807="""","""",query('tbl user'!$A$2:$D10975,""SELECT A WHERE D = '""&amp;K2807&amp;""'"")),""USER TIDAK DIKETAHUI""))"),"#REF!")</f>
        <v>#REF!</v>
      </c>
    </row>
    <row r="2808">
      <c r="A2808" s="21">
        <f t="shared" si="1"/>
        <v>0</v>
      </c>
      <c r="B2808" s="32" t="s">
        <v>194</v>
      </c>
      <c r="C2808" s="23" t="s">
        <v>195</v>
      </c>
      <c r="D2808" s="23" t="s">
        <v>58</v>
      </c>
      <c r="E2808" s="37">
        <v>45438.0</v>
      </c>
      <c r="F2808" s="25">
        <v>0.225</v>
      </c>
      <c r="G2808" s="25">
        <v>0.6409722222222223</v>
      </c>
      <c r="H2808" s="27">
        <f t="shared" si="2"/>
        <v>0.4159722222</v>
      </c>
      <c r="I2808" s="28">
        <v>3.0</v>
      </c>
      <c r="J2808" s="29" t="s">
        <v>1297</v>
      </c>
      <c r="K2808" s="30" t="s">
        <v>23</v>
      </c>
      <c r="L2808" s="31" t="str">
        <f>IFERROR(__xludf.DUMMYFUNCTION("IF(OR(E2808="""",K2808=""""),"""",IFERROR(IF(K2808="""","""",query('tbl user'!$A$2:$D10975,""SELECT A WHERE D = '""&amp;K2808&amp;""'"")),""USER TIDAK DIKETAHUI""))"),"#REF!")</f>
        <v>#REF!</v>
      </c>
    </row>
    <row r="2809">
      <c r="A2809" s="21">
        <f t="shared" si="1"/>
        <v>0</v>
      </c>
      <c r="B2809" s="32" t="s">
        <v>104</v>
      </c>
      <c r="C2809" s="23" t="s">
        <v>105</v>
      </c>
      <c r="D2809" s="23" t="s">
        <v>58</v>
      </c>
      <c r="E2809" s="37">
        <v>45438.0</v>
      </c>
      <c r="F2809" s="25">
        <v>0.2548611111111111</v>
      </c>
      <c r="G2809" s="25">
        <v>0.6680555555555555</v>
      </c>
      <c r="H2809" s="27">
        <f t="shared" si="2"/>
        <v>0.4131944444</v>
      </c>
      <c r="I2809" s="28">
        <v>3.0</v>
      </c>
      <c r="J2809" s="29" t="s">
        <v>171</v>
      </c>
      <c r="K2809" s="30" t="s">
        <v>23</v>
      </c>
      <c r="L2809" s="31" t="str">
        <f>IFERROR(__xludf.DUMMYFUNCTION("IF(OR(E2809="""",K2809=""""),"""",IFERROR(IF(K2809="""","""",query('tbl user'!$A$2:$D10975,""SELECT A WHERE D = '""&amp;K2809&amp;""'"")),""USER TIDAK DIKETAHUI""))"),"#REF!")</f>
        <v>#REF!</v>
      </c>
    </row>
    <row r="2810">
      <c r="A2810" s="21">
        <f t="shared" si="1"/>
        <v>0</v>
      </c>
      <c r="B2810" s="32" t="s">
        <v>202</v>
      </c>
      <c r="C2810" s="23" t="s">
        <v>203</v>
      </c>
      <c r="D2810" s="23" t="s">
        <v>58</v>
      </c>
      <c r="E2810" s="37">
        <v>45438.0</v>
      </c>
      <c r="F2810" s="25">
        <v>0.25555555555555554</v>
      </c>
      <c r="G2810" s="25">
        <v>0.6006944444444444</v>
      </c>
      <c r="H2810" s="27">
        <f t="shared" si="2"/>
        <v>0.3451388889</v>
      </c>
      <c r="I2810" s="28">
        <v>3.0</v>
      </c>
      <c r="J2810" s="29" t="s">
        <v>171</v>
      </c>
      <c r="K2810" s="30" t="s">
        <v>23</v>
      </c>
      <c r="L2810" s="31" t="str">
        <f>IFERROR(__xludf.DUMMYFUNCTION("IF(OR(E2810="""",K2810=""""),"""",IFERROR(IF(K2810="""","""",query('tbl user'!$A$2:$D10975,""SELECT A WHERE D = '""&amp;K2810&amp;""'"")),""USER TIDAK DIKETAHUI""))"),"#REF!")</f>
        <v>#REF!</v>
      </c>
    </row>
    <row r="2811">
      <c r="A2811" s="21">
        <f t="shared" si="1"/>
        <v>0</v>
      </c>
      <c r="B2811" s="32" t="s">
        <v>180</v>
      </c>
      <c r="C2811" s="23" t="s">
        <v>181</v>
      </c>
      <c r="D2811" s="23" t="s">
        <v>58</v>
      </c>
      <c r="E2811" s="37">
        <v>45438.0</v>
      </c>
      <c r="F2811" s="25">
        <v>0.23541666666666666</v>
      </c>
      <c r="G2811" s="25">
        <v>0.70625</v>
      </c>
      <c r="H2811" s="27">
        <f t="shared" si="2"/>
        <v>0.4708333333</v>
      </c>
      <c r="I2811" s="28">
        <v>4.0</v>
      </c>
      <c r="J2811" s="29" t="s">
        <v>55</v>
      </c>
      <c r="K2811" s="30" t="s">
        <v>23</v>
      </c>
      <c r="L2811" s="31" t="str">
        <f>IFERROR(__xludf.DUMMYFUNCTION("IF(OR(E2811="""",K2811=""""),"""",IFERROR(IF(K2811="""","""",query('tbl user'!$A$2:$D10975,""SELECT A WHERE D = '""&amp;K2811&amp;""'"")),""USER TIDAK DIKETAHUI""))"),"#REF!")</f>
        <v>#REF!</v>
      </c>
    </row>
    <row r="2812">
      <c r="A2812" s="21">
        <f t="shared" si="1"/>
        <v>0</v>
      </c>
      <c r="B2812" s="32" t="s">
        <v>184</v>
      </c>
      <c r="C2812" s="23" t="s">
        <v>185</v>
      </c>
      <c r="D2812" s="23" t="s">
        <v>58</v>
      </c>
      <c r="E2812" s="37">
        <v>45438.0</v>
      </c>
      <c r="F2812" s="25">
        <v>0.25555555555555554</v>
      </c>
      <c r="G2812" s="25">
        <v>0.6805555555555556</v>
      </c>
      <c r="H2812" s="27">
        <f t="shared" si="2"/>
        <v>0.425</v>
      </c>
      <c r="I2812" s="28">
        <v>4.0</v>
      </c>
      <c r="J2812" s="29" t="s">
        <v>55</v>
      </c>
      <c r="K2812" s="30" t="s">
        <v>23</v>
      </c>
      <c r="L2812" s="31" t="str">
        <f>IFERROR(__xludf.DUMMYFUNCTION("IF(OR(E2812="""",K2812=""""),"""",IFERROR(IF(K2812="""","""",query('tbl user'!$A$2:$D10975,""SELECT A WHERE D = '""&amp;K2812&amp;""'"")),""USER TIDAK DIKETAHUI""))"),"#REF!")</f>
        <v>#REF!</v>
      </c>
    </row>
    <row r="2813">
      <c r="A2813" s="21">
        <f t="shared" si="1"/>
        <v>0</v>
      </c>
      <c r="B2813" s="32" t="s">
        <v>200</v>
      </c>
      <c r="C2813" s="23" t="s">
        <v>201</v>
      </c>
      <c r="D2813" s="23" t="s">
        <v>58</v>
      </c>
      <c r="E2813" s="37">
        <v>45438.0</v>
      </c>
      <c r="F2813" s="25">
        <v>0.20208333333333334</v>
      </c>
      <c r="G2813" s="25">
        <v>0.7027777777777777</v>
      </c>
      <c r="H2813" s="27">
        <f t="shared" si="2"/>
        <v>0.5006944444</v>
      </c>
      <c r="I2813" s="28">
        <v>4.0</v>
      </c>
      <c r="J2813" s="29" t="s">
        <v>55</v>
      </c>
      <c r="K2813" s="30" t="s">
        <v>23</v>
      </c>
      <c r="L2813" s="31" t="str">
        <f>IFERROR(__xludf.DUMMYFUNCTION("IF(OR(E2813="""",K2813=""""),"""",IFERROR(IF(K2813="""","""",query('tbl user'!$A$2:$D10975,""SELECT A WHERE D = '""&amp;K2813&amp;""'"")),""USER TIDAK DIKETAHUI""))"),"#REF!")</f>
        <v>#REF!</v>
      </c>
    </row>
    <row r="2814">
      <c r="A2814" s="21">
        <f t="shared" si="1"/>
        <v>0</v>
      </c>
      <c r="B2814" s="32" t="s">
        <v>51</v>
      </c>
      <c r="C2814" s="23" t="s">
        <v>27</v>
      </c>
      <c r="D2814" s="23" t="s">
        <v>21</v>
      </c>
      <c r="E2814" s="37">
        <v>45438.0</v>
      </c>
      <c r="F2814" s="25">
        <v>0.28541666666666665</v>
      </c>
      <c r="G2814" s="25">
        <v>0.4111111111111111</v>
      </c>
      <c r="H2814" s="27">
        <f t="shared" si="2"/>
        <v>0.1256944444</v>
      </c>
      <c r="I2814" s="28">
        <v>1.0</v>
      </c>
      <c r="J2814" s="29" t="s">
        <v>1298</v>
      </c>
      <c r="K2814" s="30" t="s">
        <v>23</v>
      </c>
      <c r="L2814" s="31" t="str">
        <f>IFERROR(__xludf.DUMMYFUNCTION("IF(OR(E2814="""",K2814=""""),"""",IFERROR(IF(K2814="""","""",query('tbl user'!$A$2:$D10975,""SELECT A WHERE D = '""&amp;K2814&amp;""'"")),""USER TIDAK DIKETAHUI""))"),"#REF!")</f>
        <v>#REF!</v>
      </c>
    </row>
    <row r="2815">
      <c r="A2815" s="21">
        <f t="shared" si="1"/>
        <v>0</v>
      </c>
      <c r="B2815" s="32" t="s">
        <v>286</v>
      </c>
      <c r="C2815" s="23" t="s">
        <v>287</v>
      </c>
      <c r="D2815" s="23" t="s">
        <v>21</v>
      </c>
      <c r="E2815" s="37">
        <v>45438.0</v>
      </c>
      <c r="F2815" s="25">
        <v>0.36875</v>
      </c>
      <c r="G2815" s="25">
        <v>0.4840277777777778</v>
      </c>
      <c r="H2815" s="27">
        <f t="shared" si="2"/>
        <v>0.1152777778</v>
      </c>
      <c r="I2815" s="28">
        <v>1.0</v>
      </c>
      <c r="J2815" s="29" t="s">
        <v>1299</v>
      </c>
      <c r="K2815" s="30" t="s">
        <v>23</v>
      </c>
      <c r="L2815" s="31" t="str">
        <f>IFERROR(__xludf.DUMMYFUNCTION("IF(OR(E2815="""",K2815=""""),"""",IFERROR(IF(K2815="""","""",query('tbl user'!$A$2:$D10975,""SELECT A WHERE D = '""&amp;K2815&amp;""'"")),""USER TIDAK DIKETAHUI""))"),"#REF!")</f>
        <v>#REF!</v>
      </c>
    </row>
    <row r="2816">
      <c r="A2816" s="21">
        <f t="shared" si="1"/>
        <v>0</v>
      </c>
      <c r="B2816" s="32" t="s">
        <v>281</v>
      </c>
      <c r="C2816" s="23" t="s">
        <v>282</v>
      </c>
      <c r="D2816" s="23" t="s">
        <v>21</v>
      </c>
      <c r="E2816" s="37">
        <v>45438.0</v>
      </c>
      <c r="F2816" s="25">
        <v>0.27569444444444446</v>
      </c>
      <c r="G2816" s="25">
        <v>0.5638888888888889</v>
      </c>
      <c r="H2816" s="27">
        <f t="shared" si="2"/>
        <v>0.2881944444</v>
      </c>
      <c r="I2816" s="28">
        <v>2.0</v>
      </c>
      <c r="J2816" s="29" t="s">
        <v>1300</v>
      </c>
      <c r="K2816" s="30" t="s">
        <v>23</v>
      </c>
      <c r="L2816" s="31" t="str">
        <f>IFERROR(__xludf.DUMMYFUNCTION("IF(OR(E2816="""",K2816=""""),"""",IFERROR(IF(K2816="""","""",query('tbl user'!$A$2:$D10975,""SELECT A WHERE D = '""&amp;K2816&amp;""'"")),""USER TIDAK DIKETAHUI""))"),"#REF!")</f>
        <v>#REF!</v>
      </c>
    </row>
    <row r="2817">
      <c r="A2817" s="21">
        <f t="shared" si="1"/>
        <v>0</v>
      </c>
      <c r="B2817" s="32" t="s">
        <v>284</v>
      </c>
      <c r="C2817" s="23" t="s">
        <v>285</v>
      </c>
      <c r="D2817" s="23" t="s">
        <v>21</v>
      </c>
      <c r="E2817" s="37">
        <v>45438.0</v>
      </c>
      <c r="F2817" s="25">
        <v>0.3020833333333333</v>
      </c>
      <c r="G2817" s="25">
        <v>0.5951388888888889</v>
      </c>
      <c r="H2817" s="27">
        <f t="shared" si="2"/>
        <v>0.2930555556</v>
      </c>
      <c r="I2817" s="28">
        <v>2.0</v>
      </c>
      <c r="J2817" s="29" t="s">
        <v>1301</v>
      </c>
      <c r="K2817" s="30" t="s">
        <v>23</v>
      </c>
      <c r="L2817" s="31" t="str">
        <f>IFERROR(__xludf.DUMMYFUNCTION("IF(OR(E2817="""",K2817=""""),"""",IFERROR(IF(K2817="""","""",query('tbl user'!$A$2:$D10975,""SELECT A WHERE D = '""&amp;K2817&amp;""'"")),""USER TIDAK DIKETAHUI""))"),"#REF!")</f>
        <v>#REF!</v>
      </c>
    </row>
    <row r="2818">
      <c r="A2818" s="21">
        <f t="shared" si="1"/>
        <v>0</v>
      </c>
      <c r="B2818" s="32" t="s">
        <v>37</v>
      </c>
      <c r="C2818" s="23" t="s">
        <v>38</v>
      </c>
      <c r="D2818" s="23" t="s">
        <v>21</v>
      </c>
      <c r="E2818" s="37">
        <v>45438.0</v>
      </c>
      <c r="F2818" s="25">
        <v>0.2722222222222222</v>
      </c>
      <c r="G2818" s="25">
        <v>0.7090277777777778</v>
      </c>
      <c r="H2818" s="27">
        <f t="shared" si="2"/>
        <v>0.4368055556</v>
      </c>
      <c r="I2818" s="28">
        <v>4.0</v>
      </c>
      <c r="J2818" s="29" t="s">
        <v>55</v>
      </c>
      <c r="K2818" s="30" t="s">
        <v>23</v>
      </c>
      <c r="L2818" s="31" t="str">
        <f>IFERROR(__xludf.DUMMYFUNCTION("IF(OR(E2818="""",K2818=""""),"""",IFERROR(IF(K2818="""","""",query('tbl user'!$A$2:$D10975,""SELECT A WHERE D = '""&amp;K2818&amp;""'"")),""USER TIDAK DIKETAHUI""))"),"#REF!")</f>
        <v>#REF!</v>
      </c>
    </row>
    <row r="2819">
      <c r="A2819" s="21">
        <f t="shared" si="1"/>
        <v>0</v>
      </c>
      <c r="B2819" s="32" t="s">
        <v>24</v>
      </c>
      <c r="C2819" s="23" t="s">
        <v>25</v>
      </c>
      <c r="D2819" s="23" t="s">
        <v>21</v>
      </c>
      <c r="E2819" s="37">
        <v>45438.0</v>
      </c>
      <c r="F2819" s="25">
        <v>0.2743055555555556</v>
      </c>
      <c r="G2819" s="25">
        <v>0.6472222222222223</v>
      </c>
      <c r="H2819" s="27">
        <f t="shared" si="2"/>
        <v>0.3729166667</v>
      </c>
      <c r="I2819" s="28">
        <v>2.0</v>
      </c>
      <c r="J2819" s="29" t="s">
        <v>417</v>
      </c>
      <c r="K2819" s="30" t="s">
        <v>23</v>
      </c>
      <c r="L2819" s="31" t="str">
        <f>IFERROR(__xludf.DUMMYFUNCTION("IF(OR(E2819="""",K2819=""""),"""",IFERROR(IF(K2819="""","""",query('tbl user'!$A$2:$D10975,""SELECT A WHERE D = '""&amp;K2819&amp;""'"")),""USER TIDAK DIKETAHUI""))"),"#REF!")</f>
        <v>#REF!</v>
      </c>
    </row>
    <row r="2820">
      <c r="A2820" s="21">
        <f t="shared" si="1"/>
        <v>0</v>
      </c>
      <c r="B2820" s="32" t="s">
        <v>219</v>
      </c>
      <c r="C2820" s="23" t="s">
        <v>340</v>
      </c>
      <c r="D2820" s="23" t="s">
        <v>21</v>
      </c>
      <c r="E2820" s="37">
        <v>45438.0</v>
      </c>
      <c r="F2820" s="25">
        <v>0.25833333333333336</v>
      </c>
      <c r="G2820" s="25">
        <v>0.6458333333333334</v>
      </c>
      <c r="H2820" s="27">
        <f t="shared" si="2"/>
        <v>0.3875</v>
      </c>
      <c r="I2820" s="28">
        <v>2.0</v>
      </c>
      <c r="J2820" s="29" t="s">
        <v>1302</v>
      </c>
      <c r="K2820" s="30" t="s">
        <v>23</v>
      </c>
      <c r="L2820" s="31" t="str">
        <f>IFERROR(__xludf.DUMMYFUNCTION("IF(OR(E2820="""",K2820=""""),"""",IFERROR(IF(K2820="""","""",query('tbl user'!$A$2:$D10975,""SELECT A WHERE D = '""&amp;K2820&amp;""'"")),""USER TIDAK DIKETAHUI""))"),"#REF!")</f>
        <v>#REF!</v>
      </c>
    </row>
    <row r="2821">
      <c r="A2821" s="21">
        <f t="shared" si="1"/>
        <v>0</v>
      </c>
      <c r="B2821" s="32" t="s">
        <v>238</v>
      </c>
      <c r="C2821" s="23" t="s">
        <v>239</v>
      </c>
      <c r="D2821" s="23" t="s">
        <v>21</v>
      </c>
      <c r="E2821" s="37">
        <v>45438.0</v>
      </c>
      <c r="F2821" s="25">
        <v>0.29583333333333334</v>
      </c>
      <c r="G2821" s="25">
        <v>0.5631944444444444</v>
      </c>
      <c r="H2821" s="27">
        <f t="shared" si="2"/>
        <v>0.2673611111</v>
      </c>
      <c r="I2821" s="28">
        <v>3.0</v>
      </c>
      <c r="J2821" s="29" t="s">
        <v>1303</v>
      </c>
      <c r="K2821" s="30" t="s">
        <v>23</v>
      </c>
      <c r="L2821" s="31" t="str">
        <f>IFERROR(__xludf.DUMMYFUNCTION("IF(OR(E2821="""",K2821=""""),"""",IFERROR(IF(K2821="""","""",query('tbl user'!$A$2:$D10975,""SELECT A WHERE D = '""&amp;K2821&amp;""'"")),""USER TIDAK DIKETAHUI""))"),"#REF!")</f>
        <v>#REF!</v>
      </c>
    </row>
    <row r="2822">
      <c r="A2822" s="21">
        <f t="shared" si="1"/>
        <v>0</v>
      </c>
      <c r="B2822" s="32" t="s">
        <v>209</v>
      </c>
      <c r="C2822" s="23" t="s">
        <v>244</v>
      </c>
      <c r="D2822" s="23" t="s">
        <v>21</v>
      </c>
      <c r="E2822" s="37">
        <v>45438.0</v>
      </c>
      <c r="F2822" s="25">
        <v>0.27569444444444446</v>
      </c>
      <c r="G2822" s="25">
        <v>0.5666666666666667</v>
      </c>
      <c r="H2822" s="27">
        <f t="shared" si="2"/>
        <v>0.2909722222</v>
      </c>
      <c r="I2822" s="28">
        <v>3.0</v>
      </c>
      <c r="J2822" s="29" t="s">
        <v>1304</v>
      </c>
      <c r="K2822" s="30" t="s">
        <v>23</v>
      </c>
      <c r="L2822" s="31" t="str">
        <f>IFERROR(__xludf.DUMMYFUNCTION("IF(OR(E2822="""",K2822=""""),"""",IFERROR(IF(K2822="""","""",query('tbl user'!$A$2:$D10975,""SELECT A WHERE D = '""&amp;K2822&amp;""'"")),""USER TIDAK DIKETAHUI""))"),"#REF!")</f>
        <v>#REF!</v>
      </c>
    </row>
    <row r="2823">
      <c r="A2823" s="21">
        <f t="shared" si="1"/>
        <v>0</v>
      </c>
      <c r="B2823" s="32" t="s">
        <v>101</v>
      </c>
      <c r="C2823" s="23" t="s">
        <v>102</v>
      </c>
      <c r="D2823" s="23" t="s">
        <v>21</v>
      </c>
      <c r="E2823" s="37">
        <v>45438.0</v>
      </c>
      <c r="F2823" s="25">
        <v>0.2972222222222222</v>
      </c>
      <c r="G2823" s="25">
        <v>0.60625</v>
      </c>
      <c r="H2823" s="27">
        <f t="shared" si="2"/>
        <v>0.3090277778</v>
      </c>
      <c r="I2823" s="28">
        <v>3.0</v>
      </c>
      <c r="J2823" s="29" t="s">
        <v>1305</v>
      </c>
      <c r="K2823" s="30" t="s">
        <v>23</v>
      </c>
      <c r="L2823" s="31" t="str">
        <f>IFERROR(__xludf.DUMMYFUNCTION("IF(OR(E2823="""",K2823=""""),"""",IFERROR(IF(K2823="""","""",query('tbl user'!$A$2:$D10975,""SELECT A WHERE D = '""&amp;K2823&amp;""'"")),""USER TIDAK DIKETAHUI""))"),"#REF!")</f>
        <v>#REF!</v>
      </c>
    </row>
    <row r="2824">
      <c r="A2824" s="21">
        <f t="shared" si="1"/>
        <v>0</v>
      </c>
      <c r="B2824" s="32" t="s">
        <v>255</v>
      </c>
      <c r="C2824" s="23" t="s">
        <v>256</v>
      </c>
      <c r="D2824" s="23" t="s">
        <v>21</v>
      </c>
      <c r="E2824" s="37">
        <v>45438.0</v>
      </c>
      <c r="F2824" s="25">
        <v>0.28125</v>
      </c>
      <c r="G2824" s="25">
        <v>0.5611111111111111</v>
      </c>
      <c r="H2824" s="27">
        <f t="shared" si="2"/>
        <v>0.2798611111</v>
      </c>
      <c r="I2824" s="28">
        <v>3.0</v>
      </c>
      <c r="J2824" s="29" t="s">
        <v>1306</v>
      </c>
      <c r="K2824" s="30" t="s">
        <v>23</v>
      </c>
      <c r="L2824" s="31" t="str">
        <f>IFERROR(__xludf.DUMMYFUNCTION("IF(OR(E2824="""",K2824=""""),"""",IFERROR(IF(K2824="""","""",query('tbl user'!$A$2:$D10975,""SELECT A WHERE D = '""&amp;K2824&amp;""'"")),""USER TIDAK DIKETAHUI""))"),"#REF!")</f>
        <v>#REF!</v>
      </c>
    </row>
    <row r="2825">
      <c r="A2825" s="21">
        <f t="shared" si="1"/>
        <v>0</v>
      </c>
      <c r="B2825" s="32" t="s">
        <v>95</v>
      </c>
      <c r="C2825" s="23" t="s">
        <v>232</v>
      </c>
      <c r="D2825" s="23" t="s">
        <v>21</v>
      </c>
      <c r="E2825" s="37">
        <v>45438.0</v>
      </c>
      <c r="F2825" s="25">
        <v>0.2881944444444444</v>
      </c>
      <c r="G2825" s="25">
        <v>0.6479166666666667</v>
      </c>
      <c r="H2825" s="27">
        <f t="shared" si="2"/>
        <v>0.3597222222</v>
      </c>
      <c r="I2825" s="28">
        <v>4.0</v>
      </c>
      <c r="J2825" s="29" t="s">
        <v>1307</v>
      </c>
      <c r="K2825" s="30" t="s">
        <v>23</v>
      </c>
      <c r="L2825" s="31" t="str">
        <f>IFERROR(__xludf.DUMMYFUNCTION("IF(OR(E2825="""",K2825=""""),"""",IFERROR(IF(K2825="""","""",query('tbl user'!$A$2:$D10975,""SELECT A WHERE D = '""&amp;K2825&amp;""'"")),""USER TIDAK DIKETAHUI""))"),"#REF!")</f>
        <v>#REF!</v>
      </c>
    </row>
    <row r="2826">
      <c r="A2826" s="21">
        <f t="shared" si="1"/>
        <v>0</v>
      </c>
      <c r="B2826" s="32" t="s">
        <v>159</v>
      </c>
      <c r="C2826" s="23" t="s">
        <v>306</v>
      </c>
      <c r="D2826" s="23" t="s">
        <v>21</v>
      </c>
      <c r="E2826" s="37">
        <v>45438.0</v>
      </c>
      <c r="F2826" s="25">
        <v>0.4131944444444444</v>
      </c>
      <c r="G2826" s="25">
        <v>0.7569444444444444</v>
      </c>
      <c r="H2826" s="27">
        <f t="shared" si="2"/>
        <v>0.34375</v>
      </c>
      <c r="I2826" s="28">
        <v>4.0</v>
      </c>
      <c r="J2826" s="29" t="s">
        <v>1308</v>
      </c>
      <c r="K2826" s="30" t="s">
        <v>23</v>
      </c>
      <c r="L2826" s="31" t="str">
        <f>IFERROR(__xludf.DUMMYFUNCTION("IF(OR(E2826="""",K2826=""""),"""",IFERROR(IF(K2826="""","""",query('tbl user'!$A$2:$D10975,""SELECT A WHERE D = '""&amp;K2826&amp;""'"")),""USER TIDAK DIKETAHUI""))"),"#REF!")</f>
        <v>#REF!</v>
      </c>
    </row>
    <row r="2827">
      <c r="A2827" s="21">
        <f t="shared" si="1"/>
        <v>0</v>
      </c>
      <c r="B2827" s="32" t="s">
        <v>328</v>
      </c>
      <c r="C2827" s="23" t="s">
        <v>329</v>
      </c>
      <c r="D2827" s="23" t="s">
        <v>21</v>
      </c>
      <c r="E2827" s="37">
        <v>45438.0</v>
      </c>
      <c r="F2827" s="25">
        <v>0.2569444444444444</v>
      </c>
      <c r="G2827" s="25">
        <v>0.5805555555555556</v>
      </c>
      <c r="H2827" s="27">
        <f t="shared" si="2"/>
        <v>0.3236111111</v>
      </c>
      <c r="I2827" s="28">
        <v>4.0</v>
      </c>
      <c r="J2827" s="29" t="s">
        <v>1309</v>
      </c>
      <c r="K2827" s="30" t="s">
        <v>23</v>
      </c>
      <c r="L2827" s="31" t="str">
        <f>IFERROR(__xludf.DUMMYFUNCTION("IF(OR(E2827="""",K2827=""""),"""",IFERROR(IF(K2827="""","""",query('tbl user'!$A$2:$D10975,""SELECT A WHERE D = '""&amp;K2827&amp;""'"")),""USER TIDAK DIKETAHUI""))"),"#REF!")</f>
        <v>#REF!</v>
      </c>
    </row>
    <row r="2828">
      <c r="A2828" s="21">
        <f t="shared" si="1"/>
        <v>0</v>
      </c>
      <c r="B2828" s="32" t="s">
        <v>601</v>
      </c>
      <c r="C2828" s="23" t="s">
        <v>323</v>
      </c>
      <c r="D2828" s="23" t="s">
        <v>21</v>
      </c>
      <c r="E2828" s="37">
        <v>45438.0</v>
      </c>
      <c r="F2828" s="25">
        <v>0.2826388888888889</v>
      </c>
      <c r="G2828" s="25">
        <v>0.65625</v>
      </c>
      <c r="H2828" s="27">
        <f t="shared" si="2"/>
        <v>0.3736111111</v>
      </c>
      <c r="I2828" s="28">
        <v>4.0</v>
      </c>
      <c r="J2828" s="29" t="s">
        <v>1303</v>
      </c>
      <c r="K2828" s="30" t="s">
        <v>23</v>
      </c>
      <c r="L2828" s="31" t="str">
        <f>IFERROR(__xludf.DUMMYFUNCTION("IF(OR(E2828="""",K2828=""""),"""",IFERROR(IF(K2828="""","""",query('tbl user'!$A$2:$D10975,""SELECT A WHERE D = '""&amp;K2828&amp;""'"")),""USER TIDAK DIKETAHUI""))"),"#REF!")</f>
        <v>#REF!</v>
      </c>
    </row>
    <row r="2829">
      <c r="A2829" s="21">
        <f t="shared" si="1"/>
        <v>0</v>
      </c>
      <c r="B2829" s="32" t="s">
        <v>305</v>
      </c>
      <c r="C2829" s="23" t="s">
        <v>251</v>
      </c>
      <c r="D2829" s="23" t="s">
        <v>21</v>
      </c>
      <c r="E2829" s="37">
        <v>45438.0</v>
      </c>
      <c r="F2829" s="25">
        <v>0.21736111111111112</v>
      </c>
      <c r="G2829" s="25">
        <v>0.6701388888888888</v>
      </c>
      <c r="H2829" s="27">
        <f t="shared" si="2"/>
        <v>0.4527777778</v>
      </c>
      <c r="I2829" s="28">
        <v>5.0</v>
      </c>
      <c r="J2829" s="29" t="s">
        <v>55</v>
      </c>
      <c r="K2829" s="30" t="s">
        <v>23</v>
      </c>
      <c r="L2829" s="31" t="str">
        <f>IFERROR(__xludf.DUMMYFUNCTION("IF(OR(E2829="""",K2829=""""),"""",IFERROR(IF(K2829="""","""",query('tbl user'!$A$2:$D10975,""SELECT A WHERE D = '""&amp;K2829&amp;""'"")),""USER TIDAK DIKETAHUI""))"),"#REF!")</f>
        <v>#REF!</v>
      </c>
    </row>
    <row r="2830">
      <c r="A2830" s="21">
        <f t="shared" si="1"/>
        <v>0</v>
      </c>
      <c r="B2830" s="32" t="s">
        <v>153</v>
      </c>
      <c r="C2830" s="23" t="s">
        <v>44</v>
      </c>
      <c r="D2830" s="23" t="s">
        <v>21</v>
      </c>
      <c r="E2830" s="37">
        <v>45438.0</v>
      </c>
      <c r="F2830" s="25">
        <v>0.26458333333333334</v>
      </c>
      <c r="G2830" s="25">
        <v>0.6743055555555556</v>
      </c>
      <c r="H2830" s="27">
        <f t="shared" si="2"/>
        <v>0.4097222222</v>
      </c>
      <c r="I2830" s="28">
        <v>5.0</v>
      </c>
      <c r="J2830" s="29" t="s">
        <v>55</v>
      </c>
      <c r="K2830" s="30" t="s">
        <v>23</v>
      </c>
      <c r="L2830" s="31" t="str">
        <f>IFERROR(__xludf.DUMMYFUNCTION("IF(OR(E2830="""",K2830=""""),"""",IFERROR(IF(K2830="""","""",query('tbl user'!$A$2:$D10975,""SELECT A WHERE D = '""&amp;K2830&amp;""'"")),""USER TIDAK DIKETAHUI""))"),"#REF!")</f>
        <v>#REF!</v>
      </c>
    </row>
    <row r="2831">
      <c r="A2831" s="21">
        <f t="shared" si="1"/>
        <v>0</v>
      </c>
      <c r="B2831" s="32" t="s">
        <v>662</v>
      </c>
      <c r="C2831" s="23" t="s">
        <v>234</v>
      </c>
      <c r="D2831" s="23" t="s">
        <v>21</v>
      </c>
      <c r="E2831" s="37">
        <v>45438.0</v>
      </c>
      <c r="F2831" s="25">
        <v>0.27708333333333335</v>
      </c>
      <c r="G2831" s="25">
        <v>0.6680555555555555</v>
      </c>
      <c r="H2831" s="27">
        <f t="shared" si="2"/>
        <v>0.3909722222</v>
      </c>
      <c r="I2831" s="28">
        <v>5.0</v>
      </c>
      <c r="J2831" s="29" t="s">
        <v>55</v>
      </c>
      <c r="K2831" s="30" t="s">
        <v>23</v>
      </c>
      <c r="L2831" s="31" t="str">
        <f>IFERROR(__xludf.DUMMYFUNCTION("IF(OR(E2831="""",K2831=""""),"""",IFERROR(IF(K2831="""","""",query('tbl user'!$A$2:$D10975,""SELECT A WHERE D = '""&amp;K2831&amp;""'"")),""USER TIDAK DIKETAHUI""))"),"#REF!")</f>
        <v>#REF!</v>
      </c>
    </row>
    <row r="2832">
      <c r="A2832" s="21">
        <f t="shared" si="1"/>
        <v>0</v>
      </c>
      <c r="B2832" s="32" t="s">
        <v>131</v>
      </c>
      <c r="C2832" s="23" t="s">
        <v>339</v>
      </c>
      <c r="D2832" s="23" t="s">
        <v>21</v>
      </c>
      <c r="E2832" s="37">
        <v>45438.0</v>
      </c>
      <c r="F2832" s="25">
        <v>0.2611111111111111</v>
      </c>
      <c r="G2832" s="25">
        <v>0.6409722222222223</v>
      </c>
      <c r="H2832" s="27">
        <f t="shared" si="2"/>
        <v>0.3798611111</v>
      </c>
      <c r="I2832" s="28">
        <v>5.0</v>
      </c>
      <c r="J2832" s="29" t="s">
        <v>55</v>
      </c>
      <c r="K2832" s="30" t="s">
        <v>23</v>
      </c>
      <c r="L2832" s="31" t="str">
        <f>IFERROR(__xludf.DUMMYFUNCTION("IF(OR(E2832="""",K2832=""""),"""",IFERROR(IF(K2832="""","""",query('tbl user'!$A$2:$D10975,""SELECT A WHERE D = '""&amp;K2832&amp;""'"")),""USER TIDAK DIKETAHUI""))"),"#REF!")</f>
        <v>#REF!</v>
      </c>
    </row>
    <row r="2833">
      <c r="A2833" s="21">
        <f t="shared" si="1"/>
        <v>0</v>
      </c>
      <c r="B2833" s="32" t="s">
        <v>331</v>
      </c>
      <c r="C2833" s="23" t="s">
        <v>332</v>
      </c>
      <c r="D2833" s="23" t="s">
        <v>21</v>
      </c>
      <c r="E2833" s="37">
        <v>45438.0</v>
      </c>
      <c r="F2833" s="25">
        <v>0.23958333333333334</v>
      </c>
      <c r="G2833" s="25">
        <v>0.6590277777777778</v>
      </c>
      <c r="H2833" s="27">
        <f t="shared" si="2"/>
        <v>0.4194444444</v>
      </c>
      <c r="I2833" s="28">
        <v>5.0</v>
      </c>
      <c r="J2833" s="29" t="s">
        <v>55</v>
      </c>
      <c r="K2833" s="30" t="s">
        <v>23</v>
      </c>
      <c r="L2833" s="31" t="str">
        <f>IFERROR(__xludf.DUMMYFUNCTION("IF(OR(E2833="""",K2833=""""),"""",IFERROR(IF(K2833="""","""",query('tbl user'!$A$2:$D10975,""SELECT A WHERE D = '""&amp;K2833&amp;""'"")),""USER TIDAK DIKETAHUI""))"),"#REF!")</f>
        <v>#REF!</v>
      </c>
    </row>
    <row r="2834">
      <c r="A2834" s="21">
        <f t="shared" si="1"/>
        <v>0</v>
      </c>
      <c r="B2834" s="32" t="s">
        <v>53</v>
      </c>
      <c r="C2834" s="23" t="s">
        <v>54</v>
      </c>
      <c r="D2834" s="23" t="s">
        <v>21</v>
      </c>
      <c r="E2834" s="37">
        <v>45438.0</v>
      </c>
      <c r="F2834" s="25">
        <v>0.2548611111111111</v>
      </c>
      <c r="G2834" s="25">
        <v>0.6756944444444445</v>
      </c>
      <c r="H2834" s="27">
        <f t="shared" si="2"/>
        <v>0.4208333333</v>
      </c>
      <c r="I2834" s="28">
        <v>5.0</v>
      </c>
      <c r="J2834" s="29" t="s">
        <v>55</v>
      </c>
      <c r="K2834" s="30" t="s">
        <v>23</v>
      </c>
      <c r="L2834" s="31" t="str">
        <f>IFERROR(__xludf.DUMMYFUNCTION("IF(OR(E2834="""",K2834=""""),"""",IFERROR(IF(K2834="""","""",query('tbl user'!$A$2:$D10975,""SELECT A WHERE D = '""&amp;K2834&amp;""'"")),""USER TIDAK DIKETAHUI""))"),"#REF!")</f>
        <v>#REF!</v>
      </c>
    </row>
    <row r="2835">
      <c r="A2835" s="21">
        <f t="shared" si="1"/>
        <v>0</v>
      </c>
      <c r="B2835" s="32" t="s">
        <v>577</v>
      </c>
      <c r="C2835" s="23" t="s">
        <v>330</v>
      </c>
      <c r="D2835" s="23" t="s">
        <v>21</v>
      </c>
      <c r="E2835" s="37">
        <v>45438.0</v>
      </c>
      <c r="F2835" s="25">
        <v>0.2708333333333333</v>
      </c>
      <c r="G2835" s="25">
        <v>0.6854166666666667</v>
      </c>
      <c r="H2835" s="27">
        <f t="shared" si="2"/>
        <v>0.4145833333</v>
      </c>
      <c r="I2835" s="28">
        <v>5.0</v>
      </c>
      <c r="J2835" s="29" t="s">
        <v>55</v>
      </c>
      <c r="K2835" s="30" t="s">
        <v>23</v>
      </c>
      <c r="L2835" s="31" t="str">
        <f>IFERROR(__xludf.DUMMYFUNCTION("IF(OR(E2835="""",K2835=""""),"""",IFERROR(IF(K2835="""","""",query('tbl user'!$A$2:$D10975,""SELECT A WHERE D = '""&amp;K2835&amp;""'"")),""USER TIDAK DIKETAHUI""))"),"#REF!")</f>
        <v>#REF!</v>
      </c>
    </row>
    <row r="2836">
      <c r="A2836" s="21">
        <f t="shared" si="1"/>
        <v>0</v>
      </c>
      <c r="B2836" s="32" t="s">
        <v>260</v>
      </c>
      <c r="C2836" s="23" t="s">
        <v>261</v>
      </c>
      <c r="D2836" s="23" t="s">
        <v>21</v>
      </c>
      <c r="E2836" s="37">
        <v>45438.0</v>
      </c>
      <c r="F2836" s="25">
        <v>0.24375</v>
      </c>
      <c r="G2836" s="25">
        <v>0.70625</v>
      </c>
      <c r="H2836" s="27">
        <f t="shared" si="2"/>
        <v>0.4625</v>
      </c>
      <c r="I2836" s="28">
        <v>5.0</v>
      </c>
      <c r="J2836" s="29" t="s">
        <v>55</v>
      </c>
      <c r="K2836" s="30" t="s">
        <v>23</v>
      </c>
      <c r="L2836" s="31" t="str">
        <f>IFERROR(__xludf.DUMMYFUNCTION("IF(OR(E2836="""",K2836=""""),"""",IFERROR(IF(K2836="""","""",query('tbl user'!$A$2:$D10975,""SELECT A WHERE D = '""&amp;K2836&amp;""'"")),""USER TIDAK DIKETAHUI""))"),"#REF!")</f>
        <v>#REF!</v>
      </c>
    </row>
    <row r="2837">
      <c r="A2837" s="21">
        <f t="shared" si="1"/>
        <v>0</v>
      </c>
      <c r="B2837" s="32" t="s">
        <v>593</v>
      </c>
      <c r="C2837" s="23" t="s">
        <v>236</v>
      </c>
      <c r="D2837" s="23" t="s">
        <v>21</v>
      </c>
      <c r="E2837" s="37">
        <v>45438.0</v>
      </c>
      <c r="F2837" s="25">
        <v>0.2465277777777778</v>
      </c>
      <c r="G2837" s="25">
        <v>0.75625</v>
      </c>
      <c r="H2837" s="27">
        <f t="shared" si="2"/>
        <v>0.5097222222</v>
      </c>
      <c r="I2837" s="28">
        <v>6.0</v>
      </c>
      <c r="J2837" s="29" t="s">
        <v>55</v>
      </c>
      <c r="K2837" s="30" t="s">
        <v>23</v>
      </c>
      <c r="L2837" s="31" t="str">
        <f>IFERROR(__xludf.DUMMYFUNCTION("IF(OR(E2837="""",K2837=""""),"""",IFERROR(IF(K2837="""","""",query('tbl user'!$A$2:$D10975,""SELECT A WHERE D = '""&amp;K2837&amp;""'"")),""USER TIDAK DIKETAHUI""))"),"#REF!")</f>
        <v>#REF!</v>
      </c>
    </row>
    <row r="2838">
      <c r="A2838" s="21">
        <f t="shared" si="1"/>
        <v>0</v>
      </c>
      <c r="B2838" s="32" t="s">
        <v>333</v>
      </c>
      <c r="C2838" s="23" t="s">
        <v>334</v>
      </c>
      <c r="D2838" s="23" t="s">
        <v>21</v>
      </c>
      <c r="E2838" s="37">
        <v>45438.0</v>
      </c>
      <c r="F2838" s="25">
        <v>0.2361111111111111</v>
      </c>
      <c r="G2838" s="25">
        <v>0.7229166666666667</v>
      </c>
      <c r="H2838" s="27">
        <f t="shared" si="2"/>
        <v>0.4868055556</v>
      </c>
      <c r="I2838" s="28">
        <v>6.0</v>
      </c>
      <c r="J2838" s="29" t="s">
        <v>55</v>
      </c>
      <c r="K2838" s="30" t="s">
        <v>23</v>
      </c>
      <c r="L2838" s="31" t="str">
        <f>IFERROR(__xludf.DUMMYFUNCTION("IF(OR(E2838="""",K2838=""""),"""",IFERROR(IF(K2838="""","""",query('tbl user'!$A$2:$D10975,""SELECT A WHERE D = '""&amp;K2838&amp;""'"")),""USER TIDAK DIKETAHUI""))"),"#REF!")</f>
        <v>#REF!</v>
      </c>
    </row>
    <row r="2839">
      <c r="A2839" s="21">
        <f t="shared" si="1"/>
        <v>0</v>
      </c>
      <c r="B2839" s="32" t="s">
        <v>716</v>
      </c>
      <c r="C2839" s="23" t="s">
        <v>316</v>
      </c>
      <c r="D2839" s="23" t="s">
        <v>21</v>
      </c>
      <c r="E2839" s="37">
        <v>45438.0</v>
      </c>
      <c r="F2839" s="25">
        <v>0.25833333333333336</v>
      </c>
      <c r="G2839" s="25">
        <v>0.6506944444444445</v>
      </c>
      <c r="H2839" s="27">
        <f t="shared" si="2"/>
        <v>0.3923611111</v>
      </c>
      <c r="I2839" s="28">
        <v>6.0</v>
      </c>
      <c r="J2839" s="29" t="s">
        <v>55</v>
      </c>
      <c r="K2839" s="30" t="s">
        <v>23</v>
      </c>
      <c r="L2839" s="31" t="str">
        <f>IFERROR(__xludf.DUMMYFUNCTION("IF(OR(E2839="""",K2839=""""),"""",IFERROR(IF(K2839="""","""",query('tbl user'!$A$2:$D10975,""SELECT A WHERE D = '""&amp;K2839&amp;""'"")),""USER TIDAK DIKETAHUI""))"),"#REF!")</f>
        <v>#REF!</v>
      </c>
    </row>
    <row r="2840">
      <c r="A2840" s="21">
        <f t="shared" si="1"/>
        <v>0</v>
      </c>
      <c r="B2840" s="32" t="s">
        <v>319</v>
      </c>
      <c r="C2840" s="23" t="s">
        <v>320</v>
      </c>
      <c r="D2840" s="23" t="s">
        <v>21</v>
      </c>
      <c r="E2840" s="37">
        <v>45438.0</v>
      </c>
      <c r="F2840" s="25">
        <v>0.2673611111111111</v>
      </c>
      <c r="G2840" s="25">
        <v>0.6909722222222222</v>
      </c>
      <c r="H2840" s="27">
        <f t="shared" si="2"/>
        <v>0.4236111111</v>
      </c>
      <c r="I2840" s="28">
        <v>6.0</v>
      </c>
      <c r="J2840" s="29" t="s">
        <v>55</v>
      </c>
      <c r="K2840" s="30" t="s">
        <v>23</v>
      </c>
      <c r="L2840" s="31" t="str">
        <f>IFERROR(__xludf.DUMMYFUNCTION("IF(OR(E2840="""",K2840=""""),"""",IFERROR(IF(K2840="""","""",query('tbl user'!$A$2:$D10975,""SELECT A WHERE D = '""&amp;K2840&amp;""'"")),""USER TIDAK DIKETAHUI""))"),"#REF!")</f>
        <v>#REF!</v>
      </c>
    </row>
    <row r="2841">
      <c r="A2841" s="21">
        <f t="shared" si="1"/>
        <v>0</v>
      </c>
      <c r="B2841" s="32" t="s">
        <v>337</v>
      </c>
      <c r="C2841" s="23" t="s">
        <v>338</v>
      </c>
      <c r="D2841" s="23" t="s">
        <v>21</v>
      </c>
      <c r="E2841" s="37">
        <v>45438.0</v>
      </c>
      <c r="F2841" s="25">
        <v>0.2833333333333333</v>
      </c>
      <c r="G2841" s="25">
        <v>0.7506944444444444</v>
      </c>
      <c r="H2841" s="27">
        <f t="shared" si="2"/>
        <v>0.4673611111</v>
      </c>
      <c r="I2841" s="28">
        <v>6.0</v>
      </c>
      <c r="J2841" s="29" t="s">
        <v>55</v>
      </c>
      <c r="K2841" s="30" t="s">
        <v>23</v>
      </c>
      <c r="L2841" s="31" t="str">
        <f>IFERROR(__xludf.DUMMYFUNCTION("IF(OR(E2841="""",K2841=""""),"""",IFERROR(IF(K2841="""","""",query('tbl user'!$A$2:$D10975,""SELECT A WHERE D = '""&amp;K2841&amp;""'"")),""USER TIDAK DIKETAHUI""))"),"#REF!")</f>
        <v>#REF!</v>
      </c>
    </row>
    <row r="2842">
      <c r="A2842" s="21">
        <f t="shared" si="1"/>
        <v>0</v>
      </c>
      <c r="B2842" s="32" t="s">
        <v>34</v>
      </c>
      <c r="C2842" s="23" t="s">
        <v>35</v>
      </c>
      <c r="D2842" s="23" t="s">
        <v>21</v>
      </c>
      <c r="E2842" s="37">
        <v>45438.0</v>
      </c>
      <c r="F2842" s="25">
        <v>0.25069444444444444</v>
      </c>
      <c r="G2842" s="25">
        <v>0.71875</v>
      </c>
      <c r="H2842" s="27">
        <f t="shared" si="2"/>
        <v>0.4680555556</v>
      </c>
      <c r="I2842" s="28">
        <v>7.0</v>
      </c>
      <c r="J2842" s="29" t="s">
        <v>55</v>
      </c>
      <c r="K2842" s="30" t="s">
        <v>23</v>
      </c>
      <c r="L2842" s="31" t="str">
        <f>IFERROR(__xludf.DUMMYFUNCTION("IF(OR(E2842="""",K2842=""""),"""",IFERROR(IF(K2842="""","""",query('tbl user'!$A$2:$D10975,""SELECT A WHERE D = '""&amp;K2842&amp;""'"")),""USER TIDAK DIKETAHUI""))"),"#REF!")</f>
        <v>#REF!</v>
      </c>
    </row>
    <row r="2843">
      <c r="A2843" s="21">
        <f t="shared" si="1"/>
        <v>0</v>
      </c>
      <c r="B2843" s="32" t="s">
        <v>75</v>
      </c>
      <c r="C2843" s="23" t="s">
        <v>76</v>
      </c>
      <c r="D2843" s="23" t="s">
        <v>32</v>
      </c>
      <c r="E2843" s="37">
        <v>45438.0</v>
      </c>
      <c r="F2843" s="25">
        <v>0.2777777777777778</v>
      </c>
      <c r="G2843" s="25">
        <v>0.3840277777777778</v>
      </c>
      <c r="H2843" s="27">
        <f t="shared" si="2"/>
        <v>0.10625</v>
      </c>
      <c r="I2843" s="28">
        <v>1.0</v>
      </c>
      <c r="J2843" s="29" t="s">
        <v>1310</v>
      </c>
      <c r="K2843" s="30" t="s">
        <v>23</v>
      </c>
      <c r="L2843" s="31" t="str">
        <f>IFERROR(__xludf.DUMMYFUNCTION("IF(OR(E2843="""",K2843=""""),"""",IFERROR(IF(K2843="""","""",query('tbl user'!$A$2:$D10975,""SELECT A WHERE D = '""&amp;K2843&amp;""'"")),""USER TIDAK DIKETAHUI""))"),"#REF!")</f>
        <v>#REF!</v>
      </c>
    </row>
    <row r="2844">
      <c r="A2844" s="21">
        <f t="shared" si="1"/>
        <v>0</v>
      </c>
      <c r="B2844" s="32" t="s">
        <v>274</v>
      </c>
      <c r="C2844" s="23" t="s">
        <v>275</v>
      </c>
      <c r="D2844" s="23" t="s">
        <v>32</v>
      </c>
      <c r="E2844" s="37">
        <v>45438.0</v>
      </c>
      <c r="F2844" s="25">
        <v>0.24375</v>
      </c>
      <c r="G2844" s="25">
        <v>0.37083333333333335</v>
      </c>
      <c r="H2844" s="27">
        <f t="shared" si="2"/>
        <v>0.1270833333</v>
      </c>
      <c r="I2844" s="28">
        <v>1.0</v>
      </c>
      <c r="J2844" s="29" t="s">
        <v>1311</v>
      </c>
      <c r="K2844" s="30" t="s">
        <v>23</v>
      </c>
      <c r="L2844" s="31" t="str">
        <f>IFERROR(__xludf.DUMMYFUNCTION("IF(OR(E2844="""",K2844=""""),"""",IFERROR(IF(K2844="""","""",query('tbl user'!$A$2:$D10975,""SELECT A WHERE D = '""&amp;K2844&amp;""'"")),""USER TIDAK DIKETAHUI""))"),"#REF!")</f>
        <v>#REF!</v>
      </c>
    </row>
    <row r="2845">
      <c r="A2845" s="21">
        <f t="shared" si="1"/>
        <v>0</v>
      </c>
      <c r="B2845" s="32" t="s">
        <v>250</v>
      </c>
      <c r="C2845" s="23" t="s">
        <v>315</v>
      </c>
      <c r="D2845" s="23" t="s">
        <v>32</v>
      </c>
      <c r="E2845" s="37">
        <v>45438.0</v>
      </c>
      <c r="F2845" s="25">
        <v>0.24444444444444444</v>
      </c>
      <c r="G2845" s="25">
        <v>0.5715277777777777</v>
      </c>
      <c r="H2845" s="27">
        <f t="shared" si="2"/>
        <v>0.3270833333</v>
      </c>
      <c r="I2845" s="28">
        <v>2.0</v>
      </c>
      <c r="J2845" s="29" t="s">
        <v>1312</v>
      </c>
      <c r="K2845" s="30" t="s">
        <v>23</v>
      </c>
      <c r="L2845" s="31" t="str">
        <f>IFERROR(__xludf.DUMMYFUNCTION("IF(OR(E2845="""",K2845=""""),"""",IFERROR(IF(K2845="""","""",query('tbl user'!$A$2:$D10975,""SELECT A WHERE D = '""&amp;K2845&amp;""'"")),""USER TIDAK DIKETAHUI""))"),"#REF!")</f>
        <v>#REF!</v>
      </c>
    </row>
    <row r="2846">
      <c r="A2846" s="21">
        <f t="shared" si="1"/>
        <v>0</v>
      </c>
      <c r="B2846" s="32" t="s">
        <v>113</v>
      </c>
      <c r="C2846" s="23" t="s">
        <v>114</v>
      </c>
      <c r="D2846" s="23" t="s">
        <v>32</v>
      </c>
      <c r="E2846" s="37">
        <v>45438.0</v>
      </c>
      <c r="F2846" s="25">
        <v>0.20555555555555555</v>
      </c>
      <c r="G2846" s="25">
        <v>0.5326388888888889</v>
      </c>
      <c r="H2846" s="27">
        <f t="shared" si="2"/>
        <v>0.3270833333</v>
      </c>
      <c r="I2846" s="28">
        <v>2.0</v>
      </c>
      <c r="J2846" s="29" t="s">
        <v>1313</v>
      </c>
      <c r="K2846" s="30" t="s">
        <v>23</v>
      </c>
      <c r="L2846" s="31" t="str">
        <f>IFERROR(__xludf.DUMMYFUNCTION("IF(OR(E2846="""",K2846=""""),"""",IFERROR(IF(K2846="""","""",query('tbl user'!$A$2:$D10975,""SELECT A WHERE D = '""&amp;K2846&amp;""'"")),""USER TIDAK DIKETAHUI""))"),"#REF!")</f>
        <v>#REF!</v>
      </c>
    </row>
    <row r="2847">
      <c r="A2847" s="21">
        <f t="shared" si="1"/>
        <v>0</v>
      </c>
      <c r="B2847" s="32" t="s">
        <v>137</v>
      </c>
      <c r="C2847" s="23" t="s">
        <v>138</v>
      </c>
      <c r="D2847" s="23" t="s">
        <v>32</v>
      </c>
      <c r="E2847" s="37">
        <v>45438.0</v>
      </c>
      <c r="F2847" s="25">
        <v>0.25277777777777777</v>
      </c>
      <c r="G2847" s="25">
        <v>0.5340277777777778</v>
      </c>
      <c r="H2847" s="27">
        <f t="shared" si="2"/>
        <v>0.28125</v>
      </c>
      <c r="I2847" s="28">
        <v>2.0</v>
      </c>
      <c r="J2847" s="29" t="s">
        <v>1314</v>
      </c>
      <c r="K2847" s="30" t="s">
        <v>23</v>
      </c>
      <c r="L2847" s="31" t="str">
        <f>IFERROR(__xludf.DUMMYFUNCTION("IF(OR(E2847="""",K2847=""""),"""",IFERROR(IF(K2847="""","""",query('tbl user'!$A$2:$D10975,""SELECT A WHERE D = '""&amp;K2847&amp;""'"")),""USER TIDAK DIKETAHUI""))"),"#REF!")</f>
        <v>#REF!</v>
      </c>
    </row>
    <row r="2848">
      <c r="A2848" s="21">
        <f t="shared" si="1"/>
        <v>0</v>
      </c>
      <c r="B2848" s="32" t="s">
        <v>110</v>
      </c>
      <c r="C2848" s="23" t="s">
        <v>111</v>
      </c>
      <c r="D2848" s="23" t="s">
        <v>32</v>
      </c>
      <c r="E2848" s="37">
        <v>45438.0</v>
      </c>
      <c r="F2848" s="25">
        <v>0.2777777777777778</v>
      </c>
      <c r="G2848" s="25">
        <v>0.6395833333333333</v>
      </c>
      <c r="H2848" s="27">
        <f t="shared" si="2"/>
        <v>0.3618055556</v>
      </c>
      <c r="I2848" s="28">
        <v>3.0</v>
      </c>
      <c r="J2848" s="29" t="s">
        <v>171</v>
      </c>
      <c r="K2848" s="30" t="s">
        <v>23</v>
      </c>
      <c r="L2848" s="31" t="str">
        <f>IFERROR(__xludf.DUMMYFUNCTION("IF(OR(E2848="""",K2848=""""),"""",IFERROR(IF(K2848="""","""",query('tbl user'!$A$2:$D10975,""SELECT A WHERE D = '""&amp;K2848&amp;""'"")),""USER TIDAK DIKETAHUI""))"),"#REF!")</f>
        <v>#REF!</v>
      </c>
    </row>
    <row r="2849">
      <c r="A2849" s="21">
        <f t="shared" si="1"/>
        <v>0</v>
      </c>
      <c r="B2849" s="32" t="s">
        <v>115</v>
      </c>
      <c r="C2849" s="23" t="s">
        <v>116</v>
      </c>
      <c r="D2849" s="23" t="s">
        <v>32</v>
      </c>
      <c r="E2849" s="37">
        <v>45438.0</v>
      </c>
      <c r="F2849" s="25">
        <v>0.30625</v>
      </c>
      <c r="G2849" s="25">
        <v>0.6986111111111111</v>
      </c>
      <c r="H2849" s="27">
        <f t="shared" si="2"/>
        <v>0.3923611111</v>
      </c>
      <c r="I2849" s="28">
        <v>3.0</v>
      </c>
      <c r="J2849" s="29" t="s">
        <v>1315</v>
      </c>
      <c r="K2849" s="30" t="s">
        <v>23</v>
      </c>
      <c r="L2849" s="31" t="str">
        <f>IFERROR(__xludf.DUMMYFUNCTION("IF(OR(E2849="""",K2849=""""),"""",IFERROR(IF(K2849="""","""",query('tbl user'!$A$2:$D10975,""SELECT A WHERE D = '""&amp;K2849&amp;""'"")),""USER TIDAK DIKETAHUI""))"),"#REF!")</f>
        <v>#REF!</v>
      </c>
    </row>
    <row r="2850">
      <c r="A2850" s="21">
        <f t="shared" si="1"/>
        <v>0</v>
      </c>
      <c r="B2850" s="32" t="s">
        <v>267</v>
      </c>
      <c r="C2850" s="23" t="s">
        <v>132</v>
      </c>
      <c r="D2850" s="23" t="s">
        <v>32</v>
      </c>
      <c r="E2850" s="37">
        <v>45438.0</v>
      </c>
      <c r="F2850" s="25">
        <v>0.3763888888888889</v>
      </c>
      <c r="G2850" s="25">
        <v>0.6979166666666666</v>
      </c>
      <c r="H2850" s="27">
        <f t="shared" si="2"/>
        <v>0.3215277778</v>
      </c>
      <c r="I2850" s="28">
        <v>3.0</v>
      </c>
      <c r="J2850" s="29" t="s">
        <v>1316</v>
      </c>
      <c r="K2850" s="30" t="s">
        <v>23</v>
      </c>
      <c r="L2850" s="31" t="str">
        <f>IFERROR(__xludf.DUMMYFUNCTION("IF(OR(E2850="""",K2850=""""),"""",IFERROR(IF(K2850="""","""",query('tbl user'!$A$2:$D10975,""SELECT A WHERE D = '""&amp;K2850&amp;""'"")),""USER TIDAK DIKETAHUI""))"),"#REF!")</f>
        <v>#REF!</v>
      </c>
    </row>
    <row r="2851">
      <c r="A2851" s="21">
        <f t="shared" si="1"/>
        <v>0</v>
      </c>
      <c r="B2851" s="32" t="s">
        <v>135</v>
      </c>
      <c r="C2851" s="23" t="s">
        <v>136</v>
      </c>
      <c r="D2851" s="23" t="s">
        <v>32</v>
      </c>
      <c r="E2851" s="37">
        <v>45438.0</v>
      </c>
      <c r="F2851" s="25">
        <v>0.28958333333333336</v>
      </c>
      <c r="G2851" s="25">
        <v>0.6631944444444444</v>
      </c>
      <c r="H2851" s="27">
        <f t="shared" si="2"/>
        <v>0.3736111111</v>
      </c>
      <c r="I2851" s="28">
        <v>3.0</v>
      </c>
      <c r="J2851" s="29" t="s">
        <v>171</v>
      </c>
      <c r="K2851" s="30" t="s">
        <v>23</v>
      </c>
      <c r="L2851" s="31" t="str">
        <f>IFERROR(__xludf.DUMMYFUNCTION("IF(OR(E2851="""",K2851=""""),"""",IFERROR(IF(K2851="""","""",query('tbl user'!$A$2:$D10975,""SELECT A WHERE D = '""&amp;K2851&amp;""'"")),""USER TIDAK DIKETAHUI""))"),"#REF!")</f>
        <v>#REF!</v>
      </c>
    </row>
    <row r="2852">
      <c r="A2852" s="21">
        <f t="shared" si="1"/>
        <v>0</v>
      </c>
      <c r="B2852" s="32" t="s">
        <v>30</v>
      </c>
      <c r="C2852" s="23" t="s">
        <v>31</v>
      </c>
      <c r="D2852" s="23" t="s">
        <v>32</v>
      </c>
      <c r="E2852" s="37">
        <v>45438.0</v>
      </c>
      <c r="F2852" s="25">
        <v>0.2520833333333333</v>
      </c>
      <c r="G2852" s="25">
        <v>0.6930555555555555</v>
      </c>
      <c r="H2852" s="27">
        <f t="shared" si="2"/>
        <v>0.4409722222</v>
      </c>
      <c r="I2852" s="28">
        <v>3.0</v>
      </c>
      <c r="J2852" s="29" t="s">
        <v>171</v>
      </c>
      <c r="K2852" s="30" t="s">
        <v>23</v>
      </c>
      <c r="L2852" s="31" t="str">
        <f>IFERROR(__xludf.DUMMYFUNCTION("IF(OR(E2852="""",K2852=""""),"""",IFERROR(IF(K2852="""","""",query('tbl user'!$A$2:$D10975,""SELECT A WHERE D = '""&amp;K2852&amp;""'"")),""USER TIDAK DIKETAHUI""))"),"#REF!")</f>
        <v>#REF!</v>
      </c>
    </row>
    <row r="2853">
      <c r="A2853" s="21">
        <f t="shared" si="1"/>
        <v>0</v>
      </c>
      <c r="B2853" s="32" t="s">
        <v>269</v>
      </c>
      <c r="C2853" s="23" t="s">
        <v>270</v>
      </c>
      <c r="D2853" s="23" t="s">
        <v>32</v>
      </c>
      <c r="E2853" s="37">
        <v>45438.0</v>
      </c>
      <c r="F2853" s="25">
        <v>0.28194444444444444</v>
      </c>
      <c r="G2853" s="25">
        <v>0.6756944444444445</v>
      </c>
      <c r="H2853" s="27">
        <f t="shared" si="2"/>
        <v>0.39375</v>
      </c>
      <c r="I2853" s="28">
        <v>3.0</v>
      </c>
      <c r="J2853" s="29" t="s">
        <v>171</v>
      </c>
      <c r="K2853" s="30" t="s">
        <v>23</v>
      </c>
      <c r="L2853" s="31" t="str">
        <f>IFERROR(__xludf.DUMMYFUNCTION("IF(OR(E2853="""",K2853=""""),"""",IFERROR(IF(K2853="""","""",query('tbl user'!$A$2:$D10975,""SELECT A WHERE D = '""&amp;K2853&amp;""'"")),""USER TIDAK DIKETAHUI""))"),"#REF!")</f>
        <v>#REF!</v>
      </c>
    </row>
    <row r="2854">
      <c r="A2854" s="21">
        <f t="shared" si="1"/>
        <v>0</v>
      </c>
      <c r="B2854" s="32" t="s">
        <v>312</v>
      </c>
      <c r="C2854" s="23" t="s">
        <v>313</v>
      </c>
      <c r="D2854" s="23" t="s">
        <v>32</v>
      </c>
      <c r="E2854" s="37">
        <v>45438.0</v>
      </c>
      <c r="F2854" s="25">
        <v>0.21597222222222223</v>
      </c>
      <c r="G2854" s="25">
        <v>0.58125</v>
      </c>
      <c r="H2854" s="27">
        <f t="shared" si="2"/>
        <v>0.3652777778</v>
      </c>
      <c r="I2854" s="28">
        <v>3.0</v>
      </c>
      <c r="J2854" s="29" t="s">
        <v>171</v>
      </c>
      <c r="K2854" s="30" t="s">
        <v>23</v>
      </c>
      <c r="L2854" s="31" t="str">
        <f>IFERROR(__xludf.DUMMYFUNCTION("IF(OR(E2854="""",K2854=""""),"""",IFERROR(IF(K2854="""","""",query('tbl user'!$A$2:$D10975,""SELECT A WHERE D = '""&amp;K2854&amp;""'"")),""USER TIDAK DIKETAHUI""))"),"#REF!")</f>
        <v>#REF!</v>
      </c>
    </row>
    <row r="2855">
      <c r="A2855" s="21">
        <f t="shared" si="1"/>
        <v>0</v>
      </c>
      <c r="B2855" s="32" t="s">
        <v>78</v>
      </c>
      <c r="C2855" s="23" t="s">
        <v>79</v>
      </c>
      <c r="D2855" s="23" t="s">
        <v>32</v>
      </c>
      <c r="E2855" s="37">
        <v>45438.0</v>
      </c>
      <c r="F2855" s="25">
        <v>0.25625</v>
      </c>
      <c r="G2855" s="25">
        <v>0.6743055555555556</v>
      </c>
      <c r="H2855" s="27">
        <f t="shared" si="2"/>
        <v>0.4180555556</v>
      </c>
      <c r="I2855" s="28">
        <v>3.0</v>
      </c>
      <c r="J2855" s="29" t="s">
        <v>171</v>
      </c>
      <c r="K2855" s="30" t="s">
        <v>23</v>
      </c>
      <c r="L2855" s="31" t="str">
        <f>IFERROR(__xludf.DUMMYFUNCTION("IF(OR(E2855="""",K2855=""""),"""",IFERROR(IF(K2855="""","""",query('tbl user'!$A$2:$D10975,""SELECT A WHERE D = '""&amp;K2855&amp;""'"")),""USER TIDAK DIKETAHUI""))"),"#REF!")</f>
        <v>#REF!</v>
      </c>
    </row>
    <row r="2856">
      <c r="A2856" s="21">
        <f t="shared" si="1"/>
        <v>0</v>
      </c>
      <c r="B2856" s="32" t="s">
        <v>412</v>
      </c>
      <c r="C2856" s="23" t="s">
        <v>413</v>
      </c>
      <c r="D2856" s="23" t="s">
        <v>32</v>
      </c>
      <c r="E2856" s="37">
        <v>45438.0</v>
      </c>
      <c r="F2856" s="25">
        <v>0.2923611111111111</v>
      </c>
      <c r="G2856" s="25">
        <v>0.7215277777777778</v>
      </c>
      <c r="H2856" s="27">
        <f t="shared" si="2"/>
        <v>0.4291666667</v>
      </c>
      <c r="I2856" s="28">
        <v>4.0</v>
      </c>
      <c r="J2856" s="29" t="s">
        <v>55</v>
      </c>
      <c r="K2856" s="30" t="s">
        <v>23</v>
      </c>
      <c r="L2856" s="31" t="str">
        <f>IFERROR(__xludf.DUMMYFUNCTION("IF(OR(E2856="""",K2856=""""),"""",IFERROR(IF(K2856="""","""",query('tbl user'!$A$2:$D10975,""SELECT A WHERE D = '""&amp;K2856&amp;""'"")),""USER TIDAK DIKETAHUI""))"),"#REF!")</f>
        <v>#REF!</v>
      </c>
    </row>
    <row r="2857">
      <c r="A2857" s="21">
        <f t="shared" si="1"/>
        <v>0</v>
      </c>
      <c r="B2857" s="32" t="s">
        <v>263</v>
      </c>
      <c r="C2857" s="23" t="s">
        <v>264</v>
      </c>
      <c r="D2857" s="23" t="s">
        <v>32</v>
      </c>
      <c r="E2857" s="37">
        <v>45438.0</v>
      </c>
      <c r="F2857" s="25">
        <v>0.25069444444444444</v>
      </c>
      <c r="G2857" s="25">
        <v>0.7222222222222222</v>
      </c>
      <c r="H2857" s="27">
        <f t="shared" si="2"/>
        <v>0.4715277778</v>
      </c>
      <c r="I2857" s="28">
        <v>4.0</v>
      </c>
      <c r="J2857" s="29" t="s">
        <v>55</v>
      </c>
      <c r="K2857" s="30" t="s">
        <v>23</v>
      </c>
      <c r="L2857" s="31" t="str">
        <f>IFERROR(__xludf.DUMMYFUNCTION("IF(OR(E2857="""",K2857=""""),"""",IFERROR(IF(K2857="""","""",query('tbl user'!$A$2:$D10975,""SELECT A WHERE D = '""&amp;K2857&amp;""'"")),""USER TIDAK DIKETAHUI""))"),"#REF!")</f>
        <v>#REF!</v>
      </c>
    </row>
    <row r="2858">
      <c r="A2858" s="21">
        <f t="shared" si="1"/>
        <v>0</v>
      </c>
      <c r="B2858" s="32" t="s">
        <v>123</v>
      </c>
      <c r="C2858" s="23" t="s">
        <v>124</v>
      </c>
      <c r="D2858" s="23" t="s">
        <v>32</v>
      </c>
      <c r="E2858" s="37">
        <v>45438.0</v>
      </c>
      <c r="F2858" s="25">
        <v>0.25833333333333336</v>
      </c>
      <c r="G2858" s="25">
        <v>0.6666666666666666</v>
      </c>
      <c r="H2858" s="27">
        <f t="shared" si="2"/>
        <v>0.4083333333</v>
      </c>
      <c r="I2858" s="28">
        <v>4.0</v>
      </c>
      <c r="J2858" s="29" t="s">
        <v>55</v>
      </c>
      <c r="K2858" s="30" t="s">
        <v>23</v>
      </c>
      <c r="L2858" s="31" t="str">
        <f>IFERROR(__xludf.DUMMYFUNCTION("IF(OR(E2858="""",K2858=""""),"""",IFERROR(IF(K2858="""","""",query('tbl user'!$A$2:$D10975,""SELECT A WHERE D = '""&amp;K2858&amp;""'"")),""USER TIDAK DIKETAHUI""))"),"#REF!")</f>
        <v>#REF!</v>
      </c>
    </row>
    <row r="2859">
      <c r="A2859" s="21">
        <f t="shared" si="1"/>
        <v>0</v>
      </c>
      <c r="B2859" s="32" t="s">
        <v>127</v>
      </c>
      <c r="C2859" s="23" t="s">
        <v>128</v>
      </c>
      <c r="D2859" s="23" t="s">
        <v>32</v>
      </c>
      <c r="E2859" s="37">
        <v>45438.0</v>
      </c>
      <c r="F2859" s="25">
        <v>0.2923611111111111</v>
      </c>
      <c r="G2859" s="25">
        <v>0.7326388888888888</v>
      </c>
      <c r="H2859" s="27">
        <f t="shared" si="2"/>
        <v>0.4402777778</v>
      </c>
      <c r="I2859" s="28">
        <v>4.0</v>
      </c>
      <c r="J2859" s="29" t="s">
        <v>55</v>
      </c>
      <c r="K2859" s="30" t="s">
        <v>23</v>
      </c>
      <c r="L2859" s="31" t="str">
        <f>IFERROR(__xludf.DUMMYFUNCTION("IF(OR(E2859="""",K2859=""""),"""",IFERROR(IF(K2859="""","""",query('tbl user'!$A$2:$D10975,""SELECT A WHERE D = '""&amp;K2859&amp;""'"")),""USER TIDAK DIKETAHUI""))"),"#REF!")</f>
        <v>#REF!</v>
      </c>
    </row>
    <row r="2860">
      <c r="A2860" s="21">
        <f t="shared" si="1"/>
        <v>0</v>
      </c>
      <c r="B2860" s="32" t="s">
        <v>72</v>
      </c>
      <c r="C2860" s="23" t="s">
        <v>73</v>
      </c>
      <c r="D2860" s="23" t="s">
        <v>32</v>
      </c>
      <c r="E2860" s="37">
        <v>45438.0</v>
      </c>
      <c r="F2860" s="25">
        <v>0.25625</v>
      </c>
      <c r="G2860" s="25">
        <v>0.5340277777777778</v>
      </c>
      <c r="H2860" s="27">
        <f t="shared" si="2"/>
        <v>0.2777777778</v>
      </c>
      <c r="I2860" s="28">
        <v>4.0</v>
      </c>
      <c r="J2860" s="29" t="s">
        <v>55</v>
      </c>
      <c r="K2860" s="30" t="s">
        <v>23</v>
      </c>
      <c r="L2860" s="31" t="str">
        <f>IFERROR(__xludf.DUMMYFUNCTION("IF(OR(E2860="""",K2860=""""),"""",IFERROR(IF(K2860="""","""",query('tbl user'!$A$2:$D10975,""SELECT A WHERE D = '""&amp;K2860&amp;""'"")),""USER TIDAK DIKETAHUI""))"),"#REF!")</f>
        <v>#REF!</v>
      </c>
    </row>
    <row r="2861">
      <c r="A2861" s="21">
        <f t="shared" si="1"/>
        <v>0</v>
      </c>
      <c r="B2861" s="32" t="s">
        <v>40</v>
      </c>
      <c r="C2861" s="23" t="s">
        <v>41</v>
      </c>
      <c r="D2861" s="23" t="s">
        <v>32</v>
      </c>
      <c r="E2861" s="37">
        <v>45438.0</v>
      </c>
      <c r="F2861" s="25">
        <v>0.28541666666666665</v>
      </c>
      <c r="G2861" s="25">
        <v>0.7263888888888889</v>
      </c>
      <c r="H2861" s="27">
        <f t="shared" si="2"/>
        <v>0.4409722222</v>
      </c>
      <c r="I2861" s="28">
        <v>4.0</v>
      </c>
      <c r="J2861" s="29" t="s">
        <v>55</v>
      </c>
      <c r="K2861" s="30" t="s">
        <v>23</v>
      </c>
      <c r="L2861" s="31" t="str">
        <f>IFERROR(__xludf.DUMMYFUNCTION("IF(OR(E2861="""",K2861=""""),"""",IFERROR(IF(K2861="""","""",query('tbl user'!$A$2:$D10975,""SELECT A WHERE D = '""&amp;K2861&amp;""'"")),""USER TIDAK DIKETAHUI""))"),"#REF!")</f>
        <v>#REF!</v>
      </c>
    </row>
    <row r="2862">
      <c r="A2862" s="21">
        <f t="shared" si="1"/>
        <v>0</v>
      </c>
      <c r="B2862" s="32" t="s">
        <v>277</v>
      </c>
      <c r="C2862" s="23" t="s">
        <v>278</v>
      </c>
      <c r="D2862" s="23" t="s">
        <v>32</v>
      </c>
      <c r="E2862" s="37">
        <v>45438.0</v>
      </c>
      <c r="F2862" s="25">
        <v>0.2611111111111111</v>
      </c>
      <c r="G2862" s="25">
        <v>0.7472222222222222</v>
      </c>
      <c r="H2862" s="27">
        <f t="shared" si="2"/>
        <v>0.4861111111</v>
      </c>
      <c r="I2862" s="28">
        <v>4.0</v>
      </c>
      <c r="J2862" s="29" t="s">
        <v>55</v>
      </c>
      <c r="K2862" s="30" t="s">
        <v>23</v>
      </c>
      <c r="L2862" s="31" t="str">
        <f>IFERROR(__xludf.DUMMYFUNCTION("IF(OR(E2862="""",K2862=""""),"""",IFERROR(IF(K2862="""","""",query('tbl user'!$A$2:$D10975,""SELECT A WHERE D = '""&amp;K2862&amp;""'"")),""USER TIDAK DIKETAHUI""))"),"#REF!")</f>
        <v>#REF!</v>
      </c>
    </row>
    <row r="2863">
      <c r="A2863" s="21">
        <f t="shared" si="1"/>
        <v>0</v>
      </c>
      <c r="B2863" s="32" t="s">
        <v>279</v>
      </c>
      <c r="C2863" s="23" t="s">
        <v>280</v>
      </c>
      <c r="D2863" s="23" t="s">
        <v>32</v>
      </c>
      <c r="E2863" s="37">
        <v>45438.0</v>
      </c>
      <c r="F2863" s="25">
        <v>0.25416666666666665</v>
      </c>
      <c r="G2863" s="25">
        <v>0.7159722222222222</v>
      </c>
      <c r="H2863" s="27">
        <f t="shared" si="2"/>
        <v>0.4618055556</v>
      </c>
      <c r="I2863" s="28">
        <v>4.0</v>
      </c>
      <c r="J2863" s="29" t="s">
        <v>55</v>
      </c>
      <c r="K2863" s="30" t="s">
        <v>23</v>
      </c>
      <c r="L2863" s="31" t="str">
        <f>IFERROR(__xludf.DUMMYFUNCTION("IF(OR(E2863="""",K2863=""""),"""",IFERROR(IF(K2863="""","""",query('tbl user'!$A$2:$D10975,""SELECT A WHERE D = '""&amp;K2863&amp;""'"")),""USER TIDAK DIKETAHUI""))"),"#REF!")</f>
        <v>#REF!</v>
      </c>
    </row>
    <row r="2864">
      <c r="A2864" s="21">
        <f t="shared" si="1"/>
        <v>0</v>
      </c>
      <c r="B2864" s="32" t="s">
        <v>146</v>
      </c>
      <c r="C2864" s="23" t="s">
        <v>147</v>
      </c>
      <c r="D2864" s="23" t="s">
        <v>32</v>
      </c>
      <c r="E2864" s="37">
        <v>45438.0</v>
      </c>
      <c r="F2864" s="25">
        <v>0.2659722222222222</v>
      </c>
      <c r="G2864" s="25">
        <v>0.6909722222222222</v>
      </c>
      <c r="H2864" s="27">
        <f t="shared" si="2"/>
        <v>0.425</v>
      </c>
      <c r="I2864" s="28">
        <v>4.0</v>
      </c>
      <c r="J2864" s="29" t="s">
        <v>55</v>
      </c>
      <c r="K2864" s="30" t="s">
        <v>23</v>
      </c>
      <c r="L2864" s="31" t="str">
        <f>IFERROR(__xludf.DUMMYFUNCTION("IF(OR(E2864="""",K2864=""""),"""",IFERROR(IF(K2864="""","""",query('tbl user'!$A$2:$D10975,""SELECT A WHERE D = '""&amp;K2864&amp;""'"")),""USER TIDAK DIKETAHUI""))"),"#REF!")</f>
        <v>#REF!</v>
      </c>
    </row>
    <row r="2865">
      <c r="A2865" s="21">
        <f t="shared" si="1"/>
        <v>0</v>
      </c>
      <c r="B2865" s="32" t="s">
        <v>149</v>
      </c>
      <c r="C2865" s="23" t="s">
        <v>150</v>
      </c>
      <c r="D2865" s="23" t="s">
        <v>32</v>
      </c>
      <c r="E2865" s="37">
        <v>45438.0</v>
      </c>
      <c r="F2865" s="25">
        <v>0.23680555555555555</v>
      </c>
      <c r="G2865" s="25">
        <v>0.6993055555555555</v>
      </c>
      <c r="H2865" s="27">
        <f t="shared" si="2"/>
        <v>0.4625</v>
      </c>
      <c r="I2865" s="28">
        <v>4.0</v>
      </c>
      <c r="J2865" s="29" t="s">
        <v>55</v>
      </c>
      <c r="K2865" s="30" t="s">
        <v>23</v>
      </c>
      <c r="L2865" s="31" t="str">
        <f>IFERROR(__xludf.DUMMYFUNCTION("IF(OR(E2865="""",K2865=""""),"""",IFERROR(IF(K2865="""","""",query('tbl user'!$A$2:$D10975,""SELECT A WHERE D = '""&amp;K2865&amp;""'"")),""USER TIDAK DIKETAHUI""))"),"#REF!")</f>
        <v>#REF!</v>
      </c>
    </row>
    <row r="2866">
      <c r="A2866" s="21">
        <f t="shared" si="1"/>
        <v>0</v>
      </c>
      <c r="B2866" s="32" t="s">
        <v>118</v>
      </c>
      <c r="C2866" s="23" t="s">
        <v>119</v>
      </c>
      <c r="D2866" s="23" t="s">
        <v>32</v>
      </c>
      <c r="E2866" s="37">
        <v>45438.0</v>
      </c>
      <c r="F2866" s="25">
        <v>0.2465277777777778</v>
      </c>
      <c r="G2866" s="25">
        <v>0.6909722222222222</v>
      </c>
      <c r="H2866" s="27">
        <f t="shared" si="2"/>
        <v>0.4444444444</v>
      </c>
      <c r="I2866" s="28">
        <v>5.0</v>
      </c>
      <c r="J2866" s="29" t="s">
        <v>55</v>
      </c>
      <c r="K2866" s="30" t="s">
        <v>23</v>
      </c>
      <c r="L2866" s="31" t="str">
        <f>IFERROR(__xludf.DUMMYFUNCTION("IF(OR(E2866="""",K2866=""""),"""",IFERROR(IF(K2866="""","""",query('tbl user'!$A$2:$D10975,""SELECT A WHERE D = '""&amp;K2866&amp;""'"")),""USER TIDAK DIKETAHUI""))"),"#REF!")</f>
        <v>#REF!</v>
      </c>
    </row>
    <row r="2867">
      <c r="A2867" s="21">
        <f t="shared" si="1"/>
        <v>0</v>
      </c>
      <c r="B2867" s="32" t="s">
        <v>125</v>
      </c>
      <c r="C2867" s="23" t="s">
        <v>126</v>
      </c>
      <c r="D2867" s="23" t="s">
        <v>32</v>
      </c>
      <c r="E2867" s="37">
        <v>45438.0</v>
      </c>
      <c r="F2867" s="25">
        <v>0.2548611111111111</v>
      </c>
      <c r="G2867" s="25">
        <v>0.7513888888888889</v>
      </c>
      <c r="H2867" s="27">
        <f t="shared" si="2"/>
        <v>0.4965277778</v>
      </c>
      <c r="I2867" s="28">
        <v>5.0</v>
      </c>
      <c r="J2867" s="29" t="s">
        <v>55</v>
      </c>
      <c r="K2867" s="30" t="s">
        <v>23</v>
      </c>
      <c r="L2867" s="31" t="str">
        <f>IFERROR(__xludf.DUMMYFUNCTION("IF(OR(E2867="""",K2867=""""),"""",IFERROR(IF(K2867="""","""",query('tbl user'!$A$2:$D10975,""SELECT A WHERE D = '""&amp;K2867&amp;""'"")),""USER TIDAK DIKETAHUI""))"),"#REF!")</f>
        <v>#REF!</v>
      </c>
    </row>
    <row r="2868">
      <c r="A2868" s="21">
        <f t="shared" si="1"/>
        <v>0</v>
      </c>
      <c r="B2868" s="32" t="s">
        <v>92</v>
      </c>
      <c r="C2868" s="23" t="s">
        <v>93</v>
      </c>
      <c r="D2868" s="23" t="s">
        <v>58</v>
      </c>
      <c r="E2868" s="37">
        <v>45439.0</v>
      </c>
      <c r="F2868" s="25">
        <v>0.38680555555555557</v>
      </c>
      <c r="G2868" s="25">
        <v>0.6826388888888889</v>
      </c>
      <c r="H2868" s="27">
        <f t="shared" si="2"/>
        <v>0.2958333333</v>
      </c>
      <c r="I2868" s="28">
        <v>1.0</v>
      </c>
      <c r="J2868" s="29" t="s">
        <v>1317</v>
      </c>
      <c r="K2868" s="30" t="s">
        <v>23</v>
      </c>
      <c r="L2868" s="31" t="str">
        <f>IFERROR(__xludf.DUMMYFUNCTION("IF(OR(E2868="""",K2868=""""),"""",IFERROR(IF(K2868="""","""",query('tbl user'!$A$2:$D10975,""SELECT A WHERE D = '""&amp;K2868&amp;""'"")),""USER TIDAK DIKETAHUI""))"),"#REF!")</f>
        <v>#REF!</v>
      </c>
    </row>
    <row r="2869">
      <c r="A2869" s="21">
        <f t="shared" si="1"/>
        <v>0</v>
      </c>
      <c r="B2869" s="32" t="s">
        <v>56</v>
      </c>
      <c r="C2869" s="23" t="s">
        <v>57</v>
      </c>
      <c r="D2869" s="23" t="s">
        <v>58</v>
      </c>
      <c r="E2869" s="37">
        <v>45439.0</v>
      </c>
      <c r="F2869" s="25">
        <v>0.2847222222222222</v>
      </c>
      <c r="G2869" s="25">
        <v>0.41944444444444445</v>
      </c>
      <c r="H2869" s="27">
        <f t="shared" si="2"/>
        <v>0.1347222222</v>
      </c>
      <c r="I2869" s="28">
        <v>1.0</v>
      </c>
      <c r="J2869" s="29" t="s">
        <v>1318</v>
      </c>
      <c r="K2869" s="30" t="s">
        <v>23</v>
      </c>
      <c r="L2869" s="31" t="str">
        <f>IFERROR(__xludf.DUMMYFUNCTION("IF(OR(E2869="""",K2869=""""),"""",IFERROR(IF(K2869="""","""",query('tbl user'!$A$2:$D10975,""SELECT A WHERE D = '""&amp;K2869&amp;""'"")),""USER TIDAK DIKETAHUI""))"),"#REF!")</f>
        <v>#REF!</v>
      </c>
    </row>
    <row r="2870">
      <c r="A2870" s="21">
        <f t="shared" si="1"/>
        <v>0</v>
      </c>
      <c r="B2870" s="32" t="s">
        <v>178</v>
      </c>
      <c r="C2870" s="23" t="s">
        <v>82</v>
      </c>
      <c r="D2870" s="23" t="s">
        <v>58</v>
      </c>
      <c r="E2870" s="37">
        <v>45439.0</v>
      </c>
      <c r="F2870" s="25">
        <v>0.23680555555555555</v>
      </c>
      <c r="G2870" s="25">
        <v>0.5916666666666667</v>
      </c>
      <c r="H2870" s="27">
        <f t="shared" si="2"/>
        <v>0.3548611111</v>
      </c>
      <c r="I2870" s="28">
        <v>2.0</v>
      </c>
      <c r="J2870" s="29" t="s">
        <v>1319</v>
      </c>
      <c r="K2870" s="30" t="s">
        <v>23</v>
      </c>
      <c r="L2870" s="31" t="str">
        <f>IFERROR(__xludf.DUMMYFUNCTION("IF(OR(E2870="""",K2870=""""),"""",IFERROR(IF(K2870="""","""",query('tbl user'!$A$2:$D10975,""SELECT A WHERE D = '""&amp;K2870&amp;""'"")),""USER TIDAK DIKETAHUI""))"),"#REF!")</f>
        <v>#REF!</v>
      </c>
    </row>
    <row r="2871">
      <c r="A2871" s="21">
        <f t="shared" si="1"/>
        <v>0</v>
      </c>
      <c r="B2871" s="32" t="s">
        <v>189</v>
      </c>
      <c r="C2871" s="23" t="s">
        <v>190</v>
      </c>
      <c r="D2871" s="23" t="s">
        <v>58</v>
      </c>
      <c r="E2871" s="37">
        <v>45439.0</v>
      </c>
      <c r="F2871" s="25">
        <v>0.4284722222222222</v>
      </c>
      <c r="G2871" s="25">
        <v>0.6631944444444444</v>
      </c>
      <c r="H2871" s="27">
        <f t="shared" si="2"/>
        <v>0.2347222222</v>
      </c>
      <c r="I2871" s="28">
        <v>2.0</v>
      </c>
      <c r="J2871" s="29" t="s">
        <v>1320</v>
      </c>
      <c r="K2871" s="30" t="s">
        <v>23</v>
      </c>
      <c r="L2871" s="31" t="str">
        <f>IFERROR(__xludf.DUMMYFUNCTION("IF(OR(E2871="""",K2871=""""),"""",IFERROR(IF(K2871="""","""",query('tbl user'!$A$2:$D10975,""SELECT A WHERE D = '""&amp;K2871&amp;""'"")),""USER TIDAK DIKETAHUI""))"),"#REF!")</f>
        <v>#REF!</v>
      </c>
    </row>
    <row r="2872">
      <c r="A2872" s="21">
        <f t="shared" si="1"/>
        <v>0</v>
      </c>
      <c r="B2872" s="32" t="s">
        <v>205</v>
      </c>
      <c r="C2872" s="23" t="s">
        <v>206</v>
      </c>
      <c r="D2872" s="23" t="s">
        <v>58</v>
      </c>
      <c r="E2872" s="37">
        <v>45439.0</v>
      </c>
      <c r="F2872" s="25">
        <v>0.2604166666666667</v>
      </c>
      <c r="G2872" s="25">
        <v>0.5520833333333334</v>
      </c>
      <c r="H2872" s="27">
        <f t="shared" si="2"/>
        <v>0.2916666667</v>
      </c>
      <c r="I2872" s="28">
        <v>2.0</v>
      </c>
      <c r="J2872" s="29" t="s">
        <v>1321</v>
      </c>
      <c r="K2872" s="30" t="s">
        <v>23</v>
      </c>
      <c r="L2872" s="31" t="str">
        <f>IFERROR(__xludf.DUMMYFUNCTION("IF(OR(E2872="""",K2872=""""),"""",IFERROR(IF(K2872="""","""",query('tbl user'!$A$2:$D10975,""SELECT A WHERE D = '""&amp;K2872&amp;""'"")),""USER TIDAK DIKETAHUI""))"),"#REF!")</f>
        <v>#REF!</v>
      </c>
    </row>
    <row r="2873">
      <c r="A2873" s="21">
        <f t="shared" si="1"/>
        <v>0</v>
      </c>
      <c r="B2873" s="32" t="s">
        <v>153</v>
      </c>
      <c r="C2873" s="23" t="s">
        <v>211</v>
      </c>
      <c r="D2873" s="23" t="s">
        <v>58</v>
      </c>
      <c r="E2873" s="37">
        <v>45439.0</v>
      </c>
      <c r="F2873" s="25">
        <v>0.3055555555555556</v>
      </c>
      <c r="G2873" s="25">
        <v>0.6701388888888888</v>
      </c>
      <c r="H2873" s="27">
        <f t="shared" si="2"/>
        <v>0.3645833333</v>
      </c>
      <c r="I2873" s="28">
        <v>3.0</v>
      </c>
      <c r="J2873" s="29" t="s">
        <v>1322</v>
      </c>
      <c r="K2873" s="30" t="s">
        <v>23</v>
      </c>
      <c r="L2873" s="31" t="str">
        <f>IFERROR(__xludf.DUMMYFUNCTION("IF(OR(E2873="""",K2873=""""),"""",IFERROR(IF(K2873="""","""",query('tbl user'!$A$2:$D10975,""SELECT A WHERE D = '""&amp;K2873&amp;""'"")),""USER TIDAK DIKETAHUI""))"),"#REF!")</f>
        <v>#REF!</v>
      </c>
    </row>
    <row r="2874">
      <c r="A2874" s="21">
        <f t="shared" si="1"/>
        <v>0</v>
      </c>
      <c r="B2874" s="32" t="s">
        <v>214</v>
      </c>
      <c r="C2874" s="23" t="s">
        <v>170</v>
      </c>
      <c r="D2874" s="23" t="s">
        <v>58</v>
      </c>
      <c r="E2874" s="37">
        <v>45439.0</v>
      </c>
      <c r="F2874" s="25">
        <v>0.3159722222222222</v>
      </c>
      <c r="G2874" s="25">
        <v>0.6673611111111111</v>
      </c>
      <c r="H2874" s="27">
        <f t="shared" si="2"/>
        <v>0.3513888889</v>
      </c>
      <c r="I2874" s="28">
        <v>3.0</v>
      </c>
      <c r="J2874" s="29" t="s">
        <v>1322</v>
      </c>
      <c r="K2874" s="30" t="s">
        <v>23</v>
      </c>
      <c r="L2874" s="31" t="str">
        <f>IFERROR(__xludf.DUMMYFUNCTION("IF(OR(E2874="""",K2874=""""),"""",IFERROR(IF(K2874="""","""",query('tbl user'!$A$2:$D10975,""SELECT A WHERE D = '""&amp;K2874&amp;""'"")),""USER TIDAK DIKETAHUI""))"),"#REF!")</f>
        <v>#REF!</v>
      </c>
    </row>
    <row r="2875">
      <c r="A2875" s="21">
        <f t="shared" si="1"/>
        <v>0</v>
      </c>
      <c r="B2875" s="32" t="s">
        <v>175</v>
      </c>
      <c r="C2875" s="23" t="s">
        <v>176</v>
      </c>
      <c r="D2875" s="23" t="s">
        <v>58</v>
      </c>
      <c r="E2875" s="37">
        <v>45439.0</v>
      </c>
      <c r="F2875" s="25">
        <v>0.29444444444444445</v>
      </c>
      <c r="G2875" s="25">
        <v>0.6909722222222222</v>
      </c>
      <c r="H2875" s="27">
        <f t="shared" si="2"/>
        <v>0.3965277778</v>
      </c>
      <c r="I2875" s="28">
        <v>3.0</v>
      </c>
      <c r="J2875" s="29" t="s">
        <v>1323</v>
      </c>
      <c r="K2875" s="30" t="s">
        <v>23</v>
      </c>
      <c r="L2875" s="31" t="str">
        <f>IFERROR(__xludf.DUMMYFUNCTION("IF(OR(E2875="""",K2875=""""),"""",IFERROR(IF(K2875="""","""",query('tbl user'!$A$2:$D10975,""SELECT A WHERE D = '""&amp;K2875&amp;""'"")),""USER TIDAK DIKETAHUI""))"),"#REF!")</f>
        <v>#REF!</v>
      </c>
    </row>
    <row r="2876">
      <c r="A2876" s="21">
        <f t="shared" si="1"/>
        <v>0</v>
      </c>
      <c r="B2876" s="32" t="s">
        <v>184</v>
      </c>
      <c r="C2876" s="23" t="s">
        <v>185</v>
      </c>
      <c r="D2876" s="23" t="s">
        <v>58</v>
      </c>
      <c r="E2876" s="37">
        <v>45439.0</v>
      </c>
      <c r="F2876" s="25">
        <v>0.2791666666666667</v>
      </c>
      <c r="G2876" s="25">
        <v>0.6215277777777778</v>
      </c>
      <c r="H2876" s="27">
        <f t="shared" si="2"/>
        <v>0.3423611111</v>
      </c>
      <c r="I2876" s="28">
        <v>3.0</v>
      </c>
      <c r="J2876" s="29" t="s">
        <v>1322</v>
      </c>
      <c r="K2876" s="30" t="s">
        <v>23</v>
      </c>
      <c r="L2876" s="31" t="str">
        <f>IFERROR(__xludf.DUMMYFUNCTION("IF(OR(E2876="""",K2876=""""),"""",IFERROR(IF(K2876="""","""",query('tbl user'!$A$2:$D10975,""SELECT A WHERE D = '""&amp;K2876&amp;""'"")),""USER TIDAK DIKETAHUI""))"),"#REF!")</f>
        <v>#REF!</v>
      </c>
    </row>
    <row r="2877">
      <c r="A2877" s="21">
        <f t="shared" si="1"/>
        <v>0</v>
      </c>
      <c r="B2877" s="32" t="s">
        <v>104</v>
      </c>
      <c r="C2877" s="23" t="s">
        <v>105</v>
      </c>
      <c r="D2877" s="23" t="s">
        <v>58</v>
      </c>
      <c r="E2877" s="37">
        <v>45439.0</v>
      </c>
      <c r="F2877" s="25">
        <v>0.22916666666666666</v>
      </c>
      <c r="G2877" s="25">
        <v>0.7173611111111111</v>
      </c>
      <c r="H2877" s="27">
        <f t="shared" si="2"/>
        <v>0.4881944444</v>
      </c>
      <c r="I2877" s="28">
        <v>3.0</v>
      </c>
      <c r="J2877" s="29" t="s">
        <v>1324</v>
      </c>
      <c r="K2877" s="30" t="s">
        <v>23</v>
      </c>
      <c r="L2877" s="31" t="str">
        <f>IFERROR(__xludf.DUMMYFUNCTION("IF(OR(E2877="""",K2877=""""),"""",IFERROR(IF(K2877="""","""",query('tbl user'!$A$2:$D10975,""SELECT A WHERE D = '""&amp;K2877&amp;""'"")),""USER TIDAK DIKETAHUI""))"),"#REF!")</f>
        <v>#REF!</v>
      </c>
    </row>
    <row r="2878">
      <c r="A2878" s="21">
        <f t="shared" si="1"/>
        <v>0</v>
      </c>
      <c r="B2878" s="32" t="s">
        <v>202</v>
      </c>
      <c r="C2878" s="23" t="s">
        <v>203</v>
      </c>
      <c r="D2878" s="23" t="s">
        <v>58</v>
      </c>
      <c r="E2878" s="37">
        <v>45439.0</v>
      </c>
      <c r="F2878" s="25">
        <v>0.23680555555555555</v>
      </c>
      <c r="G2878" s="25">
        <v>0.6145833333333334</v>
      </c>
      <c r="H2878" s="27">
        <f t="shared" si="2"/>
        <v>0.3777777778</v>
      </c>
      <c r="I2878" s="28">
        <v>3.0</v>
      </c>
      <c r="J2878" s="29" t="s">
        <v>1325</v>
      </c>
      <c r="K2878" s="30" t="s">
        <v>23</v>
      </c>
      <c r="L2878" s="31" t="str">
        <f>IFERROR(__xludf.DUMMYFUNCTION("IF(OR(E2878="""",K2878=""""),"""",IFERROR(IF(K2878="""","""",query('tbl user'!$A$2:$D10975,""SELECT A WHERE D = '""&amp;K2878&amp;""'"")),""USER TIDAK DIKETAHUI""))"),"#REF!")</f>
        <v>#REF!</v>
      </c>
    </row>
    <row r="2879">
      <c r="A2879" s="21">
        <f t="shared" si="1"/>
        <v>0</v>
      </c>
      <c r="B2879" s="32" t="s">
        <v>297</v>
      </c>
      <c r="C2879" s="23" t="s">
        <v>348</v>
      </c>
      <c r="D2879" s="23" t="s">
        <v>58</v>
      </c>
      <c r="E2879" s="37">
        <v>45439.0</v>
      </c>
      <c r="F2879" s="25">
        <v>0.2923611111111111</v>
      </c>
      <c r="G2879" s="25">
        <v>0.6145833333333334</v>
      </c>
      <c r="H2879" s="27">
        <f t="shared" si="2"/>
        <v>0.3222222222</v>
      </c>
      <c r="I2879" s="28">
        <v>3.0</v>
      </c>
      <c r="J2879" s="29" t="s">
        <v>1322</v>
      </c>
      <c r="K2879" s="30" t="s">
        <v>23</v>
      </c>
      <c r="L2879" s="31" t="str">
        <f>IFERROR(__xludf.DUMMYFUNCTION("IF(OR(E2879="""",K2879=""""),"""",IFERROR(IF(K2879="""","""",query('tbl user'!$A$2:$D10975,""SELECT A WHERE D = '""&amp;K2879&amp;""'"")),""USER TIDAK DIKETAHUI""))"),"#REF!")</f>
        <v>#REF!</v>
      </c>
    </row>
    <row r="2880">
      <c r="A2880" s="21">
        <f t="shared" si="1"/>
        <v>0</v>
      </c>
      <c r="B2880" s="32" t="s">
        <v>224</v>
      </c>
      <c r="C2880" s="23" t="s">
        <v>208</v>
      </c>
      <c r="D2880" s="23" t="s">
        <v>58</v>
      </c>
      <c r="E2880" s="37">
        <v>45439.0</v>
      </c>
      <c r="F2880" s="25">
        <v>0.25763888888888886</v>
      </c>
      <c r="G2880" s="25">
        <v>0.7159722222222222</v>
      </c>
      <c r="H2880" s="27">
        <f t="shared" si="2"/>
        <v>0.4583333333</v>
      </c>
      <c r="I2880" s="28">
        <v>3.0</v>
      </c>
      <c r="J2880" s="29" t="s">
        <v>1326</v>
      </c>
      <c r="K2880" s="30" t="s">
        <v>23</v>
      </c>
      <c r="L2880" s="31" t="str">
        <f>IFERROR(__xludf.DUMMYFUNCTION("IF(OR(E2880="""",K2880=""""),"""",IFERROR(IF(K2880="""","""",query('tbl user'!$A$2:$D10975,""SELECT A WHERE D = '""&amp;K2880&amp;""'"")),""USER TIDAK DIKETAHUI""))"),"#REF!")</f>
        <v>#REF!</v>
      </c>
    </row>
    <row r="2881">
      <c r="A2881" s="21">
        <f t="shared" si="1"/>
        <v>0</v>
      </c>
      <c r="B2881" s="32" t="s">
        <v>180</v>
      </c>
      <c r="C2881" s="23" t="s">
        <v>181</v>
      </c>
      <c r="D2881" s="23" t="s">
        <v>58</v>
      </c>
      <c r="E2881" s="37">
        <v>45439.0</v>
      </c>
      <c r="F2881" s="25">
        <v>0.2326388888888889</v>
      </c>
      <c r="G2881" s="25">
        <v>0.68125</v>
      </c>
      <c r="H2881" s="27">
        <f t="shared" si="2"/>
        <v>0.4486111111</v>
      </c>
      <c r="I2881" s="28">
        <v>4.0</v>
      </c>
      <c r="J2881" s="29" t="s">
        <v>55</v>
      </c>
      <c r="K2881" s="30" t="s">
        <v>23</v>
      </c>
      <c r="L2881" s="31" t="str">
        <f>IFERROR(__xludf.DUMMYFUNCTION("IF(OR(E2881="""",K2881=""""),"""",IFERROR(IF(K2881="""","""",query('tbl user'!$A$2:$D10975,""SELECT A WHERE D = '""&amp;K2881&amp;""'"")),""USER TIDAK DIKETAHUI""))"),"#REF!")</f>
        <v>#REF!</v>
      </c>
    </row>
    <row r="2882">
      <c r="A2882" s="21">
        <f t="shared" si="1"/>
        <v>0</v>
      </c>
      <c r="B2882" s="32" t="s">
        <v>191</v>
      </c>
      <c r="C2882" s="23" t="s">
        <v>192</v>
      </c>
      <c r="D2882" s="23" t="s">
        <v>58</v>
      </c>
      <c r="E2882" s="37">
        <v>45439.0</v>
      </c>
      <c r="F2882" s="25">
        <v>0.2604166666666667</v>
      </c>
      <c r="G2882" s="25">
        <v>0.7027777777777777</v>
      </c>
      <c r="H2882" s="27">
        <f t="shared" si="2"/>
        <v>0.4423611111</v>
      </c>
      <c r="I2882" s="28">
        <v>4.0</v>
      </c>
      <c r="J2882" s="29" t="s">
        <v>55</v>
      </c>
      <c r="K2882" s="30" t="s">
        <v>23</v>
      </c>
      <c r="L2882" s="31" t="str">
        <f>IFERROR(__xludf.DUMMYFUNCTION("IF(OR(E2882="""",K2882=""""),"""",IFERROR(IF(K2882="""","""",query('tbl user'!$A$2:$D10975,""SELECT A WHERE D = '""&amp;K2882&amp;""'"")),""USER TIDAK DIKETAHUI""))"),"#REF!")</f>
        <v>#REF!</v>
      </c>
    </row>
    <row r="2883">
      <c r="A2883" s="21">
        <f t="shared" si="1"/>
        <v>0</v>
      </c>
      <c r="B2883" s="32" t="s">
        <v>194</v>
      </c>
      <c r="C2883" s="23" t="s">
        <v>195</v>
      </c>
      <c r="D2883" s="23" t="s">
        <v>58</v>
      </c>
      <c r="E2883" s="37">
        <v>45439.0</v>
      </c>
      <c r="F2883" s="25">
        <v>0.22291666666666668</v>
      </c>
      <c r="G2883" s="25">
        <v>0.6409722222222223</v>
      </c>
      <c r="H2883" s="27">
        <f t="shared" si="2"/>
        <v>0.4180555556</v>
      </c>
      <c r="I2883" s="28">
        <v>4.0</v>
      </c>
      <c r="J2883" s="29" t="s">
        <v>55</v>
      </c>
      <c r="K2883" s="30" t="s">
        <v>23</v>
      </c>
      <c r="L2883" s="31" t="str">
        <f>IFERROR(__xludf.DUMMYFUNCTION("IF(OR(E2883="""",K2883=""""),"""",IFERROR(IF(K2883="""","""",query('tbl user'!$A$2:$D10975,""SELECT A WHERE D = '""&amp;K2883&amp;""'"")),""USER TIDAK DIKETAHUI""))"),"#REF!")</f>
        <v>#REF!</v>
      </c>
    </row>
    <row r="2884">
      <c r="A2884" s="21">
        <f t="shared" si="1"/>
        <v>0</v>
      </c>
      <c r="B2884" s="32" t="s">
        <v>197</v>
      </c>
      <c r="C2884" s="23" t="s">
        <v>198</v>
      </c>
      <c r="D2884" s="23" t="s">
        <v>58</v>
      </c>
      <c r="E2884" s="37">
        <v>45439.0</v>
      </c>
      <c r="F2884" s="25">
        <v>0.2534722222222222</v>
      </c>
      <c r="G2884" s="25">
        <v>0.6458333333333334</v>
      </c>
      <c r="H2884" s="27">
        <f t="shared" si="2"/>
        <v>0.3923611111</v>
      </c>
      <c r="I2884" s="28">
        <v>4.0</v>
      </c>
      <c r="J2884" s="29" t="s">
        <v>55</v>
      </c>
      <c r="K2884" s="30" t="s">
        <v>23</v>
      </c>
      <c r="L2884" s="31" t="str">
        <f>IFERROR(__xludf.DUMMYFUNCTION("IF(OR(E2884="""",K2884=""""),"""",IFERROR(IF(K2884="""","""",query('tbl user'!$A$2:$D10975,""SELECT A WHERE D = '""&amp;K2884&amp;""'"")),""USER TIDAK DIKETAHUI""))"),"#REF!")</f>
        <v>#REF!</v>
      </c>
    </row>
    <row r="2885">
      <c r="A2885" s="21">
        <f t="shared" si="1"/>
        <v>0</v>
      </c>
      <c r="B2885" s="32" t="s">
        <v>200</v>
      </c>
      <c r="C2885" s="23" t="s">
        <v>201</v>
      </c>
      <c r="D2885" s="23" t="s">
        <v>58</v>
      </c>
      <c r="E2885" s="37">
        <v>45439.0</v>
      </c>
      <c r="F2885" s="25">
        <v>0.225</v>
      </c>
      <c r="G2885" s="25">
        <v>0.6708333333333333</v>
      </c>
      <c r="H2885" s="27">
        <f t="shared" si="2"/>
        <v>0.4458333333</v>
      </c>
      <c r="I2885" s="28">
        <v>4.0</v>
      </c>
      <c r="J2885" s="29" t="s">
        <v>55</v>
      </c>
      <c r="K2885" s="30" t="s">
        <v>23</v>
      </c>
      <c r="L2885" s="31" t="str">
        <f>IFERROR(__xludf.DUMMYFUNCTION("IF(OR(E2885="""",K2885=""""),"""",IFERROR(IF(K2885="""","""",query('tbl user'!$A$2:$D10975,""SELECT A WHERE D = '""&amp;K2885&amp;""'"")),""USER TIDAK DIKETAHUI""))"),"#REF!")</f>
        <v>#REF!</v>
      </c>
    </row>
    <row r="2886">
      <c r="A2886" s="21">
        <f t="shared" si="1"/>
        <v>0</v>
      </c>
      <c r="B2886" s="32" t="s">
        <v>37</v>
      </c>
      <c r="C2886" s="23" t="s">
        <v>38</v>
      </c>
      <c r="D2886" s="23" t="s">
        <v>21</v>
      </c>
      <c r="E2886" s="37">
        <v>45439.0</v>
      </c>
      <c r="F2886" s="25">
        <v>0.3055555555555556</v>
      </c>
      <c r="G2886" s="25">
        <v>0.4736111111111111</v>
      </c>
      <c r="H2886" s="27">
        <f t="shared" si="2"/>
        <v>0.1680555556</v>
      </c>
      <c r="I2886" s="28">
        <v>1.0</v>
      </c>
      <c r="J2886" s="29" t="s">
        <v>1327</v>
      </c>
      <c r="K2886" s="30" t="s">
        <v>23</v>
      </c>
      <c r="L2886" s="31" t="str">
        <f>IFERROR(__xludf.DUMMYFUNCTION("IF(OR(E2886="""",K2886=""""),"""",IFERROR(IF(K2886="""","""",query('tbl user'!$A$2:$D10975,""SELECT A WHERE D = '""&amp;K2886&amp;""'"")),""USER TIDAK DIKETAHUI""))"),"#REF!")</f>
        <v>#REF!</v>
      </c>
    </row>
    <row r="2887">
      <c r="A2887" s="21">
        <f t="shared" si="1"/>
        <v>0</v>
      </c>
      <c r="B2887" s="32" t="s">
        <v>64</v>
      </c>
      <c r="C2887" s="23" t="s">
        <v>65</v>
      </c>
      <c r="D2887" s="23" t="s">
        <v>21</v>
      </c>
      <c r="E2887" s="37">
        <v>45439.0</v>
      </c>
      <c r="F2887" s="25">
        <v>0.40347222222222223</v>
      </c>
      <c r="G2887" s="25">
        <v>0.6951388888888889</v>
      </c>
      <c r="H2887" s="27">
        <f t="shared" si="2"/>
        <v>0.2916666667</v>
      </c>
      <c r="I2887" s="28">
        <v>2.0</v>
      </c>
      <c r="J2887" s="29" t="s">
        <v>1328</v>
      </c>
      <c r="K2887" s="30" t="s">
        <v>23</v>
      </c>
      <c r="L2887" s="31" t="str">
        <f>IFERROR(__xludf.DUMMYFUNCTION("IF(OR(E2887="""",K2887=""""),"""",IFERROR(IF(K2887="""","""",query('tbl user'!$A$2:$D10975,""SELECT A WHERE D = '""&amp;K2887&amp;""'"")),""USER TIDAK DIKETAHUI""))"),"#REF!")</f>
        <v>#REF!</v>
      </c>
    </row>
    <row r="2888">
      <c r="A2888" s="21">
        <f t="shared" si="1"/>
        <v>0</v>
      </c>
      <c r="B2888" s="32" t="s">
        <v>284</v>
      </c>
      <c r="C2888" s="23" t="s">
        <v>285</v>
      </c>
      <c r="D2888" s="23" t="s">
        <v>21</v>
      </c>
      <c r="E2888" s="37">
        <v>45439.0</v>
      </c>
      <c r="F2888" s="25">
        <v>0.3173611111111111</v>
      </c>
      <c r="G2888" s="25">
        <v>0.6229166666666667</v>
      </c>
      <c r="H2888" s="27">
        <f t="shared" si="2"/>
        <v>0.3055555556</v>
      </c>
      <c r="I2888" s="28">
        <v>2.0</v>
      </c>
      <c r="J2888" s="29" t="s">
        <v>805</v>
      </c>
      <c r="K2888" s="30" t="s">
        <v>23</v>
      </c>
      <c r="L2888" s="31" t="str">
        <f>IFERROR(__xludf.DUMMYFUNCTION("IF(OR(E2888="""",K2888=""""),"""",IFERROR(IF(K2888="""","""",query('tbl user'!$A$2:$D10975,""SELECT A WHERE D = '""&amp;K2888&amp;""'"")),""USER TIDAK DIKETAHUI""))"),"#REF!")</f>
        <v>#REF!</v>
      </c>
    </row>
    <row r="2889">
      <c r="A2889" s="21">
        <f t="shared" si="1"/>
        <v>0</v>
      </c>
      <c r="B2889" s="32" t="s">
        <v>286</v>
      </c>
      <c r="C2889" s="23" t="s">
        <v>287</v>
      </c>
      <c r="D2889" s="23" t="s">
        <v>21</v>
      </c>
      <c r="E2889" s="37">
        <v>45439.0</v>
      </c>
      <c r="F2889" s="25">
        <v>0.31180555555555556</v>
      </c>
      <c r="G2889" s="25">
        <v>0.7291666666666666</v>
      </c>
      <c r="H2889" s="27">
        <f t="shared" si="2"/>
        <v>0.4173611111</v>
      </c>
      <c r="I2889" s="28">
        <v>3.0</v>
      </c>
      <c r="J2889" s="29" t="s">
        <v>805</v>
      </c>
      <c r="K2889" s="30" t="s">
        <v>23</v>
      </c>
      <c r="L2889" s="31" t="str">
        <f>IFERROR(__xludf.DUMMYFUNCTION("IF(OR(E2889="""",K2889=""""),"""",IFERROR(IF(K2889="""","""",query('tbl user'!$A$2:$D10975,""SELECT A WHERE D = '""&amp;K2889&amp;""'"")),""USER TIDAK DIKETAHUI""))"),"#REF!")</f>
        <v>#REF!</v>
      </c>
    </row>
    <row r="2890">
      <c r="A2890" s="21" t="str">
        <f t="shared" si="1"/>
        <v/>
      </c>
      <c r="B2890" s="35"/>
      <c r="C2890" s="23" t="s">
        <v>232</v>
      </c>
      <c r="D2890" s="23" t="s">
        <v>21</v>
      </c>
      <c r="E2890" s="37">
        <v>45439.0</v>
      </c>
      <c r="F2890" s="25">
        <v>0.27708333333333335</v>
      </c>
      <c r="G2890" s="25">
        <v>0.4166666666666667</v>
      </c>
      <c r="H2890" s="27">
        <f t="shared" si="2"/>
        <v>0.1395833333</v>
      </c>
      <c r="I2890" s="28">
        <v>1.0</v>
      </c>
      <c r="J2890" s="29" t="s">
        <v>1329</v>
      </c>
      <c r="K2890" s="30" t="s">
        <v>23</v>
      </c>
      <c r="L2890" s="31" t="str">
        <f>IFERROR(__xludf.DUMMYFUNCTION("IF(OR(E2890="""",K2890=""""),"""",IFERROR(IF(K2890="""","""",query('tbl user'!$A$2:$D10975,""SELECT A WHERE D = '""&amp;K2890&amp;""'"")),""USER TIDAK DIKETAHUI""))"),"#REF!")</f>
        <v>#REF!</v>
      </c>
    </row>
    <row r="2891">
      <c r="A2891" s="21">
        <f t="shared" si="1"/>
        <v>0</v>
      </c>
      <c r="B2891" s="32" t="s">
        <v>87</v>
      </c>
      <c r="C2891" s="23" t="s">
        <v>88</v>
      </c>
      <c r="D2891" s="23" t="s">
        <v>21</v>
      </c>
      <c r="E2891" s="37">
        <v>45439.0</v>
      </c>
      <c r="F2891" s="25">
        <v>0.29444444444444445</v>
      </c>
      <c r="G2891" s="25">
        <v>0.3611111111111111</v>
      </c>
      <c r="H2891" s="27">
        <f t="shared" si="2"/>
        <v>0.06666666667</v>
      </c>
      <c r="I2891" s="28">
        <v>1.0</v>
      </c>
      <c r="J2891" s="29" t="s">
        <v>1330</v>
      </c>
      <c r="K2891" s="30" t="s">
        <v>23</v>
      </c>
      <c r="L2891" s="31" t="str">
        <f>IFERROR(__xludf.DUMMYFUNCTION("IF(OR(E2891="""",K2891=""""),"""",IFERROR(IF(K2891="""","""",query('tbl user'!$A$2:$D10975,""SELECT A WHERE D = '""&amp;K2891&amp;""'"")),""USER TIDAK DIKETAHUI""))"),"#REF!")</f>
        <v>#REF!</v>
      </c>
    </row>
    <row r="2892">
      <c r="A2892" s="21">
        <f t="shared" si="1"/>
        <v>0</v>
      </c>
      <c r="B2892" s="32" t="s">
        <v>601</v>
      </c>
      <c r="C2892" s="23" t="s">
        <v>323</v>
      </c>
      <c r="D2892" s="23" t="s">
        <v>21</v>
      </c>
      <c r="E2892" s="37">
        <v>45439.0</v>
      </c>
      <c r="F2892" s="25">
        <v>0.29305555555555557</v>
      </c>
      <c r="G2892" s="25">
        <v>0.43333333333333335</v>
      </c>
      <c r="H2892" s="27">
        <f t="shared" si="2"/>
        <v>0.1402777778</v>
      </c>
      <c r="I2892" s="28">
        <v>1.0</v>
      </c>
      <c r="J2892" s="29" t="s">
        <v>1331</v>
      </c>
      <c r="K2892" s="30" t="s">
        <v>23</v>
      </c>
      <c r="L2892" s="31" t="str">
        <f>IFERROR(__xludf.DUMMYFUNCTION("IF(OR(E2892="""",K2892=""""),"""",IFERROR(IF(K2892="""","""",query('tbl user'!$A$2:$D10975,""SELECT A WHERE D = '""&amp;K2892&amp;""'"")),""USER TIDAK DIKETAHUI""))"),"#REF!")</f>
        <v>#REF!</v>
      </c>
    </row>
    <row r="2893">
      <c r="A2893" s="21">
        <f t="shared" si="1"/>
        <v>0</v>
      </c>
      <c r="B2893" s="32" t="s">
        <v>716</v>
      </c>
      <c r="C2893" s="23" t="s">
        <v>316</v>
      </c>
      <c r="D2893" s="23" t="s">
        <v>21</v>
      </c>
      <c r="E2893" s="37">
        <v>45439.0</v>
      </c>
      <c r="F2893" s="25">
        <v>0.26875</v>
      </c>
      <c r="G2893" s="25">
        <v>0.5423611111111111</v>
      </c>
      <c r="H2893" s="27">
        <f t="shared" si="2"/>
        <v>0.2736111111</v>
      </c>
      <c r="I2893" s="28">
        <v>3.0</v>
      </c>
      <c r="J2893" s="29" t="s">
        <v>1332</v>
      </c>
      <c r="K2893" s="30" t="s">
        <v>23</v>
      </c>
      <c r="L2893" s="31" t="str">
        <f>IFERROR(__xludf.DUMMYFUNCTION("IF(OR(E2893="""",K2893=""""),"""",IFERROR(IF(K2893="""","""",query('tbl user'!$A$2:$D10975,""SELECT A WHERE D = '""&amp;K2893&amp;""'"")),""USER TIDAK DIKETAHUI""))"),"#REF!")</f>
        <v>#REF!</v>
      </c>
    </row>
    <row r="2894">
      <c r="A2894" s="21">
        <f t="shared" si="1"/>
        <v>0</v>
      </c>
      <c r="B2894" s="32" t="s">
        <v>325</v>
      </c>
      <c r="C2894" s="23" t="s">
        <v>326</v>
      </c>
      <c r="D2894" s="23" t="s">
        <v>21</v>
      </c>
      <c r="E2894" s="37">
        <v>45439.0</v>
      </c>
      <c r="F2894" s="25">
        <v>0.2708333333333333</v>
      </c>
      <c r="G2894" s="25">
        <v>0.5527777777777778</v>
      </c>
      <c r="H2894" s="27">
        <f t="shared" si="2"/>
        <v>0.2819444444</v>
      </c>
      <c r="I2894" s="28">
        <v>3.0</v>
      </c>
      <c r="J2894" s="29" t="s">
        <v>1333</v>
      </c>
      <c r="K2894" s="30" t="s">
        <v>23</v>
      </c>
      <c r="L2894" s="31" t="str">
        <f>IFERROR(__xludf.DUMMYFUNCTION("IF(OR(E2894="""",K2894=""""),"""",IFERROR(IF(K2894="""","""",query('tbl user'!$A$2:$D10975,""SELECT A WHERE D = '""&amp;K2894&amp;""'"")),""USER TIDAK DIKETAHUI""))"),"#REF!")</f>
        <v>#REF!</v>
      </c>
    </row>
    <row r="2895">
      <c r="A2895" s="21">
        <f t="shared" si="1"/>
        <v>0</v>
      </c>
      <c r="B2895" s="32" t="s">
        <v>209</v>
      </c>
      <c r="C2895" s="23" t="s">
        <v>244</v>
      </c>
      <c r="D2895" s="23" t="s">
        <v>21</v>
      </c>
      <c r="E2895" s="37">
        <v>45439.0</v>
      </c>
      <c r="F2895" s="25">
        <v>0.2923611111111111</v>
      </c>
      <c r="G2895" s="25">
        <v>0.6145833333333334</v>
      </c>
      <c r="H2895" s="27">
        <f t="shared" si="2"/>
        <v>0.3222222222</v>
      </c>
      <c r="I2895" s="28">
        <v>4.0</v>
      </c>
      <c r="J2895" s="29" t="s">
        <v>1334</v>
      </c>
      <c r="K2895" s="30" t="s">
        <v>23</v>
      </c>
      <c r="L2895" s="31" t="str">
        <f>IFERROR(__xludf.DUMMYFUNCTION("IF(OR(E2895="""",K2895=""""),"""",IFERROR(IF(K2895="""","""",query('tbl user'!$A$2:$D10975,""SELECT A WHERE D = '""&amp;K2895&amp;""'"")),""USER TIDAK DIKETAHUI""))"),"#REF!")</f>
        <v>#REF!</v>
      </c>
    </row>
    <row r="2896">
      <c r="A2896" s="21">
        <f t="shared" si="1"/>
        <v>0</v>
      </c>
      <c r="B2896" s="32" t="s">
        <v>220</v>
      </c>
      <c r="C2896" s="23" t="s">
        <v>44</v>
      </c>
      <c r="D2896" s="23" t="s">
        <v>21</v>
      </c>
      <c r="E2896" s="37">
        <v>45439.0</v>
      </c>
      <c r="F2896" s="25">
        <v>0.3576388888888889</v>
      </c>
      <c r="G2896" s="25">
        <v>0.675</v>
      </c>
      <c r="H2896" s="27">
        <f t="shared" si="2"/>
        <v>0.3173611111</v>
      </c>
      <c r="I2896" s="28">
        <v>4.0</v>
      </c>
      <c r="J2896" s="29" t="s">
        <v>1335</v>
      </c>
      <c r="K2896" s="30" t="s">
        <v>23</v>
      </c>
      <c r="L2896" s="31" t="str">
        <f>IFERROR(__xludf.DUMMYFUNCTION("IF(OR(E2896="""",K2896=""""),"""",IFERROR(IF(K2896="""","""",query('tbl user'!$A$2:$D10975,""SELECT A WHERE D = '""&amp;K2896&amp;""'"")),""USER TIDAK DIKETAHUI""))"),"#REF!")</f>
        <v>#REF!</v>
      </c>
    </row>
    <row r="2897">
      <c r="A2897" s="21">
        <f t="shared" si="1"/>
        <v>0</v>
      </c>
      <c r="B2897" s="32" t="s">
        <v>662</v>
      </c>
      <c r="C2897" s="23" t="s">
        <v>234</v>
      </c>
      <c r="D2897" s="23" t="s">
        <v>21</v>
      </c>
      <c r="E2897" s="37">
        <v>45439.0</v>
      </c>
      <c r="F2897" s="25">
        <v>0.2673611111111111</v>
      </c>
      <c r="G2897" s="25">
        <v>0.6326388888888889</v>
      </c>
      <c r="H2897" s="27">
        <f t="shared" si="2"/>
        <v>0.3652777778</v>
      </c>
      <c r="I2897" s="28">
        <v>4.0</v>
      </c>
      <c r="J2897" s="29" t="s">
        <v>1336</v>
      </c>
      <c r="K2897" s="30" t="s">
        <v>23</v>
      </c>
      <c r="L2897" s="31" t="str">
        <f>IFERROR(__xludf.DUMMYFUNCTION("IF(OR(E2897="""",K2897=""""),"""",IFERROR(IF(K2897="""","""",query('tbl user'!$A$2:$D10975,""SELECT A WHERE D = '""&amp;K2897&amp;""'"")),""USER TIDAK DIKETAHUI""))"),"#REF!")</f>
        <v>#REF!</v>
      </c>
    </row>
    <row r="2898">
      <c r="A2898" s="21">
        <f t="shared" si="1"/>
        <v>0</v>
      </c>
      <c r="B2898" s="32" t="s">
        <v>159</v>
      </c>
      <c r="C2898" s="23" t="s">
        <v>306</v>
      </c>
      <c r="D2898" s="23" t="s">
        <v>21</v>
      </c>
      <c r="E2898" s="37">
        <v>45439.0</v>
      </c>
      <c r="F2898" s="25">
        <v>0.28680555555555554</v>
      </c>
      <c r="G2898" s="25">
        <v>0.6645833333333333</v>
      </c>
      <c r="H2898" s="27">
        <f t="shared" si="2"/>
        <v>0.3777777778</v>
      </c>
      <c r="I2898" s="28">
        <v>4.0</v>
      </c>
      <c r="J2898" s="29" t="s">
        <v>1337</v>
      </c>
      <c r="K2898" s="30" t="s">
        <v>23</v>
      </c>
      <c r="L2898" s="31" t="str">
        <f>IFERROR(__xludf.DUMMYFUNCTION("IF(OR(E2898="""",K2898=""""),"""",IFERROR(IF(K2898="""","""",query('tbl user'!$A$2:$D10975,""SELECT A WHERE D = '""&amp;K2898&amp;""'"")),""USER TIDAK DIKETAHUI""))"),"#REF!")</f>
        <v>#REF!</v>
      </c>
    </row>
    <row r="2899">
      <c r="A2899" s="21">
        <f t="shared" si="1"/>
        <v>0</v>
      </c>
      <c r="B2899" s="32" t="s">
        <v>81</v>
      </c>
      <c r="C2899" s="23" t="s">
        <v>259</v>
      </c>
      <c r="D2899" s="23" t="s">
        <v>21</v>
      </c>
      <c r="E2899" s="37">
        <v>45439.0</v>
      </c>
      <c r="F2899" s="25">
        <v>0.3020833333333333</v>
      </c>
      <c r="G2899" s="25">
        <v>0.7618055555555555</v>
      </c>
      <c r="H2899" s="27">
        <f t="shared" si="2"/>
        <v>0.4597222222</v>
      </c>
      <c r="I2899" s="28">
        <v>4.0</v>
      </c>
      <c r="J2899" s="29" t="s">
        <v>1338</v>
      </c>
      <c r="K2899" s="30" t="s">
        <v>23</v>
      </c>
      <c r="L2899" s="31" t="str">
        <f>IFERROR(__xludf.DUMMYFUNCTION("IF(OR(E2899="""",K2899=""""),"""",IFERROR(IF(K2899="""","""",query('tbl user'!$A$2:$D10975,""SELECT A WHERE D = '""&amp;K2899&amp;""'"")),""USER TIDAK DIKETAHUI""))"),"#REF!")</f>
        <v>#REF!</v>
      </c>
    </row>
    <row r="2900">
      <c r="A2900" s="21">
        <f t="shared" si="1"/>
        <v>0</v>
      </c>
      <c r="B2900" s="32" t="s">
        <v>219</v>
      </c>
      <c r="C2900" s="23" t="s">
        <v>340</v>
      </c>
      <c r="D2900" s="23" t="s">
        <v>21</v>
      </c>
      <c r="E2900" s="37">
        <v>45439.0</v>
      </c>
      <c r="F2900" s="25">
        <v>0.3055555555555556</v>
      </c>
      <c r="G2900" s="33">
        <v>0.6548611111111111</v>
      </c>
      <c r="H2900" s="27">
        <f t="shared" si="2"/>
        <v>0.3493055556</v>
      </c>
      <c r="I2900" s="28">
        <v>4.0</v>
      </c>
      <c r="J2900" s="29" t="s">
        <v>300</v>
      </c>
      <c r="K2900" s="30" t="s">
        <v>23</v>
      </c>
      <c r="L2900" s="31" t="str">
        <f>IFERROR(__xludf.DUMMYFUNCTION("IF(OR(E2900="""",K2900=""""),"""",IFERROR(IF(K2900="""","""",query('tbl user'!$A$2:$D10975,""SELECT A WHERE D = '""&amp;K2900&amp;""'"")),""USER TIDAK DIKETAHUI""))"),"#REF!")</f>
        <v>#REF!</v>
      </c>
    </row>
    <row r="2901">
      <c r="A2901" s="21">
        <f t="shared" si="1"/>
        <v>0</v>
      </c>
      <c r="B2901" s="32" t="s">
        <v>328</v>
      </c>
      <c r="C2901" s="23" t="s">
        <v>329</v>
      </c>
      <c r="D2901" s="23" t="s">
        <v>21</v>
      </c>
      <c r="E2901" s="37">
        <v>45439.0</v>
      </c>
      <c r="F2901" s="25">
        <v>0.29375</v>
      </c>
      <c r="G2901" s="25">
        <v>0.5923611111111111</v>
      </c>
      <c r="H2901" s="27">
        <f t="shared" si="2"/>
        <v>0.2986111111</v>
      </c>
      <c r="I2901" s="28">
        <v>4.0</v>
      </c>
      <c r="J2901" s="29" t="s">
        <v>1339</v>
      </c>
      <c r="K2901" s="30" t="s">
        <v>23</v>
      </c>
      <c r="L2901" s="31" t="str">
        <f>IFERROR(__xludf.DUMMYFUNCTION("IF(OR(E2901="""",K2901=""""),"""",IFERROR(IF(K2901="""","""",query('tbl user'!$A$2:$D10975,""SELECT A WHERE D = '""&amp;K2901&amp;""'"")),""USER TIDAK DIKETAHUI""))"),"#REF!")</f>
        <v>#REF!</v>
      </c>
    </row>
    <row r="2902">
      <c r="A2902" s="21">
        <f t="shared" si="1"/>
        <v>0</v>
      </c>
      <c r="B2902" s="32" t="s">
        <v>34</v>
      </c>
      <c r="C2902" s="23" t="s">
        <v>35</v>
      </c>
      <c r="D2902" s="23" t="s">
        <v>21</v>
      </c>
      <c r="E2902" s="37">
        <v>45439.0</v>
      </c>
      <c r="F2902" s="25">
        <v>0.26666666666666666</v>
      </c>
      <c r="G2902" s="25">
        <v>0.6743055555555556</v>
      </c>
      <c r="H2902" s="27">
        <f t="shared" si="2"/>
        <v>0.4076388889</v>
      </c>
      <c r="I2902" s="28">
        <v>5.0</v>
      </c>
      <c r="J2902" s="29" t="s">
        <v>55</v>
      </c>
      <c r="K2902" s="30" t="s">
        <v>23</v>
      </c>
      <c r="L2902" s="31" t="str">
        <f>IFERROR(__xludf.DUMMYFUNCTION("IF(OR(E2902="""",K2902=""""),"""",IFERROR(IF(K2902="""","""",query('tbl user'!$A$2:$D10975,""SELECT A WHERE D = '""&amp;K2902&amp;""'"")),""USER TIDAK DIKETAHUI""))"),"#REF!")</f>
        <v>#REF!</v>
      </c>
    </row>
    <row r="2903">
      <c r="A2903" s="21">
        <f t="shared" si="1"/>
        <v>0</v>
      </c>
      <c r="B2903" s="32" t="s">
        <v>238</v>
      </c>
      <c r="C2903" s="23" t="s">
        <v>239</v>
      </c>
      <c r="D2903" s="23" t="s">
        <v>21</v>
      </c>
      <c r="E2903" s="37">
        <v>45439.0</v>
      </c>
      <c r="F2903" s="25">
        <v>0.28194444444444444</v>
      </c>
      <c r="G2903" s="25">
        <v>0.7013888888888888</v>
      </c>
      <c r="H2903" s="27">
        <f t="shared" si="2"/>
        <v>0.4194444444</v>
      </c>
      <c r="I2903" s="28">
        <v>5.0</v>
      </c>
      <c r="J2903" s="29" t="s">
        <v>55</v>
      </c>
      <c r="K2903" s="30" t="s">
        <v>23</v>
      </c>
      <c r="L2903" s="31" t="str">
        <f>IFERROR(__xludf.DUMMYFUNCTION("IF(OR(E2903="""",K2903=""""),"""",IFERROR(IF(K2903="""","""",query('tbl user'!$A$2:$D10975,""SELECT A WHERE D = '""&amp;K2903&amp;""'"")),""USER TIDAK DIKETAHUI""))"),"#REF!")</f>
        <v>#REF!</v>
      </c>
    </row>
    <row r="2904">
      <c r="A2904" s="21">
        <f t="shared" si="1"/>
        <v>0</v>
      </c>
      <c r="B2904" s="32" t="s">
        <v>246</v>
      </c>
      <c r="C2904" s="23" t="s">
        <v>99</v>
      </c>
      <c r="D2904" s="23" t="s">
        <v>21</v>
      </c>
      <c r="E2904" s="37">
        <v>45439.0</v>
      </c>
      <c r="F2904" s="25">
        <v>0.2986111111111111</v>
      </c>
      <c r="G2904" s="25">
        <v>0.7020833333333333</v>
      </c>
      <c r="H2904" s="27">
        <f t="shared" si="2"/>
        <v>0.4034722222</v>
      </c>
      <c r="I2904" s="28">
        <v>5.0</v>
      </c>
      <c r="J2904" s="29" t="s">
        <v>55</v>
      </c>
      <c r="K2904" s="30" t="s">
        <v>23</v>
      </c>
      <c r="L2904" s="31" t="str">
        <f>IFERROR(__xludf.DUMMYFUNCTION("IF(OR(E2904="""",K2904=""""),"""",IFERROR(IF(K2904="""","""",query('tbl user'!$A$2:$D10975,""SELECT A WHERE D = '""&amp;K2904&amp;""'"")),""USER TIDAK DIKETAHUI""))"),"#REF!")</f>
        <v>#REF!</v>
      </c>
    </row>
    <row r="2905">
      <c r="A2905" s="21">
        <f t="shared" si="1"/>
        <v>0</v>
      </c>
      <c r="B2905" s="32" t="s">
        <v>24</v>
      </c>
      <c r="C2905" s="23" t="s">
        <v>25</v>
      </c>
      <c r="D2905" s="23" t="s">
        <v>21</v>
      </c>
      <c r="E2905" s="37">
        <v>45439.0</v>
      </c>
      <c r="F2905" s="25">
        <v>0.2777777777777778</v>
      </c>
      <c r="G2905" s="25">
        <v>0.7229166666666667</v>
      </c>
      <c r="H2905" s="27">
        <f t="shared" si="2"/>
        <v>0.4451388889</v>
      </c>
      <c r="I2905" s="28">
        <v>5.0</v>
      </c>
      <c r="J2905" s="29" t="s">
        <v>55</v>
      </c>
      <c r="K2905" s="30" t="s">
        <v>23</v>
      </c>
      <c r="L2905" s="31" t="str">
        <f>IFERROR(__xludf.DUMMYFUNCTION("IF(OR(E2905="""",K2905=""""),"""",IFERROR(IF(K2905="""","""",query('tbl user'!$A$2:$D10975,""SELECT A WHERE D = '""&amp;K2905&amp;""'"")),""USER TIDAK DIKETAHUI""))"),"#REF!")</f>
        <v>#REF!</v>
      </c>
    </row>
    <row r="2906">
      <c r="A2906" s="21">
        <f t="shared" si="1"/>
        <v>0</v>
      </c>
      <c r="B2906" s="32" t="s">
        <v>305</v>
      </c>
      <c r="C2906" s="23" t="s">
        <v>251</v>
      </c>
      <c r="D2906" s="23" t="s">
        <v>21</v>
      </c>
      <c r="E2906" s="37">
        <v>45439.0</v>
      </c>
      <c r="F2906" s="25">
        <v>0.31666666666666665</v>
      </c>
      <c r="G2906" s="25">
        <v>0.7541666666666667</v>
      </c>
      <c r="H2906" s="27">
        <f t="shared" si="2"/>
        <v>0.4375</v>
      </c>
      <c r="I2906" s="28">
        <v>5.0</v>
      </c>
      <c r="J2906" s="29" t="s">
        <v>1340</v>
      </c>
      <c r="K2906" s="30" t="s">
        <v>23</v>
      </c>
      <c r="L2906" s="31" t="str">
        <f>IFERROR(__xludf.DUMMYFUNCTION("IF(OR(E2906="""",K2906=""""),"""",IFERROR(IF(K2906="""","""",query('tbl user'!$A$2:$D10975,""SELECT A WHERE D = '""&amp;K2906&amp;""'"")),""USER TIDAK DIKETAHUI""))"),"#REF!")</f>
        <v>#REF!</v>
      </c>
    </row>
    <row r="2907">
      <c r="A2907" s="21">
        <f t="shared" si="1"/>
        <v>0</v>
      </c>
      <c r="B2907" s="32" t="s">
        <v>101</v>
      </c>
      <c r="C2907" s="23" t="s">
        <v>102</v>
      </c>
      <c r="D2907" s="23" t="s">
        <v>21</v>
      </c>
      <c r="E2907" s="37">
        <v>45439.0</v>
      </c>
      <c r="F2907" s="25">
        <v>0.3416666666666667</v>
      </c>
      <c r="G2907" s="25">
        <v>0.7347222222222223</v>
      </c>
      <c r="H2907" s="27">
        <f t="shared" si="2"/>
        <v>0.3930555556</v>
      </c>
      <c r="I2907" s="28">
        <v>5.0</v>
      </c>
      <c r="J2907" s="29" t="s">
        <v>55</v>
      </c>
      <c r="K2907" s="30" t="s">
        <v>23</v>
      </c>
      <c r="L2907" s="31" t="str">
        <f>IFERROR(__xludf.DUMMYFUNCTION("IF(OR(E2907="""",K2907=""""),"""",IFERROR(IF(K2907="""","""",query('tbl user'!$A$2:$D10975,""SELECT A WHERE D = '""&amp;K2907&amp;""'"")),""USER TIDAK DIKETAHUI""))"),"#REF!")</f>
        <v>#REF!</v>
      </c>
    </row>
    <row r="2908">
      <c r="A2908" s="21">
        <f t="shared" si="1"/>
        <v>0</v>
      </c>
      <c r="B2908" s="32" t="s">
        <v>331</v>
      </c>
      <c r="C2908" s="23" t="s">
        <v>332</v>
      </c>
      <c r="D2908" s="23" t="s">
        <v>21</v>
      </c>
      <c r="E2908" s="37">
        <v>45439.0</v>
      </c>
      <c r="F2908" s="25">
        <v>0.24791666666666667</v>
      </c>
      <c r="G2908" s="25">
        <v>0.6458333333333334</v>
      </c>
      <c r="H2908" s="27">
        <f t="shared" si="2"/>
        <v>0.3979166667</v>
      </c>
      <c r="I2908" s="28">
        <v>5.0</v>
      </c>
      <c r="J2908" s="29" t="s">
        <v>55</v>
      </c>
      <c r="K2908" s="30" t="s">
        <v>23</v>
      </c>
      <c r="L2908" s="31" t="str">
        <f>IFERROR(__xludf.DUMMYFUNCTION("IF(OR(E2908="""",K2908=""""),"""",IFERROR(IF(K2908="""","""",query('tbl user'!$A$2:$D10975,""SELECT A WHERE D = '""&amp;K2908&amp;""'"")),""USER TIDAK DIKETAHUI""))"),"#REF!")</f>
        <v>#REF!</v>
      </c>
    </row>
    <row r="2909">
      <c r="A2909" s="21">
        <f t="shared" si="1"/>
        <v>0</v>
      </c>
      <c r="B2909" s="32" t="s">
        <v>333</v>
      </c>
      <c r="C2909" s="23" t="s">
        <v>334</v>
      </c>
      <c r="D2909" s="23" t="s">
        <v>21</v>
      </c>
      <c r="E2909" s="37">
        <v>45439.0</v>
      </c>
      <c r="F2909" s="25">
        <v>0.2520833333333333</v>
      </c>
      <c r="G2909" s="25">
        <v>0.6902777777777778</v>
      </c>
      <c r="H2909" s="27">
        <f t="shared" si="2"/>
        <v>0.4381944444</v>
      </c>
      <c r="I2909" s="28">
        <v>5.0</v>
      </c>
      <c r="J2909" s="29" t="s">
        <v>55</v>
      </c>
      <c r="K2909" s="30" t="s">
        <v>23</v>
      </c>
      <c r="L2909" s="31" t="str">
        <f>IFERROR(__xludf.DUMMYFUNCTION("IF(OR(E2909="""",K2909=""""),"""",IFERROR(IF(K2909="""","""",query('tbl user'!$A$2:$D10975,""SELECT A WHERE D = '""&amp;K2909&amp;""'"")),""USER TIDAK DIKETAHUI""))"),"#REF!")</f>
        <v>#REF!</v>
      </c>
    </row>
    <row r="2910">
      <c r="A2910" s="21">
        <f t="shared" si="1"/>
        <v>0</v>
      </c>
      <c r="B2910" s="32" t="s">
        <v>335</v>
      </c>
      <c r="C2910" s="23" t="s">
        <v>336</v>
      </c>
      <c r="D2910" s="23" t="s">
        <v>21</v>
      </c>
      <c r="E2910" s="37">
        <v>45439.0</v>
      </c>
      <c r="F2910" s="25">
        <v>0.2986111111111111</v>
      </c>
      <c r="G2910" s="25">
        <v>0.7104166666666667</v>
      </c>
      <c r="H2910" s="27">
        <f t="shared" si="2"/>
        <v>0.4118055556</v>
      </c>
      <c r="I2910" s="28">
        <v>5.0</v>
      </c>
      <c r="J2910" s="29" t="s">
        <v>55</v>
      </c>
      <c r="K2910" s="30" t="s">
        <v>23</v>
      </c>
      <c r="L2910" s="31" t="str">
        <f>IFERROR(__xludf.DUMMYFUNCTION("IF(OR(E2910="""",K2910=""""),"""",IFERROR(IF(K2910="""","""",query('tbl user'!$A$2:$D10975,""SELECT A WHERE D = '""&amp;K2910&amp;""'"")),""USER TIDAK DIKETAHUI""))"),"#REF!")</f>
        <v>#REF!</v>
      </c>
    </row>
    <row r="2911">
      <c r="A2911" s="21">
        <f t="shared" si="1"/>
        <v>0</v>
      </c>
      <c r="B2911" s="32" t="s">
        <v>53</v>
      </c>
      <c r="C2911" s="23" t="s">
        <v>54</v>
      </c>
      <c r="D2911" s="23" t="s">
        <v>21</v>
      </c>
      <c r="E2911" s="37">
        <v>45439.0</v>
      </c>
      <c r="F2911" s="25">
        <v>0.28125</v>
      </c>
      <c r="G2911" s="25">
        <v>0.6881944444444444</v>
      </c>
      <c r="H2911" s="27">
        <f t="shared" si="2"/>
        <v>0.4069444444</v>
      </c>
      <c r="I2911" s="28">
        <v>5.0</v>
      </c>
      <c r="J2911" s="29" t="s">
        <v>55</v>
      </c>
      <c r="K2911" s="30" t="s">
        <v>23</v>
      </c>
      <c r="L2911" s="31" t="str">
        <f>IFERROR(__xludf.DUMMYFUNCTION("IF(OR(E2911="""",K2911=""""),"""",IFERROR(IF(K2911="""","""",query('tbl user'!$A$2:$D10975,""SELECT A WHERE D = '""&amp;K2911&amp;""'"")),""USER TIDAK DIKETAHUI""))"),"#REF!")</f>
        <v>#REF!</v>
      </c>
    </row>
    <row r="2912">
      <c r="A2912" s="21">
        <f t="shared" si="1"/>
        <v>0</v>
      </c>
      <c r="B2912" s="32" t="s">
        <v>577</v>
      </c>
      <c r="C2912" s="23" t="s">
        <v>330</v>
      </c>
      <c r="D2912" s="23" t="s">
        <v>21</v>
      </c>
      <c r="E2912" s="37">
        <v>45439.0</v>
      </c>
      <c r="F2912" s="25">
        <v>0.3326388888888889</v>
      </c>
      <c r="G2912" s="25">
        <v>0.7201388888888889</v>
      </c>
      <c r="H2912" s="27">
        <f t="shared" si="2"/>
        <v>0.3875</v>
      </c>
      <c r="I2912" s="28">
        <v>5.0</v>
      </c>
      <c r="J2912" s="29" t="s">
        <v>1340</v>
      </c>
      <c r="K2912" s="30" t="s">
        <v>23</v>
      </c>
      <c r="L2912" s="31" t="str">
        <f>IFERROR(__xludf.DUMMYFUNCTION("IF(OR(E2912="""",K2912=""""),"""",IFERROR(IF(K2912="""","""",query('tbl user'!$A$2:$D10975,""SELECT A WHERE D = '""&amp;K2912&amp;""'"")),""USER TIDAK DIKETAHUI""))"),"#REF!")</f>
        <v>#REF!</v>
      </c>
    </row>
    <row r="2913">
      <c r="A2913" s="21">
        <f t="shared" si="1"/>
        <v>0</v>
      </c>
      <c r="B2913" s="32" t="s">
        <v>593</v>
      </c>
      <c r="C2913" s="23" t="s">
        <v>236</v>
      </c>
      <c r="D2913" s="23" t="s">
        <v>21</v>
      </c>
      <c r="E2913" s="37">
        <v>45439.0</v>
      </c>
      <c r="F2913" s="25">
        <v>0.24722222222222223</v>
      </c>
      <c r="G2913" s="25">
        <v>0.7395833333333334</v>
      </c>
      <c r="H2913" s="27">
        <f t="shared" si="2"/>
        <v>0.4923611111</v>
      </c>
      <c r="I2913" s="28">
        <v>6.0</v>
      </c>
      <c r="J2913" s="29" t="s">
        <v>55</v>
      </c>
      <c r="K2913" s="30" t="s">
        <v>23</v>
      </c>
      <c r="L2913" s="31" t="str">
        <f>IFERROR(__xludf.DUMMYFUNCTION("IF(OR(E2913="""",K2913=""""),"""",IFERROR(IF(K2913="""","""",query('tbl user'!$A$2:$D10975,""SELECT A WHERE D = '""&amp;K2913&amp;""'"")),""USER TIDAK DIKETAHUI""))"),"#REF!")</f>
        <v>#REF!</v>
      </c>
    </row>
    <row r="2914">
      <c r="A2914" s="21">
        <f t="shared" si="1"/>
        <v>0</v>
      </c>
      <c r="B2914" s="32" t="s">
        <v>319</v>
      </c>
      <c r="C2914" s="23" t="s">
        <v>320</v>
      </c>
      <c r="D2914" s="23" t="s">
        <v>21</v>
      </c>
      <c r="E2914" s="37">
        <v>45439.0</v>
      </c>
      <c r="F2914" s="25">
        <v>0.2708333333333333</v>
      </c>
      <c r="G2914" s="25">
        <v>0.7090277777777778</v>
      </c>
      <c r="H2914" s="27">
        <f t="shared" si="2"/>
        <v>0.4381944444</v>
      </c>
      <c r="I2914" s="28">
        <v>6.0</v>
      </c>
      <c r="J2914" s="29" t="s">
        <v>55</v>
      </c>
      <c r="K2914" s="30" t="s">
        <v>23</v>
      </c>
      <c r="L2914" s="31" t="str">
        <f>IFERROR(__xludf.DUMMYFUNCTION("IF(OR(E2914="""",K2914=""""),"""",IFERROR(IF(K2914="""","""",query('tbl user'!$A$2:$D10975,""SELECT A WHERE D = '""&amp;K2914&amp;""'"")),""USER TIDAK DIKETAHUI""))"),"#REF!")</f>
        <v>#REF!</v>
      </c>
    </row>
    <row r="2915">
      <c r="A2915" s="21">
        <f t="shared" si="1"/>
        <v>0</v>
      </c>
      <c r="B2915" s="32" t="s">
        <v>337</v>
      </c>
      <c r="C2915" s="23" t="s">
        <v>338</v>
      </c>
      <c r="D2915" s="23" t="s">
        <v>21</v>
      </c>
      <c r="E2915" s="37">
        <v>45439.0</v>
      </c>
      <c r="F2915" s="25">
        <v>0.24375</v>
      </c>
      <c r="G2915" s="25">
        <v>0.7673611111111112</v>
      </c>
      <c r="H2915" s="27">
        <f t="shared" si="2"/>
        <v>0.5236111111</v>
      </c>
      <c r="I2915" s="28">
        <v>6.0</v>
      </c>
      <c r="J2915" s="29" t="s">
        <v>55</v>
      </c>
      <c r="K2915" s="30" t="s">
        <v>23</v>
      </c>
      <c r="L2915" s="31" t="str">
        <f>IFERROR(__xludf.DUMMYFUNCTION("IF(OR(E2915="""",K2915=""""),"""",IFERROR(IF(K2915="""","""",query('tbl user'!$A$2:$D10975,""SELECT A WHERE D = '""&amp;K2915&amp;""'"")),""USER TIDAK DIKETAHUI""))"),"#REF!")</f>
        <v>#REF!</v>
      </c>
    </row>
    <row r="2916">
      <c r="A2916" s="21">
        <f t="shared" si="1"/>
        <v>0</v>
      </c>
      <c r="B2916" s="32" t="s">
        <v>260</v>
      </c>
      <c r="C2916" s="23" t="s">
        <v>261</v>
      </c>
      <c r="D2916" s="23" t="s">
        <v>21</v>
      </c>
      <c r="E2916" s="37">
        <v>45439.0</v>
      </c>
      <c r="F2916" s="25">
        <v>0.23680555555555555</v>
      </c>
      <c r="G2916" s="25">
        <v>0.7305555555555555</v>
      </c>
      <c r="H2916" s="27">
        <f t="shared" si="2"/>
        <v>0.49375</v>
      </c>
      <c r="I2916" s="28">
        <v>6.0</v>
      </c>
      <c r="J2916" s="29" t="s">
        <v>55</v>
      </c>
      <c r="K2916" s="30" t="s">
        <v>23</v>
      </c>
      <c r="L2916" s="31" t="str">
        <f>IFERROR(__xludf.DUMMYFUNCTION("IF(OR(E2916="""",K2916=""""),"""",IFERROR(IF(K2916="""","""",query('tbl user'!$A$2:$D10975,""SELECT A WHERE D = '""&amp;K2916&amp;""'"")),""USER TIDAK DIKETAHUI""))"),"#REF!")</f>
        <v>#REF!</v>
      </c>
    </row>
    <row r="2917">
      <c r="A2917" s="21">
        <f t="shared" si="1"/>
        <v>0</v>
      </c>
      <c r="B2917" s="32" t="s">
        <v>127</v>
      </c>
      <c r="C2917" s="23" t="s">
        <v>128</v>
      </c>
      <c r="D2917" s="23" t="s">
        <v>32</v>
      </c>
      <c r="E2917" s="37">
        <v>45439.0</v>
      </c>
      <c r="F2917" s="25">
        <v>0.2826388888888889</v>
      </c>
      <c r="G2917" s="25">
        <v>0.6916666666666667</v>
      </c>
      <c r="H2917" s="27">
        <f t="shared" si="2"/>
        <v>0.4090277778</v>
      </c>
      <c r="I2917" s="28">
        <v>1.0</v>
      </c>
      <c r="J2917" s="29" t="s">
        <v>1341</v>
      </c>
      <c r="K2917" s="30" t="s">
        <v>23</v>
      </c>
      <c r="L2917" s="31" t="str">
        <f>IFERROR(__xludf.DUMMYFUNCTION("IF(OR(E2917="""",K2917=""""),"""",IFERROR(IF(K2917="""","""",query('tbl user'!$A$2:$D10975,""SELECT A WHERE D = '""&amp;K2917&amp;""'"")),""USER TIDAK DIKETAHUI""))"),"#REF!")</f>
        <v>#REF!</v>
      </c>
    </row>
    <row r="2918">
      <c r="A2918" s="21">
        <f t="shared" si="1"/>
        <v>0</v>
      </c>
      <c r="B2918" s="32" t="s">
        <v>30</v>
      </c>
      <c r="C2918" s="23" t="s">
        <v>31</v>
      </c>
      <c r="D2918" s="23" t="s">
        <v>32</v>
      </c>
      <c r="E2918" s="37">
        <v>45439.0</v>
      </c>
      <c r="F2918" s="25">
        <v>0.20902777777777778</v>
      </c>
      <c r="G2918" s="25">
        <v>0.6986111111111111</v>
      </c>
      <c r="H2918" s="27">
        <f t="shared" si="2"/>
        <v>0.4895833333</v>
      </c>
      <c r="I2918" s="28">
        <v>2.0</v>
      </c>
      <c r="J2918" s="29" t="s">
        <v>1342</v>
      </c>
      <c r="K2918" s="30" t="s">
        <v>23</v>
      </c>
      <c r="L2918" s="31" t="str">
        <f>IFERROR(__xludf.DUMMYFUNCTION("IF(OR(E2918="""",K2918=""""),"""",IFERROR(IF(K2918="""","""",query('tbl user'!$A$2:$D10975,""SELECT A WHERE D = '""&amp;K2918&amp;""'"")),""USER TIDAK DIKETAHUI""))"),"#REF!")</f>
        <v>#REF!</v>
      </c>
    </row>
    <row r="2919">
      <c r="A2919" s="21">
        <f t="shared" si="1"/>
        <v>0</v>
      </c>
      <c r="B2919" s="32" t="s">
        <v>263</v>
      </c>
      <c r="C2919" s="23" t="s">
        <v>264</v>
      </c>
      <c r="D2919" s="23" t="s">
        <v>32</v>
      </c>
      <c r="E2919" s="37">
        <v>45439.0</v>
      </c>
      <c r="F2919" s="25">
        <v>0.2777777777777778</v>
      </c>
      <c r="G2919" s="25">
        <v>0.7027777777777777</v>
      </c>
      <c r="H2919" s="27">
        <f t="shared" si="2"/>
        <v>0.425</v>
      </c>
      <c r="I2919" s="28">
        <v>2.0</v>
      </c>
      <c r="J2919" s="29" t="s">
        <v>1343</v>
      </c>
      <c r="K2919" s="30" t="s">
        <v>23</v>
      </c>
      <c r="L2919" s="31" t="str">
        <f>IFERROR(__xludf.DUMMYFUNCTION("IF(OR(E2919="""",K2919=""""),"""",IFERROR(IF(K2919="""","""",query('tbl user'!$A$2:$D10975,""SELECT A WHERE D = '""&amp;K2919&amp;""'"")),""USER TIDAK DIKETAHUI""))"),"#REF!")</f>
        <v>#REF!</v>
      </c>
    </row>
    <row r="2920">
      <c r="A2920" s="21">
        <f t="shared" si="1"/>
        <v>0</v>
      </c>
      <c r="B2920" s="32" t="s">
        <v>110</v>
      </c>
      <c r="C2920" s="23" t="s">
        <v>111</v>
      </c>
      <c r="D2920" s="23" t="s">
        <v>32</v>
      </c>
      <c r="E2920" s="37">
        <v>45439.0</v>
      </c>
      <c r="F2920" s="25">
        <v>0.3298611111111111</v>
      </c>
      <c r="G2920" s="25">
        <v>0.6298611111111111</v>
      </c>
      <c r="H2920" s="27">
        <f t="shared" si="2"/>
        <v>0.3</v>
      </c>
      <c r="I2920" s="28">
        <v>2.0</v>
      </c>
      <c r="J2920" s="29" t="s">
        <v>1344</v>
      </c>
      <c r="K2920" s="30" t="s">
        <v>23</v>
      </c>
      <c r="L2920" s="31" t="str">
        <f>IFERROR(__xludf.DUMMYFUNCTION("IF(OR(E2920="""",K2920=""""),"""",IFERROR(IF(K2920="""","""",query('tbl user'!$A$2:$D10975,""SELECT A WHERE D = '""&amp;K2920&amp;""'"")),""USER TIDAK DIKETAHUI""))"),"#REF!")</f>
        <v>#REF!</v>
      </c>
    </row>
    <row r="2921">
      <c r="A2921" s="21">
        <f t="shared" si="1"/>
        <v>0</v>
      </c>
      <c r="B2921" s="32" t="s">
        <v>250</v>
      </c>
      <c r="C2921" s="23" t="s">
        <v>315</v>
      </c>
      <c r="D2921" s="23" t="s">
        <v>32</v>
      </c>
      <c r="E2921" s="37">
        <v>45439.0</v>
      </c>
      <c r="F2921" s="25">
        <v>0.23402777777777778</v>
      </c>
      <c r="G2921" s="25">
        <v>0.7222222222222222</v>
      </c>
      <c r="H2921" s="27">
        <f t="shared" si="2"/>
        <v>0.4881944444</v>
      </c>
      <c r="I2921" s="28">
        <v>3.0</v>
      </c>
      <c r="J2921" s="29" t="s">
        <v>171</v>
      </c>
      <c r="K2921" s="30" t="s">
        <v>23</v>
      </c>
      <c r="L2921" s="31" t="str">
        <f>IFERROR(__xludf.DUMMYFUNCTION("IF(OR(E2921="""",K2921=""""),"""",IFERROR(IF(K2921="""","""",query('tbl user'!$A$2:$D10975,""SELECT A WHERE D = '""&amp;K2921&amp;""'"")),""USER TIDAK DIKETAHUI""))"),"#REF!")</f>
        <v>#REF!</v>
      </c>
    </row>
    <row r="2922">
      <c r="A2922" s="21">
        <f t="shared" si="1"/>
        <v>0</v>
      </c>
      <c r="B2922" s="32" t="s">
        <v>115</v>
      </c>
      <c r="C2922" s="23" t="s">
        <v>116</v>
      </c>
      <c r="D2922" s="23" t="s">
        <v>32</v>
      </c>
      <c r="E2922" s="37">
        <v>45439.0</v>
      </c>
      <c r="F2922" s="25">
        <v>0.27569444444444446</v>
      </c>
      <c r="G2922" s="25">
        <v>0.6951388888888889</v>
      </c>
      <c r="H2922" s="27">
        <f t="shared" si="2"/>
        <v>0.4194444444</v>
      </c>
      <c r="I2922" s="28">
        <v>3.0</v>
      </c>
      <c r="J2922" s="29" t="s">
        <v>171</v>
      </c>
      <c r="K2922" s="30" t="s">
        <v>23</v>
      </c>
      <c r="L2922" s="31" t="str">
        <f>IFERROR(__xludf.DUMMYFUNCTION("IF(OR(E2922="""",K2922=""""),"""",IFERROR(IF(K2922="""","""",query('tbl user'!$A$2:$D10975,""SELECT A WHERE D = '""&amp;K2922&amp;""'"")),""USER TIDAK DIKETAHUI""))"),"#REF!")</f>
        <v>#REF!</v>
      </c>
    </row>
    <row r="2923">
      <c r="A2923" s="21">
        <f t="shared" si="1"/>
        <v>0</v>
      </c>
      <c r="B2923" s="32" t="s">
        <v>137</v>
      </c>
      <c r="C2923" s="23" t="s">
        <v>138</v>
      </c>
      <c r="D2923" s="23" t="s">
        <v>32</v>
      </c>
      <c r="E2923" s="37">
        <v>45439.0</v>
      </c>
      <c r="F2923" s="25">
        <v>0.29791666666666666</v>
      </c>
      <c r="G2923" s="25">
        <v>0.6673611111111111</v>
      </c>
      <c r="H2923" s="27">
        <f t="shared" si="2"/>
        <v>0.3694444444</v>
      </c>
      <c r="I2923" s="28">
        <v>3.0</v>
      </c>
      <c r="J2923" s="29" t="s">
        <v>171</v>
      </c>
      <c r="K2923" s="30" t="s">
        <v>23</v>
      </c>
      <c r="L2923" s="31" t="str">
        <f>IFERROR(__xludf.DUMMYFUNCTION("IF(OR(E2923="""",K2923=""""),"""",IFERROR(IF(K2923="""","""",query('tbl user'!$A$2:$D10975,""SELECT A WHERE D = '""&amp;K2923&amp;""'"")),""USER TIDAK DIKETAHUI""))"),"#REF!")</f>
        <v>#REF!</v>
      </c>
    </row>
    <row r="2924">
      <c r="A2924" s="21">
        <f t="shared" si="1"/>
        <v>0</v>
      </c>
      <c r="B2924" s="32" t="s">
        <v>267</v>
      </c>
      <c r="C2924" s="23" t="s">
        <v>268</v>
      </c>
      <c r="D2924" s="23" t="s">
        <v>32</v>
      </c>
      <c r="E2924" s="37">
        <v>45439.0</v>
      </c>
      <c r="F2924" s="25">
        <v>0.30277777777777776</v>
      </c>
      <c r="G2924" s="25">
        <v>0.66875</v>
      </c>
      <c r="H2924" s="27">
        <f t="shared" si="2"/>
        <v>0.3659722222</v>
      </c>
      <c r="I2924" s="28">
        <v>3.0</v>
      </c>
      <c r="J2924" s="29" t="s">
        <v>171</v>
      </c>
      <c r="K2924" s="30" t="s">
        <v>23</v>
      </c>
      <c r="L2924" s="31" t="str">
        <f>IFERROR(__xludf.DUMMYFUNCTION("IF(OR(E2924="""",K2924=""""),"""",IFERROR(IF(K2924="""","""",query('tbl user'!$A$2:$D10975,""SELECT A WHERE D = '""&amp;K2924&amp;""'"")),""USER TIDAK DIKETAHUI""))"),"#REF!")</f>
        <v>#REF!</v>
      </c>
    </row>
    <row r="2925">
      <c r="A2925" s="21">
        <f t="shared" si="1"/>
        <v>0</v>
      </c>
      <c r="B2925" s="32" t="s">
        <v>125</v>
      </c>
      <c r="C2925" s="23" t="s">
        <v>132</v>
      </c>
      <c r="D2925" s="23" t="s">
        <v>32</v>
      </c>
      <c r="E2925" s="37">
        <v>45439.0</v>
      </c>
      <c r="F2925" s="25">
        <v>0.4340277777777778</v>
      </c>
      <c r="G2925" s="33">
        <v>0.7048611111111112</v>
      </c>
      <c r="H2925" s="27">
        <f t="shared" si="2"/>
        <v>0.2708333333</v>
      </c>
      <c r="I2925" s="28">
        <v>3.0</v>
      </c>
      <c r="J2925" s="29" t="s">
        <v>1345</v>
      </c>
      <c r="K2925" s="30" t="s">
        <v>23</v>
      </c>
      <c r="L2925" s="31" t="str">
        <f>IFERROR(__xludf.DUMMYFUNCTION("IF(OR(E2925="""",K2925=""""),"""",IFERROR(IF(K2925="""","""",query('tbl user'!$A$2:$D10975,""SELECT A WHERE D = '""&amp;K2925&amp;""'"")),""USER TIDAK DIKETAHUI""))"),"#REF!")</f>
        <v>#REF!</v>
      </c>
    </row>
    <row r="2926">
      <c r="A2926" s="21">
        <f t="shared" si="1"/>
        <v>0</v>
      </c>
      <c r="B2926" s="32" t="s">
        <v>40</v>
      </c>
      <c r="C2926" s="23" t="s">
        <v>41</v>
      </c>
      <c r="D2926" s="23" t="s">
        <v>32</v>
      </c>
      <c r="E2926" s="37">
        <v>45439.0</v>
      </c>
      <c r="F2926" s="25">
        <v>0.22569444444444445</v>
      </c>
      <c r="G2926" s="25">
        <v>0.6666666666666666</v>
      </c>
      <c r="H2926" s="27">
        <f t="shared" si="2"/>
        <v>0.4409722222</v>
      </c>
      <c r="I2926" s="28">
        <v>4.0</v>
      </c>
      <c r="J2926" s="29" t="s">
        <v>55</v>
      </c>
      <c r="K2926" s="30" t="s">
        <v>23</v>
      </c>
      <c r="L2926" s="31" t="str">
        <f>IFERROR(__xludf.DUMMYFUNCTION("IF(OR(E2926="""",K2926=""""),"""",IFERROR(IF(K2926="""","""",query('tbl user'!$A$2:$D10975,""SELECT A WHERE D = '""&amp;K2926&amp;""'"")),""USER TIDAK DIKETAHUI""))"),"#REF!")</f>
        <v>#REF!</v>
      </c>
    </row>
    <row r="2927">
      <c r="A2927" s="21">
        <f t="shared" si="1"/>
        <v>0</v>
      </c>
      <c r="B2927" s="32" t="s">
        <v>277</v>
      </c>
      <c r="C2927" s="23" t="s">
        <v>278</v>
      </c>
      <c r="D2927" s="23" t="s">
        <v>32</v>
      </c>
      <c r="E2927" s="37">
        <v>45439.0</v>
      </c>
      <c r="F2927" s="25">
        <v>0.23055555555555557</v>
      </c>
      <c r="G2927" s="25">
        <v>0.6465277777777778</v>
      </c>
      <c r="H2927" s="27">
        <f t="shared" si="2"/>
        <v>0.4159722222</v>
      </c>
      <c r="I2927" s="28">
        <v>4.0</v>
      </c>
      <c r="J2927" s="29" t="s">
        <v>55</v>
      </c>
      <c r="K2927" s="30" t="s">
        <v>23</v>
      </c>
      <c r="L2927" s="31" t="str">
        <f>IFERROR(__xludf.DUMMYFUNCTION("IF(OR(E2927="""",K2927=""""),"""",IFERROR(IF(K2927="""","""",query('tbl user'!$A$2:$D10975,""SELECT A WHERE D = '""&amp;K2927&amp;""'"")),""USER TIDAK DIKETAHUI""))"),"#REF!")</f>
        <v>#REF!</v>
      </c>
    </row>
    <row r="2928">
      <c r="A2928" s="21">
        <f t="shared" si="1"/>
        <v>0</v>
      </c>
      <c r="B2928" s="32" t="s">
        <v>123</v>
      </c>
      <c r="C2928" s="23" t="s">
        <v>124</v>
      </c>
      <c r="D2928" s="23" t="s">
        <v>32</v>
      </c>
      <c r="E2928" s="37">
        <v>45439.0</v>
      </c>
      <c r="F2928" s="25">
        <v>0.2326388888888889</v>
      </c>
      <c r="G2928" s="25">
        <v>0.6666666666666666</v>
      </c>
      <c r="H2928" s="27">
        <f t="shared" si="2"/>
        <v>0.4340277778</v>
      </c>
      <c r="I2928" s="28">
        <v>4.0</v>
      </c>
      <c r="J2928" s="29" t="s">
        <v>55</v>
      </c>
      <c r="K2928" s="30" t="s">
        <v>23</v>
      </c>
      <c r="L2928" s="31" t="str">
        <f>IFERROR(__xludf.DUMMYFUNCTION("IF(OR(E2928="""",K2928=""""),"""",IFERROR(IF(K2928="""","""",query('tbl user'!$A$2:$D10975,""SELECT A WHERE D = '""&amp;K2928&amp;""'"")),""USER TIDAK DIKETAHUI""))"),"#REF!")</f>
        <v>#REF!</v>
      </c>
    </row>
    <row r="2929">
      <c r="A2929" s="21">
        <f t="shared" si="1"/>
        <v>0</v>
      </c>
      <c r="B2929" s="32" t="s">
        <v>120</v>
      </c>
      <c r="C2929" s="23" t="s">
        <v>121</v>
      </c>
      <c r="D2929" s="23" t="s">
        <v>32</v>
      </c>
      <c r="E2929" s="37">
        <v>45439.0</v>
      </c>
      <c r="F2929" s="25">
        <v>0.24861111111111112</v>
      </c>
      <c r="G2929" s="33">
        <v>0.7104166666666667</v>
      </c>
      <c r="H2929" s="27">
        <f t="shared" si="2"/>
        <v>0.4618055556</v>
      </c>
      <c r="I2929" s="28">
        <v>4.0</v>
      </c>
      <c r="J2929" s="29" t="s">
        <v>55</v>
      </c>
      <c r="K2929" s="30" t="s">
        <v>23</v>
      </c>
      <c r="L2929" s="31" t="str">
        <f>IFERROR(__xludf.DUMMYFUNCTION("IF(OR(E2929="""",K2929=""""),"""",IFERROR(IF(K2929="""","""",query('tbl user'!$A$2:$D10975,""SELECT A WHERE D = '""&amp;K2929&amp;""'"")),""USER TIDAK DIKETAHUI""))"),"#REF!")</f>
        <v>#REF!</v>
      </c>
    </row>
    <row r="2930">
      <c r="A2930" s="21">
        <f t="shared" si="1"/>
        <v>0</v>
      </c>
      <c r="B2930" s="32" t="s">
        <v>149</v>
      </c>
      <c r="C2930" s="23" t="s">
        <v>150</v>
      </c>
      <c r="D2930" s="23" t="s">
        <v>32</v>
      </c>
      <c r="E2930" s="37">
        <v>45439.0</v>
      </c>
      <c r="F2930" s="25">
        <v>0.25069444444444444</v>
      </c>
      <c r="G2930" s="25">
        <v>0.6847222222222222</v>
      </c>
      <c r="H2930" s="27">
        <f t="shared" si="2"/>
        <v>0.4340277778</v>
      </c>
      <c r="I2930" s="28">
        <v>4.0</v>
      </c>
      <c r="J2930" s="29" t="s">
        <v>55</v>
      </c>
      <c r="K2930" s="30" t="s">
        <v>23</v>
      </c>
      <c r="L2930" s="31" t="str">
        <f>IFERROR(__xludf.DUMMYFUNCTION("IF(OR(E2930="""",K2930=""""),"""",IFERROR(IF(K2930="""","""",query('tbl user'!$A$2:$D10975,""SELECT A WHERE D = '""&amp;K2930&amp;""'"")),""USER TIDAK DIKETAHUI""))"),"#REF!")</f>
        <v>#REF!</v>
      </c>
    </row>
    <row r="2931">
      <c r="A2931" s="21">
        <f t="shared" si="1"/>
        <v>0</v>
      </c>
      <c r="B2931" s="32" t="s">
        <v>75</v>
      </c>
      <c r="C2931" s="23" t="s">
        <v>76</v>
      </c>
      <c r="D2931" s="23" t="s">
        <v>32</v>
      </c>
      <c r="E2931" s="37">
        <v>45439.0</v>
      </c>
      <c r="F2931" s="25">
        <v>0.2513888888888889</v>
      </c>
      <c r="G2931" s="25">
        <v>0.6736111111111112</v>
      </c>
      <c r="H2931" s="27">
        <f t="shared" si="2"/>
        <v>0.4222222222</v>
      </c>
      <c r="I2931" s="28">
        <v>4.0</v>
      </c>
      <c r="J2931" s="29" t="s">
        <v>55</v>
      </c>
      <c r="K2931" s="30" t="s">
        <v>23</v>
      </c>
      <c r="L2931" s="31" t="str">
        <f>IFERROR(__xludf.DUMMYFUNCTION("IF(OR(E2931="""",K2931=""""),"""",IFERROR(IF(K2931="""","""",query('tbl user'!$A$2:$D10975,""SELECT A WHERE D = '""&amp;K2931&amp;""'"")),""USER TIDAK DIKETAHUI""))"),"#REF!")</f>
        <v>#REF!</v>
      </c>
    </row>
    <row r="2932">
      <c r="A2932" s="21">
        <f t="shared" si="1"/>
        <v>0</v>
      </c>
      <c r="B2932" s="32" t="s">
        <v>312</v>
      </c>
      <c r="C2932" s="23" t="s">
        <v>313</v>
      </c>
      <c r="D2932" s="23" t="s">
        <v>32</v>
      </c>
      <c r="E2932" s="37">
        <v>45439.0</v>
      </c>
      <c r="F2932" s="25">
        <v>0.25277777777777777</v>
      </c>
      <c r="G2932" s="25">
        <v>0.6715277777777777</v>
      </c>
      <c r="H2932" s="27">
        <f t="shared" si="2"/>
        <v>0.41875</v>
      </c>
      <c r="I2932" s="28">
        <v>4.0</v>
      </c>
      <c r="J2932" s="29" t="s">
        <v>55</v>
      </c>
      <c r="K2932" s="30" t="s">
        <v>23</v>
      </c>
      <c r="L2932" s="31" t="str">
        <f>IFERROR(__xludf.DUMMYFUNCTION("IF(OR(E2932="""",K2932=""""),"""",IFERROR(IF(K2932="""","""",query('tbl user'!$A$2:$D10975,""SELECT A WHERE D = '""&amp;K2932&amp;""'"")),""USER TIDAK DIKETAHUI""))"),"#REF!")</f>
        <v>#REF!</v>
      </c>
    </row>
    <row r="2933">
      <c r="A2933" s="21">
        <f t="shared" si="1"/>
        <v>0</v>
      </c>
      <c r="B2933" s="32" t="s">
        <v>274</v>
      </c>
      <c r="C2933" s="23" t="s">
        <v>275</v>
      </c>
      <c r="D2933" s="23" t="s">
        <v>32</v>
      </c>
      <c r="E2933" s="37">
        <v>45439.0</v>
      </c>
      <c r="F2933" s="25">
        <v>0.2548611111111111</v>
      </c>
      <c r="G2933" s="25">
        <v>0.7256944444444444</v>
      </c>
      <c r="H2933" s="27">
        <f t="shared" si="2"/>
        <v>0.4708333333</v>
      </c>
      <c r="I2933" s="28">
        <v>4.0</v>
      </c>
      <c r="J2933" s="29" t="s">
        <v>55</v>
      </c>
      <c r="K2933" s="30" t="s">
        <v>23</v>
      </c>
      <c r="L2933" s="31" t="str">
        <f>IFERROR(__xludf.DUMMYFUNCTION("IF(OR(E2933="""",K2933=""""),"""",IFERROR(IF(K2933="""","""",query('tbl user'!$A$2:$D10975,""SELECT A WHERE D = '""&amp;K2933&amp;""'"")),""USER TIDAK DIKETAHUI""))"),"#REF!")</f>
        <v>#REF!</v>
      </c>
    </row>
    <row r="2934">
      <c r="A2934" s="21">
        <f t="shared" si="1"/>
        <v>0</v>
      </c>
      <c r="B2934" s="32" t="s">
        <v>279</v>
      </c>
      <c r="C2934" s="23" t="s">
        <v>280</v>
      </c>
      <c r="D2934" s="23" t="s">
        <v>32</v>
      </c>
      <c r="E2934" s="37">
        <v>45439.0</v>
      </c>
      <c r="F2934" s="25">
        <v>0.2590277777777778</v>
      </c>
      <c r="G2934" s="25">
        <v>0.6513888888888889</v>
      </c>
      <c r="H2934" s="27">
        <f t="shared" si="2"/>
        <v>0.3923611111</v>
      </c>
      <c r="I2934" s="28">
        <v>4.0</v>
      </c>
      <c r="J2934" s="29" t="s">
        <v>55</v>
      </c>
      <c r="K2934" s="30" t="s">
        <v>23</v>
      </c>
      <c r="L2934" s="31" t="str">
        <f>IFERROR(__xludf.DUMMYFUNCTION("IF(OR(E2934="""",K2934=""""),"""",IFERROR(IF(K2934="""","""",query('tbl user'!$A$2:$D10975,""SELECT A WHERE D = '""&amp;K2934&amp;""'"")),""USER TIDAK DIKETAHUI""))"),"#REF!")</f>
        <v>#REF!</v>
      </c>
    </row>
    <row r="2935">
      <c r="A2935" s="21">
        <f t="shared" si="1"/>
        <v>0</v>
      </c>
      <c r="B2935" s="32" t="s">
        <v>146</v>
      </c>
      <c r="C2935" s="23" t="s">
        <v>147</v>
      </c>
      <c r="D2935" s="23" t="s">
        <v>32</v>
      </c>
      <c r="E2935" s="37">
        <v>45439.0</v>
      </c>
      <c r="F2935" s="25">
        <v>0.26666666666666666</v>
      </c>
      <c r="G2935" s="25">
        <v>0.6784722222222223</v>
      </c>
      <c r="H2935" s="27">
        <f t="shared" si="2"/>
        <v>0.4118055556</v>
      </c>
      <c r="I2935" s="28">
        <v>4.0</v>
      </c>
      <c r="J2935" s="29" t="s">
        <v>55</v>
      </c>
      <c r="K2935" s="30" t="s">
        <v>23</v>
      </c>
      <c r="L2935" s="31" t="str">
        <f>IFERROR(__xludf.DUMMYFUNCTION("IF(OR(E2935="""",K2935=""""),"""",IFERROR(IF(K2935="""","""",query('tbl user'!$A$2:$D10975,""SELECT A WHERE D = '""&amp;K2935&amp;""'"")),""USER TIDAK DIKETAHUI""))"),"#REF!")</f>
        <v>#REF!</v>
      </c>
    </row>
    <row r="2936">
      <c r="A2936" s="21">
        <f t="shared" si="1"/>
        <v>0</v>
      </c>
      <c r="B2936" s="32" t="s">
        <v>151</v>
      </c>
      <c r="C2936" s="23" t="s">
        <v>152</v>
      </c>
      <c r="D2936" s="23" t="s">
        <v>32</v>
      </c>
      <c r="E2936" s="37">
        <v>45439.0</v>
      </c>
      <c r="F2936" s="25">
        <v>0.2763888888888889</v>
      </c>
      <c r="G2936" s="25">
        <v>0.6465277777777778</v>
      </c>
      <c r="H2936" s="27">
        <f t="shared" si="2"/>
        <v>0.3701388889</v>
      </c>
      <c r="I2936" s="28">
        <v>4.0</v>
      </c>
      <c r="J2936" s="29" t="s">
        <v>55</v>
      </c>
      <c r="K2936" s="30" t="s">
        <v>23</v>
      </c>
      <c r="L2936" s="31" t="str">
        <f>IFERROR(__xludf.DUMMYFUNCTION("IF(OR(E2936="""",K2936=""""),"""",IFERROR(IF(K2936="""","""",query('tbl user'!$A$2:$D10975,""SELECT A WHERE D = '""&amp;K2936&amp;""'"")),""USER TIDAK DIKETAHUI""))"),"#REF!")</f>
        <v>#REF!</v>
      </c>
    </row>
    <row r="2937">
      <c r="A2937" s="21">
        <f t="shared" si="1"/>
        <v>0</v>
      </c>
      <c r="B2937" s="32" t="s">
        <v>141</v>
      </c>
      <c r="C2937" s="23" t="s">
        <v>142</v>
      </c>
      <c r="D2937" s="23" t="s">
        <v>32</v>
      </c>
      <c r="E2937" s="37">
        <v>45439.0</v>
      </c>
      <c r="F2937" s="25">
        <v>0.28055555555555556</v>
      </c>
      <c r="G2937" s="25">
        <v>0.6555555555555556</v>
      </c>
      <c r="H2937" s="27">
        <f t="shared" si="2"/>
        <v>0.375</v>
      </c>
      <c r="I2937" s="28">
        <v>4.0</v>
      </c>
      <c r="J2937" s="29" t="s">
        <v>55</v>
      </c>
      <c r="K2937" s="30" t="s">
        <v>23</v>
      </c>
      <c r="L2937" s="31" t="str">
        <f>IFERROR(__xludf.DUMMYFUNCTION("IF(OR(E2937="""",K2937=""""),"""",IFERROR(IF(K2937="""","""",query('tbl user'!$A$2:$D10975,""SELECT A WHERE D = '""&amp;K2937&amp;""'"")),""USER TIDAK DIKETAHUI""))"),"#REF!")</f>
        <v>#REF!</v>
      </c>
    </row>
    <row r="2938">
      <c r="A2938" s="21">
        <f t="shared" si="1"/>
        <v>0</v>
      </c>
      <c r="B2938" s="32" t="s">
        <v>135</v>
      </c>
      <c r="C2938" s="23" t="s">
        <v>136</v>
      </c>
      <c r="D2938" s="23" t="s">
        <v>32</v>
      </c>
      <c r="E2938" s="37">
        <v>45439.0</v>
      </c>
      <c r="F2938" s="25">
        <v>0.28958333333333336</v>
      </c>
      <c r="G2938" s="25">
        <v>0.73125</v>
      </c>
      <c r="H2938" s="27">
        <f t="shared" si="2"/>
        <v>0.4416666667</v>
      </c>
      <c r="I2938" s="28">
        <v>4.0</v>
      </c>
      <c r="J2938" s="29" t="s">
        <v>55</v>
      </c>
      <c r="K2938" s="30" t="s">
        <v>23</v>
      </c>
      <c r="L2938" s="31" t="str">
        <f>IFERROR(__xludf.DUMMYFUNCTION("IF(OR(E2938="""",K2938=""""),"""",IFERROR(IF(K2938="""","""",query('tbl user'!$A$2:$D10975,""SELECT A WHERE D = '""&amp;K2938&amp;""'"")),""USER TIDAK DIKETAHUI""))"),"#REF!")</f>
        <v>#REF!</v>
      </c>
    </row>
    <row r="2939">
      <c r="A2939" s="21">
        <f t="shared" si="1"/>
        <v>0</v>
      </c>
      <c r="B2939" s="32" t="s">
        <v>269</v>
      </c>
      <c r="C2939" s="23" t="s">
        <v>270</v>
      </c>
      <c r="D2939" s="23" t="s">
        <v>32</v>
      </c>
      <c r="E2939" s="37">
        <v>45439.0</v>
      </c>
      <c r="F2939" s="25">
        <v>0.29791666666666666</v>
      </c>
      <c r="G2939" s="25">
        <v>0.7361111111111112</v>
      </c>
      <c r="H2939" s="27">
        <f t="shared" si="2"/>
        <v>0.4381944444</v>
      </c>
      <c r="I2939" s="28">
        <v>4.0</v>
      </c>
      <c r="J2939" s="29" t="s">
        <v>55</v>
      </c>
      <c r="K2939" s="30" t="s">
        <v>23</v>
      </c>
      <c r="L2939" s="31" t="str">
        <f>IFERROR(__xludf.DUMMYFUNCTION("IF(OR(E2939="""",K2939=""""),"""",IFERROR(IF(K2939="""","""",query('tbl user'!$A$2:$D10975,""SELECT A WHERE D = '""&amp;K2939&amp;""'"")),""USER TIDAK DIKETAHUI""))"),"#REF!")</f>
        <v>#REF!</v>
      </c>
    </row>
    <row r="2940">
      <c r="A2940" s="21">
        <f t="shared" si="1"/>
        <v>0</v>
      </c>
      <c r="B2940" s="32" t="s">
        <v>118</v>
      </c>
      <c r="C2940" s="23" t="s">
        <v>119</v>
      </c>
      <c r="D2940" s="23" t="s">
        <v>32</v>
      </c>
      <c r="E2940" s="37">
        <v>45439.0</v>
      </c>
      <c r="F2940" s="25">
        <v>0.27708333333333335</v>
      </c>
      <c r="G2940" s="25">
        <v>0.7354166666666667</v>
      </c>
      <c r="H2940" s="27">
        <f t="shared" si="2"/>
        <v>0.4583333333</v>
      </c>
      <c r="I2940" s="28">
        <v>5.0</v>
      </c>
      <c r="J2940" s="29" t="s">
        <v>55</v>
      </c>
      <c r="K2940" s="30" t="s">
        <v>23</v>
      </c>
      <c r="L2940" s="31" t="str">
        <f>IFERROR(__xludf.DUMMYFUNCTION("IF(OR(E2940="""",K2940=""""),"""",IFERROR(IF(K2940="""","""",query('tbl user'!$A$2:$D10975,""SELECT A WHERE D = '""&amp;K2940&amp;""'"")),""USER TIDAK DIKETAHUI""))"),"#REF!")</f>
        <v>#REF!</v>
      </c>
    </row>
    <row r="2941">
      <c r="A2941" s="21">
        <f t="shared" si="1"/>
        <v>0</v>
      </c>
      <c r="B2941" s="32" t="s">
        <v>56</v>
      </c>
      <c r="C2941" s="23" t="s">
        <v>57</v>
      </c>
      <c r="D2941" s="23" t="s">
        <v>58</v>
      </c>
      <c r="E2941" s="37">
        <v>45440.0</v>
      </c>
      <c r="F2941" s="25">
        <v>0.28958333333333336</v>
      </c>
      <c r="G2941" s="25">
        <v>0.5583333333333333</v>
      </c>
      <c r="H2941" s="27">
        <f t="shared" si="2"/>
        <v>0.26875</v>
      </c>
      <c r="I2941" s="28">
        <v>1.0</v>
      </c>
      <c r="J2941" s="29" t="s">
        <v>94</v>
      </c>
      <c r="K2941" s="30" t="s">
        <v>23</v>
      </c>
      <c r="L2941" s="31" t="str">
        <f>IFERROR(__xludf.DUMMYFUNCTION("IF(OR(E2941="""",K2941=""""),"""",IFERROR(IF(K2941="""","""",query('tbl user'!$A$2:$D10975,""SELECT A WHERE D = '""&amp;K2941&amp;""'"")),""USER TIDAK DIKETAHUI""))"),"#REF!")</f>
        <v>#REF!</v>
      </c>
    </row>
    <row r="2942">
      <c r="A2942" s="21">
        <f t="shared" si="1"/>
        <v>0</v>
      </c>
      <c r="B2942" s="32" t="s">
        <v>224</v>
      </c>
      <c r="C2942" s="23" t="s">
        <v>208</v>
      </c>
      <c r="D2942" s="23" t="s">
        <v>58</v>
      </c>
      <c r="E2942" s="37">
        <v>45440.0</v>
      </c>
      <c r="F2942" s="25">
        <v>0.24444444444444444</v>
      </c>
      <c r="G2942" s="25">
        <v>0.41458333333333336</v>
      </c>
      <c r="H2942" s="27">
        <f t="shared" si="2"/>
        <v>0.1701388889</v>
      </c>
      <c r="I2942" s="28">
        <v>1.0</v>
      </c>
      <c r="J2942" s="29" t="s">
        <v>94</v>
      </c>
      <c r="K2942" s="30" t="s">
        <v>23</v>
      </c>
      <c r="L2942" s="31" t="str">
        <f>IFERROR(__xludf.DUMMYFUNCTION("IF(OR(E2942="""",K2942=""""),"""",IFERROR(IF(K2942="""","""",query('tbl user'!$A$2:$D10975,""SELECT A WHERE D = '""&amp;K2942&amp;""'"")),""USER TIDAK DIKETAHUI""))"),"#REF!")</f>
        <v>#REF!</v>
      </c>
    </row>
    <row r="2943">
      <c r="A2943" s="21">
        <f t="shared" si="1"/>
        <v>0</v>
      </c>
      <c r="B2943" s="32" t="s">
        <v>84</v>
      </c>
      <c r="C2943" s="23" t="s">
        <v>85</v>
      </c>
      <c r="D2943" s="23" t="s">
        <v>58</v>
      </c>
      <c r="E2943" s="37">
        <v>45440.0</v>
      </c>
      <c r="F2943" s="25">
        <v>0.4375</v>
      </c>
      <c r="G2943" s="25">
        <v>0.5805555555555556</v>
      </c>
      <c r="H2943" s="27">
        <f t="shared" si="2"/>
        <v>0.1430555556</v>
      </c>
      <c r="I2943" s="28">
        <v>1.0</v>
      </c>
      <c r="J2943" s="29" t="s">
        <v>94</v>
      </c>
      <c r="K2943" s="30" t="s">
        <v>23</v>
      </c>
      <c r="L2943" s="31" t="str">
        <f>IFERROR(__xludf.DUMMYFUNCTION("IF(OR(E2943="""",K2943=""""),"""",IFERROR(IF(K2943="""","""",query('tbl user'!$A$2:$D10975,""SELECT A WHERE D = '""&amp;K2943&amp;""'"")),""USER TIDAK DIKETAHUI""))"),"#REF!")</f>
        <v>#REF!</v>
      </c>
    </row>
    <row r="2944">
      <c r="A2944" s="21">
        <f t="shared" si="1"/>
        <v>0</v>
      </c>
      <c r="B2944" s="32" t="s">
        <v>214</v>
      </c>
      <c r="C2944" s="23" t="s">
        <v>170</v>
      </c>
      <c r="D2944" s="23" t="s">
        <v>58</v>
      </c>
      <c r="E2944" s="37">
        <v>45440.0</v>
      </c>
      <c r="F2944" s="25">
        <v>0.3138888888888889</v>
      </c>
      <c r="G2944" s="25">
        <v>0.5631944444444444</v>
      </c>
      <c r="H2944" s="27">
        <f t="shared" si="2"/>
        <v>0.2493055556</v>
      </c>
      <c r="I2944" s="28">
        <v>2.0</v>
      </c>
      <c r="J2944" s="29" t="s">
        <v>94</v>
      </c>
      <c r="K2944" s="30" t="s">
        <v>23</v>
      </c>
      <c r="L2944" s="31" t="str">
        <f>IFERROR(__xludf.DUMMYFUNCTION("IF(OR(E2944="""",K2944=""""),"""",IFERROR(IF(K2944="""","""",query('tbl user'!$A$2:$D10975,""SELECT A WHERE D = '""&amp;K2944&amp;""'"")),""USER TIDAK DIKETAHUI""))"),"#REF!")</f>
        <v>#REF!</v>
      </c>
    </row>
    <row r="2945">
      <c r="A2945" s="21">
        <f t="shared" si="1"/>
        <v>0</v>
      </c>
      <c r="B2945" s="32" t="s">
        <v>184</v>
      </c>
      <c r="C2945" s="23" t="s">
        <v>185</v>
      </c>
      <c r="D2945" s="23" t="s">
        <v>58</v>
      </c>
      <c r="E2945" s="37">
        <v>45440.0</v>
      </c>
      <c r="F2945" s="25">
        <v>0.43333333333333335</v>
      </c>
      <c r="G2945" s="25">
        <v>0.6854166666666667</v>
      </c>
      <c r="H2945" s="27">
        <f t="shared" si="2"/>
        <v>0.2520833333</v>
      </c>
      <c r="I2945" s="28">
        <v>2.0</v>
      </c>
      <c r="J2945" s="29" t="s">
        <v>94</v>
      </c>
      <c r="K2945" s="30" t="s">
        <v>23</v>
      </c>
      <c r="L2945" s="31" t="str">
        <f>IFERROR(__xludf.DUMMYFUNCTION("IF(OR(E2945="""",K2945=""""),"""",IFERROR(IF(K2945="""","""",query('tbl user'!$A$2:$D10975,""SELECT A WHERE D = '""&amp;K2945&amp;""'"")),""USER TIDAK DIKETAHUI""))"),"#REF!")</f>
        <v>#REF!</v>
      </c>
    </row>
    <row r="2946">
      <c r="A2946" s="21">
        <f t="shared" si="1"/>
        <v>0</v>
      </c>
      <c r="B2946" s="32" t="s">
        <v>189</v>
      </c>
      <c r="C2946" s="23" t="s">
        <v>190</v>
      </c>
      <c r="D2946" s="23" t="s">
        <v>58</v>
      </c>
      <c r="E2946" s="37">
        <v>45440.0</v>
      </c>
      <c r="F2946" s="25">
        <v>0.2777777777777778</v>
      </c>
      <c r="G2946" s="25">
        <v>0.5604166666666667</v>
      </c>
      <c r="H2946" s="27">
        <f t="shared" si="2"/>
        <v>0.2826388889</v>
      </c>
      <c r="I2946" s="28">
        <v>2.0</v>
      </c>
      <c r="J2946" s="29" t="s">
        <v>94</v>
      </c>
      <c r="K2946" s="30" t="s">
        <v>23</v>
      </c>
      <c r="L2946" s="31" t="str">
        <f>IFERROR(__xludf.DUMMYFUNCTION("IF(OR(E2946="""",K2946=""""),"""",IFERROR(IF(K2946="""","""",query('tbl user'!$A$2:$D10975,""SELECT A WHERE D = '""&amp;K2946&amp;""'"")),""USER TIDAK DIKETAHUI""))"),"#REF!")</f>
        <v>#REF!</v>
      </c>
    </row>
    <row r="2947">
      <c r="A2947" s="21">
        <f t="shared" si="1"/>
        <v>0</v>
      </c>
      <c r="B2947" s="32" t="s">
        <v>194</v>
      </c>
      <c r="C2947" s="23" t="s">
        <v>195</v>
      </c>
      <c r="D2947" s="23" t="s">
        <v>58</v>
      </c>
      <c r="E2947" s="37">
        <v>45440.0</v>
      </c>
      <c r="F2947" s="25">
        <v>0.225</v>
      </c>
      <c r="G2947" s="25">
        <v>0.47638888888888886</v>
      </c>
      <c r="H2947" s="27">
        <f t="shared" si="2"/>
        <v>0.2513888889</v>
      </c>
      <c r="I2947" s="28">
        <v>2.0</v>
      </c>
      <c r="J2947" s="29" t="s">
        <v>94</v>
      </c>
      <c r="K2947" s="30" t="s">
        <v>23</v>
      </c>
      <c r="L2947" s="31" t="str">
        <f>IFERROR(__xludf.DUMMYFUNCTION("IF(OR(E2947="""",K2947=""""),"""",IFERROR(IF(K2947="""","""",query('tbl user'!$A$2:$D10975,""SELECT A WHERE D = '""&amp;K2947&amp;""'"")),""USER TIDAK DIKETAHUI""))"),"#REF!")</f>
        <v>#REF!</v>
      </c>
    </row>
    <row r="2948">
      <c r="A2948" s="21">
        <f t="shared" si="1"/>
        <v>0</v>
      </c>
      <c r="B2948" s="32" t="s">
        <v>202</v>
      </c>
      <c r="C2948" s="23" t="s">
        <v>203</v>
      </c>
      <c r="D2948" s="23" t="s">
        <v>58</v>
      </c>
      <c r="E2948" s="37">
        <v>45440.0</v>
      </c>
      <c r="F2948" s="25">
        <v>0.2722222222222222</v>
      </c>
      <c r="G2948" s="25">
        <v>0.5513888888888889</v>
      </c>
      <c r="H2948" s="27">
        <f t="shared" si="2"/>
        <v>0.2791666667</v>
      </c>
      <c r="I2948" s="28">
        <v>2.0</v>
      </c>
      <c r="J2948" s="29" t="s">
        <v>94</v>
      </c>
      <c r="K2948" s="30" t="s">
        <v>23</v>
      </c>
      <c r="L2948" s="31" t="str">
        <f>IFERROR(__xludf.DUMMYFUNCTION("IF(OR(E2948="""",K2948=""""),"""",IFERROR(IF(K2948="""","""",query('tbl user'!$A$2:$D10975,""SELECT A WHERE D = '""&amp;K2948&amp;""'"")),""USER TIDAK DIKETAHUI""))"),"#REF!")</f>
        <v>#REF!</v>
      </c>
    </row>
    <row r="2949">
      <c r="A2949" s="21">
        <f t="shared" si="1"/>
        <v>0</v>
      </c>
      <c r="B2949" s="32" t="s">
        <v>205</v>
      </c>
      <c r="C2949" s="23" t="s">
        <v>206</v>
      </c>
      <c r="D2949" s="23" t="s">
        <v>58</v>
      </c>
      <c r="E2949" s="37">
        <v>45440.0</v>
      </c>
      <c r="F2949" s="25">
        <v>0.24444444444444444</v>
      </c>
      <c r="G2949" s="25">
        <v>0.5798611111111112</v>
      </c>
      <c r="H2949" s="27">
        <f t="shared" si="2"/>
        <v>0.3354166667</v>
      </c>
      <c r="I2949" s="28">
        <v>2.0</v>
      </c>
      <c r="J2949" s="29" t="s">
        <v>94</v>
      </c>
      <c r="K2949" s="30" t="s">
        <v>23</v>
      </c>
      <c r="L2949" s="31" t="str">
        <f>IFERROR(__xludf.DUMMYFUNCTION("IF(OR(E2949="""",K2949=""""),"""",IFERROR(IF(K2949="""","""",query('tbl user'!$A$2:$D10975,""SELECT A WHERE D = '""&amp;K2949&amp;""'"")),""USER TIDAK DIKETAHUI""))"),"#REF!")</f>
        <v>#REF!</v>
      </c>
    </row>
    <row r="2950">
      <c r="A2950" s="21">
        <f t="shared" si="1"/>
        <v>0</v>
      </c>
      <c r="B2950" s="32" t="s">
        <v>153</v>
      </c>
      <c r="C2950" s="23" t="s">
        <v>211</v>
      </c>
      <c r="D2950" s="23" t="s">
        <v>58</v>
      </c>
      <c r="E2950" s="37">
        <v>45440.0</v>
      </c>
      <c r="F2950" s="25">
        <v>0.2534722222222222</v>
      </c>
      <c r="G2950" s="25">
        <v>0.6444444444444445</v>
      </c>
      <c r="H2950" s="27">
        <f t="shared" si="2"/>
        <v>0.3909722222</v>
      </c>
      <c r="I2950" s="28">
        <v>3.0</v>
      </c>
      <c r="J2950" s="29" t="s">
        <v>94</v>
      </c>
      <c r="K2950" s="30" t="s">
        <v>23</v>
      </c>
      <c r="L2950" s="31" t="str">
        <f>IFERROR(__xludf.DUMMYFUNCTION("IF(OR(E2950="""",K2950=""""),"""",IFERROR(IF(K2950="""","""",query('tbl user'!$A$2:$D10975,""SELECT A WHERE D = '""&amp;K2950&amp;""'"")),""USER TIDAK DIKETAHUI""))"),"#REF!")</f>
        <v>#REF!</v>
      </c>
    </row>
    <row r="2951">
      <c r="A2951" s="21">
        <f t="shared" si="1"/>
        <v>0</v>
      </c>
      <c r="B2951" s="32" t="s">
        <v>167</v>
      </c>
      <c r="C2951" s="23" t="s">
        <v>168</v>
      </c>
      <c r="D2951" s="23" t="s">
        <v>58</v>
      </c>
      <c r="E2951" s="37">
        <v>45440.0</v>
      </c>
      <c r="F2951" s="25">
        <v>0.2951388888888889</v>
      </c>
      <c r="G2951" s="25">
        <v>0.6527777777777778</v>
      </c>
      <c r="H2951" s="27">
        <f t="shared" si="2"/>
        <v>0.3576388889</v>
      </c>
      <c r="I2951" s="28">
        <v>3.0</v>
      </c>
      <c r="J2951" s="29" t="s">
        <v>94</v>
      </c>
      <c r="K2951" s="30" t="s">
        <v>23</v>
      </c>
      <c r="L2951" s="31" t="str">
        <f>IFERROR(__xludf.DUMMYFUNCTION("IF(OR(E2951="""",K2951=""""),"""",IFERROR(IF(K2951="""","""",query('tbl user'!$A$2:$D10975,""SELECT A WHERE D = '""&amp;K2951&amp;""'"")),""USER TIDAK DIKETAHUI""))"),"#REF!")</f>
        <v>#REF!</v>
      </c>
    </row>
    <row r="2952">
      <c r="A2952" s="21">
        <f t="shared" si="1"/>
        <v>0</v>
      </c>
      <c r="B2952" s="32" t="s">
        <v>178</v>
      </c>
      <c r="C2952" s="23" t="s">
        <v>82</v>
      </c>
      <c r="D2952" s="23" t="s">
        <v>58</v>
      </c>
      <c r="E2952" s="37">
        <v>45440.0</v>
      </c>
      <c r="F2952" s="25">
        <v>0.30416666666666664</v>
      </c>
      <c r="G2952" s="25">
        <v>0.6694444444444444</v>
      </c>
      <c r="H2952" s="27">
        <f t="shared" si="2"/>
        <v>0.3652777778</v>
      </c>
      <c r="I2952" s="28">
        <v>3.0</v>
      </c>
      <c r="J2952" s="29" t="s">
        <v>94</v>
      </c>
      <c r="K2952" s="30" t="s">
        <v>23</v>
      </c>
      <c r="L2952" s="31" t="str">
        <f>IFERROR(__xludf.DUMMYFUNCTION("IF(OR(E2952="""",K2952=""""),"""",IFERROR(IF(K2952="""","""",query('tbl user'!$A$2:$D10975,""SELECT A WHERE D = '""&amp;K2952&amp;""'"")),""USER TIDAK DIKETAHUI""))"),"#REF!")</f>
        <v>#REF!</v>
      </c>
    </row>
    <row r="2953">
      <c r="A2953" s="21">
        <f t="shared" si="1"/>
        <v>0</v>
      </c>
      <c r="B2953" s="32" t="s">
        <v>180</v>
      </c>
      <c r="C2953" s="23" t="s">
        <v>181</v>
      </c>
      <c r="D2953" s="23" t="s">
        <v>58</v>
      </c>
      <c r="E2953" s="37">
        <v>45440.0</v>
      </c>
      <c r="F2953" s="25">
        <v>0.25069444444444444</v>
      </c>
      <c r="G2953" s="25">
        <v>0.5916666666666667</v>
      </c>
      <c r="H2953" s="27">
        <f t="shared" si="2"/>
        <v>0.3409722222</v>
      </c>
      <c r="I2953" s="28">
        <v>3.0</v>
      </c>
      <c r="J2953" s="29" t="s">
        <v>94</v>
      </c>
      <c r="K2953" s="30" t="s">
        <v>23</v>
      </c>
      <c r="L2953" s="31" t="str">
        <f>IFERROR(__xludf.DUMMYFUNCTION("IF(OR(E2953="""",K2953=""""),"""",IFERROR(IF(K2953="""","""",query('tbl user'!$A$2:$D10975,""SELECT A WHERE D = '""&amp;K2953&amp;""'"")),""USER TIDAK DIKETAHUI""))"),"#REF!")</f>
        <v>#REF!</v>
      </c>
    </row>
    <row r="2954">
      <c r="A2954" s="21">
        <f t="shared" si="1"/>
        <v>0</v>
      </c>
      <c r="B2954" s="32" t="s">
        <v>191</v>
      </c>
      <c r="C2954" s="23" t="s">
        <v>192</v>
      </c>
      <c r="D2954" s="23" t="s">
        <v>58</v>
      </c>
      <c r="E2954" s="37">
        <v>45440.0</v>
      </c>
      <c r="F2954" s="25">
        <v>0.2743055555555556</v>
      </c>
      <c r="G2954" s="25">
        <v>0.6118055555555556</v>
      </c>
      <c r="H2954" s="27">
        <f t="shared" si="2"/>
        <v>0.3375</v>
      </c>
      <c r="I2954" s="28">
        <v>3.0</v>
      </c>
      <c r="J2954" s="29" t="s">
        <v>94</v>
      </c>
      <c r="K2954" s="30" t="s">
        <v>23</v>
      </c>
      <c r="L2954" s="31" t="str">
        <f>IFERROR(__xludf.DUMMYFUNCTION("IF(OR(E2954="""",K2954=""""),"""",IFERROR(IF(K2954="""","""",query('tbl user'!$A$2:$D10975,""SELECT A WHERE D = '""&amp;K2954&amp;""'"")),""USER TIDAK DIKETAHUI""))"),"#REF!")</f>
        <v>#REF!</v>
      </c>
    </row>
    <row r="2955">
      <c r="A2955" s="21">
        <f t="shared" si="1"/>
        <v>0</v>
      </c>
      <c r="B2955" s="32" t="s">
        <v>200</v>
      </c>
      <c r="C2955" s="23" t="s">
        <v>201</v>
      </c>
      <c r="D2955" s="23" t="s">
        <v>58</v>
      </c>
      <c r="E2955" s="37">
        <v>45440.0</v>
      </c>
      <c r="F2955" s="25">
        <v>0.20555555555555555</v>
      </c>
      <c r="G2955" s="25">
        <v>0.6055555555555555</v>
      </c>
      <c r="H2955" s="27">
        <f t="shared" si="2"/>
        <v>0.4</v>
      </c>
      <c r="I2955" s="28">
        <v>3.0</v>
      </c>
      <c r="J2955" s="29" t="s">
        <v>94</v>
      </c>
      <c r="K2955" s="30" t="s">
        <v>23</v>
      </c>
      <c r="L2955" s="31" t="str">
        <f>IFERROR(__xludf.DUMMYFUNCTION("IF(OR(E2955="""",K2955=""""),"""",IFERROR(IF(K2955="""","""",query('tbl user'!$A$2:$D10975,""SELECT A WHERE D = '""&amp;K2955&amp;""'"")),""USER TIDAK DIKETAHUI""))"),"#REF!")</f>
        <v>#REF!</v>
      </c>
    </row>
    <row r="2956">
      <c r="A2956" s="21">
        <f t="shared" si="1"/>
        <v>0</v>
      </c>
      <c r="B2956" s="32" t="s">
        <v>104</v>
      </c>
      <c r="C2956" s="23" t="s">
        <v>105</v>
      </c>
      <c r="D2956" s="23" t="s">
        <v>58</v>
      </c>
      <c r="E2956" s="37">
        <v>45440.0</v>
      </c>
      <c r="F2956" s="25">
        <v>0.2465277777777778</v>
      </c>
      <c r="G2956" s="25">
        <v>0.6972222222222222</v>
      </c>
      <c r="H2956" s="27">
        <f t="shared" si="2"/>
        <v>0.4506944444</v>
      </c>
      <c r="I2956" s="28">
        <v>3.0</v>
      </c>
      <c r="J2956" s="29" t="s">
        <v>94</v>
      </c>
      <c r="K2956" s="30" t="s">
        <v>23</v>
      </c>
      <c r="L2956" s="31" t="str">
        <f>IFERROR(__xludf.DUMMYFUNCTION("IF(OR(E2956="""",K2956=""""),"""",IFERROR(IF(K2956="""","""",query('tbl user'!$A$2:$D10975,""SELECT A WHERE D = '""&amp;K2956&amp;""'"")),""USER TIDAK DIKETAHUI""))"),"#REF!")</f>
        <v>#REF!</v>
      </c>
    </row>
    <row r="2957">
      <c r="A2957" s="21">
        <f t="shared" si="1"/>
        <v>0</v>
      </c>
      <c r="B2957" s="32" t="s">
        <v>297</v>
      </c>
      <c r="C2957" s="23" t="s">
        <v>348</v>
      </c>
      <c r="D2957" s="23" t="s">
        <v>58</v>
      </c>
      <c r="E2957" s="37">
        <v>45440.0</v>
      </c>
      <c r="F2957" s="25">
        <v>0.27152777777777776</v>
      </c>
      <c r="G2957" s="25">
        <v>0.6354166666666666</v>
      </c>
      <c r="H2957" s="27">
        <f t="shared" si="2"/>
        <v>0.3638888889</v>
      </c>
      <c r="I2957" s="28">
        <v>3.0</v>
      </c>
      <c r="J2957" s="29" t="s">
        <v>94</v>
      </c>
      <c r="K2957" s="30" t="s">
        <v>23</v>
      </c>
      <c r="L2957" s="31" t="str">
        <f>IFERROR(__xludf.DUMMYFUNCTION("IF(OR(E2957="""",K2957=""""),"""",IFERROR(IF(K2957="""","""",query('tbl user'!$A$2:$D10975,""SELECT A WHERE D = '""&amp;K2957&amp;""'"")),""USER TIDAK DIKETAHUI""))"),"#REF!")</f>
        <v>#REF!</v>
      </c>
    </row>
    <row r="2958">
      <c r="A2958" s="21">
        <f t="shared" si="1"/>
        <v>0</v>
      </c>
      <c r="B2958" s="32" t="s">
        <v>175</v>
      </c>
      <c r="C2958" s="23" t="s">
        <v>176</v>
      </c>
      <c r="D2958" s="23" t="s">
        <v>58</v>
      </c>
      <c r="E2958" s="37">
        <v>45440.0</v>
      </c>
      <c r="F2958" s="25">
        <v>0.2513888888888889</v>
      </c>
      <c r="G2958" s="25">
        <v>0.7048611111111112</v>
      </c>
      <c r="H2958" s="27">
        <f t="shared" si="2"/>
        <v>0.4534722222</v>
      </c>
      <c r="I2958" s="28">
        <v>4.0</v>
      </c>
      <c r="J2958" s="29" t="s">
        <v>94</v>
      </c>
      <c r="K2958" s="30" t="s">
        <v>23</v>
      </c>
      <c r="L2958" s="31" t="str">
        <f>IFERROR(__xludf.DUMMYFUNCTION("IF(OR(E2958="""",K2958=""""),"""",IFERROR(IF(K2958="""","""",query('tbl user'!$A$2:$D10975,""SELECT A WHERE D = '""&amp;K2958&amp;""'"")),""USER TIDAK DIKETAHUI""))"),"#REF!")</f>
        <v>#REF!</v>
      </c>
    </row>
    <row r="2959">
      <c r="A2959" s="21">
        <f t="shared" si="1"/>
        <v>0</v>
      </c>
      <c r="B2959" s="32" t="s">
        <v>197</v>
      </c>
      <c r="C2959" s="23" t="s">
        <v>198</v>
      </c>
      <c r="D2959" s="23" t="s">
        <v>58</v>
      </c>
      <c r="E2959" s="37">
        <v>45440.0</v>
      </c>
      <c r="F2959" s="25">
        <v>0.20555555555555555</v>
      </c>
      <c r="G2959" s="25">
        <v>0.6576388888888889</v>
      </c>
      <c r="H2959" s="27">
        <f t="shared" si="2"/>
        <v>0.4520833333</v>
      </c>
      <c r="I2959" s="28">
        <v>4.0</v>
      </c>
      <c r="J2959" s="29" t="s">
        <v>94</v>
      </c>
      <c r="K2959" s="30" t="s">
        <v>23</v>
      </c>
      <c r="L2959" s="31" t="str">
        <f>IFERROR(__xludf.DUMMYFUNCTION("IF(OR(E2959="""",K2959=""""),"""",IFERROR(IF(K2959="""","""",query('tbl user'!$A$2:$D10975,""SELECT A WHERE D = '""&amp;K2959&amp;""'"")),""USER TIDAK DIKETAHUI""))"),"#REF!")</f>
        <v>#REF!</v>
      </c>
    </row>
    <row r="2960">
      <c r="A2960" s="21">
        <f t="shared" si="1"/>
        <v>0</v>
      </c>
      <c r="B2960" s="32" t="s">
        <v>286</v>
      </c>
      <c r="C2960" s="23" t="s">
        <v>287</v>
      </c>
      <c r="D2960" s="23" t="s">
        <v>21</v>
      </c>
      <c r="E2960" s="37">
        <v>45440.0</v>
      </c>
      <c r="F2960" s="25">
        <v>0.4263888888888889</v>
      </c>
      <c r="G2960" s="25">
        <v>0.5666666666666667</v>
      </c>
      <c r="H2960" s="27">
        <f t="shared" si="2"/>
        <v>0.1402777778</v>
      </c>
      <c r="I2960" s="28">
        <v>1.0</v>
      </c>
      <c r="J2960" s="29" t="s">
        <v>94</v>
      </c>
      <c r="K2960" s="30" t="s">
        <v>23</v>
      </c>
      <c r="L2960" s="31" t="str">
        <f>IFERROR(__xludf.DUMMYFUNCTION("IF(OR(E2960="""",K2960=""""),"""",IFERROR(IF(K2960="""","""",query('tbl user'!$A$2:$D10975,""SELECT A WHERE D = '""&amp;K2960&amp;""'"")),""USER TIDAK DIKETAHUI""))"),"#REF!")</f>
        <v>#REF!</v>
      </c>
    </row>
    <row r="2961">
      <c r="A2961" s="21">
        <f t="shared" si="1"/>
        <v>0</v>
      </c>
      <c r="B2961" s="32" t="s">
        <v>335</v>
      </c>
      <c r="C2961" s="23" t="s">
        <v>336</v>
      </c>
      <c r="D2961" s="23" t="s">
        <v>21</v>
      </c>
      <c r="E2961" s="37">
        <v>45440.0</v>
      </c>
      <c r="F2961" s="25">
        <v>0.30625</v>
      </c>
      <c r="G2961" s="25">
        <v>0.6472222222222223</v>
      </c>
      <c r="H2961" s="27">
        <f t="shared" si="2"/>
        <v>0.3409722222</v>
      </c>
      <c r="I2961" s="28">
        <v>1.0</v>
      </c>
      <c r="J2961" s="29" t="s">
        <v>94</v>
      </c>
      <c r="K2961" s="30" t="s">
        <v>23</v>
      </c>
      <c r="L2961" s="31" t="str">
        <f>IFERROR(__xludf.DUMMYFUNCTION("IF(OR(E2961="""",K2961=""""),"""",IFERROR(IF(K2961="""","""",query('tbl user'!$A$2:$D10975,""SELECT A WHERE D = '""&amp;K2961&amp;""'"")),""USER TIDAK DIKETAHUI""))"),"#REF!")</f>
        <v>#REF!</v>
      </c>
    </row>
    <row r="2962">
      <c r="A2962" s="21">
        <f t="shared" si="1"/>
        <v>0</v>
      </c>
      <c r="B2962" s="32" t="s">
        <v>325</v>
      </c>
      <c r="C2962" s="23" t="s">
        <v>326</v>
      </c>
      <c r="D2962" s="23" t="s">
        <v>21</v>
      </c>
      <c r="E2962" s="37">
        <v>45440.0</v>
      </c>
      <c r="F2962" s="25">
        <v>0.2791666666666667</v>
      </c>
      <c r="G2962" s="25">
        <v>0.47708333333333336</v>
      </c>
      <c r="H2962" s="27">
        <f t="shared" si="2"/>
        <v>0.1979166667</v>
      </c>
      <c r="I2962" s="28">
        <v>2.0</v>
      </c>
      <c r="J2962" s="29" t="s">
        <v>94</v>
      </c>
      <c r="K2962" s="30" t="s">
        <v>23</v>
      </c>
      <c r="L2962" s="31" t="str">
        <f>IFERROR(__xludf.DUMMYFUNCTION("IF(OR(E2962="""",K2962=""""),"""",IFERROR(IF(K2962="""","""",query('tbl user'!$A$2:$D10975,""SELECT A WHERE D = '""&amp;K2962&amp;""'"")),""USER TIDAK DIKETAHUI""))"),"#REF!")</f>
        <v>#REF!</v>
      </c>
    </row>
    <row r="2963">
      <c r="A2963" s="21">
        <f t="shared" si="1"/>
        <v>0</v>
      </c>
      <c r="B2963" s="32" t="s">
        <v>43</v>
      </c>
      <c r="C2963" s="23" t="s">
        <v>44</v>
      </c>
      <c r="D2963" s="23" t="s">
        <v>21</v>
      </c>
      <c r="E2963" s="37">
        <v>45440.0</v>
      </c>
      <c r="F2963" s="25">
        <v>0.3625</v>
      </c>
      <c r="G2963" s="25">
        <v>0.6027777777777777</v>
      </c>
      <c r="H2963" s="27">
        <f t="shared" si="2"/>
        <v>0.2402777778</v>
      </c>
      <c r="I2963" s="28">
        <v>3.0</v>
      </c>
      <c r="J2963" s="29" t="s">
        <v>94</v>
      </c>
      <c r="K2963" s="30" t="s">
        <v>23</v>
      </c>
      <c r="L2963" s="31" t="str">
        <f>IFERROR(__xludf.DUMMYFUNCTION("IF(OR(E2963="""",K2963=""""),"""",IFERROR(IF(K2963="""","""",query('tbl user'!$A$2:$D10975,""SELECT A WHERE D = '""&amp;K2963&amp;""'"")),""USER TIDAK DIKETAHUI""))"),"#REF!")</f>
        <v>#REF!</v>
      </c>
    </row>
    <row r="2964">
      <c r="A2964" s="21">
        <f t="shared" si="1"/>
        <v>0</v>
      </c>
      <c r="B2964" s="32" t="s">
        <v>172</v>
      </c>
      <c r="C2964" s="23" t="s">
        <v>306</v>
      </c>
      <c r="D2964" s="23" t="s">
        <v>21</v>
      </c>
      <c r="E2964" s="37">
        <v>45440.0</v>
      </c>
      <c r="F2964" s="25">
        <v>0.27291666666666664</v>
      </c>
      <c r="G2964" s="25">
        <v>0.5465277777777777</v>
      </c>
      <c r="H2964" s="27">
        <f t="shared" si="2"/>
        <v>0.2736111111</v>
      </c>
      <c r="I2964" s="28">
        <v>3.0</v>
      </c>
      <c r="J2964" s="29" t="s">
        <v>94</v>
      </c>
      <c r="K2964" s="30" t="s">
        <v>23</v>
      </c>
      <c r="L2964" s="31" t="str">
        <f>IFERROR(__xludf.DUMMYFUNCTION("IF(OR(E2964="""",K2964=""""),"""",IFERROR(IF(K2964="""","""",query('tbl user'!$A$2:$D10975,""SELECT A WHERE D = '""&amp;K2964&amp;""'"")),""USER TIDAK DIKETAHUI""))"),"#REF!")</f>
        <v>#REF!</v>
      </c>
    </row>
    <row r="2965">
      <c r="A2965" s="21">
        <f t="shared" si="1"/>
        <v>0</v>
      </c>
      <c r="B2965" s="32" t="s">
        <v>81</v>
      </c>
      <c r="C2965" s="23" t="s">
        <v>259</v>
      </c>
      <c r="D2965" s="23" t="s">
        <v>21</v>
      </c>
      <c r="E2965" s="37">
        <v>45440.0</v>
      </c>
      <c r="F2965" s="25">
        <v>0.2923611111111111</v>
      </c>
      <c r="G2965" s="25">
        <v>0.5583333333333333</v>
      </c>
      <c r="H2965" s="27">
        <f t="shared" si="2"/>
        <v>0.2659722222</v>
      </c>
      <c r="I2965" s="28">
        <v>3.0</v>
      </c>
      <c r="J2965" s="29" t="s">
        <v>94</v>
      </c>
      <c r="K2965" s="30" t="s">
        <v>23</v>
      </c>
      <c r="L2965" s="31" t="str">
        <f>IFERROR(__xludf.DUMMYFUNCTION("IF(OR(E2965="""",K2965=""""),"""",IFERROR(IF(K2965="""","""",query('tbl user'!$A$2:$D10975,""SELECT A WHERE D = '""&amp;K2965&amp;""'"")),""USER TIDAK DIKETAHUI""))"),"#REF!")</f>
        <v>#REF!</v>
      </c>
    </row>
    <row r="2966">
      <c r="A2966" s="21">
        <f t="shared" si="1"/>
        <v>0</v>
      </c>
      <c r="B2966" s="32" t="s">
        <v>716</v>
      </c>
      <c r="C2966" s="23" t="s">
        <v>316</v>
      </c>
      <c r="D2966" s="23" t="s">
        <v>21</v>
      </c>
      <c r="E2966" s="37">
        <v>45440.0</v>
      </c>
      <c r="F2966" s="25">
        <v>0.2722222222222222</v>
      </c>
      <c r="G2966" s="25">
        <v>0.5493055555555556</v>
      </c>
      <c r="H2966" s="27">
        <f t="shared" si="2"/>
        <v>0.2770833333</v>
      </c>
      <c r="I2966" s="28">
        <v>3.0</v>
      </c>
      <c r="J2966" s="29" t="s">
        <v>94</v>
      </c>
      <c r="K2966" s="30" t="s">
        <v>23</v>
      </c>
      <c r="L2966" s="31" t="str">
        <f>IFERROR(__xludf.DUMMYFUNCTION("IF(OR(E2966="""",K2966=""""),"""",IFERROR(IF(K2966="""","""",query('tbl user'!$A$2:$D10975,""SELECT A WHERE D = '""&amp;K2966&amp;""'"")),""USER TIDAK DIKETAHUI""))"),"#REF!")</f>
        <v>#REF!</v>
      </c>
    </row>
    <row r="2967">
      <c r="A2967" s="21">
        <f t="shared" si="1"/>
        <v>0</v>
      </c>
      <c r="B2967" s="32" t="s">
        <v>53</v>
      </c>
      <c r="C2967" s="23" t="s">
        <v>54</v>
      </c>
      <c r="D2967" s="23" t="s">
        <v>21</v>
      </c>
      <c r="E2967" s="37">
        <v>45440.0</v>
      </c>
      <c r="F2967" s="25">
        <v>0.23125</v>
      </c>
      <c r="G2967" s="25">
        <v>0.5520833333333334</v>
      </c>
      <c r="H2967" s="27">
        <f t="shared" si="2"/>
        <v>0.3208333333</v>
      </c>
      <c r="I2967" s="28">
        <v>3.0</v>
      </c>
      <c r="J2967" s="29" t="s">
        <v>94</v>
      </c>
      <c r="K2967" s="30" t="s">
        <v>23</v>
      </c>
      <c r="L2967" s="31" t="str">
        <f>IFERROR(__xludf.DUMMYFUNCTION("IF(OR(E2967="""",K2967=""""),"""",IFERROR(IF(K2967="""","""",query('tbl user'!$A$2:$D10975,""SELECT A WHERE D = '""&amp;K2967&amp;""'"")),""USER TIDAK DIKETAHUI""))"),"#REF!")</f>
        <v>#REF!</v>
      </c>
    </row>
    <row r="2968">
      <c r="A2968" s="21">
        <f t="shared" si="1"/>
        <v>0</v>
      </c>
      <c r="B2968" s="32" t="s">
        <v>34</v>
      </c>
      <c r="C2968" s="23" t="s">
        <v>35</v>
      </c>
      <c r="D2968" s="23" t="s">
        <v>21</v>
      </c>
      <c r="E2968" s="37">
        <v>45440.0</v>
      </c>
      <c r="F2968" s="25">
        <v>0.2743055555555556</v>
      </c>
      <c r="G2968" s="25">
        <v>0.55</v>
      </c>
      <c r="H2968" s="27">
        <f t="shared" si="2"/>
        <v>0.2756944444</v>
      </c>
      <c r="I2968" s="28">
        <v>4.0</v>
      </c>
      <c r="J2968" s="29" t="s">
        <v>94</v>
      </c>
      <c r="K2968" s="30" t="s">
        <v>23</v>
      </c>
      <c r="L2968" s="31" t="str">
        <f>IFERROR(__xludf.DUMMYFUNCTION("IF(OR(E2968="""",K2968=""""),"""",IFERROR(IF(K2968="""","""",query('tbl user'!$A$2:$D10975,""SELECT A WHERE D = '""&amp;K2968&amp;""'"")),""USER TIDAK DIKETAHUI""))"),"#REF!")</f>
        <v>#REF!</v>
      </c>
    </row>
    <row r="2969">
      <c r="A2969" s="21">
        <f t="shared" si="1"/>
        <v>0</v>
      </c>
      <c r="B2969" s="32" t="s">
        <v>246</v>
      </c>
      <c r="C2969" s="23" t="s">
        <v>99</v>
      </c>
      <c r="D2969" s="23" t="s">
        <v>21</v>
      </c>
      <c r="E2969" s="37">
        <v>45440.0</v>
      </c>
      <c r="F2969" s="25">
        <v>0.29305555555555557</v>
      </c>
      <c r="G2969" s="25">
        <v>0.60625</v>
      </c>
      <c r="H2969" s="27">
        <f t="shared" si="2"/>
        <v>0.3131944444</v>
      </c>
      <c r="I2969" s="28">
        <v>4.0</v>
      </c>
      <c r="J2969" s="29" t="s">
        <v>94</v>
      </c>
      <c r="K2969" s="30" t="s">
        <v>23</v>
      </c>
      <c r="L2969" s="31" t="str">
        <f>IFERROR(__xludf.DUMMYFUNCTION("IF(OR(E2969="""",K2969=""""),"""",IFERROR(IF(K2969="""","""",query('tbl user'!$A$2:$D10975,""SELECT A WHERE D = '""&amp;K2969&amp;""'"")),""USER TIDAK DIKETAHUI""))"),"#REF!")</f>
        <v>#REF!</v>
      </c>
    </row>
    <row r="2970">
      <c r="A2970" s="21">
        <f t="shared" si="1"/>
        <v>0</v>
      </c>
      <c r="B2970" s="32" t="s">
        <v>101</v>
      </c>
      <c r="C2970" s="23" t="s">
        <v>102</v>
      </c>
      <c r="D2970" s="23" t="s">
        <v>21</v>
      </c>
      <c r="E2970" s="37">
        <v>45440.0</v>
      </c>
      <c r="F2970" s="25">
        <v>0.3625</v>
      </c>
      <c r="G2970" s="25">
        <v>0.675</v>
      </c>
      <c r="H2970" s="27">
        <f t="shared" si="2"/>
        <v>0.3125</v>
      </c>
      <c r="I2970" s="28">
        <v>4.0</v>
      </c>
      <c r="J2970" s="29" t="s">
        <v>94</v>
      </c>
      <c r="K2970" s="30" t="s">
        <v>23</v>
      </c>
      <c r="L2970" s="31" t="str">
        <f>IFERROR(__xludf.DUMMYFUNCTION("IF(OR(E2970="""",K2970=""""),"""",IFERROR(IF(K2970="""","""",query('tbl user'!$A$2:$D10975,""SELECT A WHERE D = '""&amp;K2970&amp;""'"")),""USER TIDAK DIKETAHUI""))"),"#REF!")</f>
        <v>#REF!</v>
      </c>
    </row>
    <row r="2971">
      <c r="A2971" s="21">
        <f t="shared" si="1"/>
        <v>0</v>
      </c>
      <c r="B2971" s="32" t="s">
        <v>231</v>
      </c>
      <c r="C2971" s="23" t="s">
        <v>340</v>
      </c>
      <c r="D2971" s="23" t="s">
        <v>21</v>
      </c>
      <c r="E2971" s="37">
        <v>45440.0</v>
      </c>
      <c r="F2971" s="25">
        <v>0.3368055555555556</v>
      </c>
      <c r="G2971" s="25">
        <v>0.675</v>
      </c>
      <c r="H2971" s="27">
        <f t="shared" si="2"/>
        <v>0.3381944444</v>
      </c>
      <c r="I2971" s="28">
        <v>4.0</v>
      </c>
      <c r="J2971" s="29" t="s">
        <v>418</v>
      </c>
      <c r="K2971" s="30" t="s">
        <v>23</v>
      </c>
      <c r="L2971" s="31" t="str">
        <f>IFERROR(__xludf.DUMMYFUNCTION("IF(OR(E2971="""",K2971=""""),"""",IFERROR(IF(K2971="""","""",query('tbl user'!$A$2:$D10975,""SELECT A WHERE D = '""&amp;K2971&amp;""'"")),""USER TIDAK DIKETAHUI""))"),"#REF!")</f>
        <v>#REF!</v>
      </c>
    </row>
    <row r="2972">
      <c r="A2972" s="21">
        <f t="shared" si="1"/>
        <v>0</v>
      </c>
      <c r="B2972" s="32" t="s">
        <v>328</v>
      </c>
      <c r="C2972" s="23" t="s">
        <v>329</v>
      </c>
      <c r="D2972" s="23" t="s">
        <v>21</v>
      </c>
      <c r="E2972" s="37">
        <v>45440.0</v>
      </c>
      <c r="F2972" s="25">
        <v>0.2673611111111111</v>
      </c>
      <c r="G2972" s="25">
        <v>0.5583333333333333</v>
      </c>
      <c r="H2972" s="27">
        <f t="shared" si="2"/>
        <v>0.2909722222</v>
      </c>
      <c r="I2972" s="28">
        <v>4.0</v>
      </c>
      <c r="J2972" s="29" t="s">
        <v>94</v>
      </c>
      <c r="K2972" s="30" t="s">
        <v>23</v>
      </c>
      <c r="L2972" s="31" t="str">
        <f>IFERROR(__xludf.DUMMYFUNCTION("IF(OR(E2972="""",K2972=""""),"""",IFERROR(IF(K2972="""","""",query('tbl user'!$A$2:$D10975,""SELECT A WHERE D = '""&amp;K2972&amp;""'"")),""USER TIDAK DIKETAHUI""))"),"#REF!")</f>
        <v>#REF!</v>
      </c>
    </row>
    <row r="2973">
      <c r="A2973" s="21">
        <f t="shared" si="1"/>
        <v>0</v>
      </c>
      <c r="B2973" s="32" t="s">
        <v>260</v>
      </c>
      <c r="C2973" s="23" t="s">
        <v>261</v>
      </c>
      <c r="D2973" s="23" t="s">
        <v>21</v>
      </c>
      <c r="E2973" s="37">
        <v>45440.0</v>
      </c>
      <c r="F2973" s="25">
        <v>0.40625</v>
      </c>
      <c r="G2973" s="25">
        <v>0.6680555555555555</v>
      </c>
      <c r="H2973" s="27">
        <f t="shared" si="2"/>
        <v>0.2618055556</v>
      </c>
      <c r="I2973" s="28">
        <v>4.0</v>
      </c>
      <c r="J2973" s="29" t="s">
        <v>94</v>
      </c>
      <c r="K2973" s="30" t="s">
        <v>23</v>
      </c>
      <c r="L2973" s="31" t="str">
        <f>IFERROR(__xludf.DUMMYFUNCTION("IF(OR(E2973="""",K2973=""""),"""",IFERROR(IF(K2973="""","""",query('tbl user'!$A$2:$D10975,""SELECT A WHERE D = '""&amp;K2973&amp;""'"")),""USER TIDAK DIKETAHUI""))"),"#REF!")</f>
        <v>#REF!</v>
      </c>
    </row>
    <row r="2974">
      <c r="A2974" s="21">
        <f t="shared" si="1"/>
        <v>0</v>
      </c>
      <c r="B2974" s="32" t="s">
        <v>37</v>
      </c>
      <c r="C2974" s="23" t="s">
        <v>38</v>
      </c>
      <c r="D2974" s="23" t="s">
        <v>21</v>
      </c>
      <c r="E2974" s="37">
        <v>45440.0</v>
      </c>
      <c r="F2974" s="25">
        <v>0.36875</v>
      </c>
      <c r="G2974" s="33">
        <v>0.7340277777777777</v>
      </c>
      <c r="H2974" s="27">
        <f t="shared" si="2"/>
        <v>0.3652777778</v>
      </c>
      <c r="I2974" s="28">
        <v>5.0</v>
      </c>
      <c r="J2974" s="29" t="s">
        <v>94</v>
      </c>
      <c r="K2974" s="30" t="s">
        <v>23</v>
      </c>
      <c r="L2974" s="31" t="str">
        <f>IFERROR(__xludf.DUMMYFUNCTION("IF(OR(E2974="""",K2974=""""),"""",IFERROR(IF(K2974="""","""",query('tbl user'!$A$2:$D10975,""SELECT A WHERE D = '""&amp;K2974&amp;""'"")),""USER TIDAK DIKETAHUI""))"),"#REF!")</f>
        <v>#REF!</v>
      </c>
    </row>
    <row r="2975">
      <c r="A2975" s="21">
        <f t="shared" si="1"/>
        <v>0</v>
      </c>
      <c r="B2975" s="32" t="s">
        <v>209</v>
      </c>
      <c r="C2975" s="23" t="s">
        <v>244</v>
      </c>
      <c r="D2975" s="23" t="s">
        <v>21</v>
      </c>
      <c r="E2975" s="37">
        <v>45440.0</v>
      </c>
      <c r="F2975" s="25">
        <v>0.2847222222222222</v>
      </c>
      <c r="G2975" s="25">
        <v>0.6597222222222222</v>
      </c>
      <c r="H2975" s="27">
        <f t="shared" si="2"/>
        <v>0.375</v>
      </c>
      <c r="I2975" s="28">
        <v>5.0</v>
      </c>
      <c r="J2975" s="29" t="s">
        <v>94</v>
      </c>
      <c r="K2975" s="30" t="s">
        <v>23</v>
      </c>
      <c r="L2975" s="31" t="str">
        <f>IFERROR(__xludf.DUMMYFUNCTION("IF(OR(E2975="""",K2975=""""),"""",IFERROR(IF(K2975="""","""",query('tbl user'!$A$2:$D10975,""SELECT A WHERE D = '""&amp;K2975&amp;""'"")),""USER TIDAK DIKETAHUI""))"),"#REF!")</f>
        <v>#REF!</v>
      </c>
    </row>
    <row r="2976">
      <c r="A2976" s="21">
        <f t="shared" si="1"/>
        <v>0</v>
      </c>
      <c r="B2976" s="32" t="s">
        <v>24</v>
      </c>
      <c r="C2976" s="23" t="s">
        <v>25</v>
      </c>
      <c r="D2976" s="23" t="s">
        <v>21</v>
      </c>
      <c r="E2976" s="37">
        <v>45440.0</v>
      </c>
      <c r="F2976" s="25">
        <v>0.22083333333333333</v>
      </c>
      <c r="G2976" s="25">
        <v>0.6111111111111112</v>
      </c>
      <c r="H2976" s="27">
        <f t="shared" si="2"/>
        <v>0.3902777778</v>
      </c>
      <c r="I2976" s="28">
        <v>5.0</v>
      </c>
      <c r="J2976" s="29" t="s">
        <v>94</v>
      </c>
      <c r="K2976" s="30" t="s">
        <v>23</v>
      </c>
      <c r="L2976" s="31" t="str">
        <f>IFERROR(__xludf.DUMMYFUNCTION("IF(OR(E2976="""",K2976=""""),"""",IFERROR(IF(K2976="""","""",query('tbl user'!$A$2:$D10975,""SELECT A WHERE D = '""&amp;K2976&amp;""'"")),""USER TIDAK DIKETAHUI""))"),"#REF!")</f>
        <v>#REF!</v>
      </c>
    </row>
    <row r="2977">
      <c r="A2977" s="21">
        <f t="shared" si="1"/>
        <v>0</v>
      </c>
      <c r="B2977" s="32" t="s">
        <v>577</v>
      </c>
      <c r="C2977" s="23" t="s">
        <v>330</v>
      </c>
      <c r="D2977" s="23" t="s">
        <v>21</v>
      </c>
      <c r="E2977" s="37">
        <v>45440.0</v>
      </c>
      <c r="F2977" s="25">
        <v>0.26944444444444443</v>
      </c>
      <c r="G2977" s="25">
        <v>0.6673611111111111</v>
      </c>
      <c r="H2977" s="27">
        <f t="shared" si="2"/>
        <v>0.3979166667</v>
      </c>
      <c r="I2977" s="28">
        <v>5.0</v>
      </c>
      <c r="J2977" s="29" t="s">
        <v>94</v>
      </c>
      <c r="K2977" s="30" t="s">
        <v>23</v>
      </c>
      <c r="L2977" s="31" t="str">
        <f>IFERROR(__xludf.DUMMYFUNCTION("IF(OR(E2977="""",K2977=""""),"""",IFERROR(IF(K2977="""","""",query('tbl user'!$A$2:$D10975,""SELECT A WHERE D = '""&amp;K2977&amp;""'"")),""USER TIDAK DIKETAHUI""))"),"#REF!")</f>
        <v>#REF!</v>
      </c>
    </row>
    <row r="2978">
      <c r="A2978" s="21">
        <f t="shared" si="1"/>
        <v>0</v>
      </c>
      <c r="B2978" s="32" t="s">
        <v>601</v>
      </c>
      <c r="C2978" s="23" t="s">
        <v>323</v>
      </c>
      <c r="D2978" s="23" t="s">
        <v>21</v>
      </c>
      <c r="E2978" s="37">
        <v>45440.0</v>
      </c>
      <c r="F2978" s="25">
        <v>0.28125</v>
      </c>
      <c r="G2978" s="25">
        <v>0.70625</v>
      </c>
      <c r="H2978" s="27">
        <f t="shared" si="2"/>
        <v>0.425</v>
      </c>
      <c r="I2978" s="28">
        <v>5.0</v>
      </c>
      <c r="J2978" s="29" t="s">
        <v>94</v>
      </c>
      <c r="K2978" s="30" t="s">
        <v>23</v>
      </c>
      <c r="L2978" s="31" t="str">
        <f>IFERROR(__xludf.DUMMYFUNCTION("IF(OR(E2978="""",K2978=""""),"""",IFERROR(IF(K2978="""","""",query('tbl user'!$A$2:$D10975,""SELECT A WHERE D = '""&amp;K2978&amp;""'"")),""USER TIDAK DIKETAHUI""))"),"#REF!")</f>
        <v>#REF!</v>
      </c>
    </row>
    <row r="2979">
      <c r="A2979" s="21">
        <f t="shared" si="1"/>
        <v>0</v>
      </c>
      <c r="B2979" s="32" t="s">
        <v>238</v>
      </c>
      <c r="C2979" s="23" t="s">
        <v>239</v>
      </c>
      <c r="D2979" s="23" t="s">
        <v>21</v>
      </c>
      <c r="E2979" s="37">
        <v>45440.0</v>
      </c>
      <c r="F2979" s="25">
        <v>0.2965277777777778</v>
      </c>
      <c r="G2979" s="25">
        <v>0.7569444444444444</v>
      </c>
      <c r="H2979" s="27">
        <f t="shared" si="2"/>
        <v>0.4604166667</v>
      </c>
      <c r="I2979" s="28">
        <v>6.0</v>
      </c>
      <c r="J2979" s="29" t="s">
        <v>94</v>
      </c>
      <c r="K2979" s="30" t="s">
        <v>23</v>
      </c>
      <c r="L2979" s="31" t="str">
        <f>IFERROR(__xludf.DUMMYFUNCTION("IF(OR(E2979="""",K2979=""""),"""",IFERROR(IF(K2979="""","""",query('tbl user'!$A$2:$D10975,""SELECT A WHERE D = '""&amp;K2979&amp;""'"")),""USER TIDAK DIKETAHUI""))"),"#REF!")</f>
        <v>#REF!</v>
      </c>
    </row>
    <row r="2980">
      <c r="A2980" s="21">
        <f t="shared" si="1"/>
        <v>0</v>
      </c>
      <c r="B2980" s="32" t="s">
        <v>593</v>
      </c>
      <c r="C2980" s="23" t="s">
        <v>236</v>
      </c>
      <c r="D2980" s="23" t="s">
        <v>21</v>
      </c>
      <c r="E2980" s="37">
        <v>45440.0</v>
      </c>
      <c r="F2980" s="25">
        <v>0.24375</v>
      </c>
      <c r="G2980" s="25">
        <v>0.7701388888888889</v>
      </c>
      <c r="H2980" s="27">
        <f t="shared" si="2"/>
        <v>0.5263888889</v>
      </c>
      <c r="I2980" s="28">
        <v>6.0</v>
      </c>
      <c r="J2980" s="29" t="s">
        <v>94</v>
      </c>
      <c r="K2980" s="30" t="s">
        <v>23</v>
      </c>
      <c r="L2980" s="31" t="str">
        <f>IFERROR(__xludf.DUMMYFUNCTION("IF(OR(E2980="""",K2980=""""),"""",IFERROR(IF(K2980="""","""",query('tbl user'!$A$2:$D10975,""SELECT A WHERE D = '""&amp;K2980&amp;""'"")),""USER TIDAK DIKETAHUI""))"),"#REF!")</f>
        <v>#REF!</v>
      </c>
    </row>
    <row r="2981">
      <c r="A2981" s="21">
        <f t="shared" si="1"/>
        <v>0</v>
      </c>
      <c r="B2981" s="32" t="s">
        <v>87</v>
      </c>
      <c r="C2981" s="23" t="s">
        <v>88</v>
      </c>
      <c r="D2981" s="23" t="s">
        <v>21</v>
      </c>
      <c r="E2981" s="37">
        <v>45440.0</v>
      </c>
      <c r="F2981" s="25">
        <v>0.25972222222222224</v>
      </c>
      <c r="G2981" s="25">
        <v>0.6840277777777778</v>
      </c>
      <c r="H2981" s="27">
        <f t="shared" si="2"/>
        <v>0.4243055556</v>
      </c>
      <c r="I2981" s="28">
        <v>6.0</v>
      </c>
      <c r="J2981" s="29" t="s">
        <v>94</v>
      </c>
      <c r="K2981" s="30" t="s">
        <v>23</v>
      </c>
      <c r="L2981" s="31" t="str">
        <f>IFERROR(__xludf.DUMMYFUNCTION("IF(OR(E2981="""",K2981=""""),"""",IFERROR(IF(K2981="""","""",query('tbl user'!$A$2:$D10975,""SELECT A WHERE D = '""&amp;K2981&amp;""'"")),""USER TIDAK DIKETAHUI""))"),"#REF!")</f>
        <v>#REF!</v>
      </c>
    </row>
    <row r="2982">
      <c r="A2982" s="21">
        <f t="shared" si="1"/>
        <v>0</v>
      </c>
      <c r="B2982" s="32" t="s">
        <v>319</v>
      </c>
      <c r="C2982" s="23" t="s">
        <v>320</v>
      </c>
      <c r="D2982" s="23" t="s">
        <v>21</v>
      </c>
      <c r="E2982" s="37">
        <v>45440.0</v>
      </c>
      <c r="F2982" s="25">
        <v>0.2763888888888889</v>
      </c>
      <c r="G2982" s="25">
        <v>0.6805555555555556</v>
      </c>
      <c r="H2982" s="27">
        <f t="shared" si="2"/>
        <v>0.4041666667</v>
      </c>
      <c r="I2982" s="28">
        <v>6.0</v>
      </c>
      <c r="J2982" s="29" t="s">
        <v>94</v>
      </c>
      <c r="K2982" s="30" t="s">
        <v>23</v>
      </c>
      <c r="L2982" s="31" t="str">
        <f>IFERROR(__xludf.DUMMYFUNCTION("IF(OR(E2982="""",K2982=""""),"""",IFERROR(IF(K2982="""","""",query('tbl user'!$A$2:$D10975,""SELECT A WHERE D = '""&amp;K2982&amp;""'"")),""USER TIDAK DIKETAHUI""))"),"#REF!")</f>
        <v>#REF!</v>
      </c>
    </row>
    <row r="2983">
      <c r="A2983" s="21">
        <f t="shared" si="1"/>
        <v>0</v>
      </c>
      <c r="B2983" s="32" t="s">
        <v>337</v>
      </c>
      <c r="C2983" s="23" t="s">
        <v>338</v>
      </c>
      <c r="D2983" s="23" t="s">
        <v>21</v>
      </c>
      <c r="E2983" s="37">
        <v>45440.0</v>
      </c>
      <c r="F2983" s="25">
        <v>0.2513888888888889</v>
      </c>
      <c r="G2983" s="25">
        <v>0.7201388888888889</v>
      </c>
      <c r="H2983" s="27">
        <f t="shared" si="2"/>
        <v>0.46875</v>
      </c>
      <c r="I2983" s="28">
        <v>6.0</v>
      </c>
      <c r="J2983" s="29" t="s">
        <v>94</v>
      </c>
      <c r="K2983" s="30" t="s">
        <v>23</v>
      </c>
      <c r="L2983" s="31" t="str">
        <f>IFERROR(__xludf.DUMMYFUNCTION("IF(OR(E2983="""",K2983=""""),"""",IFERROR(IF(K2983="""","""",query('tbl user'!$A$2:$D10975,""SELECT A WHERE D = '""&amp;K2983&amp;""'"")),""USER TIDAK DIKETAHUI""))"),"#REF!")</f>
        <v>#REF!</v>
      </c>
    </row>
    <row r="2984">
      <c r="A2984" s="21">
        <f t="shared" si="1"/>
        <v>0</v>
      </c>
      <c r="B2984" s="32" t="s">
        <v>125</v>
      </c>
      <c r="C2984" s="23" t="s">
        <v>126</v>
      </c>
      <c r="D2984" s="23" t="s">
        <v>32</v>
      </c>
      <c r="E2984" s="37">
        <v>45440.0</v>
      </c>
      <c r="F2984" s="25">
        <v>0.3590277777777778</v>
      </c>
      <c r="G2984" s="25">
        <v>0.7604166666666666</v>
      </c>
      <c r="H2984" s="27">
        <f t="shared" si="2"/>
        <v>0.4013888889</v>
      </c>
      <c r="I2984" s="28">
        <v>1.0</v>
      </c>
      <c r="J2984" s="29" t="s">
        <v>94</v>
      </c>
      <c r="K2984" s="30" t="s">
        <v>23</v>
      </c>
      <c r="L2984" s="31" t="str">
        <f>IFERROR(__xludf.DUMMYFUNCTION("IF(OR(E2984="""",K2984=""""),"""",IFERROR(IF(K2984="""","""",query('tbl user'!$A$2:$D10975,""SELECT A WHERE D = '""&amp;K2984&amp;""'"")),""USER TIDAK DIKETAHUI""))"),"#REF!")</f>
        <v>#REF!</v>
      </c>
    </row>
    <row r="2985">
      <c r="A2985" s="21">
        <f t="shared" si="1"/>
        <v>0</v>
      </c>
      <c r="B2985" s="32" t="s">
        <v>131</v>
      </c>
      <c r="C2985" s="23" t="s">
        <v>90</v>
      </c>
      <c r="D2985" s="23" t="s">
        <v>32</v>
      </c>
      <c r="E2985" s="37">
        <v>45440.0</v>
      </c>
      <c r="F2985" s="25">
        <v>0.36041666666666666</v>
      </c>
      <c r="G2985" s="25">
        <v>0.43333333333333335</v>
      </c>
      <c r="H2985" s="27">
        <f t="shared" si="2"/>
        <v>0.07291666667</v>
      </c>
      <c r="I2985" s="28">
        <v>1.0</v>
      </c>
      <c r="J2985" s="29" t="s">
        <v>94</v>
      </c>
      <c r="K2985" s="30" t="s">
        <v>23</v>
      </c>
      <c r="L2985" s="31" t="str">
        <f>IFERROR(__xludf.DUMMYFUNCTION("IF(OR(E2985="""",K2985=""""),"""",IFERROR(IF(K2985="""","""",query('tbl user'!$A$2:$D10975,""SELECT A WHERE D = '""&amp;K2985&amp;""'"")),""USER TIDAK DIKETAHUI""))"),"#REF!")</f>
        <v>#REF!</v>
      </c>
    </row>
    <row r="2986">
      <c r="A2986" s="21">
        <f t="shared" si="1"/>
        <v>0</v>
      </c>
      <c r="B2986" s="32" t="s">
        <v>120</v>
      </c>
      <c r="C2986" s="23" t="s">
        <v>121</v>
      </c>
      <c r="D2986" s="23" t="s">
        <v>32</v>
      </c>
      <c r="E2986" s="37">
        <v>45440.0</v>
      </c>
      <c r="F2986" s="25">
        <v>0.2791666666666667</v>
      </c>
      <c r="G2986" s="25">
        <v>0.5631944444444444</v>
      </c>
      <c r="H2986" s="27">
        <f t="shared" si="2"/>
        <v>0.2840277778</v>
      </c>
      <c r="I2986" s="28">
        <v>2.0</v>
      </c>
      <c r="J2986" s="29" t="s">
        <v>94</v>
      </c>
      <c r="K2986" s="30" t="s">
        <v>23</v>
      </c>
      <c r="L2986" s="31" t="str">
        <f>IFERROR(__xludf.DUMMYFUNCTION("IF(OR(E2986="""",K2986=""""),"""",IFERROR(IF(K2986="""","""",query('tbl user'!$A$2:$D10975,""SELECT A WHERE D = '""&amp;K2986&amp;""'"")),""USER TIDAK DIKETAHUI""))"),"#REF!")</f>
        <v>#REF!</v>
      </c>
    </row>
    <row r="2987">
      <c r="A2987" s="21">
        <f t="shared" si="1"/>
        <v>0</v>
      </c>
      <c r="B2987" s="32" t="s">
        <v>137</v>
      </c>
      <c r="C2987" s="23" t="s">
        <v>138</v>
      </c>
      <c r="D2987" s="23" t="s">
        <v>32</v>
      </c>
      <c r="E2987" s="37">
        <v>45440.0</v>
      </c>
      <c r="F2987" s="25">
        <v>0.2916666666666667</v>
      </c>
      <c r="G2987" s="25">
        <v>0.7013888888888888</v>
      </c>
      <c r="H2987" s="27">
        <f t="shared" si="2"/>
        <v>0.4097222222</v>
      </c>
      <c r="I2987" s="28">
        <v>2.0</v>
      </c>
      <c r="J2987" s="29" t="s">
        <v>94</v>
      </c>
      <c r="K2987" s="30" t="s">
        <v>23</v>
      </c>
      <c r="L2987" s="31" t="str">
        <f>IFERROR(__xludf.DUMMYFUNCTION("IF(OR(E2987="""",K2987=""""),"""",IFERROR(IF(K2987="""","""",query('tbl user'!$A$2:$D10975,""SELECT A WHERE D = '""&amp;K2987&amp;""'"")),""USER TIDAK DIKETAHUI""))"),"#REF!")</f>
        <v>#REF!</v>
      </c>
    </row>
    <row r="2988">
      <c r="A2988" s="21">
        <f t="shared" si="1"/>
        <v>0</v>
      </c>
      <c r="B2988" s="32" t="s">
        <v>110</v>
      </c>
      <c r="C2988" s="23" t="s">
        <v>111</v>
      </c>
      <c r="D2988" s="23" t="s">
        <v>32</v>
      </c>
      <c r="E2988" s="37">
        <v>45440.0</v>
      </c>
      <c r="F2988" s="25">
        <v>0.38055555555555554</v>
      </c>
      <c r="G2988" s="25">
        <v>0.7048611111111112</v>
      </c>
      <c r="H2988" s="27">
        <f t="shared" si="2"/>
        <v>0.3243055556</v>
      </c>
      <c r="I2988" s="28">
        <v>3.0</v>
      </c>
      <c r="J2988" s="29" t="s">
        <v>94</v>
      </c>
      <c r="K2988" s="30" t="s">
        <v>23</v>
      </c>
      <c r="L2988" s="31" t="str">
        <f>IFERROR(__xludf.DUMMYFUNCTION("IF(OR(E2988="""",K2988=""""),"""",IFERROR(IF(K2988="""","""",query('tbl user'!$A$2:$D10975,""SELECT A WHERE D = '""&amp;K2988&amp;""'"")),""USER TIDAK DIKETAHUI""))"),"#REF!")</f>
        <v>#REF!</v>
      </c>
    </row>
    <row r="2989">
      <c r="A2989" s="21">
        <f t="shared" si="1"/>
        <v>0</v>
      </c>
      <c r="B2989" s="32" t="s">
        <v>113</v>
      </c>
      <c r="C2989" s="23" t="s">
        <v>114</v>
      </c>
      <c r="D2989" s="23" t="s">
        <v>32</v>
      </c>
      <c r="E2989" s="37">
        <v>45440.0</v>
      </c>
      <c r="F2989" s="25">
        <v>0.35555555555555557</v>
      </c>
      <c r="G2989" s="25">
        <v>0.6777777777777778</v>
      </c>
      <c r="H2989" s="27">
        <f t="shared" si="2"/>
        <v>0.3222222222</v>
      </c>
      <c r="I2989" s="28">
        <v>3.0</v>
      </c>
      <c r="J2989" s="29" t="s">
        <v>94</v>
      </c>
      <c r="K2989" s="30" t="s">
        <v>23</v>
      </c>
      <c r="L2989" s="31" t="str">
        <f>IFERROR(__xludf.DUMMYFUNCTION("IF(OR(E2989="""",K2989=""""),"""",IFERROR(IF(K2989="""","""",query('tbl user'!$A$2:$D10975,""SELECT A WHERE D = '""&amp;K2989&amp;""'"")),""USER TIDAK DIKETAHUI""))"),"#REF!")</f>
        <v>#REF!</v>
      </c>
    </row>
    <row r="2990">
      <c r="A2990" s="21">
        <f t="shared" si="1"/>
        <v>0</v>
      </c>
      <c r="B2990" s="32" t="s">
        <v>46</v>
      </c>
      <c r="C2990" s="23" t="s">
        <v>47</v>
      </c>
      <c r="D2990" s="23" t="s">
        <v>32</v>
      </c>
      <c r="E2990" s="37">
        <v>45440.0</v>
      </c>
      <c r="F2990" s="25">
        <v>0.28680555555555554</v>
      </c>
      <c r="G2990" s="25">
        <v>0.6208333333333333</v>
      </c>
      <c r="H2990" s="27">
        <f t="shared" si="2"/>
        <v>0.3340277778</v>
      </c>
      <c r="I2990" s="28">
        <v>3.0</v>
      </c>
      <c r="J2990" s="29" t="s">
        <v>94</v>
      </c>
      <c r="K2990" s="30" t="s">
        <v>23</v>
      </c>
      <c r="L2990" s="31" t="str">
        <f>IFERROR(__xludf.DUMMYFUNCTION("IF(OR(E2990="""",K2990=""""),"""",IFERROR(IF(K2990="""","""",query('tbl user'!$A$2:$D10975,""SELECT A WHERE D = '""&amp;K2990&amp;""'"")),""USER TIDAK DIKETAHUI""))"),"#REF!")</f>
        <v>#REF!</v>
      </c>
    </row>
    <row r="2991">
      <c r="A2991" s="21">
        <f t="shared" si="1"/>
        <v>0</v>
      </c>
      <c r="B2991" s="32" t="s">
        <v>118</v>
      </c>
      <c r="C2991" s="23" t="s">
        <v>119</v>
      </c>
      <c r="D2991" s="23" t="s">
        <v>32</v>
      </c>
      <c r="E2991" s="37">
        <v>45440.0</v>
      </c>
      <c r="F2991" s="25">
        <v>0.225</v>
      </c>
      <c r="G2991" s="25">
        <v>0.5305555555555556</v>
      </c>
      <c r="H2991" s="27">
        <f t="shared" si="2"/>
        <v>0.3055555556</v>
      </c>
      <c r="I2991" s="28">
        <v>3.0</v>
      </c>
      <c r="J2991" s="29" t="s">
        <v>94</v>
      </c>
      <c r="K2991" s="30" t="s">
        <v>23</v>
      </c>
      <c r="L2991" s="31" t="str">
        <f>IFERROR(__xludf.DUMMYFUNCTION("IF(OR(E2991="""",K2991=""""),"""",IFERROR(IF(K2991="""","""",query('tbl user'!$A$2:$D10975,""SELECT A WHERE D = '""&amp;K2991&amp;""'"")),""USER TIDAK DIKETAHUI""))"),"#REF!")</f>
        <v>#REF!</v>
      </c>
    </row>
    <row r="2992">
      <c r="A2992" s="21">
        <f t="shared" si="1"/>
        <v>0</v>
      </c>
      <c r="B2992" s="32" t="s">
        <v>123</v>
      </c>
      <c r="C2992" s="23" t="s">
        <v>124</v>
      </c>
      <c r="D2992" s="23" t="s">
        <v>32</v>
      </c>
      <c r="E2992" s="37">
        <v>45440.0</v>
      </c>
      <c r="F2992" s="25">
        <v>0.25972222222222224</v>
      </c>
      <c r="G2992" s="25">
        <v>0.6173611111111111</v>
      </c>
      <c r="H2992" s="27">
        <f t="shared" si="2"/>
        <v>0.3576388889</v>
      </c>
      <c r="I2992" s="28">
        <v>3.0</v>
      </c>
      <c r="J2992" s="29" t="s">
        <v>94</v>
      </c>
      <c r="K2992" s="30" t="s">
        <v>23</v>
      </c>
      <c r="L2992" s="31" t="str">
        <f>IFERROR(__xludf.DUMMYFUNCTION("IF(OR(E2992="""",K2992=""""),"""",IFERROR(IF(K2992="""","""",query('tbl user'!$A$2:$D10975,""SELECT A WHERE D = '""&amp;K2992&amp;""'"")),""USER TIDAK DIKETAHUI""))"),"#REF!")</f>
        <v>#REF!</v>
      </c>
    </row>
    <row r="2993">
      <c r="A2993" s="21">
        <f t="shared" si="1"/>
        <v>0</v>
      </c>
      <c r="B2993" s="32" t="s">
        <v>131</v>
      </c>
      <c r="C2993" s="23" t="s">
        <v>132</v>
      </c>
      <c r="D2993" s="23" t="s">
        <v>32</v>
      </c>
      <c r="E2993" s="37">
        <v>45440.0</v>
      </c>
      <c r="F2993" s="25">
        <v>0.44305555555555554</v>
      </c>
      <c r="G2993" s="25">
        <v>0.7263888888888889</v>
      </c>
      <c r="H2993" s="27">
        <f t="shared" si="2"/>
        <v>0.2833333333</v>
      </c>
      <c r="I2993" s="28">
        <v>3.0</v>
      </c>
      <c r="J2993" s="29" t="s">
        <v>94</v>
      </c>
      <c r="K2993" s="30" t="s">
        <v>23</v>
      </c>
      <c r="L2993" s="31" t="str">
        <f>IFERROR(__xludf.DUMMYFUNCTION("IF(OR(E2993="""",K2993=""""),"""",IFERROR(IF(K2993="""","""",query('tbl user'!$A$2:$D10975,""SELECT A WHERE D = '""&amp;K2993&amp;""'"")),""USER TIDAK DIKETAHUI""))"),"#REF!")</f>
        <v>#REF!</v>
      </c>
    </row>
    <row r="2994">
      <c r="A2994" s="21">
        <f t="shared" si="1"/>
        <v>0</v>
      </c>
      <c r="B2994" s="32" t="s">
        <v>135</v>
      </c>
      <c r="C2994" s="23" t="s">
        <v>136</v>
      </c>
      <c r="D2994" s="23" t="s">
        <v>32</v>
      </c>
      <c r="E2994" s="37">
        <v>45440.0</v>
      </c>
      <c r="F2994" s="25">
        <v>0.27847222222222223</v>
      </c>
      <c r="G2994" s="25">
        <v>0.6576388888888889</v>
      </c>
      <c r="H2994" s="27">
        <f t="shared" si="2"/>
        <v>0.3791666667</v>
      </c>
      <c r="I2994" s="28">
        <v>3.0</v>
      </c>
      <c r="J2994" s="29" t="s">
        <v>94</v>
      </c>
      <c r="K2994" s="30" t="s">
        <v>23</v>
      </c>
      <c r="L2994" s="31" t="str">
        <f>IFERROR(__xludf.DUMMYFUNCTION("IF(OR(E2994="""",K2994=""""),"""",IFERROR(IF(K2994="""","""",query('tbl user'!$A$2:$D10975,""SELECT A WHERE D = '""&amp;K2994&amp;""'"")),""USER TIDAK DIKETAHUI""))"),"#REF!")</f>
        <v>#REF!</v>
      </c>
    </row>
    <row r="2995">
      <c r="A2995" s="21">
        <f t="shared" si="1"/>
        <v>0</v>
      </c>
      <c r="B2995" s="32" t="s">
        <v>30</v>
      </c>
      <c r="C2995" s="23" t="s">
        <v>31</v>
      </c>
      <c r="D2995" s="23" t="s">
        <v>32</v>
      </c>
      <c r="E2995" s="37">
        <v>45440.0</v>
      </c>
      <c r="F2995" s="25">
        <v>0.23472222222222222</v>
      </c>
      <c r="G2995" s="25">
        <v>0.6631944444444444</v>
      </c>
      <c r="H2995" s="27">
        <f t="shared" si="2"/>
        <v>0.4284722222</v>
      </c>
      <c r="I2995" s="28">
        <v>3.0</v>
      </c>
      <c r="J2995" s="29" t="s">
        <v>94</v>
      </c>
      <c r="K2995" s="30" t="s">
        <v>23</v>
      </c>
      <c r="L2995" s="31" t="str">
        <f>IFERROR(__xludf.DUMMYFUNCTION("IF(OR(E2995="""",K2995=""""),"""",IFERROR(IF(K2995="""","""",query('tbl user'!$A$2:$D10975,""SELECT A WHERE D = '""&amp;K2995&amp;""'"")),""USER TIDAK DIKETAHUI""))"),"#REF!")</f>
        <v>#REF!</v>
      </c>
    </row>
    <row r="2996">
      <c r="A2996" s="21">
        <f t="shared" si="1"/>
        <v>0</v>
      </c>
      <c r="B2996" s="32" t="s">
        <v>267</v>
      </c>
      <c r="C2996" s="23" t="s">
        <v>268</v>
      </c>
      <c r="D2996" s="23" t="s">
        <v>32</v>
      </c>
      <c r="E2996" s="37">
        <v>45440.0</v>
      </c>
      <c r="F2996" s="25">
        <v>0.28541666666666665</v>
      </c>
      <c r="G2996" s="25">
        <v>0.6701388888888888</v>
      </c>
      <c r="H2996" s="27">
        <f t="shared" si="2"/>
        <v>0.3847222222</v>
      </c>
      <c r="I2996" s="28">
        <v>3.0</v>
      </c>
      <c r="J2996" s="29" t="s">
        <v>94</v>
      </c>
      <c r="K2996" s="30" t="s">
        <v>23</v>
      </c>
      <c r="L2996" s="31" t="str">
        <f>IFERROR(__xludf.DUMMYFUNCTION("IF(OR(E2996="""",K2996=""""),"""",IFERROR(IF(K2996="""","""",query('tbl user'!$A$2:$D10975,""SELECT A WHERE D = '""&amp;K2996&amp;""'"")),""USER TIDAK DIKETAHUI""))"),"#REF!")</f>
        <v>#REF!</v>
      </c>
    </row>
    <row r="2997">
      <c r="A2997" s="21">
        <f t="shared" si="1"/>
        <v>0</v>
      </c>
      <c r="B2997" s="32" t="s">
        <v>269</v>
      </c>
      <c r="C2997" s="23" t="s">
        <v>270</v>
      </c>
      <c r="D2997" s="23" t="s">
        <v>32</v>
      </c>
      <c r="E2997" s="37">
        <v>45440.0</v>
      </c>
      <c r="F2997" s="25">
        <v>0.2743055555555556</v>
      </c>
      <c r="G2997" s="25">
        <v>0.6958333333333333</v>
      </c>
      <c r="H2997" s="27">
        <f t="shared" si="2"/>
        <v>0.4215277778</v>
      </c>
      <c r="I2997" s="28">
        <v>3.0</v>
      </c>
      <c r="J2997" s="29" t="s">
        <v>94</v>
      </c>
      <c r="K2997" s="30" t="s">
        <v>23</v>
      </c>
      <c r="L2997" s="31" t="str">
        <f>IFERROR(__xludf.DUMMYFUNCTION("IF(OR(E2997="""",K2997=""""),"""",IFERROR(IF(K2997="""","""",query('tbl user'!$A$2:$D10975,""SELECT A WHERE D = '""&amp;K2997&amp;""'"")),""USER TIDAK DIKETAHUI""))"),"#REF!")</f>
        <v>#REF!</v>
      </c>
    </row>
    <row r="2998">
      <c r="A2998" s="21">
        <f t="shared" si="1"/>
        <v>0</v>
      </c>
      <c r="B2998" s="32" t="s">
        <v>277</v>
      </c>
      <c r="C2998" s="23" t="s">
        <v>278</v>
      </c>
      <c r="D2998" s="23" t="s">
        <v>32</v>
      </c>
      <c r="E2998" s="37">
        <v>45440.0</v>
      </c>
      <c r="F2998" s="25">
        <v>0.2673611111111111</v>
      </c>
      <c r="G2998" s="25">
        <v>0.6805555555555556</v>
      </c>
      <c r="H2998" s="27">
        <f t="shared" si="2"/>
        <v>0.4131944444</v>
      </c>
      <c r="I2998" s="28">
        <v>3.0</v>
      </c>
      <c r="J2998" s="29" t="s">
        <v>94</v>
      </c>
      <c r="K2998" s="30" t="s">
        <v>23</v>
      </c>
      <c r="L2998" s="31" t="str">
        <f>IFERROR(__xludf.DUMMYFUNCTION("IF(OR(E2998="""",K2998=""""),"""",IFERROR(IF(K2998="""","""",query('tbl user'!$A$2:$D10975,""SELECT A WHERE D = '""&amp;K2998&amp;""'"")),""USER TIDAK DIKETAHUI""))"),"#REF!")</f>
        <v>#REF!</v>
      </c>
    </row>
    <row r="2999">
      <c r="A2999" s="21">
        <f t="shared" si="1"/>
        <v>0</v>
      </c>
      <c r="B2999" s="32" t="s">
        <v>250</v>
      </c>
      <c r="C2999" s="23" t="s">
        <v>315</v>
      </c>
      <c r="D2999" s="23" t="s">
        <v>32</v>
      </c>
      <c r="E2999" s="37">
        <v>45440.0</v>
      </c>
      <c r="F2999" s="25">
        <v>0.23125</v>
      </c>
      <c r="G2999" s="25">
        <v>0.7236111111111111</v>
      </c>
      <c r="H2999" s="27">
        <f t="shared" si="2"/>
        <v>0.4923611111</v>
      </c>
      <c r="I2999" s="28">
        <v>4.0</v>
      </c>
      <c r="J2999" s="29" t="s">
        <v>94</v>
      </c>
      <c r="K2999" s="30" t="s">
        <v>23</v>
      </c>
      <c r="L2999" s="31" t="str">
        <f>IFERROR(__xludf.DUMMYFUNCTION("IF(OR(E2999="""",K2999=""""),"""",IFERROR(IF(K2999="""","""",query('tbl user'!$A$2:$D10975,""SELECT A WHERE D = '""&amp;K2999&amp;""'"")),""USER TIDAK DIKETAHUI""))"),"#REF!")</f>
        <v>#REF!</v>
      </c>
    </row>
    <row r="3000">
      <c r="A3000" s="21">
        <f t="shared" si="1"/>
        <v>0</v>
      </c>
      <c r="B3000" s="32" t="s">
        <v>72</v>
      </c>
      <c r="C3000" s="23" t="s">
        <v>73</v>
      </c>
      <c r="D3000" s="23" t="s">
        <v>32</v>
      </c>
      <c r="E3000" s="37">
        <v>45440.0</v>
      </c>
      <c r="F3000" s="25">
        <v>0.25625</v>
      </c>
      <c r="G3000" s="25">
        <v>0.7541666666666667</v>
      </c>
      <c r="H3000" s="27">
        <f t="shared" si="2"/>
        <v>0.4979166667</v>
      </c>
      <c r="I3000" s="28">
        <v>4.0</v>
      </c>
      <c r="J3000" s="29" t="s">
        <v>94</v>
      </c>
      <c r="K3000" s="30" t="s">
        <v>23</v>
      </c>
      <c r="L3000" s="31" t="str">
        <f>IFERROR(__xludf.DUMMYFUNCTION("IF(OR(E3000="""",K3000=""""),"""",IFERROR(IF(K3000="""","""",query('tbl user'!$A$2:$D10975,""SELECT A WHERE D = '""&amp;K3000&amp;""'"")),""USER TIDAK DIKETAHUI""))"),"#REF!")</f>
        <v>#REF!</v>
      </c>
    </row>
    <row r="3001">
      <c r="A3001" s="21">
        <f t="shared" si="1"/>
        <v>0</v>
      </c>
      <c r="B3001" s="32" t="s">
        <v>40</v>
      </c>
      <c r="C3001" s="23" t="s">
        <v>41</v>
      </c>
      <c r="D3001" s="23" t="s">
        <v>32</v>
      </c>
      <c r="E3001" s="37">
        <v>45440.0</v>
      </c>
      <c r="F3001" s="25">
        <v>0.26458333333333334</v>
      </c>
      <c r="G3001" s="25">
        <v>0.7395833333333334</v>
      </c>
      <c r="H3001" s="27">
        <f t="shared" si="2"/>
        <v>0.475</v>
      </c>
      <c r="I3001" s="28">
        <v>4.0</v>
      </c>
      <c r="J3001" s="29" t="s">
        <v>94</v>
      </c>
      <c r="K3001" s="30" t="s">
        <v>23</v>
      </c>
      <c r="L3001" s="31" t="str">
        <f>IFERROR(__xludf.DUMMYFUNCTION("IF(OR(E3001="""",K3001=""""),"""",IFERROR(IF(K3001="""","""",query('tbl user'!$A$2:$D10975,""SELECT A WHERE D = '""&amp;K3001&amp;""'"")),""USER TIDAK DIKETAHUI""))"),"#REF!")</f>
        <v>#REF!</v>
      </c>
    </row>
    <row r="3002">
      <c r="A3002" s="21">
        <f t="shared" si="1"/>
        <v>0</v>
      </c>
      <c r="B3002" s="32" t="s">
        <v>312</v>
      </c>
      <c r="C3002" s="23" t="s">
        <v>313</v>
      </c>
      <c r="D3002" s="23" t="s">
        <v>32</v>
      </c>
      <c r="E3002" s="37">
        <v>45440.0</v>
      </c>
      <c r="F3002" s="25">
        <v>0.28055555555555556</v>
      </c>
      <c r="G3002" s="25">
        <v>0.6909722222222222</v>
      </c>
      <c r="H3002" s="27">
        <f t="shared" si="2"/>
        <v>0.4104166667</v>
      </c>
      <c r="I3002" s="28">
        <v>4.0</v>
      </c>
      <c r="J3002" s="29" t="s">
        <v>94</v>
      </c>
      <c r="K3002" s="30" t="s">
        <v>23</v>
      </c>
      <c r="L3002" s="31" t="str">
        <f>IFERROR(__xludf.DUMMYFUNCTION("IF(OR(E3002="""",K3002=""""),"""",IFERROR(IF(K3002="""","""",query('tbl user'!$A$2:$D10975,""SELECT A WHERE D = '""&amp;K3002&amp;""'"")),""USER TIDAK DIKETAHUI""))"),"#REF!")</f>
        <v>#REF!</v>
      </c>
    </row>
    <row r="3003">
      <c r="A3003" s="21">
        <f t="shared" si="1"/>
        <v>0</v>
      </c>
      <c r="B3003" s="32" t="s">
        <v>279</v>
      </c>
      <c r="C3003" s="23" t="s">
        <v>280</v>
      </c>
      <c r="D3003" s="23" t="s">
        <v>32</v>
      </c>
      <c r="E3003" s="37">
        <v>45440.0</v>
      </c>
      <c r="F3003" s="25">
        <v>0.25833333333333336</v>
      </c>
      <c r="G3003" s="25">
        <v>0.6472222222222223</v>
      </c>
      <c r="H3003" s="27">
        <f t="shared" si="2"/>
        <v>0.3888888889</v>
      </c>
      <c r="I3003" s="28">
        <v>4.0</v>
      </c>
      <c r="J3003" s="29" t="s">
        <v>94</v>
      </c>
      <c r="K3003" s="30" t="s">
        <v>23</v>
      </c>
      <c r="L3003" s="31" t="str">
        <f>IFERROR(__xludf.DUMMYFUNCTION("IF(OR(E3003="""",K3003=""""),"""",IFERROR(IF(K3003="""","""",query('tbl user'!$A$2:$D10975,""SELECT A WHERE D = '""&amp;K3003&amp;""'"")),""USER TIDAK DIKETAHUI""))"),"#REF!")</f>
        <v>#REF!</v>
      </c>
    </row>
    <row r="3004">
      <c r="A3004" s="21">
        <f t="shared" si="1"/>
        <v>0</v>
      </c>
      <c r="B3004" s="32" t="s">
        <v>141</v>
      </c>
      <c r="C3004" s="23" t="s">
        <v>142</v>
      </c>
      <c r="D3004" s="23" t="s">
        <v>32</v>
      </c>
      <c r="E3004" s="37">
        <v>45440.0</v>
      </c>
      <c r="F3004" s="25">
        <v>0.28541666666666665</v>
      </c>
      <c r="G3004" s="25">
        <v>0.6756944444444445</v>
      </c>
      <c r="H3004" s="27">
        <f t="shared" si="2"/>
        <v>0.3902777778</v>
      </c>
      <c r="I3004" s="28">
        <v>4.0</v>
      </c>
      <c r="J3004" s="29" t="s">
        <v>94</v>
      </c>
      <c r="K3004" s="30" t="s">
        <v>23</v>
      </c>
      <c r="L3004" s="31" t="str">
        <f>IFERROR(__xludf.DUMMYFUNCTION("IF(OR(E3004="""",K3004=""""),"""",IFERROR(IF(K3004="""","""",query('tbl user'!$A$2:$D10975,""SELECT A WHERE D = '""&amp;K3004&amp;""'"")),""USER TIDAK DIKETAHUI""))"),"#REF!")</f>
        <v>#REF!</v>
      </c>
    </row>
    <row r="3005">
      <c r="A3005" s="21">
        <f t="shared" si="1"/>
        <v>0</v>
      </c>
      <c r="B3005" s="32" t="s">
        <v>146</v>
      </c>
      <c r="C3005" s="23" t="s">
        <v>147</v>
      </c>
      <c r="D3005" s="23" t="s">
        <v>32</v>
      </c>
      <c r="E3005" s="37">
        <v>45440.0</v>
      </c>
      <c r="F3005" s="25">
        <v>0.2923611111111111</v>
      </c>
      <c r="G3005" s="25">
        <v>0.7173611111111111</v>
      </c>
      <c r="H3005" s="27">
        <f t="shared" si="2"/>
        <v>0.425</v>
      </c>
      <c r="I3005" s="28">
        <v>4.0</v>
      </c>
      <c r="J3005" s="29" t="s">
        <v>94</v>
      </c>
      <c r="K3005" s="30" t="s">
        <v>23</v>
      </c>
      <c r="L3005" s="31" t="str">
        <f>IFERROR(__xludf.DUMMYFUNCTION("IF(OR(E3005="""",K3005=""""),"""",IFERROR(IF(K3005="""","""",query('tbl user'!$A$2:$D10975,""SELECT A WHERE D = '""&amp;K3005&amp;""'"")),""USER TIDAK DIKETAHUI""))"),"#REF!")</f>
        <v>#REF!</v>
      </c>
    </row>
    <row r="3006">
      <c r="A3006" s="21">
        <f t="shared" si="1"/>
        <v>0</v>
      </c>
      <c r="B3006" s="32" t="s">
        <v>149</v>
      </c>
      <c r="C3006" s="23" t="s">
        <v>150</v>
      </c>
      <c r="D3006" s="23" t="s">
        <v>32</v>
      </c>
      <c r="E3006" s="37">
        <v>45440.0</v>
      </c>
      <c r="F3006" s="25">
        <v>0.25763888888888886</v>
      </c>
      <c r="G3006" s="25">
        <v>0.6847222222222222</v>
      </c>
      <c r="H3006" s="27">
        <f t="shared" si="2"/>
        <v>0.4270833333</v>
      </c>
      <c r="I3006" s="28">
        <v>4.0</v>
      </c>
      <c r="J3006" s="29" t="s">
        <v>94</v>
      </c>
      <c r="K3006" s="30" t="s">
        <v>23</v>
      </c>
      <c r="L3006" s="31" t="str">
        <f>IFERROR(__xludf.DUMMYFUNCTION("IF(OR(E3006="""",K3006=""""),"""",IFERROR(IF(K3006="""","""",query('tbl user'!$A$2:$D10975,""SELECT A WHERE D = '""&amp;K3006&amp;""'"")),""USER TIDAK DIKETAHUI""))"),"#REF!")</f>
        <v>#REF!</v>
      </c>
    </row>
    <row r="3007">
      <c r="A3007" s="21">
        <f t="shared" si="1"/>
        <v>0</v>
      </c>
      <c r="B3007" s="32" t="s">
        <v>274</v>
      </c>
      <c r="C3007" s="23" t="s">
        <v>275</v>
      </c>
      <c r="D3007" s="23" t="s">
        <v>32</v>
      </c>
      <c r="E3007" s="37">
        <v>45440.0</v>
      </c>
      <c r="F3007" s="25">
        <v>0.23680555555555555</v>
      </c>
      <c r="G3007" s="25">
        <v>0.6458333333333334</v>
      </c>
      <c r="H3007" s="27">
        <f t="shared" si="2"/>
        <v>0.4090277778</v>
      </c>
      <c r="I3007" s="28">
        <v>4.0</v>
      </c>
      <c r="J3007" s="29" t="s">
        <v>94</v>
      </c>
      <c r="K3007" s="30" t="s">
        <v>23</v>
      </c>
      <c r="L3007" s="31" t="str">
        <f>IFERROR(__xludf.DUMMYFUNCTION("IF(OR(E3007="""",K3007=""""),"""",IFERROR(IF(K3007="""","""",query('tbl user'!$A$2:$D10975,""SELECT A WHERE D = '""&amp;K3007&amp;""'"")),""USER TIDAK DIKETAHUI""))"),"#REF!")</f>
        <v>#REF!</v>
      </c>
    </row>
    <row r="3008">
      <c r="A3008" s="21">
        <f t="shared" si="1"/>
        <v>0</v>
      </c>
      <c r="B3008" s="32" t="s">
        <v>151</v>
      </c>
      <c r="C3008" s="23" t="s">
        <v>152</v>
      </c>
      <c r="D3008" s="23" t="s">
        <v>32</v>
      </c>
      <c r="E3008" s="37">
        <v>45440.0</v>
      </c>
      <c r="F3008" s="25">
        <v>0.28888888888888886</v>
      </c>
      <c r="G3008" s="25">
        <v>0.675</v>
      </c>
      <c r="H3008" s="27">
        <f t="shared" si="2"/>
        <v>0.3861111111</v>
      </c>
      <c r="I3008" s="28">
        <v>4.0</v>
      </c>
      <c r="J3008" s="29" t="s">
        <v>94</v>
      </c>
      <c r="K3008" s="30" t="s">
        <v>23</v>
      </c>
      <c r="L3008" s="31" t="str">
        <f>IFERROR(__xludf.DUMMYFUNCTION("IF(OR(E3008="""",K3008=""""),"""",IFERROR(IF(K3008="""","""",query('tbl user'!$A$2:$D10975,""SELECT A WHERE D = '""&amp;K3008&amp;""'"")),""USER TIDAK DIKETAHUI""))"),"#REF!")</f>
        <v>#REF!</v>
      </c>
    </row>
    <row r="3009">
      <c r="A3009" s="21">
        <f t="shared" si="1"/>
        <v>0</v>
      </c>
      <c r="B3009" s="32" t="s">
        <v>297</v>
      </c>
      <c r="C3009" s="23" t="s">
        <v>348</v>
      </c>
      <c r="D3009" s="23" t="s">
        <v>58</v>
      </c>
      <c r="E3009" s="37">
        <v>45441.0</v>
      </c>
      <c r="F3009" s="25">
        <v>0.27569444444444446</v>
      </c>
      <c r="G3009" s="25">
        <v>0.4791666666666667</v>
      </c>
      <c r="H3009" s="27">
        <f t="shared" si="2"/>
        <v>0.2034722222</v>
      </c>
      <c r="I3009" s="28">
        <v>1.0</v>
      </c>
      <c r="J3009" s="29" t="s">
        <v>1346</v>
      </c>
      <c r="K3009" s="30" t="s">
        <v>23</v>
      </c>
      <c r="L3009" s="31" t="str">
        <f>IFERROR(__xludf.DUMMYFUNCTION("IF(OR(E3009="""",K3009=""""),"""",IFERROR(IF(K3009="""","""",query('tbl user'!$A$2:$D10975,""SELECT A WHERE D = '""&amp;K3009&amp;""'"")),""USER TIDAK DIKETAHUI""))"),"#REF!")</f>
        <v>#REF!</v>
      </c>
    </row>
    <row r="3010">
      <c r="A3010" s="21">
        <f t="shared" si="1"/>
        <v>0</v>
      </c>
      <c r="B3010" s="32" t="s">
        <v>175</v>
      </c>
      <c r="C3010" s="23" t="s">
        <v>176</v>
      </c>
      <c r="D3010" s="23" t="s">
        <v>58</v>
      </c>
      <c r="E3010" s="37">
        <v>45441.0</v>
      </c>
      <c r="F3010" s="25">
        <v>0.3368055555555556</v>
      </c>
      <c r="G3010" s="25">
        <v>0.6256944444444444</v>
      </c>
      <c r="H3010" s="27">
        <f t="shared" si="2"/>
        <v>0.2888888889</v>
      </c>
      <c r="I3010" s="28">
        <v>2.0</v>
      </c>
      <c r="J3010" s="29" t="s">
        <v>1347</v>
      </c>
      <c r="K3010" s="30" t="s">
        <v>23</v>
      </c>
      <c r="L3010" s="31" t="str">
        <f>IFERROR(__xludf.DUMMYFUNCTION("IF(OR(E3010="""",K3010=""""),"""",IFERROR(IF(K3010="""","""",query('tbl user'!$A$2:$D10975,""SELECT A WHERE D = '""&amp;K3010&amp;""'"")),""USER TIDAK DIKETAHUI""))"),"#REF!")</f>
        <v>#REF!</v>
      </c>
    </row>
    <row r="3011">
      <c r="A3011" s="21">
        <f t="shared" si="1"/>
        <v>0</v>
      </c>
      <c r="B3011" s="32" t="s">
        <v>56</v>
      </c>
      <c r="C3011" s="23" t="s">
        <v>57</v>
      </c>
      <c r="D3011" s="23" t="s">
        <v>58</v>
      </c>
      <c r="E3011" s="37">
        <v>45441.0</v>
      </c>
      <c r="F3011" s="25">
        <v>0.2791666666666667</v>
      </c>
      <c r="G3011" s="25">
        <v>0.6465277777777778</v>
      </c>
      <c r="H3011" s="27">
        <f t="shared" si="2"/>
        <v>0.3673611111</v>
      </c>
      <c r="I3011" s="28">
        <v>2.0</v>
      </c>
      <c r="J3011" s="29" t="s">
        <v>1348</v>
      </c>
      <c r="K3011" s="30" t="s">
        <v>23</v>
      </c>
      <c r="L3011" s="31" t="str">
        <f>IFERROR(__xludf.DUMMYFUNCTION("IF(OR(E3011="""",K3011=""""),"""",IFERROR(IF(K3011="""","""",query('tbl user'!$A$2:$D10975,""SELECT A WHERE D = '""&amp;K3011&amp;""'"")),""USER TIDAK DIKETAHUI""))"),"#REF!")</f>
        <v>#REF!</v>
      </c>
    </row>
    <row r="3012">
      <c r="A3012" s="21">
        <f t="shared" si="1"/>
        <v>0</v>
      </c>
      <c r="B3012" s="32" t="s">
        <v>197</v>
      </c>
      <c r="C3012" s="23" t="s">
        <v>198</v>
      </c>
      <c r="D3012" s="23" t="s">
        <v>58</v>
      </c>
      <c r="E3012" s="37">
        <v>45441.0</v>
      </c>
      <c r="F3012" s="25">
        <v>0.25277777777777777</v>
      </c>
      <c r="G3012" s="25">
        <v>0.48055555555555557</v>
      </c>
      <c r="H3012" s="27">
        <f t="shared" si="2"/>
        <v>0.2277777778</v>
      </c>
      <c r="I3012" s="28">
        <v>2.0</v>
      </c>
      <c r="J3012" s="29" t="s">
        <v>1349</v>
      </c>
      <c r="K3012" s="30" t="s">
        <v>23</v>
      </c>
      <c r="L3012" s="31" t="str">
        <f>IFERROR(__xludf.DUMMYFUNCTION("IF(OR(E3012="""",K3012=""""),"""",IFERROR(IF(K3012="""","""",query('tbl user'!$A$2:$D10975,""SELECT A WHERE D = '""&amp;K3012&amp;""'"")),""USER TIDAK DIKETAHUI""))"),"#REF!")</f>
        <v>#REF!</v>
      </c>
    </row>
    <row r="3013">
      <c r="A3013" s="21">
        <f t="shared" si="1"/>
        <v>0</v>
      </c>
      <c r="B3013" s="32" t="s">
        <v>104</v>
      </c>
      <c r="C3013" s="23" t="s">
        <v>105</v>
      </c>
      <c r="D3013" s="23" t="s">
        <v>58</v>
      </c>
      <c r="E3013" s="37">
        <v>45441.0</v>
      </c>
      <c r="F3013" s="25">
        <v>0.2659722222222222</v>
      </c>
      <c r="G3013" s="25">
        <v>0.59375</v>
      </c>
      <c r="H3013" s="27">
        <f t="shared" si="2"/>
        <v>0.3277777778</v>
      </c>
      <c r="I3013" s="28">
        <v>2.0</v>
      </c>
      <c r="J3013" s="29" t="s">
        <v>1350</v>
      </c>
      <c r="K3013" s="30" t="s">
        <v>23</v>
      </c>
      <c r="L3013" s="31" t="str">
        <f>IFERROR(__xludf.DUMMYFUNCTION("IF(OR(E3013="""",K3013=""""),"""",IFERROR(IF(K3013="""","""",query('tbl user'!$A$2:$D10975,""SELECT A WHERE D = '""&amp;K3013&amp;""'"")),""USER TIDAK DIKETAHUI""))"),"#REF!")</f>
        <v>#REF!</v>
      </c>
    </row>
    <row r="3014">
      <c r="A3014" s="21">
        <f t="shared" si="1"/>
        <v>0</v>
      </c>
      <c r="B3014" s="32" t="s">
        <v>153</v>
      </c>
      <c r="C3014" s="23" t="s">
        <v>211</v>
      </c>
      <c r="D3014" s="23" t="s">
        <v>58</v>
      </c>
      <c r="E3014" s="37">
        <v>45441.0</v>
      </c>
      <c r="F3014" s="25">
        <v>0.2701388888888889</v>
      </c>
      <c r="G3014" s="25">
        <v>0.6701388888888888</v>
      </c>
      <c r="H3014" s="27">
        <f t="shared" si="2"/>
        <v>0.4</v>
      </c>
      <c r="I3014" s="28">
        <v>3.0</v>
      </c>
      <c r="J3014" s="29" t="s">
        <v>1348</v>
      </c>
      <c r="K3014" s="30" t="s">
        <v>23</v>
      </c>
      <c r="L3014" s="31" t="str">
        <f>IFERROR(__xludf.DUMMYFUNCTION("IF(OR(E3014="""",K3014=""""),"""",IFERROR(IF(K3014="""","""",query('tbl user'!$A$2:$D10975,""SELECT A WHERE D = '""&amp;K3014&amp;""'"")),""USER TIDAK DIKETAHUI""))"),"#REF!")</f>
        <v>#REF!</v>
      </c>
    </row>
    <row r="3015">
      <c r="A3015" s="21">
        <f t="shared" si="1"/>
        <v>0</v>
      </c>
      <c r="B3015" s="32" t="s">
        <v>167</v>
      </c>
      <c r="C3015" s="23" t="s">
        <v>168</v>
      </c>
      <c r="D3015" s="23" t="s">
        <v>58</v>
      </c>
      <c r="E3015" s="37">
        <v>45441.0</v>
      </c>
      <c r="F3015" s="25">
        <v>0.2847222222222222</v>
      </c>
      <c r="G3015" s="25">
        <v>0.7270833333333333</v>
      </c>
      <c r="H3015" s="27">
        <f t="shared" si="2"/>
        <v>0.4423611111</v>
      </c>
      <c r="I3015" s="28">
        <v>3.0</v>
      </c>
      <c r="J3015" s="29" t="s">
        <v>1348</v>
      </c>
      <c r="K3015" s="30" t="s">
        <v>23</v>
      </c>
      <c r="L3015" s="31" t="str">
        <f>IFERROR(__xludf.DUMMYFUNCTION("IF(OR(E3015="""",K3015=""""),"""",IFERROR(IF(K3015="""","""",query('tbl user'!$A$2:$D10975,""SELECT A WHERE D = '""&amp;K3015&amp;""'"")),""USER TIDAK DIKETAHUI""))"),"#REF!")</f>
        <v>#REF!</v>
      </c>
    </row>
    <row r="3016">
      <c r="A3016" s="21">
        <f t="shared" si="1"/>
        <v>0</v>
      </c>
      <c r="B3016" s="32" t="s">
        <v>178</v>
      </c>
      <c r="C3016" s="23" t="s">
        <v>82</v>
      </c>
      <c r="D3016" s="23" t="s">
        <v>58</v>
      </c>
      <c r="E3016" s="37">
        <v>45441.0</v>
      </c>
      <c r="F3016" s="25">
        <v>0.26319444444444445</v>
      </c>
      <c r="G3016" s="25">
        <v>0.6493055555555556</v>
      </c>
      <c r="H3016" s="27">
        <f t="shared" si="2"/>
        <v>0.3861111111</v>
      </c>
      <c r="I3016" s="28">
        <v>3.0</v>
      </c>
      <c r="J3016" s="29" t="s">
        <v>1348</v>
      </c>
      <c r="K3016" s="30" t="s">
        <v>23</v>
      </c>
      <c r="L3016" s="31" t="str">
        <f>IFERROR(__xludf.DUMMYFUNCTION("IF(OR(E3016="""",K3016=""""),"""",IFERROR(IF(K3016="""","""",query('tbl user'!$A$2:$D10975,""SELECT A WHERE D = '""&amp;K3016&amp;""'"")),""USER TIDAK DIKETAHUI""))"),"#REF!")</f>
        <v>#REF!</v>
      </c>
    </row>
    <row r="3017">
      <c r="A3017" s="21">
        <f t="shared" si="1"/>
        <v>0</v>
      </c>
      <c r="B3017" s="32" t="s">
        <v>180</v>
      </c>
      <c r="C3017" s="23" t="s">
        <v>181</v>
      </c>
      <c r="D3017" s="23" t="s">
        <v>58</v>
      </c>
      <c r="E3017" s="37">
        <v>45441.0</v>
      </c>
      <c r="F3017" s="25">
        <v>0.2520833333333333</v>
      </c>
      <c r="G3017" s="25">
        <v>0.7090277777777778</v>
      </c>
      <c r="H3017" s="27">
        <f t="shared" si="2"/>
        <v>0.4569444444</v>
      </c>
      <c r="I3017" s="28">
        <v>3.0</v>
      </c>
      <c r="J3017" s="29" t="s">
        <v>1351</v>
      </c>
      <c r="K3017" s="30" t="s">
        <v>23</v>
      </c>
      <c r="L3017" s="31" t="str">
        <f>IFERROR(__xludf.DUMMYFUNCTION("IF(OR(E3017="""",K3017=""""),"""",IFERROR(IF(K3017="""","""",query('tbl user'!$A$2:$D10975,""SELECT A WHERE D = '""&amp;K3017&amp;""'"")),""USER TIDAK DIKETAHUI""))"),"#REF!")</f>
        <v>#REF!</v>
      </c>
    </row>
    <row r="3018">
      <c r="A3018" s="21">
        <f t="shared" si="1"/>
        <v>0</v>
      </c>
      <c r="B3018" s="32" t="s">
        <v>184</v>
      </c>
      <c r="C3018" s="23" t="s">
        <v>185</v>
      </c>
      <c r="D3018" s="23" t="s">
        <v>58</v>
      </c>
      <c r="E3018" s="37">
        <v>45441.0</v>
      </c>
      <c r="F3018" s="25">
        <v>0.27569444444444446</v>
      </c>
      <c r="G3018" s="25">
        <v>0.6534722222222222</v>
      </c>
      <c r="H3018" s="27">
        <f t="shared" si="2"/>
        <v>0.3777777778</v>
      </c>
      <c r="I3018" s="28">
        <v>3.0</v>
      </c>
      <c r="J3018" s="29" t="s">
        <v>1352</v>
      </c>
      <c r="K3018" s="30" t="s">
        <v>23</v>
      </c>
      <c r="L3018" s="31" t="str">
        <f>IFERROR(__xludf.DUMMYFUNCTION("IF(OR(E3018="""",K3018=""""),"""",IFERROR(IF(K3018="""","""",query('tbl user'!$A$2:$D10975,""SELECT A WHERE D = '""&amp;K3018&amp;""'"")),""USER TIDAK DIKETAHUI""))"),"#REF!")</f>
        <v>#REF!</v>
      </c>
    </row>
    <row r="3019">
      <c r="A3019" s="21">
        <f t="shared" si="1"/>
        <v>0</v>
      </c>
      <c r="B3019" s="32" t="s">
        <v>189</v>
      </c>
      <c r="C3019" s="23" t="s">
        <v>190</v>
      </c>
      <c r="D3019" s="23" t="s">
        <v>58</v>
      </c>
      <c r="E3019" s="37">
        <v>45441.0</v>
      </c>
      <c r="F3019" s="25">
        <v>0.275</v>
      </c>
      <c r="G3019" s="25">
        <v>0.6875</v>
      </c>
      <c r="H3019" s="27">
        <f t="shared" si="2"/>
        <v>0.4125</v>
      </c>
      <c r="I3019" s="28">
        <v>3.0</v>
      </c>
      <c r="J3019" s="29" t="s">
        <v>1348</v>
      </c>
      <c r="K3019" s="30" t="s">
        <v>23</v>
      </c>
      <c r="L3019" s="31" t="str">
        <f>IFERROR(__xludf.DUMMYFUNCTION("IF(OR(E3019="""",K3019=""""),"""",IFERROR(IF(K3019="""","""",query('tbl user'!$A$2:$D10975,""SELECT A WHERE D = '""&amp;K3019&amp;""'"")),""USER TIDAK DIKETAHUI""))"),"#REF!")</f>
        <v>#REF!</v>
      </c>
    </row>
    <row r="3020">
      <c r="A3020" s="21">
        <f t="shared" si="1"/>
        <v>0</v>
      </c>
      <c r="B3020" s="32" t="s">
        <v>191</v>
      </c>
      <c r="C3020" s="23" t="s">
        <v>192</v>
      </c>
      <c r="D3020" s="23" t="s">
        <v>58</v>
      </c>
      <c r="E3020" s="37">
        <v>45441.0</v>
      </c>
      <c r="F3020" s="25">
        <v>0.2763888888888889</v>
      </c>
      <c r="G3020" s="25">
        <v>0.6888888888888889</v>
      </c>
      <c r="H3020" s="27">
        <f t="shared" si="2"/>
        <v>0.4125</v>
      </c>
      <c r="I3020" s="28">
        <v>3.0</v>
      </c>
      <c r="J3020" s="29" t="s">
        <v>1348</v>
      </c>
      <c r="K3020" s="30" t="s">
        <v>23</v>
      </c>
      <c r="L3020" s="31" t="str">
        <f>IFERROR(__xludf.DUMMYFUNCTION("IF(OR(E3020="""",K3020=""""),"""",IFERROR(IF(K3020="""","""",query('tbl user'!$A$2:$D10975,""SELECT A WHERE D = '""&amp;K3020&amp;""'"")),""USER TIDAK DIKETAHUI""))"),"#REF!")</f>
        <v>#REF!</v>
      </c>
    </row>
    <row r="3021">
      <c r="A3021" s="21">
        <f t="shared" si="1"/>
        <v>0</v>
      </c>
      <c r="B3021" s="32" t="s">
        <v>194</v>
      </c>
      <c r="C3021" s="23" t="s">
        <v>195</v>
      </c>
      <c r="D3021" s="23" t="s">
        <v>58</v>
      </c>
      <c r="E3021" s="37">
        <v>45441.0</v>
      </c>
      <c r="F3021" s="25">
        <v>0.2569444444444444</v>
      </c>
      <c r="G3021" s="25">
        <v>0.6444444444444445</v>
      </c>
      <c r="H3021" s="27">
        <f t="shared" si="2"/>
        <v>0.3875</v>
      </c>
      <c r="I3021" s="28">
        <v>3.0</v>
      </c>
      <c r="J3021" s="29" t="s">
        <v>1348</v>
      </c>
      <c r="K3021" s="30" t="s">
        <v>23</v>
      </c>
      <c r="L3021" s="31" t="str">
        <f>IFERROR(__xludf.DUMMYFUNCTION("IF(OR(E3021="""",K3021=""""),"""",IFERROR(IF(K3021="""","""",query('tbl user'!$A$2:$D10975,""SELECT A WHERE D = '""&amp;K3021&amp;""'"")),""USER TIDAK DIKETAHUI""))"),"#REF!")</f>
        <v>#REF!</v>
      </c>
    </row>
    <row r="3022">
      <c r="A3022" s="21">
        <f t="shared" si="1"/>
        <v>0</v>
      </c>
      <c r="B3022" s="32" t="s">
        <v>200</v>
      </c>
      <c r="C3022" s="23" t="s">
        <v>201</v>
      </c>
      <c r="D3022" s="23" t="s">
        <v>58</v>
      </c>
      <c r="E3022" s="37">
        <v>45441.0</v>
      </c>
      <c r="F3022" s="25">
        <v>0.2673611111111111</v>
      </c>
      <c r="G3022" s="25">
        <v>0.6888888888888889</v>
      </c>
      <c r="H3022" s="27">
        <f t="shared" si="2"/>
        <v>0.4215277778</v>
      </c>
      <c r="I3022" s="28">
        <v>3.0</v>
      </c>
      <c r="J3022" s="29" t="s">
        <v>1348</v>
      </c>
      <c r="K3022" s="30" t="s">
        <v>23</v>
      </c>
      <c r="L3022" s="31" t="str">
        <f>IFERROR(__xludf.DUMMYFUNCTION("IF(OR(E3022="""",K3022=""""),"""",IFERROR(IF(K3022="""","""",query('tbl user'!$A$2:$D10975,""SELECT A WHERE D = '""&amp;K3022&amp;""'"")),""USER TIDAK DIKETAHUI""))"),"#REF!")</f>
        <v>#REF!</v>
      </c>
    </row>
    <row r="3023">
      <c r="A3023" s="21">
        <f t="shared" si="1"/>
        <v>0</v>
      </c>
      <c r="B3023" s="32" t="s">
        <v>202</v>
      </c>
      <c r="C3023" s="23" t="s">
        <v>203</v>
      </c>
      <c r="D3023" s="23" t="s">
        <v>58</v>
      </c>
      <c r="E3023" s="37">
        <v>45441.0</v>
      </c>
      <c r="F3023" s="25">
        <v>0.28541666666666665</v>
      </c>
      <c r="G3023" s="25">
        <v>0.725</v>
      </c>
      <c r="H3023" s="27">
        <f t="shared" si="2"/>
        <v>0.4395833333</v>
      </c>
      <c r="I3023" s="28">
        <v>3.0</v>
      </c>
      <c r="J3023" s="29" t="s">
        <v>1348</v>
      </c>
      <c r="K3023" s="30" t="s">
        <v>23</v>
      </c>
      <c r="L3023" s="31" t="str">
        <f>IFERROR(__xludf.DUMMYFUNCTION("IF(OR(E3023="""",K3023=""""),"""",IFERROR(IF(K3023="""","""",query('tbl user'!$A$2:$D10975,""SELECT A WHERE D = '""&amp;K3023&amp;""'"")),""USER TIDAK DIKETAHUI""))"),"#REF!")</f>
        <v>#REF!</v>
      </c>
    </row>
    <row r="3024">
      <c r="A3024" s="21">
        <f t="shared" si="1"/>
        <v>0</v>
      </c>
      <c r="B3024" s="32" t="s">
        <v>205</v>
      </c>
      <c r="C3024" s="23" t="s">
        <v>206</v>
      </c>
      <c r="D3024" s="23" t="s">
        <v>58</v>
      </c>
      <c r="E3024" s="37">
        <v>45441.0</v>
      </c>
      <c r="F3024" s="25">
        <v>0.2625</v>
      </c>
      <c r="G3024" s="25">
        <v>0.6756944444444445</v>
      </c>
      <c r="H3024" s="27">
        <f t="shared" si="2"/>
        <v>0.4131944444</v>
      </c>
      <c r="I3024" s="28">
        <v>3.0</v>
      </c>
      <c r="J3024" s="29" t="s">
        <v>1348</v>
      </c>
      <c r="K3024" s="30" t="s">
        <v>23</v>
      </c>
      <c r="L3024" s="31" t="str">
        <f>IFERROR(__xludf.DUMMYFUNCTION("IF(OR(E3024="""",K3024=""""),"""",IFERROR(IF(K3024="""","""",query('tbl user'!$A$2:$D10975,""SELECT A WHERE D = '""&amp;K3024&amp;""'"")),""USER TIDAK DIKETAHUI""))"),"#REF!")</f>
        <v>#REF!</v>
      </c>
    </row>
    <row r="3025">
      <c r="A3025" s="21">
        <f t="shared" si="1"/>
        <v>0</v>
      </c>
      <c r="B3025" s="32" t="s">
        <v>224</v>
      </c>
      <c r="C3025" s="23" t="s">
        <v>208</v>
      </c>
      <c r="D3025" s="23" t="s">
        <v>58</v>
      </c>
      <c r="E3025" s="37">
        <v>45441.0</v>
      </c>
      <c r="F3025" s="25">
        <v>0.25833333333333336</v>
      </c>
      <c r="G3025" s="25">
        <v>0.6763888888888889</v>
      </c>
      <c r="H3025" s="27">
        <f t="shared" si="2"/>
        <v>0.4180555556</v>
      </c>
      <c r="I3025" s="28">
        <v>3.0</v>
      </c>
      <c r="J3025" s="29" t="s">
        <v>1353</v>
      </c>
      <c r="K3025" s="30" t="s">
        <v>23</v>
      </c>
      <c r="L3025" s="31" t="str">
        <f>IFERROR(__xludf.DUMMYFUNCTION("IF(OR(E3025="""",K3025=""""),"""",IFERROR(IF(K3025="""","""",query('tbl user'!$A$2:$D10975,""SELECT A WHERE D = '""&amp;K3025&amp;""'"")),""USER TIDAK DIKETAHUI""))"),"#REF!")</f>
        <v>#REF!</v>
      </c>
    </row>
    <row r="3026">
      <c r="A3026" s="21">
        <f t="shared" si="1"/>
        <v>0</v>
      </c>
      <c r="B3026" s="32" t="s">
        <v>84</v>
      </c>
      <c r="C3026" s="23" t="s">
        <v>85</v>
      </c>
      <c r="D3026" s="23" t="s">
        <v>58</v>
      </c>
      <c r="E3026" s="37">
        <v>45441.0</v>
      </c>
      <c r="F3026" s="25">
        <v>0.2638888888888889</v>
      </c>
      <c r="G3026" s="25">
        <v>0.7222222222222222</v>
      </c>
      <c r="H3026" s="27">
        <f t="shared" si="2"/>
        <v>0.4583333333</v>
      </c>
      <c r="I3026" s="28">
        <v>3.0</v>
      </c>
      <c r="J3026" s="29" t="s">
        <v>1348</v>
      </c>
      <c r="K3026" s="30" t="s">
        <v>23</v>
      </c>
      <c r="L3026" s="31" t="str">
        <f>IFERROR(__xludf.DUMMYFUNCTION("IF(OR(E3026="""",K3026=""""),"""",IFERROR(IF(K3026="""","""",query('tbl user'!$A$2:$D10975,""SELECT A WHERE D = '""&amp;K3026&amp;""'"")),""USER TIDAK DIKETAHUI""))"),"#REF!")</f>
        <v>#REF!</v>
      </c>
    </row>
    <row r="3027">
      <c r="A3027" s="21">
        <f t="shared" si="1"/>
        <v>0</v>
      </c>
      <c r="B3027" s="32" t="s">
        <v>67</v>
      </c>
      <c r="C3027" s="23" t="s">
        <v>68</v>
      </c>
      <c r="D3027" s="23" t="s">
        <v>58</v>
      </c>
      <c r="E3027" s="37">
        <v>45441.0</v>
      </c>
      <c r="F3027" s="25">
        <v>0.25833333333333336</v>
      </c>
      <c r="G3027" s="25">
        <v>0.7243055555555555</v>
      </c>
      <c r="H3027" s="27">
        <f t="shared" si="2"/>
        <v>0.4659722222</v>
      </c>
      <c r="I3027" s="28">
        <v>4.0</v>
      </c>
      <c r="J3027" s="29" t="s">
        <v>55</v>
      </c>
      <c r="K3027" s="30" t="s">
        <v>23</v>
      </c>
      <c r="L3027" s="31" t="str">
        <f>IFERROR(__xludf.DUMMYFUNCTION("IF(OR(E3027="""",K3027=""""),"""",IFERROR(IF(K3027="""","""",query('tbl user'!$A$2:$D10975,""SELECT A WHERE D = '""&amp;K3027&amp;""'"")),""USER TIDAK DIKETAHUI""))"),"#REF!")</f>
        <v>#REF!</v>
      </c>
    </row>
    <row r="3028">
      <c r="A3028" s="21">
        <f t="shared" si="1"/>
        <v>0</v>
      </c>
      <c r="B3028" s="32" t="s">
        <v>51</v>
      </c>
      <c r="C3028" s="23" t="s">
        <v>27</v>
      </c>
      <c r="D3028" s="23" t="s">
        <v>21</v>
      </c>
      <c r="E3028" s="37">
        <v>45441.0</v>
      </c>
      <c r="F3028" s="25">
        <v>0.43819444444444444</v>
      </c>
      <c r="G3028" s="25">
        <v>0.7013888888888888</v>
      </c>
      <c r="H3028" s="27">
        <f t="shared" si="2"/>
        <v>0.2631944444</v>
      </c>
      <c r="I3028" s="28">
        <v>2.0</v>
      </c>
      <c r="J3028" s="29" t="s">
        <v>1354</v>
      </c>
      <c r="K3028" s="30" t="s">
        <v>23</v>
      </c>
      <c r="L3028" s="31" t="str">
        <f>IFERROR(__xludf.DUMMYFUNCTION("IF(OR(E3028="""",K3028=""""),"""",IFERROR(IF(K3028="""","""",query('tbl user'!$A$2:$D10975,""SELECT A WHERE D = '""&amp;K3028&amp;""'"")),""USER TIDAK DIKETAHUI""))"),"#REF!")</f>
        <v>#REF!</v>
      </c>
    </row>
    <row r="3029">
      <c r="A3029" s="21">
        <f t="shared" si="1"/>
        <v>0</v>
      </c>
      <c r="B3029" s="32" t="s">
        <v>305</v>
      </c>
      <c r="C3029" s="23" t="s">
        <v>251</v>
      </c>
      <c r="D3029" s="23" t="s">
        <v>21</v>
      </c>
      <c r="E3029" s="37">
        <v>45441.0</v>
      </c>
      <c r="F3029" s="25">
        <v>0.25069444444444444</v>
      </c>
      <c r="G3029" s="25">
        <v>0.5590277777777778</v>
      </c>
      <c r="H3029" s="27">
        <f t="shared" si="2"/>
        <v>0.3083333333</v>
      </c>
      <c r="I3029" s="28">
        <v>2.0</v>
      </c>
      <c r="J3029" s="29" t="s">
        <v>1355</v>
      </c>
      <c r="K3029" s="30" t="s">
        <v>23</v>
      </c>
      <c r="L3029" s="31" t="str">
        <f>IFERROR(__xludf.DUMMYFUNCTION("IF(OR(E3029="""",K3029=""""),"""",IFERROR(IF(K3029="""","""",query('tbl user'!$A$2:$D10975,""SELECT A WHERE D = '""&amp;K3029&amp;""'"")),""USER TIDAK DIKETAHUI""))"),"#REF!")</f>
        <v>#REF!</v>
      </c>
    </row>
    <row r="3030">
      <c r="A3030" s="21">
        <f t="shared" si="1"/>
        <v>0</v>
      </c>
      <c r="B3030" s="32" t="s">
        <v>101</v>
      </c>
      <c r="C3030" s="23" t="s">
        <v>102</v>
      </c>
      <c r="D3030" s="23" t="s">
        <v>21</v>
      </c>
      <c r="E3030" s="37">
        <v>45441.0</v>
      </c>
      <c r="F3030" s="25">
        <v>0.28541666666666665</v>
      </c>
      <c r="G3030" s="25">
        <v>0.575</v>
      </c>
      <c r="H3030" s="27">
        <f t="shared" si="2"/>
        <v>0.2895833333</v>
      </c>
      <c r="I3030" s="28">
        <v>2.0</v>
      </c>
      <c r="J3030" s="29" t="s">
        <v>1356</v>
      </c>
      <c r="K3030" s="30" t="s">
        <v>23</v>
      </c>
      <c r="L3030" s="31" t="str">
        <f>IFERROR(__xludf.DUMMYFUNCTION("IF(OR(E3030="""",K3030=""""),"""",IFERROR(IF(K3030="""","""",query('tbl user'!$A$2:$D10975,""SELECT A WHERE D = '""&amp;K3030&amp;""'"")),""USER TIDAK DIKETAHUI""))"),"#REF!")</f>
        <v>#REF!</v>
      </c>
    </row>
    <row r="3031">
      <c r="A3031" s="21">
        <f t="shared" si="1"/>
        <v>0</v>
      </c>
      <c r="B3031" s="32" t="s">
        <v>286</v>
      </c>
      <c r="C3031" s="23" t="s">
        <v>287</v>
      </c>
      <c r="D3031" s="23" t="s">
        <v>21</v>
      </c>
      <c r="E3031" s="37">
        <v>45441.0</v>
      </c>
      <c r="F3031" s="25">
        <v>0.5347222222222222</v>
      </c>
      <c r="G3031" s="25">
        <v>0.6993055555555555</v>
      </c>
      <c r="H3031" s="27">
        <f t="shared" si="2"/>
        <v>0.1645833333</v>
      </c>
      <c r="I3031" s="28">
        <v>2.0</v>
      </c>
      <c r="J3031" s="29" t="s">
        <v>129</v>
      </c>
      <c r="K3031" s="30" t="s">
        <v>23</v>
      </c>
      <c r="L3031" s="31" t="str">
        <f>IFERROR(__xludf.DUMMYFUNCTION("IF(OR(E3031="""",K3031=""""),"""",IFERROR(IF(K3031="""","""",query('tbl user'!$A$2:$D10975,""SELECT A WHERE D = '""&amp;K3031&amp;""'"")),""USER TIDAK DIKETAHUI""))"),"#REF!")</f>
        <v>#REF!</v>
      </c>
    </row>
    <row r="3032">
      <c r="A3032" s="21">
        <f t="shared" si="1"/>
        <v>0</v>
      </c>
      <c r="B3032" s="32" t="s">
        <v>209</v>
      </c>
      <c r="C3032" s="23" t="s">
        <v>244</v>
      </c>
      <c r="D3032" s="23" t="s">
        <v>21</v>
      </c>
      <c r="E3032" s="37">
        <v>45441.0</v>
      </c>
      <c r="F3032" s="25">
        <v>0.2652777777777778</v>
      </c>
      <c r="G3032" s="25">
        <v>0.5354166666666667</v>
      </c>
      <c r="H3032" s="27">
        <f t="shared" si="2"/>
        <v>0.2701388889</v>
      </c>
      <c r="I3032" s="28">
        <v>3.0</v>
      </c>
      <c r="J3032" s="29" t="s">
        <v>1357</v>
      </c>
      <c r="K3032" s="30" t="s">
        <v>23</v>
      </c>
      <c r="L3032" s="31" t="str">
        <f>IFERROR(__xludf.DUMMYFUNCTION("IF(OR(E3032="""",K3032=""""),"""",IFERROR(IF(K3032="""","""",query('tbl user'!$A$2:$D10975,""SELECT A WHERE D = '""&amp;K3032&amp;""'"")),""USER TIDAK DIKETAHUI""))"),"#REF!")</f>
        <v>#REF!</v>
      </c>
    </row>
    <row r="3033">
      <c r="A3033" s="21">
        <f t="shared" si="1"/>
        <v>0</v>
      </c>
      <c r="B3033" s="32" t="s">
        <v>24</v>
      </c>
      <c r="C3033" s="23" t="s">
        <v>25</v>
      </c>
      <c r="D3033" s="23" t="s">
        <v>21</v>
      </c>
      <c r="E3033" s="37">
        <v>45441.0</v>
      </c>
      <c r="F3033" s="25">
        <v>0.25972222222222224</v>
      </c>
      <c r="G3033" s="25">
        <v>0.5659722222222222</v>
      </c>
      <c r="H3033" s="27">
        <f t="shared" si="2"/>
        <v>0.30625</v>
      </c>
      <c r="I3033" s="28">
        <v>3.0</v>
      </c>
      <c r="J3033" s="29" t="s">
        <v>1358</v>
      </c>
      <c r="K3033" s="30" t="s">
        <v>23</v>
      </c>
      <c r="L3033" s="31" t="str">
        <f>IFERROR(__xludf.DUMMYFUNCTION("IF(OR(E3033="""",K3033=""""),"""",IFERROR(IF(K3033="""","""",query('tbl user'!$A$2:$D10975,""SELECT A WHERE D = '""&amp;K3033&amp;""'"")),""USER TIDAK DIKETAHUI""))"),"#REF!")</f>
        <v>#REF!</v>
      </c>
    </row>
    <row r="3034">
      <c r="A3034" s="21">
        <f t="shared" si="1"/>
        <v>0</v>
      </c>
      <c r="B3034" s="32" t="s">
        <v>284</v>
      </c>
      <c r="C3034" s="23" t="s">
        <v>285</v>
      </c>
      <c r="D3034" s="23" t="s">
        <v>21</v>
      </c>
      <c r="E3034" s="37">
        <v>45441.0</v>
      </c>
      <c r="F3034" s="25">
        <v>0.28888888888888886</v>
      </c>
      <c r="G3034" s="25">
        <v>0.7298611111111111</v>
      </c>
      <c r="H3034" s="27">
        <f t="shared" si="2"/>
        <v>0.4409722222</v>
      </c>
      <c r="I3034" s="28">
        <v>4.0</v>
      </c>
      <c r="J3034" s="29" t="s">
        <v>1359</v>
      </c>
      <c r="K3034" s="30" t="s">
        <v>23</v>
      </c>
      <c r="L3034" s="31" t="str">
        <f>IFERROR(__xludf.DUMMYFUNCTION("IF(OR(E3034="""",K3034=""""),"""",IFERROR(IF(K3034="""","""",query('tbl user'!$A$2:$D10975,""SELECT A WHERE D = '""&amp;K3034&amp;""'"")),""USER TIDAK DIKETAHUI""))"),"#REF!")</f>
        <v>#REF!</v>
      </c>
    </row>
    <row r="3035">
      <c r="A3035" s="21">
        <f t="shared" si="1"/>
        <v>0</v>
      </c>
      <c r="B3035" s="32" t="s">
        <v>43</v>
      </c>
      <c r="C3035" s="23" t="s">
        <v>44</v>
      </c>
      <c r="D3035" s="23" t="s">
        <v>21</v>
      </c>
      <c r="E3035" s="37">
        <v>45441.0</v>
      </c>
      <c r="F3035" s="25">
        <v>0.2847222222222222</v>
      </c>
      <c r="G3035" s="25">
        <v>0.6673611111111111</v>
      </c>
      <c r="H3035" s="27">
        <f t="shared" si="2"/>
        <v>0.3826388889</v>
      </c>
      <c r="I3035" s="28">
        <v>4.0</v>
      </c>
      <c r="J3035" s="29" t="s">
        <v>1360</v>
      </c>
      <c r="K3035" s="30" t="s">
        <v>23</v>
      </c>
      <c r="L3035" s="31" t="str">
        <f>IFERROR(__xludf.DUMMYFUNCTION("IF(OR(E3035="""",K3035=""""),"""",IFERROR(IF(K3035="""","""",query('tbl user'!$A$2:$D10975,""SELECT A WHERE D = '""&amp;K3035&amp;""'"")),""USER TIDAK DIKETAHUI""))"),"#REF!")</f>
        <v>#REF!</v>
      </c>
    </row>
    <row r="3036">
      <c r="A3036" s="21">
        <f t="shared" si="1"/>
        <v>0</v>
      </c>
      <c r="B3036" s="32" t="s">
        <v>593</v>
      </c>
      <c r="C3036" s="23" t="s">
        <v>236</v>
      </c>
      <c r="D3036" s="23" t="s">
        <v>21</v>
      </c>
      <c r="E3036" s="37">
        <v>45441.0</v>
      </c>
      <c r="F3036" s="25">
        <v>0.3020833333333333</v>
      </c>
      <c r="G3036" s="25">
        <v>0.7395833333333334</v>
      </c>
      <c r="H3036" s="27">
        <f t="shared" si="2"/>
        <v>0.4375</v>
      </c>
      <c r="I3036" s="28">
        <v>4.0</v>
      </c>
      <c r="J3036" s="29" t="s">
        <v>1361</v>
      </c>
      <c r="K3036" s="30" t="s">
        <v>23</v>
      </c>
      <c r="L3036" s="31" t="str">
        <f>IFERROR(__xludf.DUMMYFUNCTION("IF(OR(E3036="""",K3036=""""),"""",IFERROR(IF(K3036="""","""",query('tbl user'!$A$2:$D10975,""SELECT A WHERE D = '""&amp;K3036&amp;""'"")),""USER TIDAK DIKETAHUI""))"),"#REF!")</f>
        <v>#REF!</v>
      </c>
    </row>
    <row r="3037">
      <c r="A3037" s="21">
        <f t="shared" si="1"/>
        <v>0</v>
      </c>
      <c r="B3037" s="32" t="s">
        <v>331</v>
      </c>
      <c r="C3037" s="23" t="s">
        <v>332</v>
      </c>
      <c r="D3037" s="23" t="s">
        <v>21</v>
      </c>
      <c r="E3037" s="37">
        <v>45441.0</v>
      </c>
      <c r="F3037" s="25">
        <v>0.2513888888888889</v>
      </c>
      <c r="G3037" s="25">
        <v>0.7347222222222223</v>
      </c>
      <c r="H3037" s="27">
        <f t="shared" si="2"/>
        <v>0.4833333333</v>
      </c>
      <c r="I3037" s="28">
        <v>4.0</v>
      </c>
      <c r="J3037" s="29" t="s">
        <v>1362</v>
      </c>
      <c r="K3037" s="30" t="s">
        <v>23</v>
      </c>
      <c r="L3037" s="31" t="str">
        <f>IFERROR(__xludf.DUMMYFUNCTION("IF(OR(E3037="""",K3037=""""),"""",IFERROR(IF(K3037="""","""",query('tbl user'!$A$2:$D10975,""SELECT A WHERE D = '""&amp;K3037&amp;""'"")),""USER TIDAK DIKETAHUI""))"),"#REF!")</f>
        <v>#REF!</v>
      </c>
    </row>
    <row r="3038">
      <c r="A3038" s="21">
        <f t="shared" si="1"/>
        <v>0</v>
      </c>
      <c r="B3038" s="32" t="s">
        <v>333</v>
      </c>
      <c r="C3038" s="23" t="s">
        <v>334</v>
      </c>
      <c r="D3038" s="23" t="s">
        <v>21</v>
      </c>
      <c r="E3038" s="37">
        <v>45441.0</v>
      </c>
      <c r="F3038" s="25">
        <v>0.2777777777777778</v>
      </c>
      <c r="G3038" s="25">
        <v>0.6534722222222222</v>
      </c>
      <c r="H3038" s="27">
        <f t="shared" si="2"/>
        <v>0.3756944444</v>
      </c>
      <c r="I3038" s="28">
        <v>4.0</v>
      </c>
      <c r="J3038" s="29" t="s">
        <v>1363</v>
      </c>
      <c r="K3038" s="30" t="s">
        <v>23</v>
      </c>
      <c r="L3038" s="31" t="str">
        <f>IFERROR(__xludf.DUMMYFUNCTION("IF(OR(E3038="""",K3038=""""),"""",IFERROR(IF(K3038="""","""",query('tbl user'!$A$2:$D10975,""SELECT A WHERE D = '""&amp;K3038&amp;""'"")),""USER TIDAK DIKETAHUI""))"),"#REF!")</f>
        <v>#REF!</v>
      </c>
    </row>
    <row r="3039">
      <c r="A3039" s="21">
        <f t="shared" si="1"/>
        <v>0</v>
      </c>
      <c r="B3039" s="32" t="s">
        <v>219</v>
      </c>
      <c r="C3039" s="23" t="s">
        <v>340</v>
      </c>
      <c r="D3039" s="23" t="s">
        <v>21</v>
      </c>
      <c r="E3039" s="37">
        <v>45441.0</v>
      </c>
      <c r="F3039" s="25">
        <v>0.3506944444444444</v>
      </c>
      <c r="G3039" s="25">
        <v>0.6756944444444445</v>
      </c>
      <c r="H3039" s="27">
        <f t="shared" si="2"/>
        <v>0.325</v>
      </c>
      <c r="I3039" s="28">
        <v>4.0</v>
      </c>
      <c r="J3039" s="29" t="s">
        <v>1359</v>
      </c>
      <c r="K3039" s="30" t="s">
        <v>23</v>
      </c>
      <c r="L3039" s="31" t="str">
        <f>IFERROR(__xludf.DUMMYFUNCTION("IF(OR(E3039="""",K3039=""""),"""",IFERROR(IF(K3039="""","""",query('tbl user'!$A$2:$D10975,""SELECT A WHERE D = '""&amp;K3039&amp;""'"")),""USER TIDAK DIKETAHUI""))"),"#REF!")</f>
        <v>#REF!</v>
      </c>
    </row>
    <row r="3040">
      <c r="A3040" s="21">
        <f t="shared" si="1"/>
        <v>0</v>
      </c>
      <c r="B3040" s="32" t="s">
        <v>328</v>
      </c>
      <c r="C3040" s="23" t="s">
        <v>329</v>
      </c>
      <c r="D3040" s="23" t="s">
        <v>21</v>
      </c>
      <c r="E3040" s="37">
        <v>45441.0</v>
      </c>
      <c r="F3040" s="25">
        <v>0.2569444444444444</v>
      </c>
      <c r="G3040" s="25">
        <v>0.5868055555555556</v>
      </c>
      <c r="H3040" s="27">
        <f t="shared" si="2"/>
        <v>0.3298611111</v>
      </c>
      <c r="I3040" s="28">
        <v>4.0</v>
      </c>
      <c r="J3040" s="29" t="s">
        <v>1364</v>
      </c>
      <c r="K3040" s="30" t="s">
        <v>23</v>
      </c>
      <c r="L3040" s="31" t="str">
        <f>IFERROR(__xludf.DUMMYFUNCTION("IF(OR(E3040="""",K3040=""""),"""",IFERROR(IF(K3040="""","""",query('tbl user'!$A$2:$D10975,""SELECT A WHERE D = '""&amp;K3040&amp;""'"")),""USER TIDAK DIKETAHUI""))"),"#REF!")</f>
        <v>#REF!</v>
      </c>
    </row>
    <row r="3041">
      <c r="A3041" s="21">
        <f t="shared" si="1"/>
        <v>0</v>
      </c>
      <c r="B3041" s="32" t="s">
        <v>319</v>
      </c>
      <c r="C3041" s="23" t="s">
        <v>320</v>
      </c>
      <c r="D3041" s="23" t="s">
        <v>21</v>
      </c>
      <c r="E3041" s="37">
        <v>45441.0</v>
      </c>
      <c r="F3041" s="25">
        <v>0.275</v>
      </c>
      <c r="G3041" s="25">
        <v>0.6145833333333334</v>
      </c>
      <c r="H3041" s="27">
        <f t="shared" si="2"/>
        <v>0.3395833333</v>
      </c>
      <c r="I3041" s="28">
        <v>4.0</v>
      </c>
      <c r="J3041" s="29" t="s">
        <v>1365</v>
      </c>
      <c r="K3041" s="30" t="s">
        <v>23</v>
      </c>
      <c r="L3041" s="31" t="str">
        <f>IFERROR(__xludf.DUMMYFUNCTION("IF(OR(E3041="""",K3041=""""),"""",IFERROR(IF(K3041="""","""",query('tbl user'!$A$2:$D10975,""SELECT A WHERE D = '""&amp;K3041&amp;""'"")),""USER TIDAK DIKETAHUI""))"),"#REF!")</f>
        <v>#REF!</v>
      </c>
    </row>
    <row r="3042">
      <c r="A3042" s="21">
        <f t="shared" si="1"/>
        <v>0</v>
      </c>
      <c r="B3042" s="32" t="s">
        <v>601</v>
      </c>
      <c r="C3042" s="23" t="s">
        <v>323</v>
      </c>
      <c r="D3042" s="23" t="s">
        <v>21</v>
      </c>
      <c r="E3042" s="37">
        <v>45441.0</v>
      </c>
      <c r="F3042" s="25">
        <v>0.26805555555555555</v>
      </c>
      <c r="G3042" s="25">
        <v>0.7020833333333333</v>
      </c>
      <c r="H3042" s="27">
        <f t="shared" si="2"/>
        <v>0.4340277778</v>
      </c>
      <c r="I3042" s="28">
        <v>4.0</v>
      </c>
      <c r="J3042" s="29" t="s">
        <v>1366</v>
      </c>
      <c r="K3042" s="30" t="s">
        <v>23</v>
      </c>
      <c r="L3042" s="31" t="str">
        <f>IFERROR(__xludf.DUMMYFUNCTION("IF(OR(E3042="""",K3042=""""),"""",IFERROR(IF(K3042="""","""",query('tbl user'!$A$2:$D10975,""SELECT A WHERE D = '""&amp;K3042&amp;""'"")),""USER TIDAK DIKETAHUI""))"),"#REF!")</f>
        <v>#REF!</v>
      </c>
    </row>
    <row r="3043">
      <c r="A3043" s="21">
        <f t="shared" si="1"/>
        <v>0</v>
      </c>
      <c r="B3043" s="32" t="s">
        <v>246</v>
      </c>
      <c r="C3043" s="23" t="s">
        <v>99</v>
      </c>
      <c r="D3043" s="23" t="s">
        <v>21</v>
      </c>
      <c r="E3043" s="37">
        <v>45441.0</v>
      </c>
      <c r="F3043" s="25">
        <v>0.2902777777777778</v>
      </c>
      <c r="G3043" s="25">
        <v>0.7166666666666667</v>
      </c>
      <c r="H3043" s="27">
        <f t="shared" si="2"/>
        <v>0.4263888889</v>
      </c>
      <c r="I3043" s="28">
        <v>5.0</v>
      </c>
      <c r="J3043" s="29" t="s">
        <v>55</v>
      </c>
      <c r="K3043" s="30" t="s">
        <v>23</v>
      </c>
      <c r="L3043" s="31" t="str">
        <f>IFERROR(__xludf.DUMMYFUNCTION("IF(OR(E3043="""",K3043=""""),"""",IFERROR(IF(K3043="""","""",query('tbl user'!$A$2:$D10975,""SELECT A WHERE D = '""&amp;K3043&amp;""'"")),""USER TIDAK DIKETAHUI""))"),"#REF!")</f>
        <v>#REF!</v>
      </c>
    </row>
    <row r="3044">
      <c r="A3044" s="21">
        <f t="shared" si="1"/>
        <v>0</v>
      </c>
      <c r="B3044" s="32" t="s">
        <v>281</v>
      </c>
      <c r="C3044" s="23" t="s">
        <v>282</v>
      </c>
      <c r="D3044" s="23" t="s">
        <v>21</v>
      </c>
      <c r="E3044" s="37">
        <v>45441.0</v>
      </c>
      <c r="F3044" s="25">
        <v>0.25625</v>
      </c>
      <c r="G3044" s="25">
        <v>0.7256944444444444</v>
      </c>
      <c r="H3044" s="27">
        <f t="shared" si="2"/>
        <v>0.4694444444</v>
      </c>
      <c r="I3044" s="28">
        <v>5.0</v>
      </c>
      <c r="J3044" s="29" t="s">
        <v>55</v>
      </c>
      <c r="K3044" s="30" t="s">
        <v>23</v>
      </c>
      <c r="L3044" s="31" t="str">
        <f>IFERROR(__xludf.DUMMYFUNCTION("IF(OR(E3044="""",K3044=""""),"""",IFERROR(IF(K3044="""","""",query('tbl user'!$A$2:$D10975,""SELECT A WHERE D = '""&amp;K3044&amp;""'"")),""USER TIDAK DIKETAHUI""))"),"#REF!")</f>
        <v>#REF!</v>
      </c>
    </row>
    <row r="3045">
      <c r="A3045" s="21">
        <f t="shared" si="1"/>
        <v>0</v>
      </c>
      <c r="B3045" s="32" t="s">
        <v>231</v>
      </c>
      <c r="C3045" s="23" t="s">
        <v>232</v>
      </c>
      <c r="D3045" s="23" t="s">
        <v>21</v>
      </c>
      <c r="E3045" s="37">
        <v>45441.0</v>
      </c>
      <c r="F3045" s="25">
        <v>0.28958333333333336</v>
      </c>
      <c r="G3045" s="25">
        <v>0.7291666666666666</v>
      </c>
      <c r="H3045" s="27">
        <f t="shared" si="2"/>
        <v>0.4395833333</v>
      </c>
      <c r="I3045" s="28">
        <v>5.0</v>
      </c>
      <c r="J3045" s="29" t="s">
        <v>55</v>
      </c>
      <c r="K3045" s="30" t="s">
        <v>23</v>
      </c>
      <c r="L3045" s="31" t="str">
        <f>IFERROR(__xludf.DUMMYFUNCTION("IF(OR(E3045="""",K3045=""""),"""",IFERROR(IF(K3045="""","""",query('tbl user'!$A$2:$D10975,""SELECT A WHERE D = '""&amp;K3045&amp;""'"")),""USER TIDAK DIKETAHUI""))"),"#REF!")</f>
        <v>#REF!</v>
      </c>
    </row>
    <row r="3046">
      <c r="A3046" s="21">
        <f t="shared" si="1"/>
        <v>0</v>
      </c>
      <c r="B3046" s="32" t="s">
        <v>662</v>
      </c>
      <c r="C3046" s="23" t="s">
        <v>234</v>
      </c>
      <c r="D3046" s="23" t="s">
        <v>21</v>
      </c>
      <c r="E3046" s="37">
        <v>45441.0</v>
      </c>
      <c r="F3046" s="25">
        <v>0.27708333333333335</v>
      </c>
      <c r="G3046" s="25">
        <v>0.7020833333333333</v>
      </c>
      <c r="H3046" s="27">
        <f t="shared" si="2"/>
        <v>0.425</v>
      </c>
      <c r="I3046" s="28">
        <v>5.0</v>
      </c>
      <c r="J3046" s="29" t="s">
        <v>55</v>
      </c>
      <c r="K3046" s="30" t="s">
        <v>23</v>
      </c>
      <c r="L3046" s="31" t="str">
        <f>IFERROR(__xludf.DUMMYFUNCTION("IF(OR(E3046="""",K3046=""""),"""",IFERROR(IF(K3046="""","""",query('tbl user'!$A$2:$D10975,""SELECT A WHERE D = '""&amp;K3046&amp;""'"")),""USER TIDAK DIKETAHUI""))"),"#REF!")</f>
        <v>#REF!</v>
      </c>
    </row>
    <row r="3047">
      <c r="A3047" s="21">
        <f t="shared" si="1"/>
        <v>0</v>
      </c>
      <c r="B3047" s="32" t="s">
        <v>255</v>
      </c>
      <c r="C3047" s="23" t="s">
        <v>256</v>
      </c>
      <c r="D3047" s="23" t="s">
        <v>21</v>
      </c>
      <c r="E3047" s="37">
        <v>45441.0</v>
      </c>
      <c r="F3047" s="25">
        <v>0.2708333333333333</v>
      </c>
      <c r="G3047" s="25">
        <v>0.7138888888888889</v>
      </c>
      <c r="H3047" s="27">
        <f t="shared" si="2"/>
        <v>0.4430555556</v>
      </c>
      <c r="I3047" s="28">
        <v>5.0</v>
      </c>
      <c r="J3047" s="29" t="s">
        <v>55</v>
      </c>
      <c r="K3047" s="30" t="s">
        <v>23</v>
      </c>
      <c r="L3047" s="31" t="str">
        <f>IFERROR(__xludf.DUMMYFUNCTION("IF(OR(E3047="""",K3047=""""),"""",IFERROR(IF(K3047="""","""",query('tbl user'!$A$2:$D10975,""SELECT A WHERE D = '""&amp;K3047&amp;""'"")),""USER TIDAK DIKETAHUI""))"),"#REF!")</f>
        <v>#REF!</v>
      </c>
    </row>
    <row r="3048">
      <c r="A3048" s="21">
        <f t="shared" si="1"/>
        <v>0</v>
      </c>
      <c r="B3048" s="32" t="s">
        <v>87</v>
      </c>
      <c r="C3048" s="23" t="s">
        <v>88</v>
      </c>
      <c r="D3048" s="23" t="s">
        <v>21</v>
      </c>
      <c r="E3048" s="37">
        <v>45441.0</v>
      </c>
      <c r="F3048" s="25">
        <v>0.28055555555555556</v>
      </c>
      <c r="G3048" s="25">
        <v>0.7159722222222222</v>
      </c>
      <c r="H3048" s="27">
        <f t="shared" si="2"/>
        <v>0.4354166667</v>
      </c>
      <c r="I3048" s="28">
        <v>5.0</v>
      </c>
      <c r="J3048" s="29" t="s">
        <v>55</v>
      </c>
      <c r="K3048" s="30" t="s">
        <v>23</v>
      </c>
      <c r="L3048" s="31" t="str">
        <f>IFERROR(__xludf.DUMMYFUNCTION("IF(OR(E3048="""",K3048=""""),"""",IFERROR(IF(K3048="""","""",query('tbl user'!$A$2:$D10975,""SELECT A WHERE D = '""&amp;K3048&amp;""'"")),""USER TIDAK DIKETAHUI""))"),"#REF!")</f>
        <v>#REF!</v>
      </c>
    </row>
    <row r="3049">
      <c r="A3049" s="21">
        <f t="shared" si="1"/>
        <v>0</v>
      </c>
      <c r="B3049" s="32" t="s">
        <v>53</v>
      </c>
      <c r="C3049" s="23" t="s">
        <v>54</v>
      </c>
      <c r="D3049" s="23" t="s">
        <v>21</v>
      </c>
      <c r="E3049" s="37">
        <v>45441.0</v>
      </c>
      <c r="F3049" s="25">
        <v>0.2604166666666667</v>
      </c>
      <c r="G3049" s="25">
        <v>0.6958333333333333</v>
      </c>
      <c r="H3049" s="27">
        <f t="shared" si="2"/>
        <v>0.4354166667</v>
      </c>
      <c r="I3049" s="28">
        <v>5.0</v>
      </c>
      <c r="J3049" s="29" t="s">
        <v>55</v>
      </c>
      <c r="K3049" s="30" t="s">
        <v>23</v>
      </c>
      <c r="L3049" s="31" t="str">
        <f>IFERROR(__xludf.DUMMYFUNCTION("IF(OR(E3049="""",K3049=""""),"""",IFERROR(IF(K3049="""","""",query('tbl user'!$A$2:$D10975,""SELECT A WHERE D = '""&amp;K3049&amp;""'"")),""USER TIDAK DIKETAHUI""))"),"#REF!")</f>
        <v>#REF!</v>
      </c>
    </row>
    <row r="3050">
      <c r="A3050" s="21">
        <f t="shared" si="1"/>
        <v>0</v>
      </c>
      <c r="B3050" s="32" t="s">
        <v>325</v>
      </c>
      <c r="C3050" s="23" t="s">
        <v>326</v>
      </c>
      <c r="D3050" s="23" t="s">
        <v>21</v>
      </c>
      <c r="E3050" s="37">
        <v>45441.0</v>
      </c>
      <c r="F3050" s="25">
        <v>0.34097222222222223</v>
      </c>
      <c r="G3050" s="25">
        <v>0.7465277777777778</v>
      </c>
      <c r="H3050" s="27">
        <f t="shared" si="2"/>
        <v>0.4055555556</v>
      </c>
      <c r="I3050" s="28">
        <v>5.0</v>
      </c>
      <c r="J3050" s="29" t="s">
        <v>55</v>
      </c>
      <c r="K3050" s="30" t="s">
        <v>23</v>
      </c>
      <c r="L3050" s="31" t="str">
        <f>IFERROR(__xludf.DUMMYFUNCTION("IF(OR(E3050="""",K3050=""""),"""",IFERROR(IF(K3050="""","""",query('tbl user'!$A$2:$D10975,""SELECT A WHERE D = '""&amp;K3050&amp;""'"")),""USER TIDAK DIKETAHUI""))"),"#REF!")</f>
        <v>#REF!</v>
      </c>
    </row>
    <row r="3051">
      <c r="A3051" s="21">
        <f t="shared" si="1"/>
        <v>0</v>
      </c>
      <c r="B3051" s="32" t="s">
        <v>577</v>
      </c>
      <c r="C3051" s="23" t="s">
        <v>330</v>
      </c>
      <c r="D3051" s="23" t="s">
        <v>21</v>
      </c>
      <c r="E3051" s="37">
        <v>45441.0</v>
      </c>
      <c r="F3051" s="25">
        <v>0.26458333333333334</v>
      </c>
      <c r="G3051" s="25">
        <v>0.6840277777777778</v>
      </c>
      <c r="H3051" s="27">
        <f t="shared" si="2"/>
        <v>0.4194444444</v>
      </c>
      <c r="I3051" s="28">
        <v>5.0</v>
      </c>
      <c r="J3051" s="29" t="s">
        <v>55</v>
      </c>
      <c r="K3051" s="30" t="s">
        <v>23</v>
      </c>
      <c r="L3051" s="31" t="str">
        <f>IFERROR(__xludf.DUMMYFUNCTION("IF(OR(E3051="""",K3051=""""),"""",IFERROR(IF(K3051="""","""",query('tbl user'!$A$2:$D10975,""SELECT A WHERE D = '""&amp;K3051&amp;""'"")),""USER TIDAK DIKETAHUI""))"),"#REF!")</f>
        <v>#REF!</v>
      </c>
    </row>
    <row r="3052">
      <c r="A3052" s="21">
        <f t="shared" si="1"/>
        <v>0</v>
      </c>
      <c r="B3052" s="32" t="s">
        <v>337</v>
      </c>
      <c r="C3052" s="23" t="s">
        <v>338</v>
      </c>
      <c r="D3052" s="23" t="s">
        <v>21</v>
      </c>
      <c r="E3052" s="37">
        <v>45441.0</v>
      </c>
      <c r="F3052" s="25">
        <v>0.25763888888888886</v>
      </c>
      <c r="G3052" s="25">
        <v>0.7027777777777777</v>
      </c>
      <c r="H3052" s="27">
        <f t="shared" si="2"/>
        <v>0.4451388889</v>
      </c>
      <c r="I3052" s="28">
        <v>5.0</v>
      </c>
      <c r="J3052" s="29" t="s">
        <v>55</v>
      </c>
      <c r="K3052" s="30" t="s">
        <v>23</v>
      </c>
      <c r="L3052" s="31" t="str">
        <f>IFERROR(__xludf.DUMMYFUNCTION("IF(OR(E3052="""",K3052=""""),"""",IFERROR(IF(K3052="""","""",query('tbl user'!$A$2:$D10975,""SELECT A WHERE D = '""&amp;K3052&amp;""'"")),""USER TIDAK DIKETAHUI""))"),"#REF!")</f>
        <v>#REF!</v>
      </c>
    </row>
    <row r="3053">
      <c r="A3053" s="21">
        <f t="shared" si="1"/>
        <v>0</v>
      </c>
      <c r="B3053" s="32" t="s">
        <v>260</v>
      </c>
      <c r="C3053" s="23" t="s">
        <v>261</v>
      </c>
      <c r="D3053" s="23" t="s">
        <v>21</v>
      </c>
      <c r="E3053" s="37">
        <v>45441.0</v>
      </c>
      <c r="F3053" s="25">
        <v>0.2652777777777778</v>
      </c>
      <c r="G3053" s="25">
        <v>0.68125</v>
      </c>
      <c r="H3053" s="27">
        <f t="shared" si="2"/>
        <v>0.4159722222</v>
      </c>
      <c r="I3053" s="28">
        <v>5.0</v>
      </c>
      <c r="J3053" s="29" t="s">
        <v>55</v>
      </c>
      <c r="K3053" s="30" t="s">
        <v>23</v>
      </c>
      <c r="L3053" s="31" t="str">
        <f>IFERROR(__xludf.DUMMYFUNCTION("IF(OR(E3053="""",K3053=""""),"""",IFERROR(IF(K3053="""","""",query('tbl user'!$A$2:$D10975,""SELECT A WHERE D = '""&amp;K3053&amp;""'"")),""USER TIDAK DIKETAHUI""))"),"#REF!")</f>
        <v>#REF!</v>
      </c>
    </row>
    <row r="3054">
      <c r="A3054" s="21">
        <f t="shared" si="1"/>
        <v>0</v>
      </c>
      <c r="B3054" s="32" t="s">
        <v>269</v>
      </c>
      <c r="C3054" s="23" t="s">
        <v>270</v>
      </c>
      <c r="D3054" s="23" t="s">
        <v>32</v>
      </c>
      <c r="E3054" s="37">
        <v>45441.0</v>
      </c>
      <c r="F3054" s="25">
        <v>0.2722222222222222</v>
      </c>
      <c r="G3054" s="25">
        <v>0.7291666666666666</v>
      </c>
      <c r="H3054" s="27">
        <f t="shared" si="2"/>
        <v>0.4569444444</v>
      </c>
      <c r="I3054" s="28">
        <v>1.0</v>
      </c>
      <c r="J3054" s="29" t="s">
        <v>1367</v>
      </c>
      <c r="K3054" s="30" t="s">
        <v>23</v>
      </c>
      <c r="L3054" s="31" t="str">
        <f>IFERROR(__xludf.DUMMYFUNCTION("IF(OR(E3054="""",K3054=""""),"""",IFERROR(IF(K3054="""","""",query('tbl user'!$A$2:$D10975,""SELECT A WHERE D = '""&amp;K3054&amp;""'"")),""USER TIDAK DIKETAHUI""))"),"#REF!")</f>
        <v>#REF!</v>
      </c>
    </row>
    <row r="3055">
      <c r="A3055" s="21">
        <f t="shared" si="1"/>
        <v>0</v>
      </c>
      <c r="B3055" s="32" t="s">
        <v>312</v>
      </c>
      <c r="C3055" s="23" t="s">
        <v>313</v>
      </c>
      <c r="D3055" s="23" t="s">
        <v>32</v>
      </c>
      <c r="E3055" s="37">
        <v>45441.0</v>
      </c>
      <c r="F3055" s="25">
        <v>0.26875</v>
      </c>
      <c r="G3055" s="25">
        <v>0.4395833333333333</v>
      </c>
      <c r="H3055" s="27">
        <f t="shared" si="2"/>
        <v>0.1708333333</v>
      </c>
      <c r="I3055" s="28">
        <v>1.0</v>
      </c>
      <c r="J3055" s="29" t="s">
        <v>1368</v>
      </c>
      <c r="K3055" s="30" t="s">
        <v>23</v>
      </c>
      <c r="L3055" s="31" t="str">
        <f>IFERROR(__xludf.DUMMYFUNCTION("IF(OR(E3055="""",K3055=""""),"""",IFERROR(IF(K3055="""","""",query('tbl user'!$A$2:$D10975,""SELECT A WHERE D = '""&amp;K3055&amp;""'"")),""USER TIDAK DIKETAHUI""))"),"#REF!")</f>
        <v>#REF!</v>
      </c>
    </row>
    <row r="3056">
      <c r="A3056" s="21">
        <f t="shared" si="1"/>
        <v>0</v>
      </c>
      <c r="B3056" s="32" t="s">
        <v>151</v>
      </c>
      <c r="C3056" s="23" t="s">
        <v>152</v>
      </c>
      <c r="D3056" s="23" t="s">
        <v>32</v>
      </c>
      <c r="E3056" s="37">
        <v>45441.0</v>
      </c>
      <c r="F3056" s="25">
        <v>0.2791666666666667</v>
      </c>
      <c r="G3056" s="25">
        <v>0.3993055555555556</v>
      </c>
      <c r="H3056" s="27">
        <f t="shared" si="2"/>
        <v>0.1201388889</v>
      </c>
      <c r="I3056" s="28">
        <v>1.0</v>
      </c>
      <c r="J3056" s="29" t="s">
        <v>1369</v>
      </c>
      <c r="K3056" s="30" t="s">
        <v>23</v>
      </c>
      <c r="L3056" s="31" t="str">
        <f>IFERROR(__xludf.DUMMYFUNCTION("IF(OR(E3056="""",K3056=""""),"""",IFERROR(IF(K3056="""","""",query('tbl user'!$A$2:$D10975,""SELECT A WHERE D = '""&amp;K3056&amp;""'"")),""USER TIDAK DIKETAHUI""))"),"#REF!")</f>
        <v>#REF!</v>
      </c>
    </row>
    <row r="3057">
      <c r="A3057" s="21">
        <f t="shared" si="1"/>
        <v>0</v>
      </c>
      <c r="B3057" s="32" t="s">
        <v>250</v>
      </c>
      <c r="C3057" s="23" t="s">
        <v>315</v>
      </c>
      <c r="D3057" s="23" t="s">
        <v>32</v>
      </c>
      <c r="E3057" s="37">
        <v>45441.0</v>
      </c>
      <c r="F3057" s="25">
        <v>0.26805555555555555</v>
      </c>
      <c r="G3057" s="25">
        <v>0.5194444444444445</v>
      </c>
      <c r="H3057" s="27">
        <f t="shared" si="2"/>
        <v>0.2513888889</v>
      </c>
      <c r="I3057" s="28">
        <v>2.0</v>
      </c>
      <c r="J3057" s="29" t="s">
        <v>1370</v>
      </c>
      <c r="K3057" s="30" t="s">
        <v>23</v>
      </c>
      <c r="L3057" s="31" t="str">
        <f>IFERROR(__xludf.DUMMYFUNCTION("IF(OR(E3057="""",K3057=""""),"""",IFERROR(IF(K3057="""","""",query('tbl user'!$A$2:$D10975,""SELECT A WHERE D = '""&amp;K3057&amp;""'"")),""USER TIDAK DIKETAHUI""))"),"#REF!")</f>
        <v>#REF!</v>
      </c>
    </row>
    <row r="3058">
      <c r="A3058" s="21">
        <f t="shared" si="1"/>
        <v>0</v>
      </c>
      <c r="B3058" s="32" t="s">
        <v>127</v>
      </c>
      <c r="C3058" s="23" t="s">
        <v>128</v>
      </c>
      <c r="D3058" s="23" t="s">
        <v>32</v>
      </c>
      <c r="E3058" s="37">
        <v>45441.0</v>
      </c>
      <c r="F3058" s="25">
        <v>0.2701388888888889</v>
      </c>
      <c r="G3058" s="25">
        <v>0.5576388888888889</v>
      </c>
      <c r="H3058" s="27">
        <f t="shared" si="2"/>
        <v>0.2875</v>
      </c>
      <c r="I3058" s="28">
        <v>2.0</v>
      </c>
      <c r="J3058" s="29" t="s">
        <v>366</v>
      </c>
      <c r="K3058" s="30" t="s">
        <v>23</v>
      </c>
      <c r="L3058" s="31" t="str">
        <f>IFERROR(__xludf.DUMMYFUNCTION("IF(OR(E3058="""",K3058=""""),"""",IFERROR(IF(K3058="""","""",query('tbl user'!$A$2:$D10975,""SELECT A WHERE D = '""&amp;K3058&amp;""'"")),""USER TIDAK DIKETAHUI""))"),"#REF!")</f>
        <v>#REF!</v>
      </c>
    </row>
    <row r="3059">
      <c r="A3059" s="21">
        <f t="shared" si="1"/>
        <v>0</v>
      </c>
      <c r="B3059" s="32" t="s">
        <v>72</v>
      </c>
      <c r="C3059" s="23" t="s">
        <v>73</v>
      </c>
      <c r="D3059" s="23" t="s">
        <v>32</v>
      </c>
      <c r="E3059" s="37">
        <v>45441.0</v>
      </c>
      <c r="F3059" s="25">
        <v>0.2743055555555556</v>
      </c>
      <c r="G3059" s="25">
        <v>0.6631944444444444</v>
      </c>
      <c r="H3059" s="27">
        <f t="shared" si="2"/>
        <v>0.3888888889</v>
      </c>
      <c r="I3059" s="28">
        <v>2.0</v>
      </c>
      <c r="J3059" s="29" t="s">
        <v>1371</v>
      </c>
      <c r="K3059" s="30" t="s">
        <v>23</v>
      </c>
      <c r="L3059" s="31" t="str">
        <f>IFERROR(__xludf.DUMMYFUNCTION("IF(OR(E3059="""",K3059=""""),"""",IFERROR(IF(K3059="""","""",query('tbl user'!$A$2:$D10975,""SELECT A WHERE D = '""&amp;K3059&amp;""'"")),""USER TIDAK DIKETAHUI""))"),"#REF!")</f>
        <v>#REF!</v>
      </c>
    </row>
    <row r="3060">
      <c r="A3060" s="21">
        <f t="shared" si="1"/>
        <v>0</v>
      </c>
      <c r="B3060" s="32" t="s">
        <v>115</v>
      </c>
      <c r="C3060" s="23" t="s">
        <v>116</v>
      </c>
      <c r="D3060" s="23" t="s">
        <v>32</v>
      </c>
      <c r="E3060" s="37">
        <v>45441.0</v>
      </c>
      <c r="F3060" s="25">
        <v>0.27361111111111114</v>
      </c>
      <c r="G3060" s="25">
        <v>0.65625</v>
      </c>
      <c r="H3060" s="27">
        <f t="shared" si="2"/>
        <v>0.3826388889</v>
      </c>
      <c r="I3060" s="28">
        <v>3.0</v>
      </c>
      <c r="J3060" s="29" t="s">
        <v>1372</v>
      </c>
      <c r="K3060" s="30" t="s">
        <v>23</v>
      </c>
      <c r="L3060" s="31" t="str">
        <f>IFERROR(__xludf.DUMMYFUNCTION("IF(OR(E3060="""",K3060=""""),"""",IFERROR(IF(K3060="""","""",query('tbl user'!$A$2:$D10975,""SELECT A WHERE D = '""&amp;K3060&amp;""'"")),""USER TIDAK DIKETAHUI""))"),"#REF!")</f>
        <v>#REF!</v>
      </c>
    </row>
    <row r="3061">
      <c r="A3061" s="21">
        <f t="shared" si="1"/>
        <v>0</v>
      </c>
      <c r="B3061" s="32" t="s">
        <v>75</v>
      </c>
      <c r="C3061" s="23" t="s">
        <v>76</v>
      </c>
      <c r="D3061" s="23" t="s">
        <v>32</v>
      </c>
      <c r="E3061" s="37">
        <v>45441.0</v>
      </c>
      <c r="F3061" s="25">
        <v>0.20902777777777778</v>
      </c>
      <c r="G3061" s="25">
        <v>0.5798611111111112</v>
      </c>
      <c r="H3061" s="27">
        <f t="shared" si="2"/>
        <v>0.3708333333</v>
      </c>
      <c r="I3061" s="28">
        <v>3.0</v>
      </c>
      <c r="J3061" s="29" t="s">
        <v>1373</v>
      </c>
      <c r="K3061" s="30" t="s">
        <v>23</v>
      </c>
      <c r="L3061" s="31" t="str">
        <f>IFERROR(__xludf.DUMMYFUNCTION("IF(OR(E3061="""",K3061=""""),"""",IFERROR(IF(K3061="""","""",query('tbl user'!$A$2:$D10975,""SELECT A WHERE D = '""&amp;K3061&amp;""'"")),""USER TIDAK DIKETAHUI""))"),"#REF!")</f>
        <v>#REF!</v>
      </c>
    </row>
    <row r="3062">
      <c r="A3062" s="21">
        <f t="shared" si="1"/>
        <v>0</v>
      </c>
      <c r="B3062" s="32" t="s">
        <v>135</v>
      </c>
      <c r="C3062" s="23" t="s">
        <v>136</v>
      </c>
      <c r="D3062" s="23" t="s">
        <v>32</v>
      </c>
      <c r="E3062" s="37">
        <v>45441.0</v>
      </c>
      <c r="F3062" s="25">
        <v>0.25277777777777777</v>
      </c>
      <c r="G3062" s="25">
        <v>0.5541666666666667</v>
      </c>
      <c r="H3062" s="27">
        <f t="shared" si="2"/>
        <v>0.3013888889</v>
      </c>
      <c r="I3062" s="28">
        <v>3.0</v>
      </c>
      <c r="J3062" s="29" t="s">
        <v>1374</v>
      </c>
      <c r="K3062" s="30" t="s">
        <v>23</v>
      </c>
      <c r="L3062" s="31" t="str">
        <f>IFERROR(__xludf.DUMMYFUNCTION("IF(OR(E3062="""",K3062=""""),"""",IFERROR(IF(K3062="""","""",query('tbl user'!$A$2:$D10975,""SELECT A WHERE D = '""&amp;K3062&amp;""'"")),""USER TIDAK DIKETAHUI""))"),"#REF!")</f>
        <v>#REF!</v>
      </c>
    </row>
    <row r="3063">
      <c r="A3063" s="21">
        <f t="shared" si="1"/>
        <v>0</v>
      </c>
      <c r="B3063" s="32" t="s">
        <v>40</v>
      </c>
      <c r="C3063" s="23" t="s">
        <v>41</v>
      </c>
      <c r="D3063" s="23" t="s">
        <v>32</v>
      </c>
      <c r="E3063" s="37">
        <v>45441.0</v>
      </c>
      <c r="F3063" s="25">
        <v>0.26875</v>
      </c>
      <c r="G3063" s="25">
        <v>0.5597222222222222</v>
      </c>
      <c r="H3063" s="27">
        <f t="shared" si="2"/>
        <v>0.2909722222</v>
      </c>
      <c r="I3063" s="28">
        <v>3.0</v>
      </c>
      <c r="J3063" s="29" t="s">
        <v>1375</v>
      </c>
      <c r="K3063" s="30" t="s">
        <v>23</v>
      </c>
      <c r="L3063" s="31" t="str">
        <f>IFERROR(__xludf.DUMMYFUNCTION("IF(OR(E3063="""",K3063=""""),"""",IFERROR(IF(K3063="""","""",query('tbl user'!$A$2:$D10975,""SELECT A WHERE D = '""&amp;K3063&amp;""'"")),""USER TIDAK DIKETAHUI""))"),"#REF!")</f>
        <v>#REF!</v>
      </c>
    </row>
    <row r="3064">
      <c r="A3064" s="21">
        <f t="shared" si="1"/>
        <v>0</v>
      </c>
      <c r="B3064" s="32" t="s">
        <v>279</v>
      </c>
      <c r="C3064" s="23" t="s">
        <v>280</v>
      </c>
      <c r="D3064" s="23" t="s">
        <v>32</v>
      </c>
      <c r="E3064" s="37">
        <v>45441.0</v>
      </c>
      <c r="F3064" s="25">
        <v>0.27152777777777776</v>
      </c>
      <c r="G3064" s="25">
        <v>0.6763888888888889</v>
      </c>
      <c r="H3064" s="27">
        <f t="shared" si="2"/>
        <v>0.4048611111</v>
      </c>
      <c r="I3064" s="28">
        <v>3.0</v>
      </c>
      <c r="J3064" s="29" t="s">
        <v>782</v>
      </c>
      <c r="K3064" s="30" t="s">
        <v>23</v>
      </c>
      <c r="L3064" s="31" t="str">
        <f>IFERROR(__xludf.DUMMYFUNCTION("IF(OR(E3064="""",K3064=""""),"""",IFERROR(IF(K3064="""","""",query('tbl user'!$A$2:$D10975,""SELECT A WHERE D = '""&amp;K3064&amp;""'"")),""USER TIDAK DIKETAHUI""))"),"#REF!")</f>
        <v>#REF!</v>
      </c>
    </row>
    <row r="3065">
      <c r="A3065" s="21">
        <f t="shared" si="1"/>
        <v>0</v>
      </c>
      <c r="B3065" s="32" t="s">
        <v>110</v>
      </c>
      <c r="C3065" s="23" t="s">
        <v>111</v>
      </c>
      <c r="D3065" s="23" t="s">
        <v>32</v>
      </c>
      <c r="E3065" s="37">
        <v>45441.0</v>
      </c>
      <c r="F3065" s="25">
        <v>0.2777777777777778</v>
      </c>
      <c r="G3065" s="25">
        <v>0.6951388888888889</v>
      </c>
      <c r="H3065" s="27">
        <f t="shared" si="2"/>
        <v>0.4173611111</v>
      </c>
      <c r="I3065" s="28">
        <v>4.0</v>
      </c>
      <c r="J3065" s="29" t="s">
        <v>55</v>
      </c>
      <c r="K3065" s="30" t="s">
        <v>23</v>
      </c>
      <c r="L3065" s="31" t="str">
        <f>IFERROR(__xludf.DUMMYFUNCTION("IF(OR(E3065="""",K3065=""""),"""",IFERROR(IF(K3065="""","""",query('tbl user'!$A$2:$D10975,""SELECT A WHERE D = '""&amp;K3065&amp;""'"")),""USER TIDAK DIKETAHUI""))"),"#REF!")</f>
        <v>#REF!</v>
      </c>
    </row>
    <row r="3066">
      <c r="A3066" s="21">
        <f t="shared" si="1"/>
        <v>0</v>
      </c>
      <c r="B3066" s="32" t="s">
        <v>120</v>
      </c>
      <c r="C3066" s="23" t="s">
        <v>121</v>
      </c>
      <c r="D3066" s="23" t="s">
        <v>32</v>
      </c>
      <c r="E3066" s="37">
        <v>45441.0</v>
      </c>
      <c r="F3066" s="25">
        <v>0.27847222222222223</v>
      </c>
      <c r="G3066" s="25">
        <v>0.6875</v>
      </c>
      <c r="H3066" s="27">
        <f t="shared" si="2"/>
        <v>0.4090277778</v>
      </c>
      <c r="I3066" s="28">
        <v>4.0</v>
      </c>
      <c r="J3066" s="29" t="s">
        <v>55</v>
      </c>
      <c r="K3066" s="30" t="s">
        <v>23</v>
      </c>
      <c r="L3066" s="31" t="str">
        <f>IFERROR(__xludf.DUMMYFUNCTION("IF(OR(E3066="""",K3066=""""),"""",IFERROR(IF(K3066="""","""",query('tbl user'!$A$2:$D10975,""SELECT A WHERE D = '""&amp;K3066&amp;""'"")),""USER TIDAK DIKETAHUI""))"),"#REF!")</f>
        <v>#REF!</v>
      </c>
    </row>
    <row r="3067">
      <c r="A3067" s="21">
        <f t="shared" si="1"/>
        <v>0</v>
      </c>
      <c r="B3067" s="32" t="s">
        <v>263</v>
      </c>
      <c r="C3067" s="23" t="s">
        <v>264</v>
      </c>
      <c r="D3067" s="23" t="s">
        <v>32</v>
      </c>
      <c r="E3067" s="37">
        <v>45441.0</v>
      </c>
      <c r="F3067" s="25">
        <v>0.2534722222222222</v>
      </c>
      <c r="G3067" s="25">
        <v>0.6784722222222223</v>
      </c>
      <c r="H3067" s="27">
        <f t="shared" si="2"/>
        <v>0.425</v>
      </c>
      <c r="I3067" s="28">
        <v>4.0</v>
      </c>
      <c r="J3067" s="29" t="s">
        <v>55</v>
      </c>
      <c r="K3067" s="30" t="s">
        <v>23</v>
      </c>
      <c r="L3067" s="31" t="str">
        <f>IFERROR(__xludf.DUMMYFUNCTION("IF(OR(E3067="""",K3067=""""),"""",IFERROR(IF(K3067="""","""",query('tbl user'!$A$2:$D10975,""SELECT A WHERE D = '""&amp;K3067&amp;""'"")),""USER TIDAK DIKETAHUI""))"),"#REF!")</f>
        <v>#REF!</v>
      </c>
    </row>
    <row r="3068">
      <c r="A3068" s="21">
        <f t="shared" si="1"/>
        <v>0</v>
      </c>
      <c r="B3068" s="32" t="s">
        <v>123</v>
      </c>
      <c r="C3068" s="23" t="s">
        <v>124</v>
      </c>
      <c r="D3068" s="23" t="s">
        <v>32</v>
      </c>
      <c r="E3068" s="37">
        <v>45441.0</v>
      </c>
      <c r="F3068" s="25">
        <v>0.26875</v>
      </c>
      <c r="G3068" s="33">
        <v>0.7208333333333333</v>
      </c>
      <c r="H3068" s="27">
        <f t="shared" si="2"/>
        <v>0.4520833333</v>
      </c>
      <c r="I3068" s="28">
        <v>4.0</v>
      </c>
      <c r="J3068" s="29" t="s">
        <v>55</v>
      </c>
      <c r="K3068" s="30" t="s">
        <v>23</v>
      </c>
      <c r="L3068" s="31" t="str">
        <f>IFERROR(__xludf.DUMMYFUNCTION("IF(OR(E3068="""",K3068=""""),"""",IFERROR(IF(K3068="""","""",query('tbl user'!$A$2:$D10975,""SELECT A WHERE D = '""&amp;K3068&amp;""'"")),""USER TIDAK DIKETAHUI""))"),"#REF!")</f>
        <v>#REF!</v>
      </c>
    </row>
    <row r="3069">
      <c r="A3069" s="21">
        <f t="shared" si="1"/>
        <v>0</v>
      </c>
      <c r="B3069" s="32" t="s">
        <v>125</v>
      </c>
      <c r="C3069" s="23" t="s">
        <v>126</v>
      </c>
      <c r="D3069" s="23" t="s">
        <v>32</v>
      </c>
      <c r="E3069" s="37">
        <v>45441.0</v>
      </c>
      <c r="F3069" s="25">
        <v>0.2923611111111111</v>
      </c>
      <c r="G3069" s="25">
        <v>0.7291666666666666</v>
      </c>
      <c r="H3069" s="27">
        <f t="shared" si="2"/>
        <v>0.4368055556</v>
      </c>
      <c r="I3069" s="28">
        <v>4.0</v>
      </c>
      <c r="J3069" s="29" t="s">
        <v>55</v>
      </c>
      <c r="K3069" s="30" t="s">
        <v>23</v>
      </c>
      <c r="L3069" s="31" t="str">
        <f>IFERROR(__xludf.DUMMYFUNCTION("IF(OR(E3069="""",K3069=""""),"""",IFERROR(IF(K3069="""","""",query('tbl user'!$A$2:$D10975,""SELECT A WHERE D = '""&amp;K3069&amp;""'"")),""USER TIDAK DIKETAHUI""))"),"#REF!")</f>
        <v>#REF!</v>
      </c>
    </row>
    <row r="3070">
      <c r="A3070" s="21">
        <f t="shared" si="1"/>
        <v>0</v>
      </c>
      <c r="B3070" s="32" t="s">
        <v>131</v>
      </c>
      <c r="C3070" s="23" t="s">
        <v>132</v>
      </c>
      <c r="D3070" s="23" t="s">
        <v>32</v>
      </c>
      <c r="E3070" s="37">
        <v>45441.0</v>
      </c>
      <c r="F3070" s="25">
        <v>0.25833333333333336</v>
      </c>
      <c r="G3070" s="25">
        <v>0.6972222222222222</v>
      </c>
      <c r="H3070" s="27">
        <f t="shared" si="2"/>
        <v>0.4388888889</v>
      </c>
      <c r="I3070" s="28">
        <v>4.0</v>
      </c>
      <c r="J3070" s="29" t="s">
        <v>55</v>
      </c>
      <c r="K3070" s="30" t="s">
        <v>23</v>
      </c>
      <c r="L3070" s="31" t="str">
        <f>IFERROR(__xludf.DUMMYFUNCTION("IF(OR(E3070="""",K3070=""""),"""",IFERROR(IF(K3070="""","""",query('tbl user'!$A$2:$D10975,""SELECT A WHERE D = '""&amp;K3070&amp;""'"")),""USER TIDAK DIKETAHUI""))"),"#REF!")</f>
        <v>#REF!</v>
      </c>
    </row>
    <row r="3071">
      <c r="A3071" s="21">
        <f t="shared" si="1"/>
        <v>0</v>
      </c>
      <c r="B3071" s="32" t="s">
        <v>30</v>
      </c>
      <c r="C3071" s="23" t="s">
        <v>31</v>
      </c>
      <c r="D3071" s="23" t="s">
        <v>32</v>
      </c>
      <c r="E3071" s="37">
        <v>45441.0</v>
      </c>
      <c r="F3071" s="25">
        <v>0.2659722222222222</v>
      </c>
      <c r="G3071" s="25">
        <v>0.6326388888888889</v>
      </c>
      <c r="H3071" s="27">
        <f t="shared" si="2"/>
        <v>0.3666666667</v>
      </c>
      <c r="I3071" s="28">
        <v>4.0</v>
      </c>
      <c r="J3071" s="29" t="s">
        <v>55</v>
      </c>
      <c r="K3071" s="30" t="s">
        <v>23</v>
      </c>
      <c r="L3071" s="31" t="str">
        <f>IFERROR(__xludf.DUMMYFUNCTION("IF(OR(E3071="""",K3071=""""),"""",IFERROR(IF(K3071="""","""",query('tbl user'!$A$2:$D10975,""SELECT A WHERE D = '""&amp;K3071&amp;""'"")),""USER TIDAK DIKETAHUI""))"),"#REF!")</f>
        <v>#REF!</v>
      </c>
    </row>
    <row r="3072">
      <c r="A3072" s="21">
        <f t="shared" si="1"/>
        <v>0</v>
      </c>
      <c r="B3072" s="32" t="s">
        <v>267</v>
      </c>
      <c r="C3072" s="23" t="s">
        <v>268</v>
      </c>
      <c r="D3072" s="23" t="s">
        <v>32</v>
      </c>
      <c r="E3072" s="37">
        <v>45441.0</v>
      </c>
      <c r="F3072" s="25">
        <v>0.20972222222222223</v>
      </c>
      <c r="G3072" s="25">
        <v>0.6965277777777777</v>
      </c>
      <c r="H3072" s="27">
        <f t="shared" si="2"/>
        <v>0.4868055556</v>
      </c>
      <c r="I3072" s="28">
        <v>4.0</v>
      </c>
      <c r="J3072" s="29" t="s">
        <v>55</v>
      </c>
      <c r="K3072" s="30" t="s">
        <v>23</v>
      </c>
      <c r="L3072" s="31" t="str">
        <f>IFERROR(__xludf.DUMMYFUNCTION("IF(OR(E3072="""",K3072=""""),"""",IFERROR(IF(K3072="""","""",query('tbl user'!$A$2:$D10975,""SELECT A WHERE D = '""&amp;K3072&amp;""'"")),""USER TIDAK DIKETAHUI""))"),"#REF!")</f>
        <v>#REF!</v>
      </c>
    </row>
    <row r="3073">
      <c r="A3073" s="21">
        <f t="shared" si="1"/>
        <v>0</v>
      </c>
      <c r="B3073" s="32" t="s">
        <v>146</v>
      </c>
      <c r="C3073" s="23" t="s">
        <v>147</v>
      </c>
      <c r="D3073" s="23" t="s">
        <v>32</v>
      </c>
      <c r="E3073" s="37">
        <v>45441.0</v>
      </c>
      <c r="F3073" s="25">
        <v>0.2833333333333333</v>
      </c>
      <c r="G3073" s="25">
        <v>0.6986111111111111</v>
      </c>
      <c r="H3073" s="27">
        <f t="shared" si="2"/>
        <v>0.4152777778</v>
      </c>
      <c r="I3073" s="28">
        <v>4.0</v>
      </c>
      <c r="J3073" s="29" t="s">
        <v>55</v>
      </c>
      <c r="K3073" s="30" t="s">
        <v>23</v>
      </c>
      <c r="L3073" s="31" t="str">
        <f>IFERROR(__xludf.DUMMYFUNCTION("IF(OR(E3073="""",K3073=""""),"""",IFERROR(IF(K3073="""","""",query('tbl user'!$A$2:$D10975,""SELECT A WHERE D = '""&amp;K3073&amp;""'"")),""USER TIDAK DIKETAHUI""))"),"#REF!")</f>
        <v>#REF!</v>
      </c>
    </row>
    <row r="3074">
      <c r="A3074" s="21">
        <f t="shared" si="1"/>
        <v>0</v>
      </c>
      <c r="B3074" s="32" t="s">
        <v>149</v>
      </c>
      <c r="C3074" s="23" t="s">
        <v>150</v>
      </c>
      <c r="D3074" s="23" t="s">
        <v>32</v>
      </c>
      <c r="E3074" s="37">
        <v>45441.0</v>
      </c>
      <c r="F3074" s="25">
        <v>0.26805555555555555</v>
      </c>
      <c r="G3074" s="25">
        <v>0.6951388888888889</v>
      </c>
      <c r="H3074" s="27">
        <f t="shared" si="2"/>
        <v>0.4270833333</v>
      </c>
      <c r="I3074" s="28">
        <v>4.0</v>
      </c>
      <c r="J3074" s="29" t="s">
        <v>55</v>
      </c>
      <c r="K3074" s="30" t="s">
        <v>23</v>
      </c>
      <c r="L3074" s="31" t="str">
        <f>IFERROR(__xludf.DUMMYFUNCTION("IF(OR(E3074="""",K3074=""""),"""",IFERROR(IF(K3074="""","""",query('tbl user'!$A$2:$D10975,""SELECT A WHERE D = '""&amp;K3074&amp;""'"")),""USER TIDAK DIKETAHUI""))"),"#REF!")</f>
        <v>#REF!</v>
      </c>
    </row>
    <row r="3075">
      <c r="A3075" s="21">
        <f t="shared" si="1"/>
        <v>0</v>
      </c>
      <c r="B3075" s="32" t="s">
        <v>274</v>
      </c>
      <c r="C3075" s="23" t="s">
        <v>275</v>
      </c>
      <c r="D3075" s="23" t="s">
        <v>32</v>
      </c>
      <c r="E3075" s="37">
        <v>45441.0</v>
      </c>
      <c r="F3075" s="25">
        <v>0.26319444444444445</v>
      </c>
      <c r="G3075" s="25">
        <v>0.6465277777777778</v>
      </c>
      <c r="H3075" s="27">
        <f t="shared" si="2"/>
        <v>0.3833333333</v>
      </c>
      <c r="I3075" s="28">
        <v>4.0</v>
      </c>
      <c r="J3075" s="29" t="s">
        <v>55</v>
      </c>
      <c r="K3075" s="30" t="s">
        <v>23</v>
      </c>
      <c r="L3075" s="31" t="str">
        <f>IFERROR(__xludf.DUMMYFUNCTION("IF(OR(E3075="""",K3075=""""),"""",IFERROR(IF(K3075="""","""",query('tbl user'!$A$2:$D10975,""SELECT A WHERE D = '""&amp;K3075&amp;""'"")),""USER TIDAK DIKETAHUI""))"),"#REF!")</f>
        <v>#REF!</v>
      </c>
    </row>
    <row r="3076">
      <c r="A3076" s="21">
        <f t="shared" si="1"/>
        <v>0</v>
      </c>
      <c r="B3076" s="32" t="s">
        <v>113</v>
      </c>
      <c r="C3076" s="23" t="s">
        <v>114</v>
      </c>
      <c r="D3076" s="23" t="s">
        <v>32</v>
      </c>
      <c r="E3076" s="37">
        <v>45441.0</v>
      </c>
      <c r="F3076" s="25">
        <v>0.2111111111111111</v>
      </c>
      <c r="G3076" s="25">
        <v>0.7027777777777777</v>
      </c>
      <c r="H3076" s="27">
        <f t="shared" si="2"/>
        <v>0.4916666667</v>
      </c>
      <c r="I3076" s="28">
        <v>5.0</v>
      </c>
      <c r="J3076" s="29" t="s">
        <v>55</v>
      </c>
      <c r="K3076" s="30" t="s">
        <v>23</v>
      </c>
      <c r="L3076" s="31" t="str">
        <f>IFERROR(__xludf.DUMMYFUNCTION("IF(OR(E3076="""",K3076=""""),"""",IFERROR(IF(K3076="""","""",query('tbl user'!$A$2:$D10975,""SELECT A WHERE D = '""&amp;K3076&amp;""'"")),""USER TIDAK DIKETAHUI""))"),"#REF!")</f>
        <v>#REF!</v>
      </c>
    </row>
    <row r="3077">
      <c r="A3077" s="21">
        <f t="shared" si="1"/>
        <v>0</v>
      </c>
      <c r="B3077" s="32" t="s">
        <v>137</v>
      </c>
      <c r="C3077" s="23" t="s">
        <v>138</v>
      </c>
      <c r="D3077" s="23" t="s">
        <v>32</v>
      </c>
      <c r="E3077" s="37">
        <v>45441.0</v>
      </c>
      <c r="F3077" s="25">
        <v>0.25416666666666665</v>
      </c>
      <c r="G3077" s="25">
        <v>0.70625</v>
      </c>
      <c r="H3077" s="27">
        <f t="shared" si="2"/>
        <v>0.4520833333</v>
      </c>
      <c r="I3077" s="28">
        <v>5.0</v>
      </c>
      <c r="J3077" s="29" t="s">
        <v>55</v>
      </c>
      <c r="K3077" s="30" t="s">
        <v>23</v>
      </c>
      <c r="L3077" s="31" t="str">
        <f>IFERROR(__xludf.DUMMYFUNCTION("IF(OR(E3077="""",K3077=""""),"""",IFERROR(IF(K3077="""","""",query('tbl user'!$A$2:$D10975,""SELECT A WHERE D = '""&amp;K3077&amp;""'"")),""USER TIDAK DIKETAHUI""))"),"#REF!")</f>
        <v>#REF!</v>
      </c>
    </row>
    <row r="3078">
      <c r="A3078" s="21">
        <f t="shared" si="1"/>
        <v>0</v>
      </c>
      <c r="B3078" s="32" t="s">
        <v>277</v>
      </c>
      <c r="C3078" s="23" t="s">
        <v>278</v>
      </c>
      <c r="D3078" s="23" t="s">
        <v>32</v>
      </c>
      <c r="E3078" s="37">
        <v>45441.0</v>
      </c>
      <c r="F3078" s="25">
        <v>0.2611111111111111</v>
      </c>
      <c r="G3078" s="25">
        <v>0.7444444444444445</v>
      </c>
      <c r="H3078" s="27">
        <f t="shared" si="2"/>
        <v>0.4833333333</v>
      </c>
      <c r="I3078" s="28">
        <v>5.0</v>
      </c>
      <c r="J3078" s="29" t="s">
        <v>55</v>
      </c>
      <c r="K3078" s="30" t="s">
        <v>23</v>
      </c>
      <c r="L3078" s="31" t="str">
        <f>IFERROR(__xludf.DUMMYFUNCTION("IF(OR(E3078="""",K3078=""""),"""",IFERROR(IF(K3078="""","""",query('tbl user'!$A$2:$D10975,""SELECT A WHERE D = '""&amp;K3078&amp;""'"")),""USER TIDAK DIKETAHUI""))"),"#REF!")</f>
        <v>#REF!</v>
      </c>
    </row>
    <row r="3079">
      <c r="A3079" s="21">
        <f t="shared" si="1"/>
        <v>0</v>
      </c>
      <c r="B3079" s="32" t="s">
        <v>92</v>
      </c>
      <c r="C3079" s="23" t="s">
        <v>93</v>
      </c>
      <c r="D3079" s="23" t="s">
        <v>58</v>
      </c>
      <c r="E3079" s="37">
        <v>45442.0</v>
      </c>
      <c r="F3079" s="25">
        <v>0.2763888888888889</v>
      </c>
      <c r="G3079" s="25">
        <v>0.3680555555555556</v>
      </c>
      <c r="H3079" s="27">
        <f t="shared" si="2"/>
        <v>0.09166666667</v>
      </c>
      <c r="I3079" s="28">
        <v>1.0</v>
      </c>
      <c r="J3079" s="29" t="s">
        <v>1376</v>
      </c>
      <c r="K3079" s="30" t="s">
        <v>23</v>
      </c>
      <c r="L3079" s="31" t="str">
        <f>IFERROR(__xludf.DUMMYFUNCTION("IF(OR(E3079="""",K3079=""""),"""",IFERROR(IF(K3079="""","""",query('tbl user'!$A$2:$D10975,""SELECT A WHERE D = '""&amp;K3079&amp;""'"")),""USER TIDAK DIKETAHUI""))"),"#REF!")</f>
        <v>#REF!</v>
      </c>
    </row>
    <row r="3080">
      <c r="A3080" s="21">
        <f t="shared" si="1"/>
        <v>0</v>
      </c>
      <c r="B3080" s="32" t="s">
        <v>56</v>
      </c>
      <c r="C3080" s="23" t="s">
        <v>57</v>
      </c>
      <c r="D3080" s="23" t="s">
        <v>58</v>
      </c>
      <c r="E3080" s="37">
        <v>45442.0</v>
      </c>
      <c r="F3080" s="25">
        <v>0.26666666666666666</v>
      </c>
      <c r="G3080" s="25">
        <v>0.40347222222222223</v>
      </c>
      <c r="H3080" s="27">
        <f t="shared" si="2"/>
        <v>0.1368055556</v>
      </c>
      <c r="I3080" s="28">
        <v>1.0</v>
      </c>
      <c r="J3080" s="29" t="s">
        <v>1377</v>
      </c>
      <c r="K3080" s="30" t="s">
        <v>23</v>
      </c>
      <c r="L3080" s="31" t="str">
        <f>IFERROR(__xludf.DUMMYFUNCTION("IF(OR(E3080="""",K3080=""""),"""",IFERROR(IF(K3080="""","""",query('tbl user'!$A$2:$D10975,""SELECT A WHERE D = '""&amp;K3080&amp;""'"")),""USER TIDAK DIKETAHUI""))"),"#REF!")</f>
        <v>#REF!</v>
      </c>
    </row>
    <row r="3081">
      <c r="A3081" s="21">
        <f t="shared" si="1"/>
        <v>0</v>
      </c>
      <c r="B3081" s="32" t="s">
        <v>67</v>
      </c>
      <c r="C3081" s="23" t="s">
        <v>68</v>
      </c>
      <c r="D3081" s="23" t="s">
        <v>58</v>
      </c>
      <c r="E3081" s="37">
        <v>45442.0</v>
      </c>
      <c r="F3081" s="25">
        <v>0.2722222222222222</v>
      </c>
      <c r="G3081" s="25">
        <v>0.5583333333333333</v>
      </c>
      <c r="H3081" s="27">
        <f t="shared" si="2"/>
        <v>0.2861111111</v>
      </c>
      <c r="I3081" s="28">
        <v>2.0</v>
      </c>
      <c r="J3081" s="29" t="s">
        <v>1378</v>
      </c>
      <c r="K3081" s="30" t="s">
        <v>23</v>
      </c>
      <c r="L3081" s="31" t="str">
        <f>IFERROR(__xludf.DUMMYFUNCTION("IF(OR(E3081="""",K3081=""""),"""",IFERROR(IF(K3081="""","""",query('tbl user'!$A$2:$D10975,""SELECT A WHERE D = '""&amp;K3081&amp;""'"")),""USER TIDAK DIKETAHUI""))"),"#REF!")</f>
        <v>#REF!</v>
      </c>
    </row>
    <row r="3082">
      <c r="A3082" s="21">
        <f t="shared" si="1"/>
        <v>0</v>
      </c>
      <c r="B3082" s="32" t="s">
        <v>104</v>
      </c>
      <c r="C3082" s="23" t="s">
        <v>105</v>
      </c>
      <c r="D3082" s="23" t="s">
        <v>58</v>
      </c>
      <c r="E3082" s="37">
        <v>45442.0</v>
      </c>
      <c r="F3082" s="25">
        <v>0.24583333333333332</v>
      </c>
      <c r="G3082" s="25">
        <v>0.5805555555555556</v>
      </c>
      <c r="H3082" s="27">
        <f t="shared" si="2"/>
        <v>0.3347222222</v>
      </c>
      <c r="I3082" s="28">
        <v>2.0</v>
      </c>
      <c r="J3082" s="29" t="s">
        <v>1379</v>
      </c>
      <c r="K3082" s="30" t="s">
        <v>23</v>
      </c>
      <c r="L3082" s="31" t="str">
        <f>IFERROR(__xludf.DUMMYFUNCTION("IF(OR(E3082="""",K3082=""""),"""",IFERROR(IF(K3082="""","""",query('tbl user'!$A$2:$D10975,""SELECT A WHERE D = '""&amp;K3082&amp;""'"")),""USER TIDAK DIKETAHUI""))"),"#REF!")</f>
        <v>#REF!</v>
      </c>
    </row>
    <row r="3083">
      <c r="A3083" s="21">
        <f t="shared" si="1"/>
        <v>0</v>
      </c>
      <c r="B3083" s="32" t="s">
        <v>167</v>
      </c>
      <c r="C3083" s="23" t="s">
        <v>168</v>
      </c>
      <c r="D3083" s="23" t="s">
        <v>58</v>
      </c>
      <c r="E3083" s="37">
        <v>45442.0</v>
      </c>
      <c r="F3083" s="25">
        <v>0.275</v>
      </c>
      <c r="G3083" s="25">
        <v>0.6701388888888888</v>
      </c>
      <c r="H3083" s="27">
        <f t="shared" si="2"/>
        <v>0.3951388889</v>
      </c>
      <c r="I3083" s="28">
        <v>3.0</v>
      </c>
      <c r="J3083" s="29" t="s">
        <v>1380</v>
      </c>
      <c r="K3083" s="30" t="s">
        <v>23</v>
      </c>
      <c r="L3083" s="31" t="str">
        <f>IFERROR(__xludf.DUMMYFUNCTION("IF(OR(E3083="""",K3083=""""),"""",IFERROR(IF(K3083="""","""",query('tbl user'!$A$2:$D10975,""SELECT A WHERE D = '""&amp;K3083&amp;""'"")),""USER TIDAK DIKETAHUI""))"),"#REF!")</f>
        <v>#REF!</v>
      </c>
    </row>
    <row r="3084">
      <c r="A3084" s="21">
        <f t="shared" si="1"/>
        <v>0</v>
      </c>
      <c r="B3084" s="32" t="s">
        <v>214</v>
      </c>
      <c r="C3084" s="23" t="s">
        <v>170</v>
      </c>
      <c r="D3084" s="23" t="s">
        <v>58</v>
      </c>
      <c r="E3084" s="37">
        <v>45442.0</v>
      </c>
      <c r="F3084" s="25">
        <v>0.2743055555555556</v>
      </c>
      <c r="G3084" s="25">
        <v>0.6479166666666667</v>
      </c>
      <c r="H3084" s="27">
        <f t="shared" si="2"/>
        <v>0.3736111111</v>
      </c>
      <c r="I3084" s="28">
        <v>3.0</v>
      </c>
      <c r="J3084" s="29" t="s">
        <v>1381</v>
      </c>
      <c r="K3084" s="30" t="s">
        <v>23</v>
      </c>
      <c r="L3084" s="31" t="str">
        <f>IFERROR(__xludf.DUMMYFUNCTION("IF(OR(E3084="""",K3084=""""),"""",IFERROR(IF(K3084="""","""",query('tbl user'!$A$2:$D10975,""SELECT A WHERE D = '""&amp;K3084&amp;""'"")),""USER TIDAK DIKETAHUI""))"),"#REF!")</f>
        <v>#REF!</v>
      </c>
    </row>
    <row r="3085">
      <c r="A3085" s="21">
        <f t="shared" si="1"/>
        <v>0</v>
      </c>
      <c r="B3085" s="32" t="s">
        <v>178</v>
      </c>
      <c r="C3085" s="23" t="s">
        <v>82</v>
      </c>
      <c r="D3085" s="23" t="s">
        <v>58</v>
      </c>
      <c r="E3085" s="37">
        <v>45442.0</v>
      </c>
      <c r="F3085" s="25">
        <v>0.25972222222222224</v>
      </c>
      <c r="G3085" s="25">
        <v>0.7256944444444444</v>
      </c>
      <c r="H3085" s="27">
        <f t="shared" si="2"/>
        <v>0.4659722222</v>
      </c>
      <c r="I3085" s="28">
        <v>3.0</v>
      </c>
      <c r="J3085" s="29" t="s">
        <v>517</v>
      </c>
      <c r="K3085" s="30" t="s">
        <v>23</v>
      </c>
      <c r="L3085" s="31" t="str">
        <f>IFERROR(__xludf.DUMMYFUNCTION("IF(OR(E3085="""",K3085=""""),"""",IFERROR(IF(K3085="""","""",query('tbl user'!$A$2:$D10975,""SELECT A WHERE D = '""&amp;K3085&amp;""'"")),""USER TIDAK DIKETAHUI""))"),"#REF!")</f>
        <v>#REF!</v>
      </c>
    </row>
    <row r="3086">
      <c r="A3086" s="21">
        <f t="shared" si="1"/>
        <v>0</v>
      </c>
      <c r="B3086" s="32" t="s">
        <v>189</v>
      </c>
      <c r="C3086" s="23" t="s">
        <v>190</v>
      </c>
      <c r="D3086" s="23" t="s">
        <v>58</v>
      </c>
      <c r="E3086" s="37">
        <v>45442.0</v>
      </c>
      <c r="F3086" s="25">
        <v>0.2638888888888889</v>
      </c>
      <c r="G3086" s="25">
        <v>0.65625</v>
      </c>
      <c r="H3086" s="27">
        <f t="shared" si="2"/>
        <v>0.3923611111</v>
      </c>
      <c r="I3086" s="28">
        <v>3.0</v>
      </c>
      <c r="J3086" s="29" t="s">
        <v>782</v>
      </c>
      <c r="K3086" s="30" t="s">
        <v>23</v>
      </c>
      <c r="L3086" s="31" t="str">
        <f>IFERROR(__xludf.DUMMYFUNCTION("IF(OR(E3086="""",K3086=""""),"""",IFERROR(IF(K3086="""","""",query('tbl user'!$A$2:$D10975,""SELECT A WHERE D = '""&amp;K3086&amp;""'"")),""USER TIDAK DIKETAHUI""))"),"#REF!")</f>
        <v>#REF!</v>
      </c>
    </row>
    <row r="3087">
      <c r="A3087" s="21">
        <f t="shared" si="1"/>
        <v>0</v>
      </c>
      <c r="B3087" s="32" t="s">
        <v>202</v>
      </c>
      <c r="C3087" s="23" t="s">
        <v>203</v>
      </c>
      <c r="D3087" s="23" t="s">
        <v>58</v>
      </c>
      <c r="E3087" s="37">
        <v>45442.0</v>
      </c>
      <c r="F3087" s="25">
        <v>0.2534722222222222</v>
      </c>
      <c r="G3087" s="25">
        <v>0.6673611111111111</v>
      </c>
      <c r="H3087" s="27">
        <f t="shared" si="2"/>
        <v>0.4138888889</v>
      </c>
      <c r="I3087" s="28">
        <v>3.0</v>
      </c>
      <c r="J3087" s="29" t="s">
        <v>1382</v>
      </c>
      <c r="K3087" s="30" t="s">
        <v>23</v>
      </c>
      <c r="L3087" s="31" t="str">
        <f>IFERROR(__xludf.DUMMYFUNCTION("IF(OR(E3087="""",K3087=""""),"""",IFERROR(IF(K3087="""","""",query('tbl user'!$A$2:$D10975,""SELECT A WHERE D = '""&amp;K3087&amp;""'"")),""USER TIDAK DIKETAHUI""))"),"#REF!")</f>
        <v>#REF!</v>
      </c>
    </row>
    <row r="3088">
      <c r="A3088" s="21">
        <f t="shared" si="1"/>
        <v>0</v>
      </c>
      <c r="B3088" s="32" t="s">
        <v>205</v>
      </c>
      <c r="C3088" s="23" t="s">
        <v>206</v>
      </c>
      <c r="D3088" s="23" t="s">
        <v>58</v>
      </c>
      <c r="E3088" s="37">
        <v>45442.0</v>
      </c>
      <c r="F3088" s="25">
        <v>0.21944444444444444</v>
      </c>
      <c r="G3088" s="25">
        <v>0.6326388888888889</v>
      </c>
      <c r="H3088" s="27">
        <f t="shared" si="2"/>
        <v>0.4131944444</v>
      </c>
      <c r="I3088" s="28">
        <v>3.0</v>
      </c>
      <c r="J3088" s="29" t="s">
        <v>1383</v>
      </c>
      <c r="K3088" s="30" t="s">
        <v>23</v>
      </c>
      <c r="L3088" s="31" t="str">
        <f>IFERROR(__xludf.DUMMYFUNCTION("IF(OR(E3088="""",K3088=""""),"""",IFERROR(IF(K3088="""","""",query('tbl user'!$A$2:$D10975,""SELECT A WHERE D = '""&amp;K3088&amp;""'"")),""USER TIDAK DIKETAHUI""))"),"#REF!")</f>
        <v>#REF!</v>
      </c>
    </row>
    <row r="3089">
      <c r="A3089" s="21">
        <f t="shared" si="1"/>
        <v>0</v>
      </c>
      <c r="B3089" s="32" t="s">
        <v>224</v>
      </c>
      <c r="C3089" s="23" t="s">
        <v>208</v>
      </c>
      <c r="D3089" s="23" t="s">
        <v>58</v>
      </c>
      <c r="E3089" s="37">
        <v>45442.0</v>
      </c>
      <c r="F3089" s="25">
        <v>0.3729166666666667</v>
      </c>
      <c r="G3089" s="25">
        <v>0.6909722222222222</v>
      </c>
      <c r="H3089" s="27">
        <f t="shared" si="2"/>
        <v>0.3180555556</v>
      </c>
      <c r="I3089" s="28">
        <v>3.0</v>
      </c>
      <c r="J3089" s="29" t="s">
        <v>1349</v>
      </c>
      <c r="K3089" s="30" t="s">
        <v>23</v>
      </c>
      <c r="L3089" s="31" t="str">
        <f>IFERROR(__xludf.DUMMYFUNCTION("IF(OR(E3089="""",K3089=""""),"""",IFERROR(IF(K3089="""","""",query('tbl user'!$A$2:$D10975,""SELECT A WHERE D = '""&amp;K3089&amp;""'"")),""USER TIDAK DIKETAHUI""))"),"#REF!")</f>
        <v>#REF!</v>
      </c>
    </row>
    <row r="3090">
      <c r="A3090" s="21">
        <f t="shared" si="1"/>
        <v>0</v>
      </c>
      <c r="B3090" s="32" t="s">
        <v>153</v>
      </c>
      <c r="C3090" s="23" t="s">
        <v>211</v>
      </c>
      <c r="D3090" s="23" t="s">
        <v>58</v>
      </c>
      <c r="E3090" s="37">
        <v>45442.0</v>
      </c>
      <c r="F3090" s="25">
        <v>0.23958333333333334</v>
      </c>
      <c r="G3090" s="25">
        <v>0.7048611111111112</v>
      </c>
      <c r="H3090" s="27">
        <f t="shared" si="2"/>
        <v>0.4652777778</v>
      </c>
      <c r="I3090" s="28">
        <v>4.0</v>
      </c>
      <c r="J3090" s="29" t="s">
        <v>55</v>
      </c>
      <c r="K3090" s="30" t="s">
        <v>23</v>
      </c>
      <c r="L3090" s="31" t="str">
        <f>IFERROR(__xludf.DUMMYFUNCTION("IF(OR(E3090="""",K3090=""""),"""",IFERROR(IF(K3090="""","""",query('tbl user'!$A$2:$D10975,""SELECT A WHERE D = '""&amp;K3090&amp;""'"")),""USER TIDAK DIKETAHUI""))"),"#REF!")</f>
        <v>#REF!</v>
      </c>
    </row>
    <row r="3091">
      <c r="A3091" s="21">
        <f t="shared" si="1"/>
        <v>0</v>
      </c>
      <c r="B3091" s="32" t="s">
        <v>180</v>
      </c>
      <c r="C3091" s="23" t="s">
        <v>181</v>
      </c>
      <c r="D3091" s="23" t="s">
        <v>58</v>
      </c>
      <c r="E3091" s="37">
        <v>45442.0</v>
      </c>
      <c r="F3091" s="25">
        <v>0.22291666666666668</v>
      </c>
      <c r="G3091" s="25">
        <v>0.6881944444444444</v>
      </c>
      <c r="H3091" s="27">
        <f t="shared" si="2"/>
        <v>0.4652777778</v>
      </c>
      <c r="I3091" s="28">
        <v>4.0</v>
      </c>
      <c r="J3091" s="29" t="s">
        <v>55</v>
      </c>
      <c r="K3091" s="30" t="s">
        <v>23</v>
      </c>
      <c r="L3091" s="31" t="str">
        <f>IFERROR(__xludf.DUMMYFUNCTION("IF(OR(E3091="""",K3091=""""),"""",IFERROR(IF(K3091="""","""",query('tbl user'!$A$2:$D10975,""SELECT A WHERE D = '""&amp;K3091&amp;""'"")),""USER TIDAK DIKETAHUI""))"),"#REF!")</f>
        <v>#REF!</v>
      </c>
    </row>
    <row r="3092">
      <c r="A3092" s="21">
        <f t="shared" si="1"/>
        <v>0</v>
      </c>
      <c r="B3092" s="32" t="s">
        <v>182</v>
      </c>
      <c r="C3092" s="23" t="s">
        <v>183</v>
      </c>
      <c r="D3092" s="23" t="s">
        <v>58</v>
      </c>
      <c r="E3092" s="37">
        <v>45442.0</v>
      </c>
      <c r="F3092" s="25">
        <v>0.2125</v>
      </c>
      <c r="G3092" s="25">
        <v>0.65625</v>
      </c>
      <c r="H3092" s="27">
        <f t="shared" si="2"/>
        <v>0.44375</v>
      </c>
      <c r="I3092" s="28">
        <v>4.0</v>
      </c>
      <c r="J3092" s="29" t="s">
        <v>55</v>
      </c>
      <c r="K3092" s="30" t="s">
        <v>23</v>
      </c>
      <c r="L3092" s="31" t="str">
        <f>IFERROR(__xludf.DUMMYFUNCTION("IF(OR(E3092="""",K3092=""""),"""",IFERROR(IF(K3092="""","""",query('tbl user'!$A$2:$D10975,""SELECT A WHERE D = '""&amp;K3092&amp;""'"")),""USER TIDAK DIKETAHUI""))"),"#REF!")</f>
        <v>#REF!</v>
      </c>
    </row>
    <row r="3093">
      <c r="A3093" s="21">
        <f t="shared" si="1"/>
        <v>0</v>
      </c>
      <c r="B3093" s="32" t="s">
        <v>184</v>
      </c>
      <c r="C3093" s="23" t="s">
        <v>185</v>
      </c>
      <c r="D3093" s="23" t="s">
        <v>58</v>
      </c>
      <c r="E3093" s="37">
        <v>45442.0</v>
      </c>
      <c r="F3093" s="25">
        <v>0.24791666666666667</v>
      </c>
      <c r="G3093" s="25">
        <v>0.6770833333333334</v>
      </c>
      <c r="H3093" s="27">
        <f t="shared" si="2"/>
        <v>0.4291666667</v>
      </c>
      <c r="I3093" s="28">
        <v>4.0</v>
      </c>
      <c r="J3093" s="29" t="s">
        <v>55</v>
      </c>
      <c r="K3093" s="30" t="s">
        <v>23</v>
      </c>
      <c r="L3093" s="31" t="str">
        <f>IFERROR(__xludf.DUMMYFUNCTION("IF(OR(E3093="""",K3093=""""),"""",IFERROR(IF(K3093="""","""",query('tbl user'!$A$2:$D10975,""SELECT A WHERE D = '""&amp;K3093&amp;""'"")),""USER TIDAK DIKETAHUI""))"),"#REF!")</f>
        <v>#REF!</v>
      </c>
    </row>
    <row r="3094">
      <c r="A3094" s="21">
        <f t="shared" si="1"/>
        <v>0</v>
      </c>
      <c r="B3094" s="32" t="s">
        <v>187</v>
      </c>
      <c r="C3094" s="23" t="s">
        <v>188</v>
      </c>
      <c r="D3094" s="23" t="s">
        <v>58</v>
      </c>
      <c r="E3094" s="37">
        <v>45442.0</v>
      </c>
      <c r="F3094" s="25">
        <v>0.25833333333333336</v>
      </c>
      <c r="G3094" s="25">
        <v>0.7194444444444444</v>
      </c>
      <c r="H3094" s="27">
        <f t="shared" si="2"/>
        <v>0.4611111111</v>
      </c>
      <c r="I3094" s="28">
        <v>4.0</v>
      </c>
      <c r="J3094" s="29" t="s">
        <v>55</v>
      </c>
      <c r="K3094" s="30" t="s">
        <v>23</v>
      </c>
      <c r="L3094" s="31" t="str">
        <f>IFERROR(__xludf.DUMMYFUNCTION("IF(OR(E3094="""",K3094=""""),"""",IFERROR(IF(K3094="""","""",query('tbl user'!$A$2:$D10975,""SELECT A WHERE D = '""&amp;K3094&amp;""'"")),""USER TIDAK DIKETAHUI""))"),"#REF!")</f>
        <v>#REF!</v>
      </c>
    </row>
    <row r="3095">
      <c r="A3095" s="21">
        <f t="shared" si="1"/>
        <v>0</v>
      </c>
      <c r="B3095" s="32" t="s">
        <v>194</v>
      </c>
      <c r="C3095" s="23" t="s">
        <v>195</v>
      </c>
      <c r="D3095" s="23" t="s">
        <v>58</v>
      </c>
      <c r="E3095" s="37">
        <v>45442.0</v>
      </c>
      <c r="F3095" s="25">
        <v>0.2222222222222222</v>
      </c>
      <c r="G3095" s="25">
        <v>0.6986111111111111</v>
      </c>
      <c r="H3095" s="27">
        <f t="shared" si="2"/>
        <v>0.4763888889</v>
      </c>
      <c r="I3095" s="28">
        <v>4.0</v>
      </c>
      <c r="J3095" s="29" t="s">
        <v>55</v>
      </c>
      <c r="K3095" s="30" t="s">
        <v>23</v>
      </c>
      <c r="L3095" s="31" t="str">
        <f>IFERROR(__xludf.DUMMYFUNCTION("IF(OR(E3095="""",K3095=""""),"""",IFERROR(IF(K3095="""","""",query('tbl user'!$A$2:$D10975,""SELECT A WHERE D = '""&amp;K3095&amp;""'"")),""USER TIDAK DIKETAHUI""))"),"#REF!")</f>
        <v>#REF!</v>
      </c>
    </row>
    <row r="3096">
      <c r="A3096" s="21">
        <f t="shared" si="1"/>
        <v>0</v>
      </c>
      <c r="B3096" s="32" t="s">
        <v>200</v>
      </c>
      <c r="C3096" s="23" t="s">
        <v>201</v>
      </c>
      <c r="D3096" s="23" t="s">
        <v>58</v>
      </c>
      <c r="E3096" s="37">
        <v>45442.0</v>
      </c>
      <c r="F3096" s="25">
        <v>0.2361111111111111</v>
      </c>
      <c r="G3096" s="25">
        <v>0.6708333333333333</v>
      </c>
      <c r="H3096" s="27">
        <f t="shared" si="2"/>
        <v>0.4347222222</v>
      </c>
      <c r="I3096" s="28">
        <v>4.0</v>
      </c>
      <c r="J3096" s="29" t="s">
        <v>55</v>
      </c>
      <c r="K3096" s="30" t="s">
        <v>23</v>
      </c>
      <c r="L3096" s="31" t="str">
        <f>IFERROR(__xludf.DUMMYFUNCTION("IF(OR(E3096="""",K3096=""""),"""",IFERROR(IF(K3096="""","""",query('tbl user'!$A$2:$D10975,""SELECT A WHERE D = '""&amp;K3096&amp;""'"")),""USER TIDAK DIKETAHUI""))"),"#REF!")</f>
        <v>#REF!</v>
      </c>
    </row>
    <row r="3097">
      <c r="A3097" s="21">
        <f t="shared" si="1"/>
        <v>0</v>
      </c>
      <c r="B3097" s="32" t="s">
        <v>333</v>
      </c>
      <c r="C3097" s="23" t="s">
        <v>334</v>
      </c>
      <c r="D3097" s="23" t="s">
        <v>21</v>
      </c>
      <c r="E3097" s="37">
        <v>45442.0</v>
      </c>
      <c r="F3097" s="25">
        <v>0.25763888888888886</v>
      </c>
      <c r="G3097" s="25">
        <v>0.3875</v>
      </c>
      <c r="H3097" s="27">
        <f t="shared" si="2"/>
        <v>0.1298611111</v>
      </c>
      <c r="I3097" s="28">
        <v>1.0</v>
      </c>
      <c r="J3097" s="29" t="s">
        <v>1384</v>
      </c>
      <c r="K3097" s="30" t="s">
        <v>23</v>
      </c>
      <c r="L3097" s="31" t="str">
        <f>IFERROR(__xludf.DUMMYFUNCTION("IF(OR(E3097="""",K3097=""""),"""",IFERROR(IF(K3097="""","""",query('tbl user'!$A$2:$D10975,""SELECT A WHERE D = '""&amp;K3097&amp;""'"")),""USER TIDAK DIKETAHUI""))"),"#REF!")</f>
        <v>#REF!</v>
      </c>
    </row>
    <row r="3098">
      <c r="A3098" s="21">
        <f t="shared" si="1"/>
        <v>0</v>
      </c>
      <c r="B3098" s="32" t="s">
        <v>335</v>
      </c>
      <c r="C3098" s="23" t="s">
        <v>336</v>
      </c>
      <c r="D3098" s="23" t="s">
        <v>21</v>
      </c>
      <c r="E3098" s="37">
        <v>45442.0</v>
      </c>
      <c r="F3098" s="25">
        <v>0.27152777777777776</v>
      </c>
      <c r="G3098" s="25">
        <v>0.42916666666666664</v>
      </c>
      <c r="H3098" s="27">
        <f t="shared" si="2"/>
        <v>0.1576388889</v>
      </c>
      <c r="I3098" s="28">
        <v>1.0</v>
      </c>
      <c r="J3098" s="29" t="s">
        <v>1385</v>
      </c>
      <c r="K3098" s="30" t="s">
        <v>23</v>
      </c>
      <c r="L3098" s="31" t="str">
        <f>IFERROR(__xludf.DUMMYFUNCTION("IF(OR(E3098="""",K3098=""""),"""",IFERROR(IF(K3098="""","""",query('tbl user'!$A$2:$D10975,""SELECT A WHERE D = '""&amp;K3098&amp;""'"")),""USER TIDAK DIKETAHUI""))"),"#REF!")</f>
        <v>#REF!</v>
      </c>
    </row>
    <row r="3099">
      <c r="A3099" s="21">
        <f t="shared" si="1"/>
        <v>0</v>
      </c>
      <c r="B3099" s="32" t="s">
        <v>101</v>
      </c>
      <c r="C3099" s="23" t="s">
        <v>102</v>
      </c>
      <c r="D3099" s="23" t="s">
        <v>21</v>
      </c>
      <c r="E3099" s="37">
        <v>45442.0</v>
      </c>
      <c r="F3099" s="25">
        <v>0.28541666666666665</v>
      </c>
      <c r="G3099" s="25">
        <v>0.5166666666666667</v>
      </c>
      <c r="H3099" s="27">
        <f t="shared" si="2"/>
        <v>0.23125</v>
      </c>
      <c r="I3099" s="28">
        <v>2.0</v>
      </c>
      <c r="J3099" s="29" t="s">
        <v>1386</v>
      </c>
      <c r="K3099" s="30" t="s">
        <v>23</v>
      </c>
      <c r="L3099" s="31" t="str">
        <f>IFERROR(__xludf.DUMMYFUNCTION("IF(OR(E3099="""",K3099=""""),"""",IFERROR(IF(K3099="""","""",query('tbl user'!$A$2:$D10975,""SELECT A WHERE D = '""&amp;K3099&amp;""'"")),""USER TIDAK DIKETAHUI""))"),"#REF!")</f>
        <v>#REF!</v>
      </c>
    </row>
    <row r="3100">
      <c r="A3100" s="21">
        <f t="shared" si="1"/>
        <v>0</v>
      </c>
      <c r="B3100" s="32" t="s">
        <v>286</v>
      </c>
      <c r="C3100" s="23" t="s">
        <v>287</v>
      </c>
      <c r="D3100" s="23" t="s">
        <v>21</v>
      </c>
      <c r="E3100" s="37">
        <v>45442.0</v>
      </c>
      <c r="F3100" s="25">
        <v>0.2611111111111111</v>
      </c>
      <c r="G3100" s="25">
        <v>0.5208333333333334</v>
      </c>
      <c r="H3100" s="27">
        <f t="shared" si="2"/>
        <v>0.2597222222</v>
      </c>
      <c r="I3100" s="28">
        <v>2.0</v>
      </c>
      <c r="J3100" s="29" t="s">
        <v>129</v>
      </c>
      <c r="K3100" s="30" t="s">
        <v>23</v>
      </c>
      <c r="L3100" s="31" t="str">
        <f>IFERROR(__xludf.DUMMYFUNCTION("IF(OR(E3100="""",K3100=""""),"""",IFERROR(IF(K3100="""","""",query('tbl user'!$A$2:$D10975,""SELECT A WHERE D = '""&amp;K3100&amp;""'"")),""USER TIDAK DIKETAHUI""))"),"#REF!")</f>
        <v>#REF!</v>
      </c>
    </row>
    <row r="3101">
      <c r="A3101" s="21">
        <f t="shared" si="1"/>
        <v>0</v>
      </c>
      <c r="B3101" s="32" t="s">
        <v>281</v>
      </c>
      <c r="C3101" s="23" t="s">
        <v>282</v>
      </c>
      <c r="D3101" s="23" t="s">
        <v>21</v>
      </c>
      <c r="E3101" s="37">
        <v>45442.0</v>
      </c>
      <c r="F3101" s="25">
        <v>0.27361111111111114</v>
      </c>
      <c r="G3101" s="25">
        <v>0.7298611111111111</v>
      </c>
      <c r="H3101" s="27">
        <f t="shared" si="2"/>
        <v>0.45625</v>
      </c>
      <c r="I3101" s="28">
        <v>3.0</v>
      </c>
      <c r="J3101" s="29" t="s">
        <v>1387</v>
      </c>
      <c r="K3101" s="30" t="s">
        <v>23</v>
      </c>
      <c r="L3101" s="31" t="str">
        <f>IFERROR(__xludf.DUMMYFUNCTION("IF(OR(E3101="""",K3101=""""),"""",IFERROR(IF(K3101="""","""",query('tbl user'!$A$2:$D10975,""SELECT A WHERE D = '""&amp;K3101&amp;""'"")),""USER TIDAK DIKETAHUI""))"),"#REF!")</f>
        <v>#REF!</v>
      </c>
    </row>
    <row r="3102">
      <c r="A3102" s="21">
        <f t="shared" si="1"/>
        <v>0</v>
      </c>
      <c r="B3102" s="32" t="s">
        <v>305</v>
      </c>
      <c r="C3102" s="23" t="s">
        <v>290</v>
      </c>
      <c r="D3102" s="23" t="s">
        <v>21</v>
      </c>
      <c r="E3102" s="37">
        <v>45442.0</v>
      </c>
      <c r="F3102" s="25">
        <v>0.28125</v>
      </c>
      <c r="G3102" s="25">
        <v>0.6541666666666667</v>
      </c>
      <c r="H3102" s="27">
        <f t="shared" si="2"/>
        <v>0.3729166667</v>
      </c>
      <c r="I3102" s="28">
        <v>4.0</v>
      </c>
      <c r="J3102" s="29" t="s">
        <v>1388</v>
      </c>
      <c r="K3102" s="30" t="s">
        <v>23</v>
      </c>
      <c r="L3102" s="31" t="str">
        <f>IFERROR(__xludf.DUMMYFUNCTION("IF(OR(E3102="""",K3102=""""),"""",IFERROR(IF(K3102="""","""",query('tbl user'!$A$2:$D10975,""SELECT A WHERE D = '""&amp;K3102&amp;""'"")),""USER TIDAK DIKETAHUI""))"),"#REF!")</f>
        <v>#REF!</v>
      </c>
    </row>
    <row r="3103">
      <c r="A3103" s="21">
        <f t="shared" si="1"/>
        <v>0</v>
      </c>
      <c r="B3103" s="32" t="s">
        <v>64</v>
      </c>
      <c r="C3103" s="23" t="s">
        <v>65</v>
      </c>
      <c r="D3103" s="23" t="s">
        <v>21</v>
      </c>
      <c r="E3103" s="37">
        <v>45442.0</v>
      </c>
      <c r="F3103" s="25">
        <v>0.3729166666666667</v>
      </c>
      <c r="G3103" s="25">
        <v>0.7381944444444445</v>
      </c>
      <c r="H3103" s="27">
        <f t="shared" si="2"/>
        <v>0.3652777778</v>
      </c>
      <c r="I3103" s="28">
        <v>4.0</v>
      </c>
      <c r="J3103" s="29" t="s">
        <v>1389</v>
      </c>
      <c r="K3103" s="30" t="s">
        <v>23</v>
      </c>
      <c r="L3103" s="31" t="str">
        <f>IFERROR(__xludf.DUMMYFUNCTION("IF(OR(E3103="""",K3103=""""),"""",IFERROR(IF(K3103="""","""",query('tbl user'!$A$2:$D10975,""SELECT A WHERE D = '""&amp;K3103&amp;""'"")),""USER TIDAK DIKETAHUI""))"),"#REF!")</f>
        <v>#REF!</v>
      </c>
    </row>
    <row r="3104">
      <c r="A3104" s="21">
        <f t="shared" si="1"/>
        <v>0</v>
      </c>
      <c r="B3104" s="32" t="s">
        <v>209</v>
      </c>
      <c r="C3104" s="23" t="s">
        <v>244</v>
      </c>
      <c r="D3104" s="23" t="s">
        <v>21</v>
      </c>
      <c r="E3104" s="37">
        <v>45442.0</v>
      </c>
      <c r="F3104" s="25">
        <v>0.2638888888888889</v>
      </c>
      <c r="G3104" s="25">
        <v>0.6354166666666666</v>
      </c>
      <c r="H3104" s="27">
        <f t="shared" si="2"/>
        <v>0.3715277778</v>
      </c>
      <c r="I3104" s="28">
        <v>4.0</v>
      </c>
      <c r="J3104" s="29" t="s">
        <v>1390</v>
      </c>
      <c r="K3104" s="30" t="s">
        <v>23</v>
      </c>
      <c r="L3104" s="31" t="str">
        <f>IFERROR(__xludf.DUMMYFUNCTION("IF(OR(E3104="""",K3104=""""),"""",IFERROR(IF(K3104="""","""",query('tbl user'!$A$2:$D10975,""SELECT A WHERE D = '""&amp;K3104&amp;""'"")),""USER TIDAK DIKETAHUI""))"),"#REF!")</f>
        <v>#REF!</v>
      </c>
    </row>
    <row r="3105">
      <c r="A3105" s="21">
        <f t="shared" si="1"/>
        <v>0</v>
      </c>
      <c r="B3105" s="32" t="s">
        <v>284</v>
      </c>
      <c r="C3105" s="23" t="s">
        <v>285</v>
      </c>
      <c r="D3105" s="23" t="s">
        <v>21</v>
      </c>
      <c r="E3105" s="37">
        <v>45442.0</v>
      </c>
      <c r="F3105" s="25">
        <v>0.28194444444444444</v>
      </c>
      <c r="G3105" s="25">
        <v>0.6347222222222222</v>
      </c>
      <c r="H3105" s="27">
        <f t="shared" si="2"/>
        <v>0.3527777778</v>
      </c>
      <c r="I3105" s="28">
        <v>4.0</v>
      </c>
      <c r="J3105" s="29" t="s">
        <v>1391</v>
      </c>
      <c r="K3105" s="30" t="s">
        <v>23</v>
      </c>
      <c r="L3105" s="31" t="str">
        <f>IFERROR(__xludf.DUMMYFUNCTION("IF(OR(E3105="""",K3105=""""),"""",IFERROR(IF(K3105="""","""",query('tbl user'!$A$2:$D10975,""SELECT A WHERE D = '""&amp;K3105&amp;""'"")),""USER TIDAK DIKETAHUI""))"),"#REF!")</f>
        <v>#REF!</v>
      </c>
    </row>
    <row r="3106">
      <c r="A3106" s="21">
        <f t="shared" si="1"/>
        <v>0</v>
      </c>
      <c r="B3106" s="32" t="s">
        <v>43</v>
      </c>
      <c r="C3106" s="23" t="s">
        <v>44</v>
      </c>
      <c r="D3106" s="23" t="s">
        <v>21</v>
      </c>
      <c r="E3106" s="37">
        <v>45442.0</v>
      </c>
      <c r="F3106" s="25">
        <v>0.29791666666666666</v>
      </c>
      <c r="G3106" s="25">
        <v>0.7201388888888889</v>
      </c>
      <c r="H3106" s="27">
        <f t="shared" si="2"/>
        <v>0.4222222222</v>
      </c>
      <c r="I3106" s="28">
        <v>4.0</v>
      </c>
      <c r="J3106" s="29" t="s">
        <v>1360</v>
      </c>
      <c r="K3106" s="30" t="s">
        <v>23</v>
      </c>
      <c r="L3106" s="31" t="str">
        <f>IFERROR(__xludf.DUMMYFUNCTION("IF(OR(E3106="""",K3106=""""),"""",IFERROR(IF(K3106="""","""",query('tbl user'!$A$2:$D10975,""SELECT A WHERE D = '""&amp;K3106&amp;""'"")),""USER TIDAK DIKETAHUI""))"),"#REF!")</f>
        <v>#REF!</v>
      </c>
    </row>
    <row r="3107">
      <c r="A3107" s="21">
        <f t="shared" si="1"/>
        <v>0</v>
      </c>
      <c r="B3107" s="32" t="s">
        <v>81</v>
      </c>
      <c r="C3107" s="23" t="s">
        <v>259</v>
      </c>
      <c r="D3107" s="23" t="s">
        <v>21</v>
      </c>
      <c r="E3107" s="37">
        <v>45442.0</v>
      </c>
      <c r="F3107" s="25">
        <v>0.26875</v>
      </c>
      <c r="G3107" s="25">
        <v>0.6493055555555556</v>
      </c>
      <c r="H3107" s="27">
        <f t="shared" si="2"/>
        <v>0.3805555556</v>
      </c>
      <c r="I3107" s="28">
        <v>4.0</v>
      </c>
      <c r="J3107" s="29" t="s">
        <v>1122</v>
      </c>
      <c r="K3107" s="30" t="s">
        <v>23</v>
      </c>
      <c r="L3107" s="31" t="str">
        <f>IFERROR(__xludf.DUMMYFUNCTION("IF(OR(E3107="""",K3107=""""),"""",IFERROR(IF(K3107="""","""",query('tbl user'!$A$2:$D10975,""SELECT A WHERE D = '""&amp;K3107&amp;""'"")),""USER TIDAK DIKETAHUI""))"),"#REF!")</f>
        <v>#REF!</v>
      </c>
    </row>
    <row r="3108">
      <c r="A3108" s="21">
        <f t="shared" si="1"/>
        <v>0</v>
      </c>
      <c r="B3108" s="32" t="s">
        <v>716</v>
      </c>
      <c r="C3108" s="23" t="s">
        <v>316</v>
      </c>
      <c r="D3108" s="23" t="s">
        <v>21</v>
      </c>
      <c r="E3108" s="37">
        <v>45442.0</v>
      </c>
      <c r="F3108" s="25">
        <v>0.4701388888888889</v>
      </c>
      <c r="G3108" s="25">
        <v>0.7388888888888889</v>
      </c>
      <c r="H3108" s="27">
        <f t="shared" si="2"/>
        <v>0.26875</v>
      </c>
      <c r="I3108" s="28">
        <v>4.0</v>
      </c>
      <c r="J3108" s="29" t="s">
        <v>1392</v>
      </c>
      <c r="K3108" s="30" t="s">
        <v>23</v>
      </c>
      <c r="L3108" s="31" t="str">
        <f>IFERROR(__xludf.DUMMYFUNCTION("IF(OR(E3108="""",K3108=""""),"""",IFERROR(IF(K3108="""","""",query('tbl user'!$A$2:$D10975,""SELECT A WHERE D = '""&amp;K3108&amp;""'"")),""USER TIDAK DIKETAHUI""))"),"#REF!")</f>
        <v>#REF!</v>
      </c>
    </row>
    <row r="3109">
      <c r="A3109" s="21">
        <f t="shared" si="1"/>
        <v>0</v>
      </c>
      <c r="B3109" s="32" t="s">
        <v>577</v>
      </c>
      <c r="C3109" s="23" t="s">
        <v>330</v>
      </c>
      <c r="D3109" s="23" t="s">
        <v>21</v>
      </c>
      <c r="E3109" s="37">
        <v>45442.0</v>
      </c>
      <c r="F3109" s="25">
        <v>0.2625</v>
      </c>
      <c r="G3109" s="25">
        <v>0.7694444444444445</v>
      </c>
      <c r="H3109" s="27">
        <f t="shared" si="2"/>
        <v>0.5069444444</v>
      </c>
      <c r="I3109" s="28">
        <v>4.0</v>
      </c>
      <c r="J3109" s="29" t="s">
        <v>1393</v>
      </c>
      <c r="K3109" s="30" t="s">
        <v>23</v>
      </c>
      <c r="L3109" s="31" t="str">
        <f>IFERROR(__xludf.DUMMYFUNCTION("IF(OR(E3109="""",K3109=""""),"""",IFERROR(IF(K3109="""","""",query('tbl user'!$A$2:$D10975,""SELECT A WHERE D = '""&amp;K3109&amp;""'"")),""USER TIDAK DIKETAHUI""))"),"#REF!")</f>
        <v>#REF!</v>
      </c>
    </row>
    <row r="3110">
      <c r="A3110" s="21">
        <f t="shared" si="1"/>
        <v>0</v>
      </c>
      <c r="B3110" s="32" t="s">
        <v>601</v>
      </c>
      <c r="C3110" s="23" t="s">
        <v>323</v>
      </c>
      <c r="D3110" s="23" t="s">
        <v>21</v>
      </c>
      <c r="E3110" s="37">
        <v>45442.0</v>
      </c>
      <c r="F3110" s="25">
        <v>0.28125</v>
      </c>
      <c r="G3110" s="25">
        <v>0.6736111111111112</v>
      </c>
      <c r="H3110" s="27">
        <f t="shared" si="2"/>
        <v>0.3923611111</v>
      </c>
      <c r="I3110" s="28">
        <v>4.0</v>
      </c>
      <c r="J3110" s="29" t="s">
        <v>1303</v>
      </c>
      <c r="K3110" s="30" t="s">
        <v>23</v>
      </c>
      <c r="L3110" s="31" t="str">
        <f>IFERROR(__xludf.DUMMYFUNCTION("IF(OR(E3110="""",K3110=""""),"""",IFERROR(IF(K3110="""","""",query('tbl user'!$A$2:$D10975,""SELECT A WHERE D = '""&amp;K3110&amp;""'"")),""USER TIDAK DIKETAHUI""))"),"#REF!")</f>
        <v>#REF!</v>
      </c>
    </row>
    <row r="3111">
      <c r="A3111" s="21">
        <f t="shared" si="1"/>
        <v>0</v>
      </c>
      <c r="B3111" s="32" t="s">
        <v>331</v>
      </c>
      <c r="C3111" s="23" t="s">
        <v>332</v>
      </c>
      <c r="D3111" s="23" t="s">
        <v>21</v>
      </c>
      <c r="E3111" s="37">
        <v>45442.0</v>
      </c>
      <c r="F3111" s="25">
        <v>0.22916666666666666</v>
      </c>
      <c r="G3111" s="25">
        <v>0.6569444444444444</v>
      </c>
      <c r="H3111" s="27">
        <f t="shared" si="2"/>
        <v>0.4277777778</v>
      </c>
      <c r="I3111" s="28">
        <v>5.0</v>
      </c>
      <c r="J3111" s="29" t="s">
        <v>55</v>
      </c>
      <c r="K3111" s="30" t="s">
        <v>23</v>
      </c>
      <c r="L3111" s="31" t="str">
        <f>IFERROR(__xludf.DUMMYFUNCTION("IF(OR(E3111="""",K3111=""""),"""",IFERROR(IF(K3111="""","""",query('tbl user'!$A$2:$D10975,""SELECT A WHERE D = '""&amp;K3111&amp;""'"")),""USER TIDAK DIKETAHUI""))"),"#REF!")</f>
        <v>#REF!</v>
      </c>
    </row>
    <row r="3112">
      <c r="A3112" s="21">
        <f t="shared" si="1"/>
        <v>0</v>
      </c>
      <c r="B3112" s="32" t="s">
        <v>325</v>
      </c>
      <c r="C3112" s="23" t="s">
        <v>326</v>
      </c>
      <c r="D3112" s="23" t="s">
        <v>21</v>
      </c>
      <c r="E3112" s="37">
        <v>45442.0</v>
      </c>
      <c r="F3112" s="25">
        <v>0.2701388888888889</v>
      </c>
      <c r="G3112" s="25">
        <v>0.6944444444444444</v>
      </c>
      <c r="H3112" s="27">
        <f t="shared" si="2"/>
        <v>0.4243055556</v>
      </c>
      <c r="I3112" s="28">
        <v>5.0</v>
      </c>
      <c r="J3112" s="29" t="s">
        <v>55</v>
      </c>
      <c r="K3112" s="30" t="s">
        <v>23</v>
      </c>
      <c r="L3112" s="31" t="str">
        <f>IFERROR(__xludf.DUMMYFUNCTION("IF(OR(E3112="""",K3112=""""),"""",IFERROR(IF(K3112="""","""",query('tbl user'!$A$2:$D10975,""SELECT A WHERE D = '""&amp;K3112&amp;""'"")),""USER TIDAK DIKETAHUI""))"),"#REF!")</f>
        <v>#REF!</v>
      </c>
    </row>
    <row r="3113">
      <c r="A3113" s="21">
        <f t="shared" si="1"/>
        <v>0</v>
      </c>
      <c r="B3113" s="32" t="s">
        <v>34</v>
      </c>
      <c r="C3113" s="23" t="s">
        <v>35</v>
      </c>
      <c r="D3113" s="23" t="s">
        <v>21</v>
      </c>
      <c r="E3113" s="37">
        <v>45442.0</v>
      </c>
      <c r="F3113" s="25">
        <v>0.2638888888888889</v>
      </c>
      <c r="G3113" s="25">
        <v>0.6743055555555556</v>
      </c>
      <c r="H3113" s="27">
        <f t="shared" si="2"/>
        <v>0.4104166667</v>
      </c>
      <c r="I3113" s="28">
        <v>6.0</v>
      </c>
      <c r="J3113" s="29" t="s">
        <v>55</v>
      </c>
      <c r="K3113" s="30" t="s">
        <v>23</v>
      </c>
      <c r="L3113" s="31" t="str">
        <f>IFERROR(__xludf.DUMMYFUNCTION("IF(OR(E3113="""",K3113=""""),"""",IFERROR(IF(K3113="""","""",query('tbl user'!$A$2:$D10975,""SELECT A WHERE D = '""&amp;K3113&amp;""'"")),""USER TIDAK DIKETAHUI""))"),"#REF!")</f>
        <v>#REF!</v>
      </c>
    </row>
    <row r="3114">
      <c r="A3114" s="21">
        <f t="shared" si="1"/>
        <v>0</v>
      </c>
      <c r="B3114" s="32" t="s">
        <v>98</v>
      </c>
      <c r="C3114" s="23" t="s">
        <v>99</v>
      </c>
      <c r="D3114" s="23" t="s">
        <v>21</v>
      </c>
      <c r="E3114" s="37">
        <v>45442.0</v>
      </c>
      <c r="F3114" s="25">
        <v>0.2847222222222222</v>
      </c>
      <c r="G3114" s="25">
        <v>0.7395833333333334</v>
      </c>
      <c r="H3114" s="27">
        <f t="shared" si="2"/>
        <v>0.4548611111</v>
      </c>
      <c r="I3114" s="28">
        <v>6.0</v>
      </c>
      <c r="J3114" s="29" t="s">
        <v>55</v>
      </c>
      <c r="K3114" s="30" t="s">
        <v>23</v>
      </c>
      <c r="L3114" s="31" t="str">
        <f>IFERROR(__xludf.DUMMYFUNCTION("IF(OR(E3114="""",K3114=""""),"""",IFERROR(IF(K3114="""","""",query('tbl user'!$A$2:$D10975,""SELECT A WHERE D = '""&amp;K3114&amp;""'"")),""USER TIDAK DIKETAHUI""))"),"#REF!")</f>
        <v>#REF!</v>
      </c>
    </row>
    <row r="3115">
      <c r="A3115" s="21">
        <f t="shared" si="1"/>
        <v>0</v>
      </c>
      <c r="B3115" s="32" t="s">
        <v>231</v>
      </c>
      <c r="C3115" s="23" t="s">
        <v>232</v>
      </c>
      <c r="D3115" s="23" t="s">
        <v>21</v>
      </c>
      <c r="E3115" s="37">
        <v>45442.0</v>
      </c>
      <c r="F3115" s="25">
        <v>0.22569444444444445</v>
      </c>
      <c r="G3115" s="25">
        <v>0.6777777777777778</v>
      </c>
      <c r="H3115" s="27">
        <f t="shared" si="2"/>
        <v>0.4520833333</v>
      </c>
      <c r="I3115" s="28">
        <v>6.0</v>
      </c>
      <c r="J3115" s="29" t="s">
        <v>55</v>
      </c>
      <c r="K3115" s="30" t="s">
        <v>23</v>
      </c>
      <c r="L3115" s="31" t="str">
        <f>IFERROR(__xludf.DUMMYFUNCTION("IF(OR(E3115="""",K3115=""""),"""",IFERROR(IF(K3115="""","""",query('tbl user'!$A$2:$D10975,""SELECT A WHERE D = '""&amp;K3115&amp;""'"")),""USER TIDAK DIKETAHUI""))"),"#REF!")</f>
        <v>#REF!</v>
      </c>
    </row>
    <row r="3116">
      <c r="A3116" s="21">
        <f t="shared" si="1"/>
        <v>0</v>
      </c>
      <c r="B3116" s="32" t="s">
        <v>662</v>
      </c>
      <c r="C3116" s="23" t="s">
        <v>234</v>
      </c>
      <c r="D3116" s="23" t="s">
        <v>21</v>
      </c>
      <c r="E3116" s="37">
        <v>45442.0</v>
      </c>
      <c r="F3116" s="25">
        <v>0.26875</v>
      </c>
      <c r="G3116" s="25">
        <v>0.7326388888888888</v>
      </c>
      <c r="H3116" s="27">
        <f t="shared" si="2"/>
        <v>0.4638888889</v>
      </c>
      <c r="I3116" s="28">
        <v>6.0</v>
      </c>
      <c r="J3116" s="29" t="s">
        <v>55</v>
      </c>
      <c r="K3116" s="30" t="s">
        <v>23</v>
      </c>
      <c r="L3116" s="31" t="str">
        <f>IFERROR(__xludf.DUMMYFUNCTION("IF(OR(E3116="""",K3116=""""),"""",IFERROR(IF(K3116="""","""",query('tbl user'!$A$2:$D10975,""SELECT A WHERE D = '""&amp;K3116&amp;""'"")),""USER TIDAK DIKETAHUI""))"),"#REF!")</f>
        <v>#REF!</v>
      </c>
    </row>
    <row r="3117">
      <c r="A3117" s="21">
        <f t="shared" si="1"/>
        <v>0</v>
      </c>
      <c r="B3117" s="32" t="s">
        <v>593</v>
      </c>
      <c r="C3117" s="23" t="s">
        <v>236</v>
      </c>
      <c r="D3117" s="23" t="s">
        <v>21</v>
      </c>
      <c r="E3117" s="37">
        <v>45442.0</v>
      </c>
      <c r="F3117" s="25">
        <v>0.2465277777777778</v>
      </c>
      <c r="G3117" s="25">
        <v>0.7722222222222223</v>
      </c>
      <c r="H3117" s="27">
        <f t="shared" si="2"/>
        <v>0.5256944444</v>
      </c>
      <c r="I3117" s="28">
        <v>6.0</v>
      </c>
      <c r="J3117" s="29" t="s">
        <v>55</v>
      </c>
      <c r="K3117" s="30" t="s">
        <v>23</v>
      </c>
      <c r="L3117" s="31" t="str">
        <f>IFERROR(__xludf.DUMMYFUNCTION("IF(OR(E3117="""",K3117=""""),"""",IFERROR(IF(K3117="""","""",query('tbl user'!$A$2:$D10975,""SELECT A WHERE D = '""&amp;K3117&amp;""'"")),""USER TIDAK DIKETAHUI""))"),"#REF!")</f>
        <v>#REF!</v>
      </c>
    </row>
    <row r="3118">
      <c r="A3118" s="21">
        <f t="shared" si="1"/>
        <v>0</v>
      </c>
      <c r="B3118" s="32" t="s">
        <v>219</v>
      </c>
      <c r="C3118" s="23" t="s">
        <v>340</v>
      </c>
      <c r="D3118" s="23" t="s">
        <v>21</v>
      </c>
      <c r="E3118" s="37">
        <v>45442.0</v>
      </c>
      <c r="F3118" s="25">
        <v>0.25833333333333336</v>
      </c>
      <c r="G3118" s="25">
        <v>0.7395833333333334</v>
      </c>
      <c r="H3118" s="27">
        <f t="shared" si="2"/>
        <v>0.48125</v>
      </c>
      <c r="I3118" s="28">
        <v>6.0</v>
      </c>
      <c r="J3118" s="29" t="s">
        <v>55</v>
      </c>
      <c r="K3118" s="30" t="s">
        <v>23</v>
      </c>
      <c r="L3118" s="31" t="str">
        <f>IFERROR(__xludf.DUMMYFUNCTION("IF(OR(E3118="""",K3118=""""),"""",IFERROR(IF(K3118="""","""",query('tbl user'!$A$2:$D10975,""SELECT A WHERE D = '""&amp;K3118&amp;""'"")),""USER TIDAK DIKETAHUI""))"),"#REF!")</f>
        <v>#REF!</v>
      </c>
    </row>
    <row r="3119">
      <c r="A3119" s="21">
        <f t="shared" si="1"/>
        <v>0</v>
      </c>
      <c r="B3119" s="32" t="s">
        <v>87</v>
      </c>
      <c r="C3119" s="23" t="s">
        <v>88</v>
      </c>
      <c r="D3119" s="23" t="s">
        <v>21</v>
      </c>
      <c r="E3119" s="37">
        <v>45442.0</v>
      </c>
      <c r="F3119" s="25">
        <v>0.2673611111111111</v>
      </c>
      <c r="G3119" s="25">
        <v>0.7159722222222222</v>
      </c>
      <c r="H3119" s="27">
        <f t="shared" si="2"/>
        <v>0.4486111111</v>
      </c>
      <c r="I3119" s="28">
        <v>6.0</v>
      </c>
      <c r="J3119" s="29" t="s">
        <v>55</v>
      </c>
      <c r="K3119" s="30" t="s">
        <v>23</v>
      </c>
      <c r="L3119" s="31" t="str">
        <f>IFERROR(__xludf.DUMMYFUNCTION("IF(OR(E3119="""",K3119=""""),"""",IFERROR(IF(K3119="""","""",query('tbl user'!$A$2:$D10975,""SELECT A WHERE D = '""&amp;K3119&amp;""'"")),""USER TIDAK DIKETAHUI""))"),"#REF!")</f>
        <v>#REF!</v>
      </c>
    </row>
    <row r="3120">
      <c r="A3120" s="21">
        <f t="shared" si="1"/>
        <v>0</v>
      </c>
      <c r="B3120" s="32" t="s">
        <v>53</v>
      </c>
      <c r="C3120" s="23" t="s">
        <v>54</v>
      </c>
      <c r="D3120" s="23" t="s">
        <v>21</v>
      </c>
      <c r="E3120" s="37">
        <v>45442.0</v>
      </c>
      <c r="F3120" s="25">
        <v>0.2847222222222222</v>
      </c>
      <c r="G3120" s="25">
        <v>0.7368055555555556</v>
      </c>
      <c r="H3120" s="27">
        <f t="shared" si="2"/>
        <v>0.4520833333</v>
      </c>
      <c r="I3120" s="28">
        <v>6.0</v>
      </c>
      <c r="J3120" s="29" t="s">
        <v>55</v>
      </c>
      <c r="K3120" s="30" t="s">
        <v>23</v>
      </c>
      <c r="L3120" s="31" t="str">
        <f>IFERROR(__xludf.DUMMYFUNCTION("IF(OR(E3120="""",K3120=""""),"""",IFERROR(IF(K3120="""","""",query('tbl user'!$A$2:$D10975,""SELECT A WHERE D = '""&amp;K3120&amp;""'"")),""USER TIDAK DIKETAHUI""))"),"#REF!")</f>
        <v>#REF!</v>
      </c>
    </row>
    <row r="3121">
      <c r="A3121" s="21">
        <f t="shared" si="1"/>
        <v>0</v>
      </c>
      <c r="B3121" s="32" t="s">
        <v>337</v>
      </c>
      <c r="C3121" s="23" t="s">
        <v>338</v>
      </c>
      <c r="D3121" s="23" t="s">
        <v>21</v>
      </c>
      <c r="E3121" s="37">
        <v>45442.0</v>
      </c>
      <c r="F3121" s="25">
        <v>0.26458333333333334</v>
      </c>
      <c r="G3121" s="25">
        <v>0.7638888888888888</v>
      </c>
      <c r="H3121" s="27">
        <f t="shared" si="2"/>
        <v>0.4993055556</v>
      </c>
      <c r="I3121" s="28">
        <v>6.0</v>
      </c>
      <c r="J3121" s="29" t="s">
        <v>55</v>
      </c>
      <c r="K3121" s="30" t="s">
        <v>23</v>
      </c>
      <c r="L3121" s="31" t="str">
        <f>IFERROR(__xludf.DUMMYFUNCTION("IF(OR(E3121="""",K3121=""""),"""",IFERROR(IF(K3121="""","""",query('tbl user'!$A$2:$D10975,""SELECT A WHERE D = '""&amp;K3121&amp;""'"")),""USER TIDAK DIKETAHUI""))"),"#REF!")</f>
        <v>#REF!</v>
      </c>
    </row>
    <row r="3122">
      <c r="A3122" s="21">
        <f t="shared" si="1"/>
        <v>0</v>
      </c>
      <c r="B3122" s="32" t="s">
        <v>118</v>
      </c>
      <c r="C3122" s="23" t="s">
        <v>119</v>
      </c>
      <c r="D3122" s="23" t="s">
        <v>32</v>
      </c>
      <c r="E3122" s="37">
        <v>45442.0</v>
      </c>
      <c r="F3122" s="25">
        <v>0.22291666666666668</v>
      </c>
      <c r="G3122" s="25">
        <v>0.3798611111111111</v>
      </c>
      <c r="H3122" s="27">
        <f t="shared" si="2"/>
        <v>0.1569444444</v>
      </c>
      <c r="I3122" s="28">
        <v>1.0</v>
      </c>
      <c r="J3122" s="29" t="s">
        <v>1394</v>
      </c>
      <c r="K3122" s="30" t="s">
        <v>23</v>
      </c>
      <c r="L3122" s="31" t="str">
        <f>IFERROR(__xludf.DUMMYFUNCTION("IF(OR(E3122="""",K3122=""""),"""",IFERROR(IF(K3122="""","""",query('tbl user'!$A$2:$D10975,""SELECT A WHERE D = '""&amp;K3122&amp;""'"")),""USER TIDAK DIKETAHUI""))"),"#REF!")</f>
        <v>#REF!</v>
      </c>
    </row>
    <row r="3123">
      <c r="A3123" s="21">
        <f t="shared" si="1"/>
        <v>0</v>
      </c>
      <c r="B3123" s="32" t="s">
        <v>363</v>
      </c>
      <c r="C3123" s="23" t="s">
        <v>90</v>
      </c>
      <c r="D3123" s="23" t="s">
        <v>32</v>
      </c>
      <c r="E3123" s="37">
        <v>45442.0</v>
      </c>
      <c r="F3123" s="25">
        <v>0.3576388888888889</v>
      </c>
      <c r="G3123" s="25">
        <v>0.5638888888888889</v>
      </c>
      <c r="H3123" s="27">
        <f t="shared" si="2"/>
        <v>0.20625</v>
      </c>
      <c r="I3123" s="28">
        <v>1.0</v>
      </c>
      <c r="J3123" s="29" t="s">
        <v>1261</v>
      </c>
      <c r="K3123" s="30" t="s">
        <v>23</v>
      </c>
      <c r="L3123" s="31" t="str">
        <f>IFERROR(__xludf.DUMMYFUNCTION("IF(OR(E3123="""",K3123=""""),"""",IFERROR(IF(K3123="""","""",query('tbl user'!$A$2:$D10975,""SELECT A WHERE D = '""&amp;K3123&amp;""'"")),""USER TIDAK DIKETAHUI""))"),"#REF!")</f>
        <v>#REF!</v>
      </c>
    </row>
    <row r="3124">
      <c r="A3124" s="21">
        <f t="shared" si="1"/>
        <v>0</v>
      </c>
      <c r="B3124" s="32" t="s">
        <v>72</v>
      </c>
      <c r="C3124" s="23" t="s">
        <v>73</v>
      </c>
      <c r="D3124" s="23" t="s">
        <v>32</v>
      </c>
      <c r="E3124" s="37">
        <v>45442.0</v>
      </c>
      <c r="F3124" s="25">
        <v>0.34791666666666665</v>
      </c>
      <c r="G3124" s="25">
        <v>0.7222222222222222</v>
      </c>
      <c r="H3124" s="27">
        <f t="shared" si="2"/>
        <v>0.3743055556</v>
      </c>
      <c r="I3124" s="28">
        <v>1.0</v>
      </c>
      <c r="J3124" s="29" t="s">
        <v>1395</v>
      </c>
      <c r="K3124" s="30" t="s">
        <v>23</v>
      </c>
      <c r="L3124" s="31" t="str">
        <f>IFERROR(__xludf.DUMMYFUNCTION("IF(OR(E3124="""",K3124=""""),"""",IFERROR(IF(K3124="""","""",query('tbl user'!$A$2:$D10975,""SELECT A WHERE D = '""&amp;K3124&amp;""'"")),""USER TIDAK DIKETAHUI""))"),"#REF!")</f>
        <v>#REF!</v>
      </c>
    </row>
    <row r="3125">
      <c r="A3125" s="21">
        <f t="shared" si="1"/>
        <v>0</v>
      </c>
      <c r="B3125" s="32" t="s">
        <v>277</v>
      </c>
      <c r="C3125" s="23" t="s">
        <v>278</v>
      </c>
      <c r="D3125" s="23" t="s">
        <v>32</v>
      </c>
      <c r="E3125" s="37">
        <v>45442.0</v>
      </c>
      <c r="F3125" s="25">
        <v>0.3888888888888889</v>
      </c>
      <c r="G3125" s="25">
        <v>0.7222222222222222</v>
      </c>
      <c r="H3125" s="27">
        <f t="shared" si="2"/>
        <v>0.3333333333</v>
      </c>
      <c r="I3125" s="28">
        <v>1.0</v>
      </c>
      <c r="J3125" s="29" t="s">
        <v>1396</v>
      </c>
      <c r="K3125" s="30" t="s">
        <v>23</v>
      </c>
      <c r="L3125" s="31" t="str">
        <f>IFERROR(__xludf.DUMMYFUNCTION("IF(OR(E3125="""",K3125=""""),"""",IFERROR(IF(K3125="""","""",query('tbl user'!$A$2:$D10975,""SELECT A WHERE D = '""&amp;K3125&amp;""'"")),""USER TIDAK DIKETAHUI""))"),"#REF!")</f>
        <v>#REF!</v>
      </c>
    </row>
    <row r="3126">
      <c r="A3126" s="21">
        <f t="shared" si="1"/>
        <v>0</v>
      </c>
      <c r="B3126" s="32" t="s">
        <v>137</v>
      </c>
      <c r="C3126" s="23" t="s">
        <v>413</v>
      </c>
      <c r="D3126" s="23" t="s">
        <v>32</v>
      </c>
      <c r="E3126" s="37">
        <v>45442.0</v>
      </c>
      <c r="F3126" s="25">
        <v>0.4166666666666667</v>
      </c>
      <c r="G3126" s="25">
        <v>0.675</v>
      </c>
      <c r="H3126" s="27">
        <f t="shared" si="2"/>
        <v>0.2583333333</v>
      </c>
      <c r="I3126" s="28">
        <v>2.0</v>
      </c>
      <c r="J3126" s="29" t="s">
        <v>1397</v>
      </c>
      <c r="K3126" s="30" t="s">
        <v>23</v>
      </c>
      <c r="L3126" s="31" t="str">
        <f>IFERROR(__xludf.DUMMYFUNCTION("IF(OR(E3126="""",K3126=""""),"""",IFERROR(IF(K3126="""","""",query('tbl user'!$A$2:$D10975,""SELECT A WHERE D = '""&amp;K3126&amp;""'"")),""USER TIDAK DIKETAHUI""))"),"#REF!")</f>
        <v>#REF!</v>
      </c>
    </row>
    <row r="3127">
      <c r="A3127" s="21">
        <f t="shared" si="1"/>
        <v>0</v>
      </c>
      <c r="B3127" s="32" t="s">
        <v>75</v>
      </c>
      <c r="C3127" s="23" t="s">
        <v>76</v>
      </c>
      <c r="D3127" s="23" t="s">
        <v>32</v>
      </c>
      <c r="E3127" s="37">
        <v>45442.0</v>
      </c>
      <c r="F3127" s="25">
        <v>0.21319444444444444</v>
      </c>
      <c r="G3127" s="25">
        <v>0.6368055555555555</v>
      </c>
      <c r="H3127" s="27">
        <f t="shared" si="2"/>
        <v>0.4236111111</v>
      </c>
      <c r="I3127" s="28">
        <v>2.0</v>
      </c>
      <c r="J3127" s="29" t="s">
        <v>1398</v>
      </c>
      <c r="K3127" s="30" t="s">
        <v>23</v>
      </c>
      <c r="L3127" s="31" t="str">
        <f>IFERROR(__xludf.DUMMYFUNCTION("IF(OR(E3127="""",K3127=""""),"""",IFERROR(IF(K3127="""","""",query('tbl user'!$A$2:$D10975,""SELECT A WHERE D = '""&amp;K3127&amp;""'"")),""USER TIDAK DIKETAHUI""))"),"#REF!")</f>
        <v>#REF!</v>
      </c>
    </row>
    <row r="3128">
      <c r="A3128" s="21">
        <f t="shared" si="1"/>
        <v>0</v>
      </c>
      <c r="B3128" s="32" t="s">
        <v>113</v>
      </c>
      <c r="C3128" s="23" t="s">
        <v>114</v>
      </c>
      <c r="D3128" s="23" t="s">
        <v>32</v>
      </c>
      <c r="E3128" s="37">
        <v>45442.0</v>
      </c>
      <c r="F3128" s="25">
        <v>0.2013888888888889</v>
      </c>
      <c r="G3128" s="25">
        <v>0.6951388888888889</v>
      </c>
      <c r="H3128" s="27">
        <f t="shared" si="2"/>
        <v>0.49375</v>
      </c>
      <c r="I3128" s="28">
        <v>3.0</v>
      </c>
      <c r="J3128" s="29" t="s">
        <v>1399</v>
      </c>
      <c r="K3128" s="30" t="s">
        <v>23</v>
      </c>
      <c r="L3128" s="31" t="str">
        <f>IFERROR(__xludf.DUMMYFUNCTION("IF(OR(E3128="""",K3128=""""),"""",IFERROR(IF(K3128="""","""",query('tbl user'!$A$2:$D10975,""SELECT A WHERE D = '""&amp;K3128&amp;""'"")),""USER TIDAK DIKETAHUI""))"),"#REF!")</f>
        <v>#REF!</v>
      </c>
    </row>
    <row r="3129">
      <c r="A3129" s="21">
        <f t="shared" si="1"/>
        <v>0</v>
      </c>
      <c r="B3129" s="32" t="s">
        <v>40</v>
      </c>
      <c r="C3129" s="23" t="s">
        <v>41</v>
      </c>
      <c r="D3129" s="23" t="s">
        <v>32</v>
      </c>
      <c r="E3129" s="37">
        <v>45442.0</v>
      </c>
      <c r="F3129" s="25">
        <v>0.21180555555555555</v>
      </c>
      <c r="G3129" s="25">
        <v>0.7361111111111112</v>
      </c>
      <c r="H3129" s="27">
        <f t="shared" si="2"/>
        <v>0.5243055556</v>
      </c>
      <c r="I3129" s="28">
        <v>3.0</v>
      </c>
      <c r="J3129" s="29" t="s">
        <v>585</v>
      </c>
      <c r="K3129" s="30" t="s">
        <v>23</v>
      </c>
      <c r="L3129" s="31" t="str">
        <f>IFERROR(__xludf.DUMMYFUNCTION("IF(OR(E3129="""",K3129=""""),"""",IFERROR(IF(K3129="""","""",query('tbl user'!$A$2:$D10975,""SELECT A WHERE D = '""&amp;K3129&amp;""'"")),""USER TIDAK DIKETAHUI""))"),"#REF!")</f>
        <v>#REF!</v>
      </c>
    </row>
    <row r="3130">
      <c r="A3130" s="21">
        <f t="shared" si="1"/>
        <v>0</v>
      </c>
      <c r="B3130" s="32" t="s">
        <v>139</v>
      </c>
      <c r="C3130" s="23" t="s">
        <v>96</v>
      </c>
      <c r="D3130" s="23" t="s">
        <v>32</v>
      </c>
      <c r="E3130" s="37">
        <v>45442.0</v>
      </c>
      <c r="F3130" s="25">
        <v>0.2847222222222222</v>
      </c>
      <c r="G3130" s="25">
        <v>0.6368055555555555</v>
      </c>
      <c r="H3130" s="27">
        <f t="shared" si="2"/>
        <v>0.3520833333</v>
      </c>
      <c r="I3130" s="28">
        <v>3.0</v>
      </c>
      <c r="J3130" s="29" t="s">
        <v>1400</v>
      </c>
      <c r="K3130" s="30" t="s">
        <v>23</v>
      </c>
      <c r="L3130" s="31" t="str">
        <f>IFERROR(__xludf.DUMMYFUNCTION("IF(OR(E3130="""",K3130=""""),"""",IFERROR(IF(K3130="""","""",query('tbl user'!$A$2:$D10975,""SELECT A WHERE D = '""&amp;K3130&amp;""'"")),""USER TIDAK DIKETAHUI""))"),"#REF!")</f>
        <v>#REF!</v>
      </c>
    </row>
    <row r="3131">
      <c r="A3131" s="21">
        <f t="shared" si="1"/>
        <v>0</v>
      </c>
      <c r="B3131" s="32" t="s">
        <v>269</v>
      </c>
      <c r="C3131" s="23" t="s">
        <v>270</v>
      </c>
      <c r="D3131" s="23" t="s">
        <v>32</v>
      </c>
      <c r="E3131" s="37">
        <v>45442.0</v>
      </c>
      <c r="F3131" s="25">
        <v>0.2743055555555556</v>
      </c>
      <c r="G3131" s="25">
        <v>0.7180555555555556</v>
      </c>
      <c r="H3131" s="27">
        <f t="shared" si="2"/>
        <v>0.44375</v>
      </c>
      <c r="I3131" s="28">
        <v>3.0</v>
      </c>
      <c r="J3131" s="29" t="s">
        <v>1401</v>
      </c>
      <c r="K3131" s="30" t="s">
        <v>23</v>
      </c>
      <c r="L3131" s="31" t="str">
        <f>IFERROR(__xludf.DUMMYFUNCTION("IF(OR(E3131="""",K3131=""""),"""",IFERROR(IF(K3131="""","""",query('tbl user'!$A$2:$D10975,""SELECT A WHERE D = '""&amp;K3131&amp;""'"")),""USER TIDAK DIKETAHUI""))"),"#REF!")</f>
        <v>#REF!</v>
      </c>
    </row>
    <row r="3132">
      <c r="A3132" s="21">
        <f t="shared" si="1"/>
        <v>0</v>
      </c>
      <c r="B3132" s="32" t="s">
        <v>110</v>
      </c>
      <c r="C3132" s="23" t="s">
        <v>111</v>
      </c>
      <c r="D3132" s="23" t="s">
        <v>32</v>
      </c>
      <c r="E3132" s="37">
        <v>45442.0</v>
      </c>
      <c r="F3132" s="25">
        <v>0.2881944444444444</v>
      </c>
      <c r="G3132" s="25">
        <v>0.7118055555555556</v>
      </c>
      <c r="H3132" s="27">
        <f t="shared" si="2"/>
        <v>0.4236111111</v>
      </c>
      <c r="I3132" s="28">
        <v>4.0</v>
      </c>
      <c r="J3132" s="29" t="s">
        <v>55</v>
      </c>
      <c r="K3132" s="30" t="s">
        <v>23</v>
      </c>
      <c r="L3132" s="31" t="str">
        <f>IFERROR(__xludf.DUMMYFUNCTION("IF(OR(E3132="""",K3132=""""),"""",IFERROR(IF(K3132="""","""",query('tbl user'!$A$2:$D10975,""SELECT A WHERE D = '""&amp;K3132&amp;""'"")),""USER TIDAK DIKETAHUI""))"),"#REF!")</f>
        <v>#REF!</v>
      </c>
    </row>
    <row r="3133">
      <c r="A3133" s="21">
        <f t="shared" si="1"/>
        <v>0</v>
      </c>
      <c r="B3133" s="32" t="s">
        <v>115</v>
      </c>
      <c r="C3133" s="23" t="s">
        <v>116</v>
      </c>
      <c r="D3133" s="23" t="s">
        <v>32</v>
      </c>
      <c r="E3133" s="37">
        <v>45442.0</v>
      </c>
      <c r="F3133" s="25">
        <v>0.27569444444444446</v>
      </c>
      <c r="G3133" s="25">
        <v>0.6715277777777777</v>
      </c>
      <c r="H3133" s="27">
        <f t="shared" si="2"/>
        <v>0.3958333333</v>
      </c>
      <c r="I3133" s="28">
        <v>4.0</v>
      </c>
      <c r="J3133" s="29" t="s">
        <v>55</v>
      </c>
      <c r="K3133" s="30" t="s">
        <v>23</v>
      </c>
      <c r="L3133" s="31" t="str">
        <f>IFERROR(__xludf.DUMMYFUNCTION("IF(OR(E3133="""",K3133=""""),"""",IFERROR(IF(K3133="""","""",query('tbl user'!$A$2:$D10975,""SELECT A WHERE D = '""&amp;K3133&amp;""'"")),""USER TIDAK DIKETAHUI""))"),"#REF!")</f>
        <v>#REF!</v>
      </c>
    </row>
    <row r="3134">
      <c r="A3134" s="21">
        <f t="shared" si="1"/>
        <v>0</v>
      </c>
      <c r="B3134" s="32" t="s">
        <v>46</v>
      </c>
      <c r="C3134" s="23" t="s">
        <v>47</v>
      </c>
      <c r="D3134" s="23" t="s">
        <v>32</v>
      </c>
      <c r="E3134" s="37">
        <v>45442.0</v>
      </c>
      <c r="F3134" s="25">
        <v>0.25763888888888886</v>
      </c>
      <c r="G3134" s="25">
        <v>0.6958333333333333</v>
      </c>
      <c r="H3134" s="27">
        <f t="shared" si="2"/>
        <v>0.4381944444</v>
      </c>
      <c r="I3134" s="28">
        <v>4.0</v>
      </c>
      <c r="J3134" s="29" t="s">
        <v>55</v>
      </c>
      <c r="K3134" s="30" t="s">
        <v>23</v>
      </c>
      <c r="L3134" s="31" t="str">
        <f>IFERROR(__xludf.DUMMYFUNCTION("IF(OR(E3134="""",K3134=""""),"""",IFERROR(IF(K3134="""","""",query('tbl user'!$A$2:$D10975,""SELECT A WHERE D = '""&amp;K3134&amp;""'"")),""USER TIDAK DIKETAHUI""))"),"#REF!")</f>
        <v>#REF!</v>
      </c>
    </row>
    <row r="3135">
      <c r="A3135" s="21">
        <f t="shared" si="1"/>
        <v>0</v>
      </c>
      <c r="B3135" s="32" t="s">
        <v>120</v>
      </c>
      <c r="C3135" s="23" t="s">
        <v>121</v>
      </c>
      <c r="D3135" s="23" t="s">
        <v>32</v>
      </c>
      <c r="E3135" s="37">
        <v>45442.0</v>
      </c>
      <c r="F3135" s="25">
        <v>0.25833333333333336</v>
      </c>
      <c r="G3135" s="25">
        <v>0.6881944444444444</v>
      </c>
      <c r="H3135" s="27">
        <f t="shared" si="2"/>
        <v>0.4298611111</v>
      </c>
      <c r="I3135" s="28">
        <v>4.0</v>
      </c>
      <c r="J3135" s="29" t="s">
        <v>55</v>
      </c>
      <c r="K3135" s="30" t="s">
        <v>23</v>
      </c>
      <c r="L3135" s="31" t="str">
        <f>IFERROR(__xludf.DUMMYFUNCTION("IF(OR(E3135="""",K3135=""""),"""",IFERROR(IF(K3135="""","""",query('tbl user'!$A$2:$D10975,""SELECT A WHERE D = '""&amp;K3135&amp;""'"")),""USER TIDAK DIKETAHUI""))"),"#REF!")</f>
        <v>#REF!</v>
      </c>
    </row>
    <row r="3136">
      <c r="A3136" s="21">
        <f t="shared" si="1"/>
        <v>0</v>
      </c>
      <c r="B3136" s="32" t="s">
        <v>263</v>
      </c>
      <c r="C3136" s="23" t="s">
        <v>264</v>
      </c>
      <c r="D3136" s="23" t="s">
        <v>32</v>
      </c>
      <c r="E3136" s="37">
        <v>45442.0</v>
      </c>
      <c r="F3136" s="25">
        <v>0.23055555555555557</v>
      </c>
      <c r="G3136" s="25">
        <v>0.6388888888888888</v>
      </c>
      <c r="H3136" s="27">
        <f t="shared" si="2"/>
        <v>0.4083333333</v>
      </c>
      <c r="I3136" s="28">
        <v>4.0</v>
      </c>
      <c r="J3136" s="29" t="s">
        <v>55</v>
      </c>
      <c r="K3136" s="30" t="s">
        <v>23</v>
      </c>
      <c r="L3136" s="31" t="str">
        <f>IFERROR(__xludf.DUMMYFUNCTION("IF(OR(E3136="""",K3136=""""),"""",IFERROR(IF(K3136="""","""",query('tbl user'!$A$2:$D10975,""SELECT A WHERE D = '""&amp;K3136&amp;""'"")),""USER TIDAK DIKETAHUI""))"),"#REF!")</f>
        <v>#REF!</v>
      </c>
    </row>
    <row r="3137">
      <c r="A3137" s="21">
        <f t="shared" si="1"/>
        <v>0</v>
      </c>
      <c r="B3137" s="32" t="s">
        <v>127</v>
      </c>
      <c r="C3137" s="23" t="s">
        <v>128</v>
      </c>
      <c r="D3137" s="23" t="s">
        <v>32</v>
      </c>
      <c r="E3137" s="37">
        <v>45442.0</v>
      </c>
      <c r="F3137" s="25">
        <v>0.2847222222222222</v>
      </c>
      <c r="G3137" s="25">
        <v>0.7166666666666667</v>
      </c>
      <c r="H3137" s="27">
        <f t="shared" si="2"/>
        <v>0.4319444444</v>
      </c>
      <c r="I3137" s="28">
        <v>4.0</v>
      </c>
      <c r="J3137" s="29" t="s">
        <v>55</v>
      </c>
      <c r="K3137" s="30" t="s">
        <v>23</v>
      </c>
      <c r="L3137" s="31" t="str">
        <f>IFERROR(__xludf.DUMMYFUNCTION("IF(OR(E3137="""",K3137=""""),"""",IFERROR(IF(K3137="""","""",query('tbl user'!$A$2:$D10975,""SELECT A WHERE D = '""&amp;K3137&amp;""'"")),""USER TIDAK DIKETAHUI""))"),"#REF!")</f>
        <v>#REF!</v>
      </c>
    </row>
    <row r="3138">
      <c r="A3138" s="21">
        <f t="shared" si="1"/>
        <v>0</v>
      </c>
      <c r="B3138" s="32" t="s">
        <v>312</v>
      </c>
      <c r="C3138" s="23" t="s">
        <v>313</v>
      </c>
      <c r="D3138" s="23" t="s">
        <v>32</v>
      </c>
      <c r="E3138" s="37">
        <v>45442.0</v>
      </c>
      <c r="F3138" s="25">
        <v>0.24305555555555555</v>
      </c>
      <c r="G3138" s="25">
        <v>0.6541666666666667</v>
      </c>
      <c r="H3138" s="27">
        <f t="shared" si="2"/>
        <v>0.4111111111</v>
      </c>
      <c r="I3138" s="28">
        <v>4.0</v>
      </c>
      <c r="J3138" s="29" t="s">
        <v>55</v>
      </c>
      <c r="K3138" s="30" t="s">
        <v>23</v>
      </c>
      <c r="L3138" s="31" t="str">
        <f>IFERROR(__xludf.DUMMYFUNCTION("IF(OR(E3138="""",K3138=""""),"""",IFERROR(IF(K3138="""","""",query('tbl user'!$A$2:$D10975,""SELECT A WHERE D = '""&amp;K3138&amp;""'"")),""USER TIDAK DIKETAHUI""))"),"#REF!")</f>
        <v>#REF!</v>
      </c>
    </row>
    <row r="3139">
      <c r="A3139" s="21">
        <f t="shared" si="1"/>
        <v>0</v>
      </c>
      <c r="B3139" s="32" t="s">
        <v>279</v>
      </c>
      <c r="C3139" s="23" t="s">
        <v>280</v>
      </c>
      <c r="D3139" s="23" t="s">
        <v>32</v>
      </c>
      <c r="E3139" s="37">
        <v>45442.0</v>
      </c>
      <c r="F3139" s="25">
        <v>0.2513888888888889</v>
      </c>
      <c r="G3139" s="25">
        <v>0.7055555555555556</v>
      </c>
      <c r="H3139" s="27">
        <f t="shared" si="2"/>
        <v>0.4541666667</v>
      </c>
      <c r="I3139" s="28">
        <v>4.0</v>
      </c>
      <c r="J3139" s="29" t="s">
        <v>55</v>
      </c>
      <c r="K3139" s="30" t="s">
        <v>23</v>
      </c>
      <c r="L3139" s="31" t="str">
        <f>IFERROR(__xludf.DUMMYFUNCTION("IF(OR(E3139="""",K3139=""""),"""",IFERROR(IF(K3139="""","""",query('tbl user'!$A$2:$D10975,""SELECT A WHERE D = '""&amp;K3139&amp;""'"")),""USER TIDAK DIKETAHUI""))"),"#REF!")</f>
        <v>#REF!</v>
      </c>
    </row>
    <row r="3140">
      <c r="A3140" s="21">
        <f t="shared" si="1"/>
        <v>0</v>
      </c>
      <c r="B3140" s="32" t="s">
        <v>141</v>
      </c>
      <c r="C3140" s="23" t="s">
        <v>142</v>
      </c>
      <c r="D3140" s="23" t="s">
        <v>32</v>
      </c>
      <c r="E3140" s="37">
        <v>45442.0</v>
      </c>
      <c r="F3140" s="25">
        <v>0.26666666666666666</v>
      </c>
      <c r="G3140" s="25">
        <v>0.7020833333333333</v>
      </c>
      <c r="H3140" s="27">
        <f t="shared" si="2"/>
        <v>0.4354166667</v>
      </c>
      <c r="I3140" s="28">
        <v>4.0</v>
      </c>
      <c r="J3140" s="29" t="s">
        <v>55</v>
      </c>
      <c r="K3140" s="30" t="s">
        <v>23</v>
      </c>
      <c r="L3140" s="31" t="str">
        <f>IFERROR(__xludf.DUMMYFUNCTION("IF(OR(E3140="""",K3140=""""),"""",IFERROR(IF(K3140="""","""",query('tbl user'!$A$2:$D10975,""SELECT A WHERE D = '""&amp;K3140&amp;""'"")),""USER TIDAK DIKETAHUI""))"),"#REF!")</f>
        <v>#REF!</v>
      </c>
    </row>
    <row r="3141">
      <c r="A3141" s="21">
        <f t="shared" si="1"/>
        <v>0</v>
      </c>
      <c r="B3141" s="32" t="s">
        <v>78</v>
      </c>
      <c r="C3141" s="23" t="s">
        <v>79</v>
      </c>
      <c r="D3141" s="23" t="s">
        <v>32</v>
      </c>
      <c r="E3141" s="37">
        <v>45442.0</v>
      </c>
      <c r="F3141" s="25">
        <v>0.275</v>
      </c>
      <c r="G3141" s="25">
        <v>0.7229166666666667</v>
      </c>
      <c r="H3141" s="27">
        <f t="shared" si="2"/>
        <v>0.4479166667</v>
      </c>
      <c r="I3141" s="28">
        <v>4.0</v>
      </c>
      <c r="J3141" s="29" t="s">
        <v>55</v>
      </c>
      <c r="K3141" s="30" t="s">
        <v>23</v>
      </c>
      <c r="L3141" s="31" t="str">
        <f>IFERROR(__xludf.DUMMYFUNCTION("IF(OR(E3141="""",K3141=""""),"""",IFERROR(IF(K3141="""","""",query('tbl user'!$A$2:$D10975,""SELECT A WHERE D = '""&amp;K3141&amp;""'"")),""USER TIDAK DIKETAHUI""))"),"#REF!")</f>
        <v>#REF!</v>
      </c>
    </row>
    <row r="3142">
      <c r="A3142" s="21">
        <f t="shared" si="1"/>
        <v>0</v>
      </c>
      <c r="B3142" s="32" t="s">
        <v>274</v>
      </c>
      <c r="C3142" s="23" t="s">
        <v>275</v>
      </c>
      <c r="D3142" s="23" t="s">
        <v>32</v>
      </c>
      <c r="E3142" s="37">
        <v>45442.0</v>
      </c>
      <c r="F3142" s="25">
        <v>0.24444444444444444</v>
      </c>
      <c r="G3142" s="25">
        <v>0.6506944444444445</v>
      </c>
      <c r="H3142" s="27">
        <f t="shared" si="2"/>
        <v>0.40625</v>
      </c>
      <c r="I3142" s="28">
        <v>4.0</v>
      </c>
      <c r="J3142" s="29" t="s">
        <v>55</v>
      </c>
      <c r="K3142" s="30" t="s">
        <v>23</v>
      </c>
      <c r="L3142" s="31" t="str">
        <f>IFERROR(__xludf.DUMMYFUNCTION("IF(OR(E3142="""",K3142=""""),"""",IFERROR(IF(K3142="""","""",query('tbl user'!$A$2:$D10975,""SELECT A WHERE D = '""&amp;K3142&amp;""'"")),""USER TIDAK DIKETAHUI""))"),"#REF!")</f>
        <v>#REF!</v>
      </c>
    </row>
    <row r="3143">
      <c r="A3143" s="21">
        <f t="shared" si="1"/>
        <v>0</v>
      </c>
      <c r="B3143" s="32" t="s">
        <v>250</v>
      </c>
      <c r="C3143" s="23" t="s">
        <v>315</v>
      </c>
      <c r="D3143" s="23" t="s">
        <v>32</v>
      </c>
      <c r="E3143" s="37">
        <v>45442.0</v>
      </c>
      <c r="F3143" s="25">
        <v>0.22083333333333333</v>
      </c>
      <c r="G3143" s="25">
        <v>0.7034722222222223</v>
      </c>
      <c r="H3143" s="27">
        <f t="shared" si="2"/>
        <v>0.4826388889</v>
      </c>
      <c r="I3143" s="28">
        <v>5.0</v>
      </c>
      <c r="J3143" s="29" t="s">
        <v>55</v>
      </c>
      <c r="K3143" s="30" t="s">
        <v>23</v>
      </c>
      <c r="L3143" s="31" t="str">
        <f>IFERROR(__xludf.DUMMYFUNCTION("IF(OR(E3143="""",K3143=""""),"""",IFERROR(IF(K3143="""","""",query('tbl user'!$A$2:$D10975,""SELECT A WHERE D = '""&amp;K3143&amp;""'"")),""USER TIDAK DIKETAHUI""))"),"#REF!")</f>
        <v>#REF!</v>
      </c>
    </row>
    <row r="3144">
      <c r="A3144" s="21">
        <f t="shared" si="1"/>
        <v>0</v>
      </c>
      <c r="B3144" s="32" t="s">
        <v>123</v>
      </c>
      <c r="C3144" s="23" t="s">
        <v>124</v>
      </c>
      <c r="D3144" s="23" t="s">
        <v>32</v>
      </c>
      <c r="E3144" s="37">
        <v>45442.0</v>
      </c>
      <c r="F3144" s="25">
        <v>0.2465277777777778</v>
      </c>
      <c r="G3144" s="25">
        <v>0.7430555555555556</v>
      </c>
      <c r="H3144" s="27">
        <f t="shared" si="2"/>
        <v>0.4965277778</v>
      </c>
      <c r="I3144" s="28">
        <v>5.0</v>
      </c>
      <c r="J3144" s="29" t="s">
        <v>55</v>
      </c>
      <c r="K3144" s="30" t="s">
        <v>23</v>
      </c>
      <c r="L3144" s="31" t="str">
        <f>IFERROR(__xludf.DUMMYFUNCTION("IF(OR(E3144="""",K3144=""""),"""",IFERROR(IF(K3144="""","""",query('tbl user'!$A$2:$D10975,""SELECT A WHERE D = '""&amp;K3144&amp;""'"")),""USER TIDAK DIKETAHUI""))"),"#REF!")</f>
        <v>#REF!</v>
      </c>
    </row>
    <row r="3145">
      <c r="A3145" s="21">
        <f t="shared" si="1"/>
        <v>0</v>
      </c>
      <c r="B3145" s="32" t="s">
        <v>131</v>
      </c>
      <c r="C3145" s="23" t="s">
        <v>132</v>
      </c>
      <c r="D3145" s="23" t="s">
        <v>32</v>
      </c>
      <c r="E3145" s="37">
        <v>45442.0</v>
      </c>
      <c r="F3145" s="25">
        <v>0.21875</v>
      </c>
      <c r="G3145" s="25">
        <v>0.7291666666666666</v>
      </c>
      <c r="H3145" s="27">
        <f t="shared" si="2"/>
        <v>0.5104166667</v>
      </c>
      <c r="I3145" s="28">
        <v>5.0</v>
      </c>
      <c r="J3145" s="29" t="s">
        <v>55</v>
      </c>
      <c r="K3145" s="30" t="s">
        <v>23</v>
      </c>
      <c r="L3145" s="31" t="str">
        <f>IFERROR(__xludf.DUMMYFUNCTION("IF(OR(E3145="""",K3145=""""),"""",IFERROR(IF(K3145="""","""",query('tbl user'!$A$2:$D10975,""SELECT A WHERE D = '""&amp;K3145&amp;""'"")),""USER TIDAK DIKETAHUI""))"),"#REF!")</f>
        <v>#REF!</v>
      </c>
    </row>
    <row r="3146">
      <c r="A3146" s="21">
        <f t="shared" si="1"/>
        <v>0</v>
      </c>
      <c r="B3146" s="32" t="s">
        <v>30</v>
      </c>
      <c r="C3146" s="23" t="s">
        <v>31</v>
      </c>
      <c r="D3146" s="23" t="s">
        <v>32</v>
      </c>
      <c r="E3146" s="37">
        <v>45442.0</v>
      </c>
      <c r="F3146" s="25">
        <v>0.21944444444444444</v>
      </c>
      <c r="G3146" s="25">
        <v>0.7375</v>
      </c>
      <c r="H3146" s="27">
        <f t="shared" si="2"/>
        <v>0.5180555556</v>
      </c>
      <c r="I3146" s="28">
        <v>5.0</v>
      </c>
      <c r="J3146" s="29" t="s">
        <v>55</v>
      </c>
      <c r="K3146" s="30" t="s">
        <v>23</v>
      </c>
      <c r="L3146" s="31" t="str">
        <f>IFERROR(__xludf.DUMMYFUNCTION("IF(OR(E3146="""",K3146=""""),"""",IFERROR(IF(K3146="""","""",query('tbl user'!$A$2:$D10975,""SELECT A WHERE D = '""&amp;K3146&amp;""'"")),""USER TIDAK DIKETAHUI""))"),"#REF!")</f>
        <v>#REF!</v>
      </c>
    </row>
    <row r="3147">
      <c r="A3147" s="21" t="str">
        <f t="shared" si="1"/>
        <v/>
      </c>
      <c r="B3147" s="35"/>
      <c r="C3147" s="23" t="s">
        <v>82</v>
      </c>
      <c r="D3147" s="23" t="s">
        <v>58</v>
      </c>
      <c r="E3147" s="37">
        <v>45443.0</v>
      </c>
      <c r="F3147" s="25">
        <v>0.28055555555555556</v>
      </c>
      <c r="G3147" s="25">
        <v>0.2881944444444444</v>
      </c>
      <c r="H3147" s="27">
        <f t="shared" si="2"/>
        <v>0.007638888889</v>
      </c>
      <c r="I3147" s="28">
        <v>0.0</v>
      </c>
      <c r="J3147" s="29" t="s">
        <v>1402</v>
      </c>
      <c r="K3147" s="30" t="s">
        <v>23</v>
      </c>
      <c r="L3147" s="31" t="str">
        <f>IFERROR(__xludf.DUMMYFUNCTION("IF(OR(E3147="""",K3147=""""),"""",IFERROR(IF(K3147="""","""",query('tbl user'!$A$2:$D10975,""SELECT A WHERE D = '""&amp;K3147&amp;""'"")),""USER TIDAK DIKETAHUI""))"),"#REF!")</f>
        <v>#REF!</v>
      </c>
    </row>
    <row r="3148">
      <c r="A3148" s="21">
        <f t="shared" si="1"/>
        <v>0</v>
      </c>
      <c r="B3148" s="32" t="s">
        <v>197</v>
      </c>
      <c r="C3148" s="23" t="s">
        <v>198</v>
      </c>
      <c r="D3148" s="23" t="s">
        <v>58</v>
      </c>
      <c r="E3148" s="37">
        <v>45443.0</v>
      </c>
      <c r="F3148" s="25">
        <v>0.5555555555555556</v>
      </c>
      <c r="G3148" s="25">
        <v>0.6645833333333333</v>
      </c>
      <c r="H3148" s="27">
        <f t="shared" si="2"/>
        <v>0.1090277778</v>
      </c>
      <c r="I3148" s="28">
        <v>1.0</v>
      </c>
      <c r="J3148" s="29" t="s">
        <v>1403</v>
      </c>
      <c r="K3148" s="30" t="s">
        <v>23</v>
      </c>
      <c r="L3148" s="31" t="str">
        <f>IFERROR(__xludf.DUMMYFUNCTION("IF(OR(E3148="""",K3148=""""),"""",IFERROR(IF(K3148="""","""",query('tbl user'!$A$2:$D10975,""SELECT A WHERE D = '""&amp;K3148&amp;""'"")),""USER TIDAK DIKETAHUI""))"),"#REF!")</f>
        <v>#REF!</v>
      </c>
    </row>
    <row r="3149">
      <c r="A3149" s="21">
        <f t="shared" si="1"/>
        <v>0</v>
      </c>
      <c r="B3149" s="32" t="s">
        <v>104</v>
      </c>
      <c r="C3149" s="23" t="s">
        <v>105</v>
      </c>
      <c r="D3149" s="23" t="s">
        <v>58</v>
      </c>
      <c r="E3149" s="37">
        <v>45443.0</v>
      </c>
      <c r="F3149" s="25">
        <v>0.32430555555555557</v>
      </c>
      <c r="G3149" s="25">
        <v>0.4395833333333333</v>
      </c>
      <c r="H3149" s="27">
        <f t="shared" si="2"/>
        <v>0.1152777778</v>
      </c>
      <c r="I3149" s="28">
        <v>1.0</v>
      </c>
      <c r="J3149" s="29" t="s">
        <v>1404</v>
      </c>
      <c r="K3149" s="30" t="s">
        <v>23</v>
      </c>
      <c r="L3149" s="31" t="str">
        <f>IFERROR(__xludf.DUMMYFUNCTION("IF(OR(E3149="""",K3149=""""),"""",IFERROR(IF(K3149="""","""",query('tbl user'!$A$2:$D10975,""SELECT A WHERE D = '""&amp;K3149&amp;""'"")),""USER TIDAK DIKETAHUI""))"),"#REF!")</f>
        <v>#REF!</v>
      </c>
    </row>
    <row r="3150">
      <c r="A3150" s="21">
        <f t="shared" si="1"/>
        <v>0</v>
      </c>
      <c r="B3150" s="32" t="s">
        <v>191</v>
      </c>
      <c r="C3150" s="23" t="s">
        <v>192</v>
      </c>
      <c r="D3150" s="23" t="s">
        <v>58</v>
      </c>
      <c r="E3150" s="37">
        <v>45443.0</v>
      </c>
      <c r="F3150" s="25">
        <v>0.25625</v>
      </c>
      <c r="G3150" s="25">
        <v>0.7201388888888889</v>
      </c>
      <c r="H3150" s="27">
        <f t="shared" si="2"/>
        <v>0.4638888889</v>
      </c>
      <c r="I3150" s="28">
        <v>2.0</v>
      </c>
      <c r="J3150" s="29" t="s">
        <v>1405</v>
      </c>
      <c r="K3150" s="30" t="s">
        <v>23</v>
      </c>
      <c r="L3150" s="31" t="str">
        <f>IFERROR(__xludf.DUMMYFUNCTION("IF(OR(E3150="""",K3150=""""),"""",IFERROR(IF(K3150="""","""",query('tbl user'!$A$2:$D10975,""SELECT A WHERE D = '""&amp;K3150&amp;""'"")),""USER TIDAK DIKETAHUI""))"),"#REF!")</f>
        <v>#REF!</v>
      </c>
    </row>
    <row r="3151">
      <c r="A3151" s="21">
        <f t="shared" si="1"/>
        <v>0</v>
      </c>
      <c r="B3151" s="32" t="s">
        <v>224</v>
      </c>
      <c r="C3151" s="23" t="s">
        <v>208</v>
      </c>
      <c r="D3151" s="23" t="s">
        <v>58</v>
      </c>
      <c r="E3151" s="37">
        <v>45443.0</v>
      </c>
      <c r="F3151" s="25">
        <v>0.2361111111111111</v>
      </c>
      <c r="G3151" s="25">
        <v>0.45902777777777776</v>
      </c>
      <c r="H3151" s="27">
        <f t="shared" si="2"/>
        <v>0.2229166667</v>
      </c>
      <c r="I3151" s="28">
        <v>2.0</v>
      </c>
      <c r="J3151" s="29" t="s">
        <v>1406</v>
      </c>
      <c r="K3151" s="30" t="s">
        <v>23</v>
      </c>
      <c r="L3151" s="31" t="str">
        <f>IFERROR(__xludf.DUMMYFUNCTION("IF(OR(E3151="""",K3151=""""),"""",IFERROR(IF(K3151="""","""",query('tbl user'!$A$2:$D10975,""SELECT A WHERE D = '""&amp;K3151&amp;""'"")),""USER TIDAK DIKETAHUI""))"),"#REF!")</f>
        <v>#REF!</v>
      </c>
    </row>
    <row r="3152">
      <c r="A3152" s="21">
        <f t="shared" si="1"/>
        <v>0</v>
      </c>
      <c r="B3152" s="32" t="s">
        <v>67</v>
      </c>
      <c r="C3152" s="23" t="s">
        <v>68</v>
      </c>
      <c r="D3152" s="23" t="s">
        <v>58</v>
      </c>
      <c r="E3152" s="37">
        <v>45443.0</v>
      </c>
      <c r="F3152" s="25">
        <v>0.2833333333333333</v>
      </c>
      <c r="G3152" s="25">
        <v>0.6854166666666667</v>
      </c>
      <c r="H3152" s="27">
        <f t="shared" si="2"/>
        <v>0.4020833333</v>
      </c>
      <c r="I3152" s="28">
        <v>3.0</v>
      </c>
      <c r="J3152" s="29" t="s">
        <v>1407</v>
      </c>
      <c r="K3152" s="30" t="s">
        <v>23</v>
      </c>
      <c r="L3152" s="31" t="str">
        <f>IFERROR(__xludf.DUMMYFUNCTION("IF(OR(E3152="""",K3152=""""),"""",IFERROR(IF(K3152="""","""",query('tbl user'!$A$2:$D10975,""SELECT A WHERE D = '""&amp;K3152&amp;""'"")),""USER TIDAK DIKETAHUI""))"),"#REF!")</f>
        <v>#REF!</v>
      </c>
    </row>
    <row r="3153">
      <c r="A3153" s="21">
        <f t="shared" si="1"/>
        <v>0</v>
      </c>
      <c r="B3153" s="32" t="s">
        <v>153</v>
      </c>
      <c r="C3153" s="23" t="s">
        <v>211</v>
      </c>
      <c r="D3153" s="23" t="s">
        <v>58</v>
      </c>
      <c r="E3153" s="37">
        <v>45443.0</v>
      </c>
      <c r="F3153" s="25">
        <v>0.24444444444444444</v>
      </c>
      <c r="G3153" s="25">
        <v>0.6819444444444445</v>
      </c>
      <c r="H3153" s="27">
        <f t="shared" si="2"/>
        <v>0.4375</v>
      </c>
      <c r="I3153" s="28">
        <v>3.0</v>
      </c>
      <c r="J3153" s="29" t="s">
        <v>1408</v>
      </c>
      <c r="K3153" s="30" t="s">
        <v>23</v>
      </c>
      <c r="L3153" s="31" t="str">
        <f>IFERROR(__xludf.DUMMYFUNCTION("IF(OR(E3153="""",K3153=""""),"""",IFERROR(IF(K3153="""","""",query('tbl user'!$A$2:$D10975,""SELECT A WHERE D = '""&amp;K3153&amp;""'"")),""USER TIDAK DIKETAHUI""))"),"#REF!")</f>
        <v>#REF!</v>
      </c>
    </row>
    <row r="3154">
      <c r="A3154" s="21">
        <f t="shared" si="1"/>
        <v>0</v>
      </c>
      <c r="B3154" s="32" t="s">
        <v>92</v>
      </c>
      <c r="C3154" s="23" t="s">
        <v>93</v>
      </c>
      <c r="D3154" s="23" t="s">
        <v>58</v>
      </c>
      <c r="E3154" s="37">
        <v>45443.0</v>
      </c>
      <c r="F3154" s="25">
        <v>0.25</v>
      </c>
      <c r="G3154" s="25">
        <v>0.6277777777777778</v>
      </c>
      <c r="H3154" s="27">
        <f t="shared" si="2"/>
        <v>0.3777777778</v>
      </c>
      <c r="I3154" s="28">
        <v>3.0</v>
      </c>
      <c r="J3154" s="29" t="s">
        <v>894</v>
      </c>
      <c r="K3154" s="30" t="s">
        <v>23</v>
      </c>
      <c r="L3154" s="31" t="str">
        <f>IFERROR(__xludf.DUMMYFUNCTION("IF(OR(E3154="""",K3154=""""),"""",IFERROR(IF(K3154="""","""",query('tbl user'!$A$2:$D10975,""SELECT A WHERE D = '""&amp;K3154&amp;""'"")),""USER TIDAK DIKETAHUI""))"),"#REF!")</f>
        <v>#REF!</v>
      </c>
    </row>
    <row r="3155">
      <c r="A3155" s="21">
        <f t="shared" si="1"/>
        <v>0</v>
      </c>
      <c r="B3155" s="32" t="s">
        <v>175</v>
      </c>
      <c r="C3155" s="23" t="s">
        <v>176</v>
      </c>
      <c r="D3155" s="23" t="s">
        <v>58</v>
      </c>
      <c r="E3155" s="37">
        <v>45443.0</v>
      </c>
      <c r="F3155" s="25">
        <v>0.3159722222222222</v>
      </c>
      <c r="G3155" s="25">
        <v>0.6909722222222222</v>
      </c>
      <c r="H3155" s="27">
        <f t="shared" si="2"/>
        <v>0.375</v>
      </c>
      <c r="I3155" s="28">
        <v>3.0</v>
      </c>
      <c r="J3155" s="29" t="s">
        <v>1409</v>
      </c>
      <c r="K3155" s="30" t="s">
        <v>23</v>
      </c>
      <c r="L3155" s="31" t="str">
        <f>IFERROR(__xludf.DUMMYFUNCTION("IF(OR(E3155="""",K3155=""""),"""",IFERROR(IF(K3155="""","""",query('tbl user'!$A$2:$D10975,""SELECT A WHERE D = '""&amp;K3155&amp;""'"")),""USER TIDAK DIKETAHUI""))"),"#REF!")</f>
        <v>#REF!</v>
      </c>
    </row>
    <row r="3156">
      <c r="A3156" s="21">
        <f t="shared" si="1"/>
        <v>0</v>
      </c>
      <c r="B3156" s="32" t="s">
        <v>180</v>
      </c>
      <c r="C3156" s="23" t="s">
        <v>181</v>
      </c>
      <c r="D3156" s="23" t="s">
        <v>58</v>
      </c>
      <c r="E3156" s="37">
        <v>45443.0</v>
      </c>
      <c r="F3156" s="25">
        <v>0.36875</v>
      </c>
      <c r="G3156" s="25">
        <v>0.7229166666666667</v>
      </c>
      <c r="H3156" s="27">
        <f t="shared" si="2"/>
        <v>0.3541666667</v>
      </c>
      <c r="I3156" s="28">
        <v>3.0</v>
      </c>
      <c r="J3156" s="29" t="s">
        <v>1410</v>
      </c>
      <c r="K3156" s="30" t="s">
        <v>23</v>
      </c>
      <c r="L3156" s="31" t="str">
        <f>IFERROR(__xludf.DUMMYFUNCTION("IF(OR(E3156="""",K3156=""""),"""",IFERROR(IF(K3156="""","""",query('tbl user'!$A$2:$D10975,""SELECT A WHERE D = '""&amp;K3156&amp;""'"")),""USER TIDAK DIKETAHUI""))"),"#REF!")</f>
        <v>#REF!</v>
      </c>
    </row>
    <row r="3157">
      <c r="A3157" s="21">
        <f t="shared" si="1"/>
        <v>0</v>
      </c>
      <c r="B3157" s="32" t="s">
        <v>182</v>
      </c>
      <c r="C3157" s="23" t="s">
        <v>183</v>
      </c>
      <c r="D3157" s="23" t="s">
        <v>58</v>
      </c>
      <c r="E3157" s="37">
        <v>45443.0</v>
      </c>
      <c r="F3157" s="25">
        <v>0.2013888888888889</v>
      </c>
      <c r="G3157" s="25">
        <v>0.6229166666666667</v>
      </c>
      <c r="H3157" s="27">
        <f t="shared" si="2"/>
        <v>0.4215277778</v>
      </c>
      <c r="I3157" s="28">
        <v>3.0</v>
      </c>
      <c r="J3157" s="29" t="s">
        <v>1411</v>
      </c>
      <c r="K3157" s="30" t="s">
        <v>23</v>
      </c>
      <c r="L3157" s="31" t="str">
        <f>IFERROR(__xludf.DUMMYFUNCTION("IF(OR(E3157="""",K3157=""""),"""",IFERROR(IF(K3157="""","""",query('tbl user'!$A$2:$D10975,""SELECT A WHERE D = '""&amp;K3157&amp;""'"")),""USER TIDAK DIKETAHUI""))"),"#REF!")</f>
        <v>#REF!</v>
      </c>
    </row>
    <row r="3158">
      <c r="A3158" s="21">
        <f t="shared" si="1"/>
        <v>0</v>
      </c>
      <c r="B3158" s="32" t="s">
        <v>184</v>
      </c>
      <c r="C3158" s="23" t="s">
        <v>185</v>
      </c>
      <c r="D3158" s="23" t="s">
        <v>58</v>
      </c>
      <c r="E3158" s="37">
        <v>45443.0</v>
      </c>
      <c r="F3158" s="25">
        <v>0.26875</v>
      </c>
      <c r="G3158" s="25">
        <v>0.6506944444444445</v>
      </c>
      <c r="H3158" s="27">
        <f t="shared" si="2"/>
        <v>0.3819444444</v>
      </c>
      <c r="I3158" s="28">
        <v>3.0</v>
      </c>
      <c r="J3158" s="29" t="s">
        <v>894</v>
      </c>
      <c r="K3158" s="30" t="s">
        <v>23</v>
      </c>
      <c r="L3158" s="31" t="str">
        <f>IFERROR(__xludf.DUMMYFUNCTION("IF(OR(E3158="""",K3158=""""),"""",IFERROR(IF(K3158="""","""",query('tbl user'!$A$2:$D10975,""SELECT A WHERE D = '""&amp;K3158&amp;""'"")),""USER TIDAK DIKETAHUI""))"),"#REF!")</f>
        <v>#REF!</v>
      </c>
    </row>
    <row r="3159">
      <c r="A3159" s="21">
        <f t="shared" si="1"/>
        <v>0</v>
      </c>
      <c r="B3159" s="32" t="s">
        <v>189</v>
      </c>
      <c r="C3159" s="23" t="s">
        <v>190</v>
      </c>
      <c r="D3159" s="23" t="s">
        <v>58</v>
      </c>
      <c r="E3159" s="37">
        <v>45443.0</v>
      </c>
      <c r="F3159" s="25">
        <v>0.2604166666666667</v>
      </c>
      <c r="G3159" s="25">
        <v>0.6854166666666667</v>
      </c>
      <c r="H3159" s="27">
        <f t="shared" si="2"/>
        <v>0.425</v>
      </c>
      <c r="I3159" s="28">
        <v>3.0</v>
      </c>
      <c r="J3159" s="29" t="s">
        <v>894</v>
      </c>
      <c r="K3159" s="30" t="s">
        <v>23</v>
      </c>
      <c r="L3159" s="31" t="str">
        <f>IFERROR(__xludf.DUMMYFUNCTION("IF(OR(E3159="""",K3159=""""),"""",IFERROR(IF(K3159="""","""",query('tbl user'!$A$2:$D10975,""SELECT A WHERE D = '""&amp;K3159&amp;""'"")),""USER TIDAK DIKETAHUI""))"),"#REF!")</f>
        <v>#REF!</v>
      </c>
    </row>
    <row r="3160">
      <c r="A3160" s="21">
        <f t="shared" si="1"/>
        <v>0</v>
      </c>
      <c r="B3160" s="32" t="s">
        <v>194</v>
      </c>
      <c r="C3160" s="23" t="s">
        <v>195</v>
      </c>
      <c r="D3160" s="23" t="s">
        <v>58</v>
      </c>
      <c r="E3160" s="37">
        <v>45443.0</v>
      </c>
      <c r="F3160" s="25">
        <v>0.22083333333333333</v>
      </c>
      <c r="G3160" s="25">
        <v>0.7277777777777777</v>
      </c>
      <c r="H3160" s="27">
        <f t="shared" si="2"/>
        <v>0.5069444444</v>
      </c>
      <c r="I3160" s="28">
        <v>3.0</v>
      </c>
      <c r="J3160" s="29" t="s">
        <v>1412</v>
      </c>
      <c r="K3160" s="30" t="s">
        <v>23</v>
      </c>
      <c r="L3160" s="31" t="str">
        <f>IFERROR(__xludf.DUMMYFUNCTION("IF(OR(E3160="""",K3160=""""),"""",IFERROR(IF(K3160="""","""",query('tbl user'!$A$2:$D10975,""SELECT A WHERE D = '""&amp;K3160&amp;""'"")),""USER TIDAK DIKETAHUI""))"),"#REF!")</f>
        <v>#REF!</v>
      </c>
    </row>
    <row r="3161">
      <c r="A3161" s="21">
        <f t="shared" si="1"/>
        <v>0</v>
      </c>
      <c r="B3161" s="32" t="s">
        <v>202</v>
      </c>
      <c r="C3161" s="23" t="s">
        <v>203</v>
      </c>
      <c r="D3161" s="23" t="s">
        <v>58</v>
      </c>
      <c r="E3161" s="37">
        <v>45443.0</v>
      </c>
      <c r="F3161" s="25">
        <v>0.27569444444444446</v>
      </c>
      <c r="G3161" s="25">
        <v>0.6951388888888889</v>
      </c>
      <c r="H3161" s="27">
        <f t="shared" si="2"/>
        <v>0.4194444444</v>
      </c>
      <c r="I3161" s="28">
        <v>3.0</v>
      </c>
      <c r="J3161" s="29" t="s">
        <v>894</v>
      </c>
      <c r="K3161" s="30" t="s">
        <v>23</v>
      </c>
      <c r="L3161" s="31" t="str">
        <f>IFERROR(__xludf.DUMMYFUNCTION("IF(OR(E3161="""",K3161=""""),"""",IFERROR(IF(K3161="""","""",query('tbl user'!$A$2:$D10975,""SELECT A WHERE D = '""&amp;K3161&amp;""'"")),""USER TIDAK DIKETAHUI""))"),"#REF!")</f>
        <v>#REF!</v>
      </c>
    </row>
    <row r="3162">
      <c r="A3162" s="21">
        <f t="shared" si="1"/>
        <v>0</v>
      </c>
      <c r="B3162" s="32" t="s">
        <v>205</v>
      </c>
      <c r="C3162" s="23" t="s">
        <v>206</v>
      </c>
      <c r="D3162" s="23" t="s">
        <v>58</v>
      </c>
      <c r="E3162" s="37">
        <v>45443.0</v>
      </c>
      <c r="F3162" s="25">
        <v>0.23680555555555555</v>
      </c>
      <c r="G3162" s="25">
        <v>0.7222222222222222</v>
      </c>
      <c r="H3162" s="27">
        <f t="shared" si="2"/>
        <v>0.4854166667</v>
      </c>
      <c r="I3162" s="28">
        <v>3.0</v>
      </c>
      <c r="J3162" s="29" t="s">
        <v>894</v>
      </c>
      <c r="K3162" s="30" t="s">
        <v>23</v>
      </c>
      <c r="L3162" s="31" t="str">
        <f>IFERROR(__xludf.DUMMYFUNCTION("IF(OR(E3162="""",K3162=""""),"""",IFERROR(IF(K3162="""","""",query('tbl user'!$A$2:$D10975,""SELECT A WHERE D = '""&amp;K3162&amp;""'"")),""USER TIDAK DIKETAHUI""))"),"#REF!")</f>
        <v>#REF!</v>
      </c>
    </row>
    <row r="3163">
      <c r="A3163" s="21">
        <f t="shared" si="1"/>
        <v>0</v>
      </c>
      <c r="B3163" s="32" t="s">
        <v>187</v>
      </c>
      <c r="C3163" s="23" t="s">
        <v>188</v>
      </c>
      <c r="D3163" s="23" t="s">
        <v>58</v>
      </c>
      <c r="E3163" s="37">
        <v>45443.0</v>
      </c>
      <c r="F3163" s="25">
        <v>0.2375</v>
      </c>
      <c r="G3163" s="25">
        <v>0.7256944444444444</v>
      </c>
      <c r="H3163" s="27">
        <f t="shared" si="2"/>
        <v>0.4881944444</v>
      </c>
      <c r="I3163" s="28">
        <v>4.0</v>
      </c>
      <c r="J3163" s="29" t="s">
        <v>55</v>
      </c>
      <c r="K3163" s="30" t="s">
        <v>23</v>
      </c>
      <c r="L3163" s="31" t="str">
        <f>IFERROR(__xludf.DUMMYFUNCTION("IF(OR(E3163="""",K3163=""""),"""",IFERROR(IF(K3163="""","""",query('tbl user'!$A$2:$D10975,""SELECT A WHERE D = '""&amp;K3163&amp;""'"")),""USER TIDAK DIKETAHUI""))"),"#REF!")</f>
        <v>#REF!</v>
      </c>
    </row>
    <row r="3164">
      <c r="A3164" s="21">
        <f t="shared" si="1"/>
        <v>0</v>
      </c>
      <c r="B3164" s="32" t="s">
        <v>200</v>
      </c>
      <c r="C3164" s="23" t="s">
        <v>201</v>
      </c>
      <c r="D3164" s="23" t="s">
        <v>58</v>
      </c>
      <c r="E3164" s="37">
        <v>45443.0</v>
      </c>
      <c r="F3164" s="25">
        <v>0.20555555555555555</v>
      </c>
      <c r="G3164" s="25">
        <v>0.7</v>
      </c>
      <c r="H3164" s="27">
        <f t="shared" si="2"/>
        <v>0.4944444444</v>
      </c>
      <c r="I3164" s="28">
        <v>4.0</v>
      </c>
      <c r="J3164" s="29" t="s">
        <v>55</v>
      </c>
      <c r="K3164" s="30" t="s">
        <v>23</v>
      </c>
      <c r="L3164" s="31" t="str">
        <f>IFERROR(__xludf.DUMMYFUNCTION("IF(OR(E3164="""",K3164=""""),"""",IFERROR(IF(K3164="""","""",query('tbl user'!$A$2:$D10975,""SELECT A WHERE D = '""&amp;K3164&amp;""'"")),""USER TIDAK DIKETAHUI""))"),"#REF!")</f>
        <v>#REF!</v>
      </c>
    </row>
    <row r="3165">
      <c r="A3165" s="21">
        <f t="shared" si="1"/>
        <v>0</v>
      </c>
      <c r="B3165" s="32" t="s">
        <v>64</v>
      </c>
      <c r="C3165" s="23" t="s">
        <v>65</v>
      </c>
      <c r="D3165" s="23" t="s">
        <v>21</v>
      </c>
      <c r="E3165" s="37">
        <v>45443.0</v>
      </c>
      <c r="F3165" s="25">
        <v>0.45208333333333334</v>
      </c>
      <c r="G3165" s="25">
        <v>0.725</v>
      </c>
      <c r="H3165" s="27">
        <f t="shared" si="2"/>
        <v>0.2729166667</v>
      </c>
      <c r="I3165" s="28">
        <v>1.0</v>
      </c>
      <c r="J3165" s="29" t="s">
        <v>1413</v>
      </c>
      <c r="K3165" s="30" t="s">
        <v>23</v>
      </c>
      <c r="L3165" s="31" t="str">
        <f>IFERROR(__xludf.DUMMYFUNCTION("IF(OR(E3165="""",K3165=""""),"""",IFERROR(IF(K3165="""","""",query('tbl user'!$A$2:$D10975,""SELECT A WHERE D = '""&amp;K3165&amp;""'"")),""USER TIDAK DIKETAHUI""))"),"#REF!")</f>
        <v>#REF!</v>
      </c>
    </row>
    <row r="3166">
      <c r="A3166" s="21">
        <f t="shared" si="1"/>
        <v>0</v>
      </c>
      <c r="B3166" s="32" t="s">
        <v>159</v>
      </c>
      <c r="C3166" s="23" t="s">
        <v>244</v>
      </c>
      <c r="D3166" s="23" t="s">
        <v>21</v>
      </c>
      <c r="E3166" s="37">
        <v>45443.0</v>
      </c>
      <c r="F3166" s="25">
        <v>0.3194444444444444</v>
      </c>
      <c r="G3166" s="25">
        <v>0.44583333333333336</v>
      </c>
      <c r="H3166" s="27">
        <f t="shared" si="2"/>
        <v>0.1263888889</v>
      </c>
      <c r="I3166" s="28">
        <v>1.0</v>
      </c>
      <c r="J3166" s="29" t="s">
        <v>1414</v>
      </c>
      <c r="K3166" s="30" t="s">
        <v>23</v>
      </c>
      <c r="L3166" s="31" t="str">
        <f>IFERROR(__xludf.DUMMYFUNCTION("IF(OR(E3166="""",K3166=""""),"""",IFERROR(IF(K3166="""","""",query('tbl user'!$A$2:$D10975,""SELECT A WHERE D = '""&amp;K3166&amp;""'"")),""USER TIDAK DIKETAHUI""))"),"#REF!")</f>
        <v>#REF!</v>
      </c>
    </row>
    <row r="3167">
      <c r="A3167" s="21">
        <f t="shared" si="1"/>
        <v>0</v>
      </c>
      <c r="B3167" s="32" t="s">
        <v>328</v>
      </c>
      <c r="C3167" s="23" t="s">
        <v>329</v>
      </c>
      <c r="D3167" s="23" t="s">
        <v>21</v>
      </c>
      <c r="E3167" s="37">
        <v>45443.0</v>
      </c>
      <c r="F3167" s="25">
        <v>0.28541666666666665</v>
      </c>
      <c r="G3167" s="25">
        <v>0.4305555555555556</v>
      </c>
      <c r="H3167" s="27">
        <f t="shared" si="2"/>
        <v>0.1451388889</v>
      </c>
      <c r="I3167" s="28">
        <v>1.0</v>
      </c>
      <c r="J3167" s="29" t="s">
        <v>1415</v>
      </c>
      <c r="K3167" s="30" t="s">
        <v>23</v>
      </c>
      <c r="L3167" s="31" t="str">
        <f>IFERROR(__xludf.DUMMYFUNCTION("IF(OR(E3167="""",K3167=""""),"""",IFERROR(IF(K3167="""","""",query('tbl user'!$A$2:$D10975,""SELECT A WHERE D = '""&amp;K3167&amp;""'"")),""USER TIDAK DIKETAHUI""))"),"#REF!")</f>
        <v>#REF!</v>
      </c>
    </row>
    <row r="3168">
      <c r="A3168" s="21">
        <f t="shared" si="1"/>
        <v>0</v>
      </c>
      <c r="B3168" s="32" t="s">
        <v>238</v>
      </c>
      <c r="C3168" s="23" t="s">
        <v>239</v>
      </c>
      <c r="D3168" s="23" t="s">
        <v>21</v>
      </c>
      <c r="E3168" s="37">
        <v>45443.0</v>
      </c>
      <c r="F3168" s="25">
        <v>0.28958333333333336</v>
      </c>
      <c r="G3168" s="25">
        <v>0.7354166666666667</v>
      </c>
      <c r="H3168" s="27">
        <f t="shared" si="2"/>
        <v>0.4458333333</v>
      </c>
      <c r="I3168" s="28">
        <v>2.0</v>
      </c>
      <c r="J3168" s="29" t="s">
        <v>1416</v>
      </c>
      <c r="K3168" s="30" t="s">
        <v>23</v>
      </c>
      <c r="L3168" s="31" t="str">
        <f>IFERROR(__xludf.DUMMYFUNCTION("IF(OR(E3168="""",K3168=""""),"""",IFERROR(IF(K3168="""","""",query('tbl user'!$A$2:$D10975,""SELECT A WHERE D = '""&amp;K3168&amp;""'"")),""USER TIDAK DIKETAHUI""))"),"#REF!")</f>
        <v>#REF!</v>
      </c>
    </row>
    <row r="3169">
      <c r="A3169" s="21">
        <f t="shared" si="1"/>
        <v>0</v>
      </c>
      <c r="B3169" s="32" t="s">
        <v>255</v>
      </c>
      <c r="C3169" s="23" t="s">
        <v>282</v>
      </c>
      <c r="D3169" s="23" t="s">
        <v>21</v>
      </c>
      <c r="E3169" s="37">
        <v>45443.0</v>
      </c>
      <c r="F3169" s="25">
        <v>0.3013888888888889</v>
      </c>
      <c r="G3169" s="25">
        <v>0.45902777777777776</v>
      </c>
      <c r="H3169" s="27">
        <f t="shared" si="2"/>
        <v>0.1576388889</v>
      </c>
      <c r="I3169" s="28">
        <v>2.0</v>
      </c>
      <c r="J3169" s="29" t="s">
        <v>1417</v>
      </c>
      <c r="K3169" s="30" t="s">
        <v>23</v>
      </c>
      <c r="L3169" s="31" t="str">
        <f>IFERROR(__xludf.DUMMYFUNCTION("IF(OR(E3169="""",K3169=""""),"""",IFERROR(IF(K3169="""","""",query('tbl user'!$A$2:$D10975,""SELECT A WHERE D = '""&amp;K3169&amp;""'"")),""USER TIDAK DIKETAHUI""))"),"#REF!")</f>
        <v>#REF!</v>
      </c>
    </row>
    <row r="3170">
      <c r="A3170" s="21">
        <f t="shared" si="1"/>
        <v>0</v>
      </c>
      <c r="B3170" s="32" t="s">
        <v>662</v>
      </c>
      <c r="C3170" s="23" t="s">
        <v>234</v>
      </c>
      <c r="D3170" s="23" t="s">
        <v>21</v>
      </c>
      <c r="E3170" s="37">
        <v>45443.0</v>
      </c>
      <c r="F3170" s="25">
        <v>0.26180555555555557</v>
      </c>
      <c r="G3170" s="25">
        <v>0.7388888888888889</v>
      </c>
      <c r="H3170" s="27">
        <f t="shared" si="2"/>
        <v>0.4770833333</v>
      </c>
      <c r="I3170" s="28">
        <v>2.0</v>
      </c>
      <c r="J3170" s="29" t="s">
        <v>1418</v>
      </c>
      <c r="K3170" s="30" t="s">
        <v>23</v>
      </c>
      <c r="L3170" s="31" t="str">
        <f>IFERROR(__xludf.DUMMYFUNCTION("IF(OR(E3170="""",K3170=""""),"""",IFERROR(IF(K3170="""","""",query('tbl user'!$A$2:$D10975,""SELECT A WHERE D = '""&amp;K3170&amp;""'"")),""USER TIDAK DIKETAHUI""))"),"#REF!")</f>
        <v>#REF!</v>
      </c>
    </row>
    <row r="3171">
      <c r="A3171" s="21">
        <f t="shared" si="1"/>
        <v>0</v>
      </c>
      <c r="B3171" s="32" t="s">
        <v>286</v>
      </c>
      <c r="C3171" s="23" t="s">
        <v>287</v>
      </c>
      <c r="D3171" s="23" t="s">
        <v>21</v>
      </c>
      <c r="E3171" s="37">
        <v>45443.0</v>
      </c>
      <c r="F3171" s="25">
        <v>0.3145833333333333</v>
      </c>
      <c r="G3171" s="25">
        <v>0.7006944444444444</v>
      </c>
      <c r="H3171" s="27">
        <f t="shared" si="2"/>
        <v>0.3861111111</v>
      </c>
      <c r="I3171" s="28">
        <v>2.0</v>
      </c>
      <c r="J3171" s="29" t="s">
        <v>1419</v>
      </c>
      <c r="K3171" s="30" t="s">
        <v>23</v>
      </c>
      <c r="L3171" s="31" t="str">
        <f>IFERROR(__xludf.DUMMYFUNCTION("IF(OR(E3171="""",K3171=""""),"""",IFERROR(IF(K3171="""","""",query('tbl user'!$A$2:$D10975,""SELECT A WHERE D = '""&amp;K3171&amp;""'"")),""USER TIDAK DIKETAHUI""))"),"#REF!")</f>
        <v>#REF!</v>
      </c>
    </row>
    <row r="3172">
      <c r="A3172" s="21">
        <f t="shared" si="1"/>
        <v>0</v>
      </c>
      <c r="B3172" s="32" t="s">
        <v>225</v>
      </c>
      <c r="C3172" s="23" t="s">
        <v>339</v>
      </c>
      <c r="D3172" s="23" t="s">
        <v>21</v>
      </c>
      <c r="E3172" s="37">
        <v>45443.0</v>
      </c>
      <c r="F3172" s="25">
        <v>0.3020833333333333</v>
      </c>
      <c r="G3172" s="25">
        <v>0.4722222222222222</v>
      </c>
      <c r="H3172" s="27">
        <f t="shared" si="2"/>
        <v>0.1701388889</v>
      </c>
      <c r="I3172" s="28">
        <v>2.0</v>
      </c>
      <c r="J3172" s="29" t="s">
        <v>1419</v>
      </c>
      <c r="K3172" s="30" t="s">
        <v>23</v>
      </c>
      <c r="L3172" s="31" t="str">
        <f>IFERROR(__xludf.DUMMYFUNCTION("IF(OR(E3172="""",K3172=""""),"""",IFERROR(IF(K3172="""","""",query('tbl user'!$A$2:$D10975,""SELECT A WHERE D = '""&amp;K3172&amp;""'"")),""USER TIDAK DIKETAHUI""))"),"#REF!")</f>
        <v>#REF!</v>
      </c>
    </row>
    <row r="3173">
      <c r="A3173" s="21">
        <f t="shared" si="1"/>
        <v>0</v>
      </c>
      <c r="B3173" s="32" t="s">
        <v>331</v>
      </c>
      <c r="C3173" s="23" t="s">
        <v>332</v>
      </c>
      <c r="D3173" s="23" t="s">
        <v>21</v>
      </c>
      <c r="E3173" s="37">
        <v>45443.0</v>
      </c>
      <c r="F3173" s="25">
        <v>0.3159722222222222</v>
      </c>
      <c r="G3173" s="25">
        <v>0.5541666666666667</v>
      </c>
      <c r="H3173" s="27">
        <f t="shared" si="2"/>
        <v>0.2381944444</v>
      </c>
      <c r="I3173" s="28">
        <v>2.0</v>
      </c>
      <c r="J3173" s="29" t="s">
        <v>1333</v>
      </c>
      <c r="K3173" s="30" t="s">
        <v>23</v>
      </c>
      <c r="L3173" s="31" t="str">
        <f>IFERROR(__xludf.DUMMYFUNCTION("IF(OR(E3173="""",K3173=""""),"""",IFERROR(IF(K3173="""","""",query('tbl user'!$A$2:$D10975,""SELECT A WHERE D = '""&amp;K3173&amp;""'"")),""USER TIDAK DIKETAHUI""))"),"#REF!")</f>
        <v>#REF!</v>
      </c>
    </row>
    <row r="3174">
      <c r="A3174" s="21">
        <f t="shared" si="1"/>
        <v>0</v>
      </c>
      <c r="B3174" s="32" t="s">
        <v>219</v>
      </c>
      <c r="C3174" s="23" t="s">
        <v>340</v>
      </c>
      <c r="D3174" s="23" t="s">
        <v>21</v>
      </c>
      <c r="E3174" s="37">
        <v>45443.0</v>
      </c>
      <c r="F3174" s="25">
        <v>0.25972222222222224</v>
      </c>
      <c r="G3174" s="25">
        <v>0.6388888888888888</v>
      </c>
      <c r="H3174" s="27">
        <f t="shared" si="2"/>
        <v>0.3791666667</v>
      </c>
      <c r="I3174" s="28">
        <v>2.0</v>
      </c>
      <c r="J3174" s="29" t="s">
        <v>1419</v>
      </c>
      <c r="K3174" s="30" t="s">
        <v>23</v>
      </c>
      <c r="L3174" s="31" t="str">
        <f>IFERROR(__xludf.DUMMYFUNCTION("IF(OR(E3174="""",K3174=""""),"""",IFERROR(IF(K3174="""","""",query('tbl user'!$A$2:$D10975,""SELECT A WHERE D = '""&amp;K3174&amp;""'"")),""USER TIDAK DIKETAHUI""))"),"#REF!")</f>
        <v>#REF!</v>
      </c>
    </row>
    <row r="3175">
      <c r="A3175" s="21">
        <f t="shared" si="1"/>
        <v>0</v>
      </c>
      <c r="B3175" s="32" t="s">
        <v>87</v>
      </c>
      <c r="C3175" s="23" t="s">
        <v>88</v>
      </c>
      <c r="D3175" s="23" t="s">
        <v>21</v>
      </c>
      <c r="E3175" s="37">
        <v>45443.0</v>
      </c>
      <c r="F3175" s="25">
        <v>0.28055555555555556</v>
      </c>
      <c r="G3175" s="25">
        <v>0.45</v>
      </c>
      <c r="H3175" s="27">
        <f t="shared" si="2"/>
        <v>0.1694444444</v>
      </c>
      <c r="I3175" s="28">
        <v>2.0</v>
      </c>
      <c r="J3175" s="29" t="s">
        <v>1420</v>
      </c>
      <c r="K3175" s="30" t="s">
        <v>23</v>
      </c>
      <c r="L3175" s="31" t="str">
        <f>IFERROR(__xludf.DUMMYFUNCTION("IF(OR(E3175="""",K3175=""""),"""",IFERROR(IF(K3175="""","""",query('tbl user'!$A$2:$D10975,""SELECT A WHERE D = '""&amp;K3175&amp;""'"")),""USER TIDAK DIKETAHUI""))"),"#REF!")</f>
        <v>#REF!</v>
      </c>
    </row>
    <row r="3176">
      <c r="A3176" s="21">
        <f t="shared" si="1"/>
        <v>0</v>
      </c>
      <c r="B3176" s="32" t="s">
        <v>325</v>
      </c>
      <c r="C3176" s="23" t="s">
        <v>326</v>
      </c>
      <c r="D3176" s="23" t="s">
        <v>21</v>
      </c>
      <c r="E3176" s="37">
        <v>45443.0</v>
      </c>
      <c r="F3176" s="25">
        <v>0.2673611111111111</v>
      </c>
      <c r="G3176" s="25">
        <v>0.4409722222222222</v>
      </c>
      <c r="H3176" s="27">
        <f t="shared" si="2"/>
        <v>0.1736111111</v>
      </c>
      <c r="I3176" s="28">
        <v>2.0</v>
      </c>
      <c r="J3176" s="29" t="s">
        <v>1421</v>
      </c>
      <c r="K3176" s="30" t="s">
        <v>23</v>
      </c>
      <c r="L3176" s="31" t="str">
        <f>IFERROR(__xludf.DUMMYFUNCTION("IF(OR(E3176="""",K3176=""""),"""",IFERROR(IF(K3176="""","""",query('tbl user'!$A$2:$D10975,""SELECT A WHERE D = '""&amp;K3176&amp;""'"")),""USER TIDAK DIKETAHUI""))"),"#REF!")</f>
        <v>#REF!</v>
      </c>
    </row>
    <row r="3177">
      <c r="A3177" s="21">
        <f t="shared" si="1"/>
        <v>0</v>
      </c>
      <c r="B3177" s="32" t="s">
        <v>577</v>
      </c>
      <c r="C3177" s="23" t="s">
        <v>330</v>
      </c>
      <c r="D3177" s="23" t="s">
        <v>21</v>
      </c>
      <c r="E3177" s="37">
        <v>45443.0</v>
      </c>
      <c r="F3177" s="25">
        <v>0.26458333333333334</v>
      </c>
      <c r="G3177" s="25">
        <v>0.5423611111111111</v>
      </c>
      <c r="H3177" s="27">
        <f t="shared" si="2"/>
        <v>0.2777777778</v>
      </c>
      <c r="I3177" s="28">
        <v>2.0</v>
      </c>
      <c r="J3177" s="29" t="s">
        <v>1422</v>
      </c>
      <c r="K3177" s="30" t="s">
        <v>23</v>
      </c>
      <c r="L3177" s="31" t="str">
        <f>IFERROR(__xludf.DUMMYFUNCTION("IF(OR(E3177="""",K3177=""""),"""",IFERROR(IF(K3177="""","""",query('tbl user'!$A$2:$D10975,""SELECT A WHERE D = '""&amp;K3177&amp;""'"")),""USER TIDAK DIKETAHUI""))"),"#REF!")</f>
        <v>#REF!</v>
      </c>
    </row>
    <row r="3178">
      <c r="A3178" s="21">
        <f t="shared" si="1"/>
        <v>0</v>
      </c>
      <c r="B3178" s="32" t="s">
        <v>601</v>
      </c>
      <c r="C3178" s="23" t="s">
        <v>323</v>
      </c>
      <c r="D3178" s="23" t="s">
        <v>21</v>
      </c>
      <c r="E3178" s="37">
        <v>45443.0</v>
      </c>
      <c r="F3178" s="25">
        <v>0.3527777777777778</v>
      </c>
      <c r="G3178" s="25">
        <v>0.6888888888888889</v>
      </c>
      <c r="H3178" s="27">
        <f t="shared" si="2"/>
        <v>0.3361111111</v>
      </c>
      <c r="I3178" s="28">
        <v>2.0</v>
      </c>
      <c r="J3178" s="29" t="s">
        <v>1419</v>
      </c>
      <c r="K3178" s="30" t="s">
        <v>23</v>
      </c>
      <c r="L3178" s="31" t="str">
        <f>IFERROR(__xludf.DUMMYFUNCTION("IF(OR(E3178="""",K3178=""""),"""",IFERROR(IF(K3178="""","""",query('tbl user'!$A$2:$D10975,""SELECT A WHERE D = '""&amp;K3178&amp;""'"")),""USER TIDAK DIKETAHUI""))"),"#REF!")</f>
        <v>#REF!</v>
      </c>
    </row>
    <row r="3179">
      <c r="A3179" s="21">
        <f t="shared" si="1"/>
        <v>0</v>
      </c>
      <c r="B3179" s="32" t="s">
        <v>34</v>
      </c>
      <c r="C3179" s="23" t="s">
        <v>35</v>
      </c>
      <c r="D3179" s="23" t="s">
        <v>21</v>
      </c>
      <c r="E3179" s="37">
        <v>45443.0</v>
      </c>
      <c r="F3179" s="25">
        <v>0.31319444444444444</v>
      </c>
      <c r="G3179" s="25">
        <v>0.6895833333333333</v>
      </c>
      <c r="H3179" s="27">
        <f t="shared" si="2"/>
        <v>0.3763888889</v>
      </c>
      <c r="I3179" s="28">
        <v>3.0</v>
      </c>
      <c r="J3179" s="29" t="s">
        <v>1423</v>
      </c>
      <c r="K3179" s="30" t="s">
        <v>23</v>
      </c>
      <c r="L3179" s="31" t="str">
        <f>IFERROR(__xludf.DUMMYFUNCTION("IF(OR(E3179="""",K3179=""""),"""",IFERROR(IF(K3179="""","""",query('tbl user'!$A$2:$D10975,""SELECT A WHERE D = '""&amp;K3179&amp;""'"")),""USER TIDAK DIKETAHUI""))"),"#REF!")</f>
        <v>#REF!</v>
      </c>
    </row>
    <row r="3180">
      <c r="A3180" s="21">
        <f t="shared" si="1"/>
        <v>0</v>
      </c>
      <c r="B3180" s="32" t="s">
        <v>98</v>
      </c>
      <c r="C3180" s="23" t="s">
        <v>99</v>
      </c>
      <c r="D3180" s="23" t="s">
        <v>21</v>
      </c>
      <c r="E3180" s="37">
        <v>45443.0</v>
      </c>
      <c r="F3180" s="25">
        <v>0.3013888888888889</v>
      </c>
      <c r="G3180" s="25">
        <v>0.68125</v>
      </c>
      <c r="H3180" s="27">
        <f t="shared" si="2"/>
        <v>0.3798611111</v>
      </c>
      <c r="I3180" s="28">
        <v>3.0</v>
      </c>
      <c r="J3180" s="29" t="s">
        <v>1424</v>
      </c>
      <c r="K3180" s="30" t="s">
        <v>23</v>
      </c>
      <c r="L3180" s="31" t="str">
        <f>IFERROR(__xludf.DUMMYFUNCTION("IF(OR(E3180="""",K3180=""""),"""",IFERROR(IF(K3180="""","""",query('tbl user'!$A$2:$D10975,""SELECT A WHERE D = '""&amp;K3180&amp;""'"")),""USER TIDAK DIKETAHUI""))"),"#REF!")</f>
        <v>#REF!</v>
      </c>
    </row>
    <row r="3181">
      <c r="A3181" s="21">
        <f t="shared" si="1"/>
        <v>0</v>
      </c>
      <c r="B3181" s="32" t="s">
        <v>284</v>
      </c>
      <c r="C3181" s="23" t="s">
        <v>285</v>
      </c>
      <c r="D3181" s="23" t="s">
        <v>21</v>
      </c>
      <c r="E3181" s="37">
        <v>45443.0</v>
      </c>
      <c r="F3181" s="25">
        <v>0.29930555555555555</v>
      </c>
      <c r="G3181" s="25">
        <v>0.6645833333333333</v>
      </c>
      <c r="H3181" s="27">
        <f t="shared" si="2"/>
        <v>0.3652777778</v>
      </c>
      <c r="I3181" s="28">
        <v>3.0</v>
      </c>
      <c r="J3181" s="29" t="s">
        <v>1419</v>
      </c>
      <c r="K3181" s="30" t="s">
        <v>23</v>
      </c>
      <c r="L3181" s="31" t="str">
        <f>IFERROR(__xludf.DUMMYFUNCTION("IF(OR(E3181="""",K3181=""""),"""",IFERROR(IF(K3181="""","""",query('tbl user'!$A$2:$D10975,""SELECT A WHERE D = '""&amp;K3181&amp;""'"")),""USER TIDAK DIKETAHUI""))"),"#REF!")</f>
        <v>#REF!</v>
      </c>
    </row>
    <row r="3182">
      <c r="A3182" s="21">
        <f t="shared" si="1"/>
        <v>0</v>
      </c>
      <c r="B3182" s="32" t="s">
        <v>24</v>
      </c>
      <c r="C3182" s="23" t="s">
        <v>25</v>
      </c>
      <c r="D3182" s="23" t="s">
        <v>21</v>
      </c>
      <c r="E3182" s="37">
        <v>45443.0</v>
      </c>
      <c r="F3182" s="25">
        <v>0.2861111111111111</v>
      </c>
      <c r="G3182" s="25">
        <v>0.6368055555555555</v>
      </c>
      <c r="H3182" s="27">
        <f t="shared" si="2"/>
        <v>0.3506944444</v>
      </c>
      <c r="I3182" s="28">
        <v>3.0</v>
      </c>
      <c r="J3182" s="29" t="s">
        <v>1425</v>
      </c>
      <c r="K3182" s="30" t="s">
        <v>23</v>
      </c>
      <c r="L3182" s="31" t="str">
        <f>IFERROR(__xludf.DUMMYFUNCTION("IF(OR(E3182="""",K3182=""""),"""",IFERROR(IF(K3182="""","""",query('tbl user'!$A$2:$D10975,""SELECT A WHERE D = '""&amp;K3182&amp;""'"")),""USER TIDAK DIKETAHUI""))"),"#REF!")</f>
        <v>#REF!</v>
      </c>
    </row>
    <row r="3183">
      <c r="A3183" s="21">
        <f t="shared" si="1"/>
        <v>0</v>
      </c>
      <c r="B3183" s="32" t="s">
        <v>593</v>
      </c>
      <c r="C3183" s="23" t="s">
        <v>236</v>
      </c>
      <c r="D3183" s="23" t="s">
        <v>21</v>
      </c>
      <c r="E3183" s="37">
        <v>45443.0</v>
      </c>
      <c r="F3183" s="25">
        <v>0.30277777777777776</v>
      </c>
      <c r="G3183" s="25">
        <v>0.6888888888888889</v>
      </c>
      <c r="H3183" s="27">
        <f t="shared" si="2"/>
        <v>0.3861111111</v>
      </c>
      <c r="I3183" s="28">
        <v>3.0</v>
      </c>
      <c r="J3183" s="29" t="s">
        <v>1426</v>
      </c>
      <c r="K3183" s="30" t="s">
        <v>23</v>
      </c>
      <c r="L3183" s="31" t="str">
        <f>IFERROR(__xludf.DUMMYFUNCTION("IF(OR(E3183="""",K3183=""""),"""",IFERROR(IF(K3183="""","""",query('tbl user'!$A$2:$D10975,""SELECT A WHERE D = '""&amp;K3183&amp;""'"")),""USER TIDAK DIKETAHUI""))"),"#REF!")</f>
        <v>#REF!</v>
      </c>
    </row>
    <row r="3184">
      <c r="A3184" s="21">
        <f t="shared" si="1"/>
        <v>0</v>
      </c>
      <c r="B3184" s="32" t="s">
        <v>172</v>
      </c>
      <c r="C3184" s="23" t="s">
        <v>259</v>
      </c>
      <c r="D3184" s="23" t="s">
        <v>21</v>
      </c>
      <c r="E3184" s="37">
        <v>45443.0</v>
      </c>
      <c r="F3184" s="25">
        <v>0.3194444444444444</v>
      </c>
      <c r="G3184" s="25">
        <v>0.4375</v>
      </c>
      <c r="H3184" s="27">
        <f t="shared" si="2"/>
        <v>0.1180555556</v>
      </c>
      <c r="I3184" s="28">
        <v>3.0</v>
      </c>
      <c r="J3184" s="29" t="s">
        <v>1419</v>
      </c>
      <c r="K3184" s="30" t="s">
        <v>23</v>
      </c>
      <c r="L3184" s="31" t="str">
        <f>IFERROR(__xludf.DUMMYFUNCTION("IF(OR(E3184="""",K3184=""""),"""",IFERROR(IF(K3184="""","""",query('tbl user'!$A$2:$D10975,""SELECT A WHERE D = '""&amp;K3184&amp;""'"")),""USER TIDAK DIKETAHUI""))"),"#REF!")</f>
        <v>#REF!</v>
      </c>
    </row>
    <row r="3185">
      <c r="A3185" s="21">
        <f t="shared" si="1"/>
        <v>0</v>
      </c>
      <c r="B3185" s="32" t="s">
        <v>335</v>
      </c>
      <c r="C3185" s="23" t="s">
        <v>336</v>
      </c>
      <c r="D3185" s="23" t="s">
        <v>21</v>
      </c>
      <c r="E3185" s="37">
        <v>45443.0</v>
      </c>
      <c r="F3185" s="25">
        <v>0.2902777777777778</v>
      </c>
      <c r="G3185" s="25">
        <v>0.6881944444444444</v>
      </c>
      <c r="H3185" s="27">
        <f t="shared" si="2"/>
        <v>0.3979166667</v>
      </c>
      <c r="I3185" s="28">
        <v>3.0</v>
      </c>
      <c r="J3185" s="29" t="s">
        <v>1427</v>
      </c>
      <c r="K3185" s="30" t="s">
        <v>23</v>
      </c>
      <c r="L3185" s="31" t="str">
        <f>IFERROR(__xludf.DUMMYFUNCTION("IF(OR(E3185="""",K3185=""""),"""",IFERROR(IF(K3185="""","""",query('tbl user'!$A$2:$D10975,""SELECT A WHERE D = '""&amp;K3185&amp;""'"")),""USER TIDAK DIKETAHUI""))"),"#REF!")</f>
        <v>#REF!</v>
      </c>
    </row>
    <row r="3186">
      <c r="A3186" s="21">
        <f t="shared" si="1"/>
        <v>0</v>
      </c>
      <c r="B3186" s="32" t="s">
        <v>37</v>
      </c>
      <c r="C3186" s="23" t="s">
        <v>38</v>
      </c>
      <c r="D3186" s="23" t="s">
        <v>21</v>
      </c>
      <c r="E3186" s="37">
        <v>45443.0</v>
      </c>
      <c r="F3186" s="25">
        <v>0.27847222222222223</v>
      </c>
      <c r="G3186" s="25">
        <v>0.7020833333333333</v>
      </c>
      <c r="H3186" s="27">
        <f t="shared" si="2"/>
        <v>0.4236111111</v>
      </c>
      <c r="I3186" s="28">
        <v>4.0</v>
      </c>
      <c r="J3186" s="29" t="s">
        <v>295</v>
      </c>
      <c r="K3186" s="30" t="s">
        <v>23</v>
      </c>
      <c r="L3186" s="31" t="str">
        <f>IFERROR(__xludf.DUMMYFUNCTION("IF(OR(E3186="""",K3186=""""),"""",IFERROR(IF(K3186="""","""",query('tbl user'!$A$2:$D10975,""SELECT A WHERE D = '""&amp;K3186&amp;""'"")),""USER TIDAK DIKETAHUI""))"),"#REF!")</f>
        <v>#REF!</v>
      </c>
    </row>
    <row r="3187">
      <c r="A3187" s="21">
        <f t="shared" si="1"/>
        <v>0</v>
      </c>
      <c r="B3187" s="32" t="s">
        <v>305</v>
      </c>
      <c r="C3187" s="23" t="s">
        <v>251</v>
      </c>
      <c r="D3187" s="23" t="s">
        <v>21</v>
      </c>
      <c r="E3187" s="37">
        <v>45443.0</v>
      </c>
      <c r="F3187" s="25">
        <v>0.30833333333333335</v>
      </c>
      <c r="G3187" s="25">
        <v>0.7229166666666667</v>
      </c>
      <c r="H3187" s="27">
        <f t="shared" si="2"/>
        <v>0.4145833333</v>
      </c>
      <c r="I3187" s="28">
        <v>4.0</v>
      </c>
      <c r="J3187" s="29" t="s">
        <v>1419</v>
      </c>
      <c r="K3187" s="30" t="s">
        <v>23</v>
      </c>
      <c r="L3187" s="31" t="str">
        <f>IFERROR(__xludf.DUMMYFUNCTION("IF(OR(E3187="""",K3187=""""),"""",IFERROR(IF(K3187="""","""",query('tbl user'!$A$2:$D10975,""SELECT A WHERE D = '""&amp;K3187&amp;""'"")),""USER TIDAK DIKETAHUI""))"),"#REF!")</f>
        <v>#REF!</v>
      </c>
    </row>
    <row r="3188">
      <c r="A3188" s="21">
        <f t="shared" si="1"/>
        <v>0</v>
      </c>
      <c r="B3188" s="32" t="s">
        <v>101</v>
      </c>
      <c r="C3188" s="23" t="s">
        <v>102</v>
      </c>
      <c r="D3188" s="23" t="s">
        <v>21</v>
      </c>
      <c r="E3188" s="37">
        <v>45443.0</v>
      </c>
      <c r="F3188" s="25">
        <v>0.30833333333333335</v>
      </c>
      <c r="G3188" s="25">
        <v>0.7388888888888889</v>
      </c>
      <c r="H3188" s="27">
        <f t="shared" si="2"/>
        <v>0.4305555556</v>
      </c>
      <c r="I3188" s="28">
        <v>4.0</v>
      </c>
      <c r="J3188" s="29" t="s">
        <v>1428</v>
      </c>
      <c r="K3188" s="30" t="s">
        <v>23</v>
      </c>
      <c r="L3188" s="31" t="str">
        <f>IFERROR(__xludf.DUMMYFUNCTION("IF(OR(E3188="""",K3188=""""),"""",IFERROR(IF(K3188="""","""",query('tbl user'!$A$2:$D10975,""SELECT A WHERE D = '""&amp;K3188&amp;""'"")),""USER TIDAK DIKETAHUI""))"),"#REF!")</f>
        <v>#REF!</v>
      </c>
    </row>
    <row r="3189">
      <c r="A3189" s="21">
        <f t="shared" si="1"/>
        <v>0</v>
      </c>
      <c r="B3189" s="32" t="s">
        <v>333</v>
      </c>
      <c r="C3189" s="23" t="s">
        <v>334</v>
      </c>
      <c r="D3189" s="23" t="s">
        <v>21</v>
      </c>
      <c r="E3189" s="37">
        <v>45443.0</v>
      </c>
      <c r="F3189" s="25">
        <v>0.25069444444444444</v>
      </c>
      <c r="G3189" s="25">
        <v>0.7472222222222222</v>
      </c>
      <c r="H3189" s="27">
        <f t="shared" si="2"/>
        <v>0.4965277778</v>
      </c>
      <c r="I3189" s="28">
        <v>4.0</v>
      </c>
      <c r="J3189" s="29" t="s">
        <v>177</v>
      </c>
      <c r="K3189" s="30" t="s">
        <v>23</v>
      </c>
      <c r="L3189" s="31" t="str">
        <f>IFERROR(__xludf.DUMMYFUNCTION("IF(OR(E3189="""",K3189=""""),"""",IFERROR(IF(K3189="""","""",query('tbl user'!$A$2:$D10975,""SELECT A WHERE D = '""&amp;K3189&amp;""'"")),""USER TIDAK DIKETAHUI""))"),"#REF!")</f>
        <v>#REF!</v>
      </c>
    </row>
    <row r="3190">
      <c r="A3190" s="21">
        <f t="shared" si="1"/>
        <v>0</v>
      </c>
      <c r="B3190" s="32" t="s">
        <v>319</v>
      </c>
      <c r="C3190" s="23" t="s">
        <v>320</v>
      </c>
      <c r="D3190" s="23" t="s">
        <v>21</v>
      </c>
      <c r="E3190" s="37">
        <v>45443.0</v>
      </c>
      <c r="F3190" s="25">
        <v>0.2861111111111111</v>
      </c>
      <c r="G3190" s="25">
        <v>0.6909722222222222</v>
      </c>
      <c r="H3190" s="27">
        <f t="shared" si="2"/>
        <v>0.4048611111</v>
      </c>
      <c r="I3190" s="28">
        <v>4.0</v>
      </c>
      <c r="J3190" s="29" t="s">
        <v>1419</v>
      </c>
      <c r="K3190" s="30" t="s">
        <v>23</v>
      </c>
      <c r="L3190" s="31" t="str">
        <f>IFERROR(__xludf.DUMMYFUNCTION("IF(OR(E3190="""",K3190=""""),"""",IFERROR(IF(K3190="""","""",query('tbl user'!$A$2:$D10975,""SELECT A WHERE D = '""&amp;K3190&amp;""'"")),""USER TIDAK DIKETAHUI""))"),"#REF!")</f>
        <v>#REF!</v>
      </c>
    </row>
    <row r="3191">
      <c r="A3191" s="21">
        <f t="shared" si="1"/>
        <v>0</v>
      </c>
      <c r="B3191" s="32" t="s">
        <v>260</v>
      </c>
      <c r="C3191" s="23" t="s">
        <v>261</v>
      </c>
      <c r="D3191" s="23" t="s">
        <v>21</v>
      </c>
      <c r="E3191" s="37">
        <v>45443.0</v>
      </c>
      <c r="F3191" s="25">
        <v>0.2791666666666667</v>
      </c>
      <c r="G3191" s="25">
        <v>0.7277777777777777</v>
      </c>
      <c r="H3191" s="27">
        <f t="shared" si="2"/>
        <v>0.4486111111</v>
      </c>
      <c r="I3191" s="28">
        <v>4.0</v>
      </c>
      <c r="J3191" s="29" t="s">
        <v>1419</v>
      </c>
      <c r="K3191" s="30" t="s">
        <v>23</v>
      </c>
      <c r="L3191" s="31" t="str">
        <f>IFERROR(__xludf.DUMMYFUNCTION("IF(OR(E3191="""",K3191=""""),"""",IFERROR(IF(K3191="""","""",query('tbl user'!$A$2:$D10975,""SELECT A WHERE D = '""&amp;K3191&amp;""'"")),""USER TIDAK DIKETAHUI""))"),"#REF!")</f>
        <v>#REF!</v>
      </c>
    </row>
    <row r="3192">
      <c r="A3192" s="21">
        <f t="shared" si="1"/>
        <v>0</v>
      </c>
      <c r="B3192" s="32" t="s">
        <v>231</v>
      </c>
      <c r="C3192" s="23" t="s">
        <v>232</v>
      </c>
      <c r="D3192" s="23" t="s">
        <v>21</v>
      </c>
      <c r="E3192" s="37">
        <v>45443.0</v>
      </c>
      <c r="F3192" s="25">
        <v>0.2534722222222222</v>
      </c>
      <c r="G3192" s="25">
        <v>0.7430555555555556</v>
      </c>
      <c r="H3192" s="27">
        <f t="shared" si="2"/>
        <v>0.4895833333</v>
      </c>
      <c r="I3192" s="28">
        <v>5.0</v>
      </c>
      <c r="J3192" s="29" t="s">
        <v>55</v>
      </c>
      <c r="K3192" s="30" t="s">
        <v>23</v>
      </c>
      <c r="L3192" s="31" t="str">
        <f>IFERROR(__xludf.DUMMYFUNCTION("IF(OR(E3192="""",K3192=""""),"""",IFERROR(IF(K3192="""","""",query('tbl user'!$A$2:$D10975,""SELECT A WHERE D = '""&amp;K3192&amp;""'"")),""USER TIDAK DIKETAHUI""))"),"#REF!")</f>
        <v>#REF!</v>
      </c>
    </row>
    <row r="3193">
      <c r="A3193" s="21">
        <f t="shared" si="1"/>
        <v>0</v>
      </c>
      <c r="B3193" s="32" t="s">
        <v>716</v>
      </c>
      <c r="C3193" s="23" t="s">
        <v>316</v>
      </c>
      <c r="D3193" s="23" t="s">
        <v>21</v>
      </c>
      <c r="E3193" s="37">
        <v>45443.0</v>
      </c>
      <c r="F3193" s="25">
        <v>0.25833333333333336</v>
      </c>
      <c r="G3193" s="25">
        <v>0.7326388888888888</v>
      </c>
      <c r="H3193" s="27">
        <f t="shared" si="2"/>
        <v>0.4743055556</v>
      </c>
      <c r="I3193" s="28">
        <v>5.0</v>
      </c>
      <c r="J3193" s="29" t="s">
        <v>55</v>
      </c>
      <c r="K3193" s="30" t="s">
        <v>23</v>
      </c>
      <c r="L3193" s="31" t="str">
        <f>IFERROR(__xludf.DUMMYFUNCTION("IF(OR(E3193="""",K3193=""""),"""",IFERROR(IF(K3193="""","""",query('tbl user'!$A$2:$D10975,""SELECT A WHERE D = '""&amp;K3193&amp;""'"")),""USER TIDAK DIKETAHUI""))"),"#REF!")</f>
        <v>#REF!</v>
      </c>
    </row>
    <row r="3194">
      <c r="A3194" s="21">
        <f t="shared" si="1"/>
        <v>0</v>
      </c>
      <c r="B3194" s="32" t="s">
        <v>53</v>
      </c>
      <c r="C3194" s="23" t="s">
        <v>54</v>
      </c>
      <c r="D3194" s="23" t="s">
        <v>21</v>
      </c>
      <c r="E3194" s="37">
        <v>45443.0</v>
      </c>
      <c r="F3194" s="25">
        <v>0.24375</v>
      </c>
      <c r="G3194" s="25">
        <v>0.7395833333333334</v>
      </c>
      <c r="H3194" s="27">
        <f t="shared" si="2"/>
        <v>0.4958333333</v>
      </c>
      <c r="I3194" s="28">
        <v>5.0</v>
      </c>
      <c r="J3194" s="29" t="s">
        <v>55</v>
      </c>
      <c r="K3194" s="30" t="s">
        <v>23</v>
      </c>
      <c r="L3194" s="31" t="str">
        <f>IFERROR(__xludf.DUMMYFUNCTION("IF(OR(E3194="""",K3194=""""),"""",IFERROR(IF(K3194="""","""",query('tbl user'!$A$2:$D10975,""SELECT A WHERE D = '""&amp;K3194&amp;""'"")),""USER TIDAK DIKETAHUI""))"),"#REF!")</f>
        <v>#REF!</v>
      </c>
    </row>
    <row r="3195">
      <c r="A3195" s="21">
        <f t="shared" si="1"/>
        <v>0</v>
      </c>
      <c r="B3195" s="32" t="s">
        <v>337</v>
      </c>
      <c r="C3195" s="23" t="s">
        <v>338</v>
      </c>
      <c r="D3195" s="23" t="s">
        <v>21</v>
      </c>
      <c r="E3195" s="37">
        <v>45443.0</v>
      </c>
      <c r="F3195" s="25">
        <v>0.22916666666666666</v>
      </c>
      <c r="G3195" s="25">
        <v>0.7097222222222223</v>
      </c>
      <c r="H3195" s="27">
        <f t="shared" si="2"/>
        <v>0.4805555556</v>
      </c>
      <c r="I3195" s="28">
        <v>5.0</v>
      </c>
      <c r="J3195" s="29" t="s">
        <v>55</v>
      </c>
      <c r="K3195" s="30" t="s">
        <v>23</v>
      </c>
      <c r="L3195" s="31" t="str">
        <f>IFERROR(__xludf.DUMMYFUNCTION("IF(OR(E3195="""",K3195=""""),"""",IFERROR(IF(K3195="""","""",query('tbl user'!$A$2:$D10975,""SELECT A WHERE D = '""&amp;K3195&amp;""'"")),""USER TIDAK DIKETAHUI""))"),"#REF!")</f>
        <v>#REF!</v>
      </c>
    </row>
    <row r="3196">
      <c r="A3196" s="21">
        <f t="shared" si="1"/>
        <v>0</v>
      </c>
      <c r="B3196" s="32" t="s">
        <v>146</v>
      </c>
      <c r="C3196" s="23" t="s">
        <v>147</v>
      </c>
      <c r="D3196" s="23" t="s">
        <v>32</v>
      </c>
      <c r="E3196" s="37">
        <v>45443.0</v>
      </c>
      <c r="F3196" s="25">
        <v>0.2923611111111111</v>
      </c>
      <c r="G3196" s="25">
        <v>0.37777777777777777</v>
      </c>
      <c r="H3196" s="27">
        <f t="shared" si="2"/>
        <v>0.08541666667</v>
      </c>
      <c r="I3196" s="28">
        <v>0.0</v>
      </c>
      <c r="J3196" s="29" t="s">
        <v>1429</v>
      </c>
      <c r="K3196" s="30" t="s">
        <v>23</v>
      </c>
      <c r="L3196" s="31" t="str">
        <f>IFERROR(__xludf.DUMMYFUNCTION("IF(OR(E3196="""",K3196=""""),"""",IFERROR(IF(K3196="""","""",query('tbl user'!$A$2:$D10975,""SELECT A WHERE D = '""&amp;K3196&amp;""'"")),""USER TIDAK DIKETAHUI""))"),"#REF!")</f>
        <v>#REF!</v>
      </c>
    </row>
    <row r="3197">
      <c r="A3197" s="21" t="str">
        <f t="shared" si="1"/>
        <v/>
      </c>
      <c r="B3197" s="35"/>
      <c r="C3197" s="23" t="s">
        <v>275</v>
      </c>
      <c r="D3197" s="23" t="s">
        <v>32</v>
      </c>
      <c r="E3197" s="37">
        <v>45443.0</v>
      </c>
      <c r="F3197" s="25">
        <v>0.2708333333333333</v>
      </c>
      <c r="G3197" s="25">
        <v>0.2881944444444444</v>
      </c>
      <c r="H3197" s="27">
        <f t="shared" si="2"/>
        <v>0.01736111111</v>
      </c>
      <c r="I3197" s="28">
        <v>0.0</v>
      </c>
      <c r="J3197" s="29" t="s">
        <v>1430</v>
      </c>
      <c r="K3197" s="30" t="s">
        <v>23</v>
      </c>
      <c r="L3197" s="31" t="str">
        <f>IFERROR(__xludf.DUMMYFUNCTION("IF(OR(E3197="""",K3197=""""),"""",IFERROR(IF(K3197="""","""",query('tbl user'!$A$2:$D10975,""SELECT A WHERE D = '""&amp;K3197&amp;""'"")),""USER TIDAK DIKETAHUI""))"),"#REF!")</f>
        <v>#REF!</v>
      </c>
    </row>
    <row r="3198">
      <c r="A3198" s="21">
        <f t="shared" si="1"/>
        <v>0</v>
      </c>
      <c r="B3198" s="32" t="s">
        <v>113</v>
      </c>
      <c r="C3198" s="23" t="s">
        <v>114</v>
      </c>
      <c r="D3198" s="23" t="s">
        <v>32</v>
      </c>
      <c r="E3198" s="37">
        <v>45443.0</v>
      </c>
      <c r="F3198" s="25">
        <v>0.20555555555555555</v>
      </c>
      <c r="G3198" s="25">
        <v>0.33819444444444446</v>
      </c>
      <c r="H3198" s="27">
        <f t="shared" si="2"/>
        <v>0.1326388889</v>
      </c>
      <c r="I3198" s="28">
        <v>1.0</v>
      </c>
      <c r="J3198" s="29" t="s">
        <v>1431</v>
      </c>
      <c r="K3198" s="30" t="s">
        <v>23</v>
      </c>
      <c r="L3198" s="31" t="str">
        <f>IFERROR(__xludf.DUMMYFUNCTION("IF(OR(E3198="""",K3198=""""),"""",IFERROR(IF(K3198="""","""",query('tbl user'!$A$2:$D10975,""SELECT A WHERE D = '""&amp;K3198&amp;""'"")),""USER TIDAK DIKETAHUI""))"),"#REF!")</f>
        <v>#REF!</v>
      </c>
    </row>
    <row r="3199">
      <c r="A3199" s="21">
        <f t="shared" si="1"/>
        <v>0</v>
      </c>
      <c r="B3199" s="32" t="s">
        <v>269</v>
      </c>
      <c r="C3199" s="23" t="s">
        <v>270</v>
      </c>
      <c r="D3199" s="23" t="s">
        <v>32</v>
      </c>
      <c r="E3199" s="37">
        <v>45443.0</v>
      </c>
      <c r="F3199" s="25">
        <v>0.26944444444444443</v>
      </c>
      <c r="G3199" s="25">
        <v>0.4222222222222222</v>
      </c>
      <c r="H3199" s="27">
        <f t="shared" si="2"/>
        <v>0.1527777778</v>
      </c>
      <c r="I3199" s="28">
        <v>1.0</v>
      </c>
      <c r="J3199" s="29" t="s">
        <v>1432</v>
      </c>
      <c r="K3199" s="30" t="s">
        <v>23</v>
      </c>
      <c r="L3199" s="31" t="str">
        <f>IFERROR(__xludf.DUMMYFUNCTION("IF(OR(E3199="""",K3199=""""),"""",IFERROR(IF(K3199="""","""",query('tbl user'!$A$2:$D10975,""SELECT A WHERE D = '""&amp;K3199&amp;""'"")),""USER TIDAK DIKETAHUI""))"),"#REF!")</f>
        <v>#REF!</v>
      </c>
    </row>
    <row r="3200">
      <c r="A3200" s="21">
        <f t="shared" si="1"/>
        <v>0</v>
      </c>
      <c r="B3200" s="32" t="s">
        <v>151</v>
      </c>
      <c r="C3200" s="23" t="s">
        <v>152</v>
      </c>
      <c r="D3200" s="23" t="s">
        <v>32</v>
      </c>
      <c r="E3200" s="37">
        <v>45443.0</v>
      </c>
      <c r="F3200" s="25">
        <v>0.2708333333333333</v>
      </c>
      <c r="G3200" s="25">
        <v>0.40555555555555556</v>
      </c>
      <c r="H3200" s="27">
        <f t="shared" si="2"/>
        <v>0.1347222222</v>
      </c>
      <c r="I3200" s="28">
        <v>1.0</v>
      </c>
      <c r="J3200" s="29" t="s">
        <v>1433</v>
      </c>
      <c r="K3200" s="30" t="s">
        <v>23</v>
      </c>
      <c r="L3200" s="31" t="str">
        <f>IFERROR(__xludf.DUMMYFUNCTION("IF(OR(E3200="""",K3200=""""),"""",IFERROR(IF(K3200="""","""",query('tbl user'!$A$2:$D10975,""SELECT A WHERE D = '""&amp;K3200&amp;""'"")),""USER TIDAK DIKETAHUI""))"),"#REF!")</f>
        <v>#REF!</v>
      </c>
    </row>
    <row r="3201">
      <c r="A3201" s="21">
        <f t="shared" si="1"/>
        <v>0</v>
      </c>
      <c r="B3201" s="32" t="s">
        <v>110</v>
      </c>
      <c r="C3201" s="23" t="s">
        <v>111</v>
      </c>
      <c r="D3201" s="23" t="s">
        <v>32</v>
      </c>
      <c r="E3201" s="37">
        <v>45443.0</v>
      </c>
      <c r="F3201" s="25">
        <v>0.2881944444444444</v>
      </c>
      <c r="G3201" s="25">
        <v>0.44722222222222224</v>
      </c>
      <c r="H3201" s="27">
        <f t="shared" si="2"/>
        <v>0.1590277778</v>
      </c>
      <c r="I3201" s="28">
        <v>2.0</v>
      </c>
      <c r="J3201" s="29" t="s">
        <v>1434</v>
      </c>
      <c r="K3201" s="30" t="s">
        <v>23</v>
      </c>
      <c r="L3201" s="31" t="str">
        <f>IFERROR(__xludf.DUMMYFUNCTION("IF(OR(E3201="""",K3201=""""),"""",IFERROR(IF(K3201="""","""",query('tbl user'!$A$2:$D10975,""SELECT A WHERE D = '""&amp;K3201&amp;""'"")),""USER TIDAK DIKETAHUI""))"),"#REF!")</f>
        <v>#REF!</v>
      </c>
    </row>
    <row r="3202">
      <c r="A3202" s="21">
        <f t="shared" si="1"/>
        <v>0</v>
      </c>
      <c r="B3202" s="32" t="s">
        <v>46</v>
      </c>
      <c r="C3202" s="23" t="s">
        <v>47</v>
      </c>
      <c r="D3202" s="23" t="s">
        <v>32</v>
      </c>
      <c r="E3202" s="37">
        <v>45443.0</v>
      </c>
      <c r="F3202" s="25">
        <v>0.2569444444444444</v>
      </c>
      <c r="G3202" s="25">
        <v>0.5416666666666666</v>
      </c>
      <c r="H3202" s="27">
        <f t="shared" si="2"/>
        <v>0.2847222222</v>
      </c>
      <c r="I3202" s="28">
        <v>2.0</v>
      </c>
      <c r="J3202" s="29" t="s">
        <v>1435</v>
      </c>
      <c r="K3202" s="30" t="s">
        <v>23</v>
      </c>
      <c r="L3202" s="31" t="str">
        <f>IFERROR(__xludf.DUMMYFUNCTION("IF(OR(E3202="""",K3202=""""),"""",IFERROR(IF(K3202="""","""",query('tbl user'!$A$2:$D10975,""SELECT A WHERE D = '""&amp;K3202&amp;""'"")),""USER TIDAK DIKETAHUI""))"),"#REF!")</f>
        <v>#REF!</v>
      </c>
    </row>
    <row r="3203">
      <c r="A3203" s="21">
        <f t="shared" si="1"/>
        <v>0</v>
      </c>
      <c r="B3203" s="32" t="s">
        <v>118</v>
      </c>
      <c r="C3203" s="23" t="s">
        <v>119</v>
      </c>
      <c r="D3203" s="23" t="s">
        <v>32</v>
      </c>
      <c r="E3203" s="37">
        <v>45443.0</v>
      </c>
      <c r="F3203" s="25">
        <v>0.22083333333333333</v>
      </c>
      <c r="G3203" s="25">
        <v>0.7520833333333333</v>
      </c>
      <c r="H3203" s="27">
        <f t="shared" si="2"/>
        <v>0.53125</v>
      </c>
      <c r="I3203" s="28">
        <v>2.0</v>
      </c>
      <c r="J3203" s="29" t="s">
        <v>1436</v>
      </c>
      <c r="K3203" s="30" t="s">
        <v>23</v>
      </c>
      <c r="L3203" s="31" t="str">
        <f>IFERROR(__xludf.DUMMYFUNCTION("IF(OR(E3203="""",K3203=""""),"""",IFERROR(IF(K3203="""","""",query('tbl user'!$A$2:$D10975,""SELECT A WHERE D = '""&amp;K3203&amp;""'"")),""USER TIDAK DIKETAHUI""))"),"#REF!")</f>
        <v>#REF!</v>
      </c>
    </row>
    <row r="3204">
      <c r="A3204" s="21">
        <f t="shared" si="1"/>
        <v>0</v>
      </c>
      <c r="B3204" s="32" t="s">
        <v>263</v>
      </c>
      <c r="C3204" s="23" t="s">
        <v>264</v>
      </c>
      <c r="D3204" s="23" t="s">
        <v>32</v>
      </c>
      <c r="E3204" s="37">
        <v>45443.0</v>
      </c>
      <c r="F3204" s="25">
        <v>0.25555555555555554</v>
      </c>
      <c r="G3204" s="25">
        <v>0.44027777777777777</v>
      </c>
      <c r="H3204" s="27">
        <f t="shared" si="2"/>
        <v>0.1847222222</v>
      </c>
      <c r="I3204" s="28">
        <v>2.0</v>
      </c>
      <c r="J3204" s="29" t="s">
        <v>1437</v>
      </c>
      <c r="K3204" s="30" t="s">
        <v>23</v>
      </c>
      <c r="L3204" s="31" t="str">
        <f>IFERROR(__xludf.DUMMYFUNCTION("IF(OR(E3204="""",K3204=""""),"""",IFERROR(IF(K3204="""","""",query('tbl user'!$A$2:$D10975,""SELECT A WHERE D = '""&amp;K3204&amp;""'"")),""USER TIDAK DIKETAHUI""))"),"#REF!")</f>
        <v>#REF!</v>
      </c>
    </row>
    <row r="3205">
      <c r="A3205" s="21">
        <f t="shared" si="1"/>
        <v>0</v>
      </c>
      <c r="B3205" s="32" t="s">
        <v>127</v>
      </c>
      <c r="C3205" s="23" t="s">
        <v>128</v>
      </c>
      <c r="D3205" s="23" t="s">
        <v>32</v>
      </c>
      <c r="E3205" s="37">
        <v>45443.0</v>
      </c>
      <c r="F3205" s="25">
        <v>0.2881944444444444</v>
      </c>
      <c r="G3205" s="25">
        <v>0.6354166666666666</v>
      </c>
      <c r="H3205" s="27">
        <f t="shared" si="2"/>
        <v>0.3472222222</v>
      </c>
      <c r="I3205" s="28">
        <v>2.0</v>
      </c>
      <c r="J3205" s="29" t="s">
        <v>1438</v>
      </c>
      <c r="K3205" s="30" t="s">
        <v>23</v>
      </c>
      <c r="L3205" s="31" t="str">
        <f>IFERROR(__xludf.DUMMYFUNCTION("IF(OR(E3205="""",K3205=""""),"""",IFERROR(IF(K3205="""","""",query('tbl user'!$A$2:$D10975,""SELECT A WHERE D = '""&amp;K3205&amp;""'"")),""USER TIDAK DIKETAHUI""))"),"#REF!")</f>
        <v>#REF!</v>
      </c>
    </row>
    <row r="3206">
      <c r="A3206" s="21">
        <f t="shared" si="1"/>
        <v>0</v>
      </c>
      <c r="B3206" s="32" t="s">
        <v>250</v>
      </c>
      <c r="C3206" s="23" t="s">
        <v>315</v>
      </c>
      <c r="D3206" s="23" t="s">
        <v>32</v>
      </c>
      <c r="E3206" s="37">
        <v>45443.0</v>
      </c>
      <c r="F3206" s="25">
        <v>0.25277777777777777</v>
      </c>
      <c r="G3206" s="25">
        <v>0.7388888888888889</v>
      </c>
      <c r="H3206" s="27">
        <f t="shared" si="2"/>
        <v>0.4861111111</v>
      </c>
      <c r="I3206" s="28">
        <v>3.0</v>
      </c>
      <c r="J3206" s="29" t="s">
        <v>1333</v>
      </c>
      <c r="K3206" s="30" t="s">
        <v>23</v>
      </c>
      <c r="L3206" s="31" t="str">
        <f>IFERROR(__xludf.DUMMYFUNCTION("IF(OR(E3206="""",K3206=""""),"""",IFERROR(IF(K3206="""","""",query('tbl user'!$A$2:$D10975,""SELECT A WHERE D = '""&amp;K3206&amp;""'"")),""USER TIDAK DIKETAHUI""))"),"#REF!")</f>
        <v>#REF!</v>
      </c>
    </row>
    <row r="3207">
      <c r="A3207" s="21">
        <f t="shared" si="1"/>
        <v>0</v>
      </c>
      <c r="B3207" s="32" t="s">
        <v>115</v>
      </c>
      <c r="C3207" s="23" t="s">
        <v>116</v>
      </c>
      <c r="D3207" s="23" t="s">
        <v>32</v>
      </c>
      <c r="E3207" s="37">
        <v>45443.0</v>
      </c>
      <c r="F3207" s="25">
        <v>0.2881944444444444</v>
      </c>
      <c r="G3207" s="25">
        <v>0.7</v>
      </c>
      <c r="H3207" s="27">
        <f t="shared" si="2"/>
        <v>0.4118055556</v>
      </c>
      <c r="I3207" s="28">
        <v>3.0</v>
      </c>
      <c r="J3207" s="29" t="s">
        <v>1439</v>
      </c>
      <c r="K3207" s="30" t="s">
        <v>23</v>
      </c>
      <c r="L3207" s="31" t="str">
        <f>IFERROR(__xludf.DUMMYFUNCTION("IF(OR(E3207="""",K3207=""""),"""",IFERROR(IF(K3207="""","""",query('tbl user'!$A$2:$D10975,""SELECT A WHERE D = '""&amp;K3207&amp;""'"")),""USER TIDAK DIKETAHUI""))"),"#REF!")</f>
        <v>#REF!</v>
      </c>
    </row>
    <row r="3208">
      <c r="A3208" s="21">
        <f t="shared" si="1"/>
        <v>0</v>
      </c>
      <c r="B3208" s="32" t="s">
        <v>123</v>
      </c>
      <c r="C3208" s="23" t="s">
        <v>124</v>
      </c>
      <c r="D3208" s="23" t="s">
        <v>32</v>
      </c>
      <c r="E3208" s="37">
        <v>45443.0</v>
      </c>
      <c r="F3208" s="25">
        <v>0.2548611111111111</v>
      </c>
      <c r="G3208" s="25">
        <v>0.6819444444444445</v>
      </c>
      <c r="H3208" s="27">
        <f t="shared" si="2"/>
        <v>0.4270833333</v>
      </c>
      <c r="I3208" s="28">
        <v>3.0</v>
      </c>
      <c r="J3208" s="29" t="s">
        <v>1440</v>
      </c>
      <c r="K3208" s="30" t="s">
        <v>23</v>
      </c>
      <c r="L3208" s="31" t="str">
        <f>IFERROR(__xludf.DUMMYFUNCTION("IF(OR(E3208="""",K3208=""""),"""",IFERROR(IF(K3208="""","""",query('tbl user'!$A$2:$D10975,""SELECT A WHERE D = '""&amp;K3208&amp;""'"")),""USER TIDAK DIKETAHUI""))"),"#REF!")</f>
        <v>#REF!</v>
      </c>
    </row>
    <row r="3209">
      <c r="A3209" s="21">
        <f t="shared" si="1"/>
        <v>0</v>
      </c>
      <c r="B3209" s="32" t="s">
        <v>125</v>
      </c>
      <c r="C3209" s="23" t="s">
        <v>126</v>
      </c>
      <c r="D3209" s="23" t="s">
        <v>32</v>
      </c>
      <c r="E3209" s="24">
        <v>45443.0</v>
      </c>
      <c r="F3209" s="25">
        <v>0.3055555555555556</v>
      </c>
      <c r="G3209" s="25">
        <v>0.7479166666666667</v>
      </c>
      <c r="H3209" s="27">
        <f t="shared" si="2"/>
        <v>0.4423611111</v>
      </c>
      <c r="I3209" s="28">
        <v>3.0</v>
      </c>
      <c r="J3209" s="29" t="s">
        <v>894</v>
      </c>
      <c r="K3209" s="30" t="s">
        <v>23</v>
      </c>
      <c r="L3209" s="31" t="str">
        <f>IFERROR(__xludf.DUMMYFUNCTION("IF(OR(E3209="""",K3209=""""),"""",IFERROR(IF(K3209="""","""",query('tbl user'!$A$2:$D10975,""SELECT A WHERE D = '""&amp;K3209&amp;""'"")),""USER TIDAK DIKETAHUI""))"),"#REF!")</f>
        <v>#REF!</v>
      </c>
    </row>
    <row r="3210">
      <c r="A3210" s="21">
        <f t="shared" si="1"/>
        <v>0</v>
      </c>
      <c r="B3210" s="32" t="s">
        <v>72</v>
      </c>
      <c r="C3210" s="23" t="s">
        <v>73</v>
      </c>
      <c r="D3210" s="23" t="s">
        <v>32</v>
      </c>
      <c r="E3210" s="24">
        <v>45443.0</v>
      </c>
      <c r="F3210" s="25">
        <v>0.24583333333333332</v>
      </c>
      <c r="G3210" s="25">
        <v>0.7409722222222223</v>
      </c>
      <c r="H3210" s="27">
        <f t="shared" si="2"/>
        <v>0.4951388889</v>
      </c>
      <c r="I3210" s="28">
        <v>3.0</v>
      </c>
      <c r="J3210" s="29" t="s">
        <v>894</v>
      </c>
      <c r="K3210" s="30" t="s">
        <v>23</v>
      </c>
      <c r="L3210" s="31" t="str">
        <f>IFERROR(__xludf.DUMMYFUNCTION("IF(OR(E3210="""",K3210=""""),"""",IFERROR(IF(K3210="""","""",query('tbl user'!$A$2:$D10975,""SELECT A WHERE D = '""&amp;K3210&amp;""'"")),""USER TIDAK DIKETAHUI""))"),"#REF!")</f>
        <v>#REF!</v>
      </c>
    </row>
    <row r="3211">
      <c r="A3211" s="21">
        <f t="shared" si="1"/>
        <v>0</v>
      </c>
      <c r="B3211" s="32" t="s">
        <v>139</v>
      </c>
      <c r="C3211" s="23" t="s">
        <v>96</v>
      </c>
      <c r="D3211" s="23" t="s">
        <v>32</v>
      </c>
      <c r="E3211" s="24">
        <v>45443.0</v>
      </c>
      <c r="F3211" s="25">
        <v>0.27361111111111114</v>
      </c>
      <c r="G3211" s="25">
        <v>0.6854166666666667</v>
      </c>
      <c r="H3211" s="27">
        <f t="shared" si="2"/>
        <v>0.4118055556</v>
      </c>
      <c r="I3211" s="28">
        <v>3.0</v>
      </c>
      <c r="J3211" s="29" t="s">
        <v>1441</v>
      </c>
      <c r="K3211" s="30" t="s">
        <v>23</v>
      </c>
      <c r="L3211" s="31" t="str">
        <f>IFERROR(__xludf.DUMMYFUNCTION("IF(OR(E3211="""",K3211=""""),"""",IFERROR(IF(K3211="""","""",query('tbl user'!$A$2:$D10975,""SELECT A WHERE D = '""&amp;K3211&amp;""'"")),""USER TIDAK DIKETAHUI""))"),"#REF!")</f>
        <v>#REF!</v>
      </c>
    </row>
    <row r="3212">
      <c r="A3212" s="21">
        <f t="shared" si="1"/>
        <v>0</v>
      </c>
      <c r="B3212" s="32" t="s">
        <v>267</v>
      </c>
      <c r="C3212" s="23" t="s">
        <v>268</v>
      </c>
      <c r="D3212" s="23" t="s">
        <v>32</v>
      </c>
      <c r="E3212" s="24">
        <v>45443.0</v>
      </c>
      <c r="F3212" s="25">
        <v>0.36180555555555555</v>
      </c>
      <c r="G3212" s="25">
        <v>0.7479166666666667</v>
      </c>
      <c r="H3212" s="27">
        <f t="shared" si="2"/>
        <v>0.3861111111</v>
      </c>
      <c r="I3212" s="28">
        <v>3.0</v>
      </c>
      <c r="J3212" s="29" t="s">
        <v>218</v>
      </c>
      <c r="K3212" s="30" t="s">
        <v>23</v>
      </c>
      <c r="L3212" s="31" t="str">
        <f>IFERROR(__xludf.DUMMYFUNCTION("IF(OR(E3212="""",K3212=""""),"""",IFERROR(IF(K3212="""","""",query('tbl user'!$A$2:$D10975,""SELECT A WHERE D = '""&amp;K3212&amp;""'"")),""USER TIDAK DIKETAHUI""))"),"#REF!")</f>
        <v>#REF!</v>
      </c>
    </row>
    <row r="3213">
      <c r="A3213" s="21">
        <f t="shared" si="1"/>
        <v>0</v>
      </c>
      <c r="B3213" s="32" t="s">
        <v>120</v>
      </c>
      <c r="C3213" s="23" t="s">
        <v>121</v>
      </c>
      <c r="D3213" s="23" t="s">
        <v>32</v>
      </c>
      <c r="E3213" s="24">
        <v>45443.0</v>
      </c>
      <c r="F3213" s="25">
        <v>0.2708333333333333</v>
      </c>
      <c r="G3213" s="25">
        <v>0.7277777777777777</v>
      </c>
      <c r="H3213" s="27">
        <f t="shared" si="2"/>
        <v>0.4569444444</v>
      </c>
      <c r="I3213" s="28">
        <v>4.0</v>
      </c>
      <c r="J3213" s="29" t="s">
        <v>55</v>
      </c>
      <c r="K3213" s="30" t="s">
        <v>23</v>
      </c>
      <c r="L3213" s="31" t="str">
        <f>IFERROR(__xludf.DUMMYFUNCTION("IF(OR(E3213="""",K3213=""""),"""",IFERROR(IF(K3213="""","""",query('tbl user'!$A$2:$D10975,""SELECT A WHERE D = '""&amp;K3213&amp;""'"")),""USER TIDAK DIKETAHUI""))"),"#REF!")</f>
        <v>#REF!</v>
      </c>
    </row>
    <row r="3214">
      <c r="A3214" s="21">
        <f t="shared" si="1"/>
        <v>0</v>
      </c>
      <c r="B3214" s="32" t="s">
        <v>131</v>
      </c>
      <c r="C3214" s="23" t="s">
        <v>132</v>
      </c>
      <c r="D3214" s="23" t="s">
        <v>32</v>
      </c>
      <c r="E3214" s="24">
        <v>45443.0</v>
      </c>
      <c r="F3214" s="25">
        <v>0.22777777777777777</v>
      </c>
      <c r="G3214" s="25">
        <v>0.7520833333333333</v>
      </c>
      <c r="H3214" s="27">
        <f t="shared" si="2"/>
        <v>0.5243055556</v>
      </c>
      <c r="I3214" s="28">
        <v>4.0</v>
      </c>
      <c r="J3214" s="29" t="s">
        <v>55</v>
      </c>
      <c r="K3214" s="30" t="s">
        <v>23</v>
      </c>
      <c r="L3214" s="31" t="str">
        <f>IFERROR(__xludf.DUMMYFUNCTION("IF(OR(E3214="""",K3214=""""),"""",IFERROR(IF(K3214="""","""",query('tbl user'!$A$2:$D10975,""SELECT A WHERE D = '""&amp;K3214&amp;""'"")),""USER TIDAK DIKETAHUI""))"),"#REF!")</f>
        <v>#REF!</v>
      </c>
    </row>
    <row r="3215">
      <c r="A3215" s="21">
        <f t="shared" si="1"/>
        <v>0</v>
      </c>
      <c r="B3215" s="32" t="s">
        <v>133</v>
      </c>
      <c r="C3215" s="23" t="s">
        <v>134</v>
      </c>
      <c r="D3215" s="23" t="s">
        <v>32</v>
      </c>
      <c r="E3215" s="24">
        <v>45443.0</v>
      </c>
      <c r="F3215" s="25">
        <v>0.2548611111111111</v>
      </c>
      <c r="G3215" s="25">
        <v>0.7013888888888888</v>
      </c>
      <c r="H3215" s="27">
        <f t="shared" si="2"/>
        <v>0.4465277778</v>
      </c>
      <c r="I3215" s="28">
        <v>4.0</v>
      </c>
      <c r="J3215" s="29" t="s">
        <v>55</v>
      </c>
      <c r="K3215" s="30" t="s">
        <v>23</v>
      </c>
      <c r="L3215" s="31" t="str">
        <f>IFERROR(__xludf.DUMMYFUNCTION("IF(OR(E3215="""",K3215=""""),"""",IFERROR(IF(K3215="""","""",query('tbl user'!$A$2:$D10975,""SELECT A WHERE D = '""&amp;K3215&amp;""'"")),""USER TIDAK DIKETAHUI""))"),"#REF!")</f>
        <v>#REF!</v>
      </c>
    </row>
    <row r="3216">
      <c r="A3216" s="21">
        <f t="shared" si="1"/>
        <v>0</v>
      </c>
      <c r="B3216" s="32" t="s">
        <v>135</v>
      </c>
      <c r="C3216" s="23" t="s">
        <v>136</v>
      </c>
      <c r="D3216" s="23" t="s">
        <v>32</v>
      </c>
      <c r="E3216" s="24">
        <v>45443.0</v>
      </c>
      <c r="F3216" s="25">
        <v>0.28125</v>
      </c>
      <c r="G3216" s="25">
        <v>0.7388888888888889</v>
      </c>
      <c r="H3216" s="27">
        <f t="shared" si="2"/>
        <v>0.4576388889</v>
      </c>
      <c r="I3216" s="28">
        <v>4.0</v>
      </c>
      <c r="J3216" s="29" t="s">
        <v>55</v>
      </c>
      <c r="K3216" s="30" t="s">
        <v>23</v>
      </c>
      <c r="L3216" s="31" t="str">
        <f>IFERROR(__xludf.DUMMYFUNCTION("IF(OR(E3216="""",K3216=""""),"""",IFERROR(IF(K3216="""","""",query('tbl user'!$A$2:$D10975,""SELECT A WHERE D = '""&amp;K3216&amp;""'"")),""USER TIDAK DIKETAHUI""))"),"#REF!")</f>
        <v>#REF!</v>
      </c>
    </row>
    <row r="3217">
      <c r="A3217" s="21">
        <f t="shared" si="1"/>
        <v>0</v>
      </c>
      <c r="B3217" s="32" t="s">
        <v>30</v>
      </c>
      <c r="C3217" s="23" t="s">
        <v>31</v>
      </c>
      <c r="D3217" s="23" t="s">
        <v>32</v>
      </c>
      <c r="E3217" s="24">
        <v>45443.0</v>
      </c>
      <c r="F3217" s="25">
        <v>0.2298611111111111</v>
      </c>
      <c r="G3217" s="25">
        <v>0.7506944444444444</v>
      </c>
      <c r="H3217" s="27">
        <f t="shared" si="2"/>
        <v>0.5208333333</v>
      </c>
      <c r="I3217" s="28">
        <v>4.0</v>
      </c>
      <c r="J3217" s="29" t="s">
        <v>55</v>
      </c>
      <c r="K3217" s="30" t="s">
        <v>23</v>
      </c>
      <c r="L3217" s="31" t="str">
        <f>IFERROR(__xludf.DUMMYFUNCTION("IF(OR(E3217="""",K3217=""""),"""",IFERROR(IF(K3217="""","""",query('tbl user'!$A$2:$D10975,""SELECT A WHERE D = '""&amp;K3217&amp;""'"")),""USER TIDAK DIKETAHUI""))"),"#REF!")</f>
        <v>#REF!</v>
      </c>
    </row>
    <row r="3218">
      <c r="A3218" s="21">
        <f t="shared" si="1"/>
        <v>0</v>
      </c>
      <c r="B3218" s="32" t="s">
        <v>40</v>
      </c>
      <c r="C3218" s="23" t="s">
        <v>41</v>
      </c>
      <c r="D3218" s="23" t="s">
        <v>32</v>
      </c>
      <c r="E3218" s="24">
        <v>45443.0</v>
      </c>
      <c r="F3218" s="25">
        <v>0.2326388888888889</v>
      </c>
      <c r="G3218" s="25">
        <v>0.73125</v>
      </c>
      <c r="H3218" s="27">
        <f t="shared" si="2"/>
        <v>0.4986111111</v>
      </c>
      <c r="I3218" s="28">
        <v>4.0</v>
      </c>
      <c r="J3218" s="29" t="s">
        <v>55</v>
      </c>
      <c r="K3218" s="30" t="s">
        <v>23</v>
      </c>
      <c r="L3218" s="31" t="str">
        <f>IFERROR(__xludf.DUMMYFUNCTION("IF(OR(E3218="""",K3218=""""),"""",IFERROR(IF(K3218="""","""",query('tbl user'!$A$2:$D10975,""SELECT A WHERE D = '""&amp;K3218&amp;""'"")),""USER TIDAK DIKETAHUI""))"),"#REF!")</f>
        <v>#REF!</v>
      </c>
    </row>
    <row r="3219">
      <c r="A3219" s="21">
        <f t="shared" si="1"/>
        <v>0</v>
      </c>
      <c r="B3219" s="32" t="s">
        <v>78</v>
      </c>
      <c r="C3219" s="23" t="s">
        <v>79</v>
      </c>
      <c r="D3219" s="23" t="s">
        <v>32</v>
      </c>
      <c r="E3219" s="24">
        <v>45443.0</v>
      </c>
      <c r="F3219" s="25">
        <v>0.2659722222222222</v>
      </c>
      <c r="G3219" s="25">
        <v>0.7333333333333333</v>
      </c>
      <c r="H3219" s="27">
        <f t="shared" si="2"/>
        <v>0.4673611111</v>
      </c>
      <c r="I3219" s="28">
        <v>4.0</v>
      </c>
      <c r="J3219" s="29" t="s">
        <v>55</v>
      </c>
      <c r="K3219" s="30" t="s">
        <v>23</v>
      </c>
      <c r="L3219" s="31" t="str">
        <f>IFERROR(__xludf.DUMMYFUNCTION("IF(OR(E3219="""",K3219=""""),"""",IFERROR(IF(K3219="""","""",query('tbl user'!$A$2:$D10975,""SELECT A WHERE D = '""&amp;K3219&amp;""'"")),""USER TIDAK DIKETAHUI""))"),"#REF!")</f>
        <v>#REF!</v>
      </c>
    </row>
    <row r="3220">
      <c r="A3220" s="21">
        <f t="shared" si="1"/>
        <v>0</v>
      </c>
      <c r="B3220" s="32" t="s">
        <v>149</v>
      </c>
      <c r="C3220" s="23" t="s">
        <v>150</v>
      </c>
      <c r="D3220" s="23" t="s">
        <v>32</v>
      </c>
      <c r="E3220" s="24">
        <v>45443.0</v>
      </c>
      <c r="F3220" s="25">
        <v>0.24791666666666667</v>
      </c>
      <c r="G3220" s="25">
        <v>0.7513888888888889</v>
      </c>
      <c r="H3220" s="27">
        <f t="shared" si="2"/>
        <v>0.5034722222</v>
      </c>
      <c r="I3220" s="28">
        <v>4.0</v>
      </c>
      <c r="J3220" s="29" t="s">
        <v>55</v>
      </c>
      <c r="K3220" s="30" t="s">
        <v>23</v>
      </c>
      <c r="L3220" s="31" t="str">
        <f>IFERROR(__xludf.DUMMYFUNCTION("IF(OR(E3220="""",K3220=""""),"""",IFERROR(IF(K3220="""","""",query('tbl user'!$A$2:$D10975,""SELECT A WHERE D = '""&amp;K3220&amp;""'"")),""USER TIDAK DIKETAHUI""))"),"#REF!")</f>
        <v>#REF!</v>
      </c>
    </row>
    <row r="3221">
      <c r="A3221" s="21" t="str">
        <f t="shared" si="1"/>
        <v/>
      </c>
      <c r="B3221" s="35"/>
      <c r="C3221" s="23" t="s">
        <v>93</v>
      </c>
      <c r="D3221" s="23" t="s">
        <v>58</v>
      </c>
      <c r="E3221" s="24">
        <v>45445.0</v>
      </c>
      <c r="F3221" s="25">
        <v>0.26666666666666666</v>
      </c>
      <c r="G3221" s="25">
        <v>0.3104166666666667</v>
      </c>
      <c r="H3221" s="27">
        <f t="shared" si="2"/>
        <v>0.04375</v>
      </c>
      <c r="I3221" s="28">
        <v>0.0</v>
      </c>
      <c r="J3221" s="29" t="s">
        <v>1442</v>
      </c>
      <c r="K3221" s="30" t="s">
        <v>23</v>
      </c>
      <c r="L3221" s="31" t="str">
        <f>IFERROR(__xludf.DUMMYFUNCTION("IF(OR(E3221="""",K3221=""""),"""",IFERROR(IF(K3221="""","""",query('tbl user'!$A$2:$D10975,""SELECT A WHERE D = '""&amp;K3221&amp;""'"")),""USER TIDAK DIKETAHUI""))"),"#REF!")</f>
        <v>#REF!</v>
      </c>
    </row>
    <row r="3222">
      <c r="A3222" s="21">
        <f t="shared" si="1"/>
        <v>0</v>
      </c>
      <c r="B3222" s="32" t="s">
        <v>175</v>
      </c>
      <c r="C3222" s="23" t="s">
        <v>82</v>
      </c>
      <c r="D3222" s="23" t="s">
        <v>58</v>
      </c>
      <c r="E3222" s="24">
        <v>45445.0</v>
      </c>
      <c r="F3222" s="25">
        <v>0.29444444444444445</v>
      </c>
      <c r="G3222" s="25">
        <v>0.4083333333333333</v>
      </c>
      <c r="H3222" s="27">
        <f t="shared" si="2"/>
        <v>0.1138888889</v>
      </c>
      <c r="I3222" s="28">
        <v>1.0</v>
      </c>
      <c r="J3222" s="29" t="s">
        <v>1443</v>
      </c>
      <c r="K3222" s="30" t="s">
        <v>23</v>
      </c>
      <c r="L3222" s="31" t="str">
        <f>IFERROR(__xludf.DUMMYFUNCTION("IF(OR(E3222="""",K3222=""""),"""",IFERROR(IF(K3222="""","""",query('tbl user'!$A$2:$D10975,""SELECT A WHERE D = '""&amp;K3222&amp;""'"")),""USER TIDAK DIKETAHUI""))"),"#REF!")</f>
        <v>#REF!</v>
      </c>
    </row>
    <row r="3223">
      <c r="A3223" s="21">
        <f t="shared" si="1"/>
        <v>0</v>
      </c>
      <c r="B3223" s="32" t="s">
        <v>104</v>
      </c>
      <c r="C3223" s="23" t="s">
        <v>105</v>
      </c>
      <c r="D3223" s="23" t="s">
        <v>58</v>
      </c>
      <c r="E3223" s="24">
        <v>45445.0</v>
      </c>
      <c r="F3223" s="25">
        <v>0.24027777777777778</v>
      </c>
      <c r="G3223" s="25">
        <v>0.4576388888888889</v>
      </c>
      <c r="H3223" s="27">
        <f t="shared" si="2"/>
        <v>0.2173611111</v>
      </c>
      <c r="I3223" s="28">
        <v>1.0</v>
      </c>
      <c r="J3223" s="29" t="s">
        <v>1444</v>
      </c>
      <c r="K3223" s="30" t="s">
        <v>23</v>
      </c>
      <c r="L3223" s="31" t="str">
        <f>IFERROR(__xludf.DUMMYFUNCTION("IF(OR(E3223="""",K3223=""""),"""",IFERROR(IF(K3223="""","""",query('tbl user'!$A$2:$D10975,""SELECT A WHERE D = '""&amp;K3223&amp;""'"")),""USER TIDAK DIKETAHUI""))"),"#REF!")</f>
        <v>#REF!</v>
      </c>
    </row>
    <row r="3224">
      <c r="A3224" s="21">
        <f t="shared" si="1"/>
        <v>0</v>
      </c>
      <c r="B3224" s="32" t="s">
        <v>167</v>
      </c>
      <c r="C3224" s="23" t="s">
        <v>168</v>
      </c>
      <c r="D3224" s="23" t="s">
        <v>58</v>
      </c>
      <c r="E3224" s="24">
        <v>45445.0</v>
      </c>
      <c r="F3224" s="25">
        <v>0.29583333333333334</v>
      </c>
      <c r="G3224" s="25">
        <v>0.6611111111111111</v>
      </c>
      <c r="H3224" s="27">
        <f t="shared" si="2"/>
        <v>0.3652777778</v>
      </c>
      <c r="I3224" s="28">
        <v>2.0</v>
      </c>
      <c r="J3224" s="29" t="s">
        <v>1445</v>
      </c>
      <c r="K3224" s="30" t="s">
        <v>23</v>
      </c>
      <c r="L3224" s="31" t="str">
        <f>IFERROR(__xludf.DUMMYFUNCTION("IF(OR(E3224="""",K3224=""""),"""",IFERROR(IF(K3224="""","""",query('tbl user'!$A$2:$D10975,""SELECT A WHERE D = '""&amp;K3224&amp;""'"")),""USER TIDAK DIKETAHUI""))"),"#REF!")</f>
        <v>#REF!</v>
      </c>
    </row>
    <row r="3225">
      <c r="A3225" s="21">
        <f t="shared" si="1"/>
        <v>0</v>
      </c>
      <c r="B3225" s="32" t="s">
        <v>153</v>
      </c>
      <c r="C3225" s="23" t="s">
        <v>211</v>
      </c>
      <c r="D3225" s="23" t="s">
        <v>58</v>
      </c>
      <c r="E3225" s="24">
        <v>45445.0</v>
      </c>
      <c r="F3225" s="25">
        <v>0.29305555555555557</v>
      </c>
      <c r="G3225" s="25">
        <v>0.6548611111111111</v>
      </c>
      <c r="H3225" s="27">
        <f t="shared" si="2"/>
        <v>0.3618055556</v>
      </c>
      <c r="I3225" s="28">
        <v>3.0</v>
      </c>
      <c r="J3225" s="29" t="s">
        <v>1446</v>
      </c>
      <c r="K3225" s="30" t="s">
        <v>23</v>
      </c>
      <c r="L3225" s="31" t="str">
        <f>IFERROR(__xludf.DUMMYFUNCTION("IF(OR(E3225="""",K3225=""""),"""",IFERROR(IF(K3225="""","""",query('tbl user'!$A$2:$D10975,""SELECT A WHERE D = '""&amp;K3225&amp;""'"")),""USER TIDAK DIKETAHUI""))"),"#REF!")</f>
        <v>#REF!</v>
      </c>
    </row>
    <row r="3226">
      <c r="A3226" s="21">
        <f t="shared" si="1"/>
        <v>0</v>
      </c>
      <c r="B3226" s="32" t="s">
        <v>182</v>
      </c>
      <c r="C3226" s="23" t="s">
        <v>183</v>
      </c>
      <c r="D3226" s="23" t="s">
        <v>58</v>
      </c>
      <c r="E3226" s="24">
        <v>45445.0</v>
      </c>
      <c r="F3226" s="25">
        <v>0.22777777777777777</v>
      </c>
      <c r="G3226" s="25">
        <v>0.5694444444444444</v>
      </c>
      <c r="H3226" s="27">
        <f t="shared" si="2"/>
        <v>0.3416666667</v>
      </c>
      <c r="I3226" s="28">
        <v>3.0</v>
      </c>
      <c r="J3226" s="29" t="s">
        <v>1447</v>
      </c>
      <c r="K3226" s="30" t="s">
        <v>23</v>
      </c>
      <c r="L3226" s="31" t="str">
        <f>IFERROR(__xludf.DUMMYFUNCTION("IF(OR(E3226="""",K3226=""""),"""",IFERROR(IF(K3226="""","""",query('tbl user'!$A$2:$D10975,""SELECT A WHERE D = '""&amp;K3226&amp;""'"")),""USER TIDAK DIKETAHUI""))"),"#REF!")</f>
        <v>#REF!</v>
      </c>
    </row>
    <row r="3227">
      <c r="A3227" s="21">
        <f t="shared" si="1"/>
        <v>0</v>
      </c>
      <c r="B3227" s="32" t="s">
        <v>194</v>
      </c>
      <c r="C3227" s="23" t="s">
        <v>195</v>
      </c>
      <c r="D3227" s="23" t="s">
        <v>58</v>
      </c>
      <c r="E3227" s="24">
        <v>45445.0</v>
      </c>
      <c r="F3227" s="25">
        <v>0.22847222222222222</v>
      </c>
      <c r="G3227" s="25">
        <v>0.5909722222222222</v>
      </c>
      <c r="H3227" s="27">
        <f t="shared" si="2"/>
        <v>0.3625</v>
      </c>
      <c r="I3227" s="28">
        <v>3.0</v>
      </c>
      <c r="J3227" s="29" t="s">
        <v>218</v>
      </c>
      <c r="K3227" s="30" t="s">
        <v>23</v>
      </c>
      <c r="L3227" s="31" t="str">
        <f>IFERROR(__xludf.DUMMYFUNCTION("IF(OR(E3227="""",K3227=""""),"""",IFERROR(IF(K3227="""","""",query('tbl user'!$A$2:$D10975,""SELECT A WHERE D = '""&amp;K3227&amp;""'"")),""USER TIDAK DIKETAHUI""))"),"#REF!")</f>
        <v>#REF!</v>
      </c>
    </row>
    <row r="3228">
      <c r="A3228" s="21">
        <f t="shared" si="1"/>
        <v>0</v>
      </c>
      <c r="B3228" s="32" t="s">
        <v>200</v>
      </c>
      <c r="C3228" s="23" t="s">
        <v>201</v>
      </c>
      <c r="D3228" s="23" t="s">
        <v>58</v>
      </c>
      <c r="E3228" s="24">
        <v>45445.0</v>
      </c>
      <c r="F3228" s="25">
        <v>0.20555555555555555</v>
      </c>
      <c r="G3228" s="25">
        <v>0.66875</v>
      </c>
      <c r="H3228" s="27">
        <f t="shared" si="2"/>
        <v>0.4631944444</v>
      </c>
      <c r="I3228" s="28">
        <v>3.0</v>
      </c>
      <c r="J3228" s="29" t="s">
        <v>1448</v>
      </c>
      <c r="K3228" s="30" t="s">
        <v>23</v>
      </c>
      <c r="L3228" s="31" t="str">
        <f>IFERROR(__xludf.DUMMYFUNCTION("IF(OR(E3228="""",K3228=""""),"""",IFERROR(IF(K3228="""","""",query('tbl user'!$A$2:$D10975,""SELECT A WHERE D = '""&amp;K3228&amp;""'"")),""USER TIDAK DIKETAHUI""))"),"#REF!")</f>
        <v>#REF!</v>
      </c>
    </row>
    <row r="3229">
      <c r="A3229" s="21">
        <f t="shared" si="1"/>
        <v>0</v>
      </c>
      <c r="B3229" s="32" t="s">
        <v>205</v>
      </c>
      <c r="C3229" s="23" t="s">
        <v>206</v>
      </c>
      <c r="D3229" s="23" t="s">
        <v>58</v>
      </c>
      <c r="E3229" s="24">
        <v>45445.0</v>
      </c>
      <c r="F3229" s="25">
        <v>0.22430555555555556</v>
      </c>
      <c r="G3229" s="25">
        <v>0.7340277777777777</v>
      </c>
      <c r="H3229" s="27">
        <f t="shared" si="2"/>
        <v>0.5097222222</v>
      </c>
      <c r="I3229" s="28">
        <v>3.0</v>
      </c>
      <c r="J3229" s="29" t="s">
        <v>1449</v>
      </c>
      <c r="K3229" s="30" t="s">
        <v>23</v>
      </c>
      <c r="L3229" s="31" t="str">
        <f>IFERROR(__xludf.DUMMYFUNCTION("IF(OR(E3229="""",K3229=""""),"""",IFERROR(IF(K3229="""","""",query('tbl user'!$A$2:$D10975,""SELECT A WHERE D = '""&amp;K3229&amp;""'"")),""USER TIDAK DIKETAHUI""))"),"#REF!")</f>
        <v>#REF!</v>
      </c>
    </row>
    <row r="3230">
      <c r="A3230" s="21">
        <f t="shared" si="1"/>
        <v>0</v>
      </c>
      <c r="B3230" s="32" t="s">
        <v>84</v>
      </c>
      <c r="C3230" s="23" t="s">
        <v>85</v>
      </c>
      <c r="D3230" s="23" t="s">
        <v>58</v>
      </c>
      <c r="E3230" s="24">
        <v>45445.0</v>
      </c>
      <c r="F3230" s="25">
        <v>0.22569444444444445</v>
      </c>
      <c r="G3230" s="25">
        <v>0.7479166666666667</v>
      </c>
      <c r="H3230" s="27">
        <f t="shared" si="2"/>
        <v>0.5222222222</v>
      </c>
      <c r="I3230" s="28">
        <v>3.0</v>
      </c>
      <c r="J3230" s="29" t="s">
        <v>1450</v>
      </c>
      <c r="K3230" s="30" t="s">
        <v>23</v>
      </c>
      <c r="L3230" s="31" t="str">
        <f>IFERROR(__xludf.DUMMYFUNCTION("IF(OR(E3230="""",K3230=""""),"""",IFERROR(IF(K3230="""","""",query('tbl user'!$A$2:$D10975,""SELECT A WHERE D = '""&amp;K3230&amp;""'"")),""USER TIDAK DIKETAHUI""))"),"#REF!")</f>
        <v>#REF!</v>
      </c>
    </row>
    <row r="3231">
      <c r="A3231" s="21">
        <f t="shared" si="1"/>
        <v>0</v>
      </c>
      <c r="B3231" s="32" t="s">
        <v>67</v>
      </c>
      <c r="C3231" s="23" t="s">
        <v>68</v>
      </c>
      <c r="D3231" s="23" t="s">
        <v>58</v>
      </c>
      <c r="E3231" s="24">
        <v>45445.0</v>
      </c>
      <c r="F3231" s="25">
        <v>0.275</v>
      </c>
      <c r="G3231" s="33">
        <v>0.69375</v>
      </c>
      <c r="H3231" s="27">
        <f t="shared" si="2"/>
        <v>0.41875</v>
      </c>
      <c r="I3231" s="28">
        <v>4.0</v>
      </c>
      <c r="J3231" s="29" t="s">
        <v>55</v>
      </c>
      <c r="K3231" s="30" t="s">
        <v>23</v>
      </c>
      <c r="L3231" s="31" t="str">
        <f>IFERROR(__xludf.DUMMYFUNCTION("IF(OR(E3231="""",K3231=""""),"""",IFERROR(IF(K3231="""","""",query('tbl user'!$A$2:$D10975,""SELECT A WHERE D = '""&amp;K3231&amp;""'"")),""USER TIDAK DIKETAHUI""))"),"#REF!")</f>
        <v>#REF!</v>
      </c>
    </row>
    <row r="3232">
      <c r="A3232" s="21">
        <f t="shared" si="1"/>
        <v>0</v>
      </c>
      <c r="B3232" s="32" t="s">
        <v>214</v>
      </c>
      <c r="C3232" s="23" t="s">
        <v>170</v>
      </c>
      <c r="D3232" s="23" t="s">
        <v>58</v>
      </c>
      <c r="E3232" s="24">
        <v>45445.0</v>
      </c>
      <c r="F3232" s="25">
        <v>0.29791666666666666</v>
      </c>
      <c r="G3232" s="25">
        <v>0.7201388888888889</v>
      </c>
      <c r="H3232" s="27">
        <f t="shared" si="2"/>
        <v>0.4222222222</v>
      </c>
      <c r="I3232" s="28">
        <v>4.0</v>
      </c>
      <c r="J3232" s="29" t="s">
        <v>55</v>
      </c>
      <c r="K3232" s="30" t="s">
        <v>23</v>
      </c>
      <c r="L3232" s="31" t="str">
        <f>IFERROR(__xludf.DUMMYFUNCTION("IF(OR(E3232="""",K3232=""""),"""",IFERROR(IF(K3232="""","""",query('tbl user'!$A$2:$D10975,""SELECT A WHERE D = '""&amp;K3232&amp;""'"")),""USER TIDAK DIKETAHUI""))"),"#REF!")</f>
        <v>#REF!</v>
      </c>
    </row>
    <row r="3233">
      <c r="A3233" s="21">
        <f t="shared" si="1"/>
        <v>0</v>
      </c>
      <c r="B3233" s="32" t="s">
        <v>56</v>
      </c>
      <c r="C3233" s="23" t="s">
        <v>57</v>
      </c>
      <c r="D3233" s="23" t="s">
        <v>58</v>
      </c>
      <c r="E3233" s="24">
        <v>45445.0</v>
      </c>
      <c r="F3233" s="25">
        <v>0.27361111111111114</v>
      </c>
      <c r="G3233" s="25">
        <v>0.7152777777777778</v>
      </c>
      <c r="H3233" s="27">
        <f t="shared" si="2"/>
        <v>0.4416666667</v>
      </c>
      <c r="I3233" s="28">
        <v>4.0</v>
      </c>
      <c r="J3233" s="29" t="s">
        <v>55</v>
      </c>
      <c r="K3233" s="30" t="s">
        <v>23</v>
      </c>
      <c r="L3233" s="31" t="str">
        <f>IFERROR(__xludf.DUMMYFUNCTION("IF(OR(E3233="""",K3233=""""),"""",IFERROR(IF(K3233="""","""",query('tbl user'!$A$2:$D10975,""SELECT A WHERE D = '""&amp;K3233&amp;""'"")),""USER TIDAK DIKETAHUI""))"),"#REF!")</f>
        <v>#REF!</v>
      </c>
    </row>
    <row r="3234">
      <c r="A3234" s="21">
        <f t="shared" si="1"/>
        <v>0</v>
      </c>
      <c r="B3234" s="32" t="s">
        <v>180</v>
      </c>
      <c r="C3234" s="23" t="s">
        <v>181</v>
      </c>
      <c r="D3234" s="23" t="s">
        <v>58</v>
      </c>
      <c r="E3234" s="24">
        <v>45445.0</v>
      </c>
      <c r="F3234" s="25">
        <v>0.2298611111111111</v>
      </c>
      <c r="G3234" s="25">
        <v>0.6604166666666667</v>
      </c>
      <c r="H3234" s="27">
        <f t="shared" si="2"/>
        <v>0.4305555556</v>
      </c>
      <c r="I3234" s="28">
        <v>4.0</v>
      </c>
      <c r="J3234" s="29" t="s">
        <v>55</v>
      </c>
      <c r="K3234" s="30" t="s">
        <v>23</v>
      </c>
      <c r="L3234" s="31" t="str">
        <f>IFERROR(__xludf.DUMMYFUNCTION("IF(OR(E3234="""",K3234=""""),"""",IFERROR(IF(K3234="""","""",query('tbl user'!$A$2:$D10975,""SELECT A WHERE D = '""&amp;K3234&amp;""'"")),""USER TIDAK DIKETAHUI""))"),"#REF!")</f>
        <v>#REF!</v>
      </c>
    </row>
    <row r="3235">
      <c r="A3235" s="21">
        <f t="shared" si="1"/>
        <v>0</v>
      </c>
      <c r="B3235" s="32" t="s">
        <v>187</v>
      </c>
      <c r="C3235" s="23" t="s">
        <v>188</v>
      </c>
      <c r="D3235" s="23" t="s">
        <v>58</v>
      </c>
      <c r="E3235" s="24">
        <v>45445.0</v>
      </c>
      <c r="F3235" s="25">
        <v>0.23958333333333334</v>
      </c>
      <c r="G3235" s="25">
        <v>0.7201388888888889</v>
      </c>
      <c r="H3235" s="27">
        <f t="shared" si="2"/>
        <v>0.4805555556</v>
      </c>
      <c r="I3235" s="28">
        <v>4.0</v>
      </c>
      <c r="J3235" s="29" t="s">
        <v>55</v>
      </c>
      <c r="K3235" s="30" t="s">
        <v>23</v>
      </c>
      <c r="L3235" s="31" t="str">
        <f>IFERROR(__xludf.DUMMYFUNCTION("IF(OR(E3235="""",K3235=""""),"""",IFERROR(IF(K3235="""","""",query('tbl user'!$A$2:$D10975,""SELECT A WHERE D = '""&amp;K3235&amp;""'"")),""USER TIDAK DIKETAHUI""))"),"#REF!")</f>
        <v>#REF!</v>
      </c>
    </row>
    <row r="3236">
      <c r="A3236" s="21">
        <f t="shared" si="1"/>
        <v>0</v>
      </c>
      <c r="B3236" s="32" t="s">
        <v>189</v>
      </c>
      <c r="C3236" s="23" t="s">
        <v>190</v>
      </c>
      <c r="D3236" s="23" t="s">
        <v>58</v>
      </c>
      <c r="E3236" s="24">
        <v>45445.0</v>
      </c>
      <c r="F3236" s="25">
        <v>0.2722222222222222</v>
      </c>
      <c r="G3236" s="25">
        <v>0.6902777777777778</v>
      </c>
      <c r="H3236" s="27">
        <f t="shared" si="2"/>
        <v>0.4180555556</v>
      </c>
      <c r="I3236" s="28">
        <v>4.0</v>
      </c>
      <c r="J3236" s="29" t="s">
        <v>55</v>
      </c>
      <c r="K3236" s="30" t="s">
        <v>23</v>
      </c>
      <c r="L3236" s="31" t="str">
        <f>IFERROR(__xludf.DUMMYFUNCTION("IF(OR(E3236="""",K3236=""""),"""",IFERROR(IF(K3236="""","""",query('tbl user'!$A$2:$D10975,""SELECT A WHERE D = '""&amp;K3236&amp;""'"")),""USER TIDAK DIKETAHUI""))"),"#REF!")</f>
        <v>#REF!</v>
      </c>
    </row>
    <row r="3237">
      <c r="A3237" s="21">
        <f t="shared" si="1"/>
        <v>0</v>
      </c>
      <c r="B3237" s="32" t="s">
        <v>191</v>
      </c>
      <c r="C3237" s="23" t="s">
        <v>192</v>
      </c>
      <c r="D3237" s="23" t="s">
        <v>58</v>
      </c>
      <c r="E3237" s="24">
        <v>45445.0</v>
      </c>
      <c r="F3237" s="25">
        <v>0.2465277777777778</v>
      </c>
      <c r="G3237" s="25">
        <v>0.6576388888888889</v>
      </c>
      <c r="H3237" s="27">
        <f t="shared" si="2"/>
        <v>0.4111111111</v>
      </c>
      <c r="I3237" s="28">
        <v>4.0</v>
      </c>
      <c r="J3237" s="29" t="s">
        <v>55</v>
      </c>
      <c r="K3237" s="30" t="s">
        <v>23</v>
      </c>
      <c r="L3237" s="31" t="str">
        <f>IFERROR(__xludf.DUMMYFUNCTION("IF(OR(E3237="""",K3237=""""),"""",IFERROR(IF(K3237="""","""",query('tbl user'!$A$2:$D10975,""SELECT A WHERE D = '""&amp;K3237&amp;""'"")),""USER TIDAK DIKETAHUI""))"),"#REF!")</f>
        <v>#REF!</v>
      </c>
    </row>
    <row r="3238">
      <c r="A3238" s="21">
        <f t="shared" si="1"/>
        <v>0</v>
      </c>
      <c r="B3238" s="32" t="s">
        <v>202</v>
      </c>
      <c r="C3238" s="23" t="s">
        <v>203</v>
      </c>
      <c r="D3238" s="23" t="s">
        <v>58</v>
      </c>
      <c r="E3238" s="24">
        <v>45445.0</v>
      </c>
      <c r="F3238" s="25">
        <v>0.27569444444444446</v>
      </c>
      <c r="G3238" s="25">
        <v>0.7125</v>
      </c>
      <c r="H3238" s="27">
        <f t="shared" si="2"/>
        <v>0.4368055556</v>
      </c>
      <c r="I3238" s="28">
        <v>4.0</v>
      </c>
      <c r="J3238" s="29" t="s">
        <v>55</v>
      </c>
      <c r="K3238" s="30" t="s">
        <v>23</v>
      </c>
      <c r="L3238" s="31" t="str">
        <f>IFERROR(__xludf.DUMMYFUNCTION("IF(OR(E3238="""",K3238=""""),"""",IFERROR(IF(K3238="""","""",query('tbl user'!$A$2:$D10975,""SELECT A WHERE D = '""&amp;K3238&amp;""'"")),""USER TIDAK DIKETAHUI""))"),"#REF!")</f>
        <v>#REF!</v>
      </c>
    </row>
    <row r="3239">
      <c r="A3239" s="21">
        <f t="shared" si="1"/>
        <v>0</v>
      </c>
      <c r="B3239" s="32" t="s">
        <v>224</v>
      </c>
      <c r="C3239" s="23" t="s">
        <v>208</v>
      </c>
      <c r="D3239" s="23" t="s">
        <v>58</v>
      </c>
      <c r="E3239" s="24">
        <v>45445.0</v>
      </c>
      <c r="F3239" s="25">
        <v>0.24375</v>
      </c>
      <c r="G3239" s="25">
        <v>0.6666666666666666</v>
      </c>
      <c r="H3239" s="27">
        <f t="shared" si="2"/>
        <v>0.4229166667</v>
      </c>
      <c r="I3239" s="28">
        <v>4.0</v>
      </c>
      <c r="J3239" s="29" t="s">
        <v>55</v>
      </c>
      <c r="K3239" s="30" t="s">
        <v>23</v>
      </c>
      <c r="L3239" s="31" t="str">
        <f>IFERROR(__xludf.DUMMYFUNCTION("IF(OR(E3239="""",K3239=""""),"""",IFERROR(IF(K3239="""","""",query('tbl user'!$A$2:$D10975,""SELECT A WHERE D = '""&amp;K3239&amp;""'"")),""USER TIDAK DIKETAHUI""))"),"#REF!")</f>
        <v>#REF!</v>
      </c>
    </row>
    <row r="3240">
      <c r="A3240" s="21">
        <f t="shared" si="1"/>
        <v>0</v>
      </c>
      <c r="B3240" s="32" t="s">
        <v>197</v>
      </c>
      <c r="C3240" s="23" t="s">
        <v>198</v>
      </c>
      <c r="D3240" s="23" t="s">
        <v>58</v>
      </c>
      <c r="E3240" s="24">
        <v>45445.0</v>
      </c>
      <c r="F3240" s="25">
        <v>0.2048611111111111</v>
      </c>
      <c r="G3240" s="25">
        <v>0.6930555555555555</v>
      </c>
      <c r="H3240" s="27">
        <f t="shared" si="2"/>
        <v>0.4881944444</v>
      </c>
      <c r="I3240" s="28">
        <v>5.0</v>
      </c>
      <c r="J3240" s="29" t="s">
        <v>55</v>
      </c>
      <c r="K3240" s="30" t="s">
        <v>23</v>
      </c>
      <c r="L3240" s="31" t="str">
        <f>IFERROR(__xludf.DUMMYFUNCTION("IF(OR(E3240="""",K3240=""""),"""",IFERROR(IF(K3240="""","""",query('tbl user'!$A$2:$D10975,""SELECT A WHERE D = '""&amp;K3240&amp;""'"")),""USER TIDAK DIKETAHUI""))"),"#REF!")</f>
        <v>#REF!</v>
      </c>
    </row>
    <row r="3241">
      <c r="A3241" s="21">
        <f t="shared" si="1"/>
        <v>0</v>
      </c>
      <c r="B3241" s="32" t="s">
        <v>593</v>
      </c>
      <c r="C3241" s="23" t="s">
        <v>236</v>
      </c>
      <c r="D3241" s="23" t="s">
        <v>21</v>
      </c>
      <c r="E3241" s="24">
        <v>45445.0</v>
      </c>
      <c r="F3241" s="25">
        <v>0.2722222222222222</v>
      </c>
      <c r="G3241" s="25">
        <v>0.44305555555555554</v>
      </c>
      <c r="H3241" s="27">
        <f t="shared" si="2"/>
        <v>0.1708333333</v>
      </c>
      <c r="I3241" s="28">
        <v>1.0</v>
      </c>
      <c r="J3241" s="29" t="s">
        <v>1451</v>
      </c>
      <c r="K3241" s="30" t="s">
        <v>23</v>
      </c>
      <c r="L3241" s="31" t="str">
        <f>IFERROR(__xludf.DUMMYFUNCTION("IF(OR(E3241="""",K3241=""""),"""",IFERROR(IF(K3241="""","""",query('tbl user'!$A$2:$D10975,""SELECT A WHERE D = '""&amp;K3241&amp;""'"")),""USER TIDAK DIKETAHUI""))"),"#REF!")</f>
        <v>#REF!</v>
      </c>
    </row>
    <row r="3242">
      <c r="A3242" s="21">
        <f t="shared" si="1"/>
        <v>0</v>
      </c>
      <c r="B3242" s="32" t="s">
        <v>328</v>
      </c>
      <c r="C3242" s="23" t="s">
        <v>329</v>
      </c>
      <c r="D3242" s="23" t="s">
        <v>21</v>
      </c>
      <c r="E3242" s="24">
        <v>45445.0</v>
      </c>
      <c r="F3242" s="25">
        <v>0.2833333333333333</v>
      </c>
      <c r="G3242" s="25">
        <v>0.45625</v>
      </c>
      <c r="H3242" s="27">
        <f t="shared" si="2"/>
        <v>0.1729166667</v>
      </c>
      <c r="I3242" s="28">
        <v>1.0</v>
      </c>
      <c r="J3242" s="29" t="s">
        <v>1452</v>
      </c>
      <c r="K3242" s="30" t="s">
        <v>23</v>
      </c>
      <c r="L3242" s="31" t="str">
        <f>IFERROR(__xludf.DUMMYFUNCTION("IF(OR(E3242="""",K3242=""""),"""",IFERROR(IF(K3242="""","""",query('tbl user'!$A$2:$D10975,""SELECT A WHERE D = '""&amp;K3242&amp;""'"")),""USER TIDAK DIKETAHUI""))"),"#REF!")</f>
        <v>#REF!</v>
      </c>
    </row>
    <row r="3243">
      <c r="A3243" s="21">
        <f t="shared" si="1"/>
        <v>0</v>
      </c>
      <c r="B3243" s="32" t="s">
        <v>34</v>
      </c>
      <c r="C3243" s="23" t="s">
        <v>35</v>
      </c>
      <c r="D3243" s="23" t="s">
        <v>21</v>
      </c>
      <c r="E3243" s="24">
        <v>45445.0</v>
      </c>
      <c r="F3243" s="25">
        <v>0.28888888888888886</v>
      </c>
      <c r="G3243" s="25">
        <v>0.6416666666666667</v>
      </c>
      <c r="H3243" s="27">
        <f t="shared" si="2"/>
        <v>0.3527777778</v>
      </c>
      <c r="I3243" s="28">
        <v>2.0</v>
      </c>
      <c r="J3243" s="29" t="s">
        <v>1453</v>
      </c>
      <c r="K3243" s="30" t="s">
        <v>23</v>
      </c>
      <c r="L3243" s="31" t="str">
        <f>IFERROR(__xludf.DUMMYFUNCTION("IF(OR(E3243="""",K3243=""""),"""",IFERROR(IF(K3243="""","""",query('tbl user'!$A$2:$D10975,""SELECT A WHERE D = '""&amp;K3243&amp;""'"")),""USER TIDAK DIKETAHUI""))"),"#REF!")</f>
        <v>#REF!</v>
      </c>
    </row>
    <row r="3244">
      <c r="A3244" s="21">
        <f t="shared" si="1"/>
        <v>0</v>
      </c>
      <c r="B3244" s="32" t="s">
        <v>238</v>
      </c>
      <c r="C3244" s="23" t="s">
        <v>239</v>
      </c>
      <c r="D3244" s="23" t="s">
        <v>21</v>
      </c>
      <c r="E3244" s="24">
        <v>45445.0</v>
      </c>
      <c r="F3244" s="25">
        <v>0.2881944444444444</v>
      </c>
      <c r="G3244" s="25">
        <v>0.6666666666666666</v>
      </c>
      <c r="H3244" s="27">
        <f t="shared" si="2"/>
        <v>0.3784722222</v>
      </c>
      <c r="I3244" s="28">
        <v>2.0</v>
      </c>
      <c r="J3244" s="29" t="s">
        <v>1454</v>
      </c>
      <c r="K3244" s="30" t="s">
        <v>23</v>
      </c>
      <c r="L3244" s="31" t="str">
        <f>IFERROR(__xludf.DUMMYFUNCTION("IF(OR(E3244="""",K3244=""""),"""",IFERROR(IF(K3244="""","""",query('tbl user'!$A$2:$D10975,""SELECT A WHERE D = '""&amp;K3244&amp;""'"")),""USER TIDAK DIKETAHUI""))"),"#REF!")</f>
        <v>#REF!</v>
      </c>
    </row>
    <row r="3245">
      <c r="A3245" s="21">
        <f t="shared" si="1"/>
        <v>0</v>
      </c>
      <c r="B3245" s="32" t="s">
        <v>281</v>
      </c>
      <c r="C3245" s="23" t="s">
        <v>282</v>
      </c>
      <c r="D3245" s="23" t="s">
        <v>21</v>
      </c>
      <c r="E3245" s="24">
        <v>45445.0</v>
      </c>
      <c r="F3245" s="25">
        <v>0.29444444444444445</v>
      </c>
      <c r="G3245" s="25">
        <v>0.7395833333333334</v>
      </c>
      <c r="H3245" s="27">
        <f t="shared" si="2"/>
        <v>0.4451388889</v>
      </c>
      <c r="I3245" s="28">
        <v>2.0</v>
      </c>
      <c r="J3245" s="29" t="s">
        <v>1454</v>
      </c>
      <c r="K3245" s="30" t="s">
        <v>23</v>
      </c>
      <c r="L3245" s="31" t="str">
        <f>IFERROR(__xludf.DUMMYFUNCTION("IF(OR(E3245="""",K3245=""""),"""",IFERROR(IF(K3245="""","""",query('tbl user'!$A$2:$D10975,""SELECT A WHERE D = '""&amp;K3245&amp;""'"")),""USER TIDAK DIKETAHUI""))"),"#REF!")</f>
        <v>#REF!</v>
      </c>
    </row>
    <row r="3246">
      <c r="A3246" s="21">
        <f t="shared" si="1"/>
        <v>0</v>
      </c>
      <c r="B3246" s="32" t="s">
        <v>289</v>
      </c>
      <c r="C3246" s="23" t="s">
        <v>290</v>
      </c>
      <c r="D3246" s="23" t="s">
        <v>21</v>
      </c>
      <c r="E3246" s="24">
        <v>45445.0</v>
      </c>
      <c r="F3246" s="25">
        <v>0.2972222222222222</v>
      </c>
      <c r="G3246" s="25">
        <v>0.6715277777777777</v>
      </c>
      <c r="H3246" s="27">
        <f t="shared" si="2"/>
        <v>0.3743055556</v>
      </c>
      <c r="I3246" s="28">
        <v>2.0</v>
      </c>
      <c r="J3246" s="29" t="s">
        <v>1454</v>
      </c>
      <c r="K3246" s="30" t="s">
        <v>23</v>
      </c>
      <c r="L3246" s="31" t="str">
        <f>IFERROR(__xludf.DUMMYFUNCTION("IF(OR(E3246="""",K3246=""""),"""",IFERROR(IF(K3246="""","""",query('tbl user'!$A$2:$D10975,""SELECT A WHERE D = '""&amp;K3246&amp;""'"")),""USER TIDAK DIKETAHUI""))"),"#REF!")</f>
        <v>#REF!</v>
      </c>
    </row>
    <row r="3247">
      <c r="A3247" s="21">
        <f t="shared" si="1"/>
        <v>0</v>
      </c>
      <c r="B3247" s="32" t="s">
        <v>64</v>
      </c>
      <c r="C3247" s="23" t="s">
        <v>65</v>
      </c>
      <c r="D3247" s="23" t="s">
        <v>21</v>
      </c>
      <c r="E3247" s="24">
        <v>45445.0</v>
      </c>
      <c r="F3247" s="25">
        <v>0.2965277777777778</v>
      </c>
      <c r="G3247" s="25">
        <v>0.7166666666666667</v>
      </c>
      <c r="H3247" s="27">
        <f t="shared" si="2"/>
        <v>0.4201388889</v>
      </c>
      <c r="I3247" s="28">
        <v>2.0</v>
      </c>
      <c r="J3247" s="29" t="s">
        <v>1455</v>
      </c>
      <c r="K3247" s="30" t="s">
        <v>23</v>
      </c>
      <c r="L3247" s="31" t="str">
        <f>IFERROR(__xludf.DUMMYFUNCTION("IF(OR(E3247="""",K3247=""""),"""",IFERROR(IF(K3247="""","""",query('tbl user'!$A$2:$D10975,""SELECT A WHERE D = '""&amp;K3247&amp;""'"")),""USER TIDAK DIKETAHUI""))"),"#REF!")</f>
        <v>#REF!</v>
      </c>
    </row>
    <row r="3248">
      <c r="A3248" s="21">
        <f t="shared" si="1"/>
        <v>0</v>
      </c>
      <c r="B3248" s="32" t="s">
        <v>209</v>
      </c>
      <c r="C3248" s="23" t="s">
        <v>244</v>
      </c>
      <c r="D3248" s="23" t="s">
        <v>21</v>
      </c>
      <c r="E3248" s="24">
        <v>45445.0</v>
      </c>
      <c r="F3248" s="25">
        <v>0.27152777777777776</v>
      </c>
      <c r="G3248" s="25">
        <v>0.6298611111111111</v>
      </c>
      <c r="H3248" s="27">
        <f t="shared" si="2"/>
        <v>0.3583333333</v>
      </c>
      <c r="I3248" s="28">
        <v>2.0</v>
      </c>
      <c r="J3248" s="29" t="s">
        <v>1454</v>
      </c>
      <c r="K3248" s="30" t="s">
        <v>23</v>
      </c>
      <c r="L3248" s="31" t="str">
        <f>IFERROR(__xludf.DUMMYFUNCTION("IF(OR(E3248="""",K3248=""""),"""",IFERROR(IF(K3248="""","""",query('tbl user'!$A$2:$D10975,""SELECT A WHERE D = '""&amp;K3248&amp;""'"")),""USER TIDAK DIKETAHUI""))"),"#REF!")</f>
        <v>#REF!</v>
      </c>
    </row>
    <row r="3249">
      <c r="A3249" s="21">
        <f t="shared" si="1"/>
        <v>0</v>
      </c>
      <c r="B3249" s="32" t="s">
        <v>284</v>
      </c>
      <c r="C3249" s="23" t="s">
        <v>285</v>
      </c>
      <c r="D3249" s="23" t="s">
        <v>21</v>
      </c>
      <c r="E3249" s="24">
        <v>45445.0</v>
      </c>
      <c r="F3249" s="25">
        <v>0.29305555555555557</v>
      </c>
      <c r="G3249" s="25">
        <v>0.6451388888888889</v>
      </c>
      <c r="H3249" s="27">
        <f t="shared" si="2"/>
        <v>0.3520833333</v>
      </c>
      <c r="I3249" s="28">
        <v>2.0</v>
      </c>
      <c r="J3249" s="29" t="s">
        <v>1454</v>
      </c>
      <c r="K3249" s="30" t="s">
        <v>23</v>
      </c>
      <c r="L3249" s="31" t="str">
        <f>IFERROR(__xludf.DUMMYFUNCTION("IF(OR(E3249="""",K3249=""""),"""",IFERROR(IF(K3249="""","""",query('tbl user'!$A$2:$D10975,""SELECT A WHERE D = '""&amp;K3249&amp;""'"")),""USER TIDAK DIKETAHUI""))"),"#REF!")</f>
        <v>#REF!</v>
      </c>
    </row>
    <row r="3250">
      <c r="A3250" s="21">
        <f t="shared" si="1"/>
        <v>0</v>
      </c>
      <c r="B3250" s="32" t="s">
        <v>24</v>
      </c>
      <c r="C3250" s="23" t="s">
        <v>25</v>
      </c>
      <c r="D3250" s="23" t="s">
        <v>21</v>
      </c>
      <c r="E3250" s="24">
        <v>45445.0</v>
      </c>
      <c r="F3250" s="25">
        <v>0.2965277777777778</v>
      </c>
      <c r="G3250" s="25">
        <v>0.7444444444444445</v>
      </c>
      <c r="H3250" s="27">
        <f t="shared" si="2"/>
        <v>0.4479166667</v>
      </c>
      <c r="I3250" s="28">
        <v>2.0</v>
      </c>
      <c r="J3250" s="29" t="s">
        <v>1454</v>
      </c>
      <c r="K3250" s="30" t="s">
        <v>23</v>
      </c>
      <c r="L3250" s="31" t="str">
        <f>IFERROR(__xludf.DUMMYFUNCTION("IF(OR(E3250="""",K3250=""""),"""",IFERROR(IF(K3250="""","""",query('tbl user'!$A$2:$D10975,""SELECT A WHERE D = '""&amp;K3250&amp;""'"")),""USER TIDAK DIKETAHUI""))"),"#REF!")</f>
        <v>#REF!</v>
      </c>
    </row>
    <row r="3251">
      <c r="A3251" s="21">
        <f t="shared" si="1"/>
        <v>0</v>
      </c>
      <c r="B3251" s="32" t="s">
        <v>43</v>
      </c>
      <c r="C3251" s="23" t="s">
        <v>44</v>
      </c>
      <c r="D3251" s="23" t="s">
        <v>21</v>
      </c>
      <c r="E3251" s="24">
        <v>45445.0</v>
      </c>
      <c r="F3251" s="25">
        <v>0.2916666666666667</v>
      </c>
      <c r="G3251" s="25">
        <v>0.71875</v>
      </c>
      <c r="H3251" s="27">
        <f t="shared" si="2"/>
        <v>0.4270833333</v>
      </c>
      <c r="I3251" s="28">
        <v>2.0</v>
      </c>
      <c r="J3251" s="29" t="s">
        <v>1454</v>
      </c>
      <c r="K3251" s="30" t="s">
        <v>23</v>
      </c>
      <c r="L3251" s="31" t="str">
        <f>IFERROR(__xludf.DUMMYFUNCTION("IF(OR(E3251="""",K3251=""""),"""",IFERROR(IF(K3251="""","""",query('tbl user'!$A$2:$D10975,""SELECT A WHERE D = '""&amp;K3251&amp;""'"")),""USER TIDAK DIKETAHUI""))"),"#REF!")</f>
        <v>#REF!</v>
      </c>
    </row>
    <row r="3252">
      <c r="A3252" s="21">
        <f t="shared" si="1"/>
        <v>0</v>
      </c>
      <c r="B3252" s="32" t="s">
        <v>231</v>
      </c>
      <c r="C3252" s="23" t="s">
        <v>232</v>
      </c>
      <c r="D3252" s="23" t="s">
        <v>21</v>
      </c>
      <c r="E3252" s="24">
        <v>45445.0</v>
      </c>
      <c r="F3252" s="25">
        <v>0.25277777777777777</v>
      </c>
      <c r="G3252" s="25">
        <v>0.5708333333333333</v>
      </c>
      <c r="H3252" s="27">
        <f t="shared" si="2"/>
        <v>0.3180555556</v>
      </c>
      <c r="I3252" s="28">
        <v>2.0</v>
      </c>
      <c r="J3252" s="29" t="s">
        <v>1456</v>
      </c>
      <c r="K3252" s="30" t="s">
        <v>23</v>
      </c>
      <c r="L3252" s="31" t="str">
        <f>IFERROR(__xludf.DUMMYFUNCTION("IF(OR(E3252="""",K3252=""""),"""",IFERROR(IF(K3252="""","""",query('tbl user'!$A$2:$D10975,""SELECT A WHERE D = '""&amp;K3252&amp;""'"")),""USER TIDAK DIKETAHUI""))"),"#REF!")</f>
        <v>#REF!</v>
      </c>
    </row>
    <row r="3253">
      <c r="A3253" s="21">
        <f t="shared" si="1"/>
        <v>0</v>
      </c>
      <c r="B3253" s="32" t="s">
        <v>101</v>
      </c>
      <c r="C3253" s="23" t="s">
        <v>102</v>
      </c>
      <c r="D3253" s="23" t="s">
        <v>21</v>
      </c>
      <c r="E3253" s="24">
        <v>45445.0</v>
      </c>
      <c r="F3253" s="25">
        <v>0.2951388888888889</v>
      </c>
      <c r="G3253" s="25">
        <v>0.7180555555555556</v>
      </c>
      <c r="H3253" s="27">
        <f t="shared" si="2"/>
        <v>0.4229166667</v>
      </c>
      <c r="I3253" s="28">
        <v>2.0</v>
      </c>
      <c r="J3253" s="29" t="s">
        <v>1457</v>
      </c>
      <c r="K3253" s="30" t="s">
        <v>23</v>
      </c>
      <c r="L3253" s="31" t="str">
        <f>IFERROR(__xludf.DUMMYFUNCTION("IF(OR(E3253="""",K3253=""""),"""",IFERROR(IF(K3253="""","""",query('tbl user'!$A$2:$D10975,""SELECT A WHERE D = '""&amp;K3253&amp;""'"")),""USER TIDAK DIKETAHUI""))"),"#REF!")</f>
        <v>#REF!</v>
      </c>
    </row>
    <row r="3254">
      <c r="A3254" s="21">
        <f t="shared" si="1"/>
        <v>0</v>
      </c>
      <c r="B3254" s="32" t="s">
        <v>662</v>
      </c>
      <c r="C3254" s="23" t="s">
        <v>234</v>
      </c>
      <c r="D3254" s="23" t="s">
        <v>21</v>
      </c>
      <c r="E3254" s="24">
        <v>45445.0</v>
      </c>
      <c r="F3254" s="25">
        <v>0.2826388888888889</v>
      </c>
      <c r="G3254" s="25">
        <v>0.6354166666666666</v>
      </c>
      <c r="H3254" s="27">
        <f t="shared" si="2"/>
        <v>0.3527777778</v>
      </c>
      <c r="I3254" s="28">
        <v>2.0</v>
      </c>
      <c r="J3254" s="29" t="s">
        <v>1458</v>
      </c>
      <c r="K3254" s="30" t="s">
        <v>23</v>
      </c>
      <c r="L3254" s="31" t="str">
        <f>IFERROR(__xludf.DUMMYFUNCTION("IF(OR(E3254="""",K3254=""""),"""",IFERROR(IF(K3254="""","""",query('tbl user'!$A$2:$D10975,""SELECT A WHERE D = '""&amp;K3254&amp;""'"")),""USER TIDAK DIKETAHUI""))"),"#REF!")</f>
        <v>#REF!</v>
      </c>
    </row>
    <row r="3255">
      <c r="A3255" s="21">
        <f t="shared" si="1"/>
        <v>0</v>
      </c>
      <c r="B3255" s="32" t="s">
        <v>255</v>
      </c>
      <c r="C3255" s="23" t="s">
        <v>256</v>
      </c>
      <c r="D3255" s="23" t="s">
        <v>21</v>
      </c>
      <c r="E3255" s="24">
        <v>45445.0</v>
      </c>
      <c r="F3255" s="25">
        <v>0.44166666666666665</v>
      </c>
      <c r="G3255" s="25">
        <v>0.7451388888888889</v>
      </c>
      <c r="H3255" s="27">
        <f t="shared" si="2"/>
        <v>0.3034722222</v>
      </c>
      <c r="I3255" s="28">
        <v>2.0</v>
      </c>
      <c r="J3255" s="29" t="s">
        <v>1459</v>
      </c>
      <c r="K3255" s="30" t="s">
        <v>23</v>
      </c>
      <c r="L3255" s="31" t="str">
        <f>IFERROR(__xludf.DUMMYFUNCTION("IF(OR(E3255="""",K3255=""""),"""",IFERROR(IF(K3255="""","""",query('tbl user'!$A$2:$D10975,""SELECT A WHERE D = '""&amp;K3255&amp;""'"")),""USER TIDAK DIKETAHUI""))"),"#REF!")</f>
        <v>#REF!</v>
      </c>
    </row>
    <row r="3256">
      <c r="A3256" s="21">
        <f t="shared" si="1"/>
        <v>0</v>
      </c>
      <c r="B3256" s="32" t="s">
        <v>159</v>
      </c>
      <c r="C3256" s="23" t="s">
        <v>287</v>
      </c>
      <c r="D3256" s="23" t="s">
        <v>21</v>
      </c>
      <c r="E3256" s="24">
        <v>45445.0</v>
      </c>
      <c r="F3256" s="25">
        <v>0.2951388888888889</v>
      </c>
      <c r="G3256" s="25">
        <v>0.6979166666666666</v>
      </c>
      <c r="H3256" s="27">
        <f t="shared" si="2"/>
        <v>0.4027777778</v>
      </c>
      <c r="I3256" s="28">
        <v>2.0</v>
      </c>
      <c r="J3256" s="29" t="s">
        <v>1454</v>
      </c>
      <c r="K3256" s="30" t="s">
        <v>23</v>
      </c>
      <c r="L3256" s="31" t="str">
        <f>IFERROR(__xludf.DUMMYFUNCTION("IF(OR(E3256="""",K3256=""""),"""",IFERROR(IF(K3256="""","""",query('tbl user'!$A$2:$D10975,""SELECT A WHERE D = '""&amp;K3256&amp;""'"")),""USER TIDAK DIKETAHUI""))"),"#REF!")</f>
        <v>#REF!</v>
      </c>
    </row>
    <row r="3257">
      <c r="A3257" s="21">
        <f t="shared" si="1"/>
        <v>0</v>
      </c>
      <c r="B3257" s="32" t="s">
        <v>225</v>
      </c>
      <c r="C3257" s="23" t="s">
        <v>339</v>
      </c>
      <c r="D3257" s="23" t="s">
        <v>21</v>
      </c>
      <c r="E3257" s="24">
        <v>45445.0</v>
      </c>
      <c r="F3257" s="25">
        <v>0.29583333333333334</v>
      </c>
      <c r="G3257" s="25">
        <v>0.7006944444444444</v>
      </c>
      <c r="H3257" s="27">
        <f t="shared" si="2"/>
        <v>0.4048611111</v>
      </c>
      <c r="I3257" s="28">
        <v>2.0</v>
      </c>
      <c r="J3257" s="29" t="s">
        <v>1454</v>
      </c>
      <c r="K3257" s="30" t="s">
        <v>23</v>
      </c>
      <c r="L3257" s="31" t="str">
        <f>IFERROR(__xludf.DUMMYFUNCTION("IF(OR(E3257="""",K3257=""""),"""",IFERROR(IF(K3257="""","""",query('tbl user'!$A$2:$D10975,""SELECT A WHERE D = '""&amp;K3257&amp;""'"")),""USER TIDAK DIKETAHUI""))"),"#REF!")</f>
        <v>#REF!</v>
      </c>
    </row>
    <row r="3258">
      <c r="A3258" s="21">
        <f t="shared" si="1"/>
        <v>0</v>
      </c>
      <c r="B3258" s="32" t="s">
        <v>333</v>
      </c>
      <c r="C3258" s="23" t="s">
        <v>334</v>
      </c>
      <c r="D3258" s="23" t="s">
        <v>21</v>
      </c>
      <c r="E3258" s="24">
        <v>45445.0</v>
      </c>
      <c r="F3258" s="25">
        <v>0.26875</v>
      </c>
      <c r="G3258" s="25">
        <v>0.6243055555555556</v>
      </c>
      <c r="H3258" s="27">
        <f t="shared" si="2"/>
        <v>0.3555555556</v>
      </c>
      <c r="I3258" s="28">
        <v>2.0</v>
      </c>
      <c r="J3258" s="29" t="s">
        <v>1460</v>
      </c>
      <c r="K3258" s="30" t="s">
        <v>23</v>
      </c>
      <c r="L3258" s="31" t="str">
        <f>IFERROR(__xludf.DUMMYFUNCTION("IF(OR(E3258="""",K3258=""""),"""",IFERROR(IF(K3258="""","""",query('tbl user'!$A$2:$D10975,""SELECT A WHERE D = '""&amp;K3258&amp;""'"")),""USER TIDAK DIKETAHUI""))"),"#REF!")</f>
        <v>#REF!</v>
      </c>
    </row>
    <row r="3259">
      <c r="A3259" s="21">
        <f t="shared" si="1"/>
        <v>0</v>
      </c>
      <c r="B3259" s="32" t="s">
        <v>81</v>
      </c>
      <c r="C3259" s="23" t="s">
        <v>259</v>
      </c>
      <c r="D3259" s="23" t="s">
        <v>21</v>
      </c>
      <c r="E3259" s="24">
        <v>45445.0</v>
      </c>
      <c r="F3259" s="25">
        <v>0.2861111111111111</v>
      </c>
      <c r="G3259" s="25">
        <v>0.7229166666666667</v>
      </c>
      <c r="H3259" s="27">
        <f t="shared" si="2"/>
        <v>0.4368055556</v>
      </c>
      <c r="I3259" s="28">
        <v>2.0</v>
      </c>
      <c r="J3259" s="29" t="s">
        <v>1461</v>
      </c>
      <c r="K3259" s="30" t="s">
        <v>23</v>
      </c>
      <c r="L3259" s="31" t="str">
        <f>IFERROR(__xludf.DUMMYFUNCTION("IF(OR(E3259="""",K3259=""""),"""",IFERROR(IF(K3259="""","""",query('tbl user'!$A$2:$D10975,""SELECT A WHERE D = '""&amp;K3259&amp;""'"")),""USER TIDAK DIKETAHUI""))"),"#REF!")</f>
        <v>#REF!</v>
      </c>
    </row>
    <row r="3260">
      <c r="A3260" s="21">
        <f t="shared" si="1"/>
        <v>0</v>
      </c>
      <c r="B3260" s="32" t="s">
        <v>716</v>
      </c>
      <c r="C3260" s="23" t="s">
        <v>316</v>
      </c>
      <c r="D3260" s="23" t="s">
        <v>21</v>
      </c>
      <c r="E3260" s="24">
        <v>45445.0</v>
      </c>
      <c r="F3260" s="25">
        <v>0.2569444444444444</v>
      </c>
      <c r="G3260" s="25">
        <v>0.6763888888888889</v>
      </c>
      <c r="H3260" s="27">
        <f t="shared" si="2"/>
        <v>0.4194444444</v>
      </c>
      <c r="I3260" s="28">
        <v>2.0</v>
      </c>
      <c r="J3260" s="29" t="s">
        <v>1462</v>
      </c>
      <c r="K3260" s="30" t="s">
        <v>23</v>
      </c>
      <c r="L3260" s="31" t="str">
        <f>IFERROR(__xludf.DUMMYFUNCTION("IF(OR(E3260="""",K3260=""""),"""",IFERROR(IF(K3260="""","""",query('tbl user'!$A$2:$D10975,""SELECT A WHERE D = '""&amp;K3260&amp;""'"")),""USER TIDAK DIKETAHUI""))"),"#REF!")</f>
        <v>#REF!</v>
      </c>
    </row>
    <row r="3261">
      <c r="A3261" s="21">
        <f t="shared" si="1"/>
        <v>0</v>
      </c>
      <c r="B3261" s="32" t="s">
        <v>219</v>
      </c>
      <c r="C3261" s="23" t="s">
        <v>340</v>
      </c>
      <c r="D3261" s="23" t="s">
        <v>21</v>
      </c>
      <c r="E3261" s="24">
        <v>45445.0</v>
      </c>
      <c r="F3261" s="25">
        <v>0.2673611111111111</v>
      </c>
      <c r="G3261" s="25">
        <v>0.6868055555555556</v>
      </c>
      <c r="H3261" s="27">
        <f t="shared" si="2"/>
        <v>0.4194444444</v>
      </c>
      <c r="I3261" s="28">
        <v>2.0</v>
      </c>
      <c r="J3261" s="29" t="s">
        <v>494</v>
      </c>
      <c r="K3261" s="30" t="s">
        <v>23</v>
      </c>
      <c r="L3261" s="31" t="str">
        <f>IFERROR(__xludf.DUMMYFUNCTION("IF(OR(E3261="""",K3261=""""),"""",IFERROR(IF(K3261="""","""",query('tbl user'!$A$2:$D10975,""SELECT A WHERE D = '""&amp;K3261&amp;""'"")),""USER TIDAK DIKETAHUI""))"),"#REF!")</f>
        <v>#REF!</v>
      </c>
    </row>
    <row r="3262">
      <c r="A3262" s="21">
        <f t="shared" si="1"/>
        <v>0</v>
      </c>
      <c r="B3262" s="32" t="s">
        <v>53</v>
      </c>
      <c r="C3262" s="23" t="s">
        <v>54</v>
      </c>
      <c r="D3262" s="23" t="s">
        <v>21</v>
      </c>
      <c r="E3262" s="24">
        <v>45445.0</v>
      </c>
      <c r="F3262" s="25">
        <v>0.26875</v>
      </c>
      <c r="G3262" s="25">
        <v>0.6458333333333334</v>
      </c>
      <c r="H3262" s="27">
        <f t="shared" si="2"/>
        <v>0.3770833333</v>
      </c>
      <c r="I3262" s="28">
        <v>2.0</v>
      </c>
      <c r="J3262" s="29" t="s">
        <v>1463</v>
      </c>
      <c r="K3262" s="30" t="s">
        <v>23</v>
      </c>
      <c r="L3262" s="31" t="str">
        <f>IFERROR(__xludf.DUMMYFUNCTION("IF(OR(E3262="""",K3262=""""),"""",IFERROR(IF(K3262="""","""",query('tbl user'!$A$2:$D10975,""SELECT A WHERE D = '""&amp;K3262&amp;""'"")),""USER TIDAK DIKETAHUI""))"),"#REF!")</f>
        <v>#REF!</v>
      </c>
    </row>
    <row r="3263">
      <c r="A3263" s="21">
        <f t="shared" si="1"/>
        <v>0</v>
      </c>
      <c r="B3263" s="32" t="s">
        <v>577</v>
      </c>
      <c r="C3263" s="23" t="s">
        <v>330</v>
      </c>
      <c r="D3263" s="23" t="s">
        <v>21</v>
      </c>
      <c r="E3263" s="24">
        <v>45445.0</v>
      </c>
      <c r="F3263" s="25">
        <v>0.26180555555555557</v>
      </c>
      <c r="G3263" s="25">
        <v>0.6104166666666667</v>
      </c>
      <c r="H3263" s="27">
        <f t="shared" si="2"/>
        <v>0.3486111111</v>
      </c>
      <c r="I3263" s="28">
        <v>2.0</v>
      </c>
      <c r="J3263" s="29" t="s">
        <v>1464</v>
      </c>
      <c r="K3263" s="30" t="s">
        <v>23</v>
      </c>
      <c r="L3263" s="31" t="str">
        <f>IFERROR(__xludf.DUMMYFUNCTION("IF(OR(E3263="""",K3263=""""),"""",IFERROR(IF(K3263="""","""",query('tbl user'!$A$2:$D10975,""SELECT A WHERE D = '""&amp;K3263&amp;""'"")),""USER TIDAK DIKETAHUI""))"),"#REF!")</f>
        <v>#REF!</v>
      </c>
    </row>
    <row r="3264">
      <c r="A3264" s="21">
        <f t="shared" si="1"/>
        <v>0</v>
      </c>
      <c r="B3264" s="32" t="s">
        <v>337</v>
      </c>
      <c r="C3264" s="23" t="s">
        <v>338</v>
      </c>
      <c r="D3264" s="23" t="s">
        <v>21</v>
      </c>
      <c r="E3264" s="24">
        <v>45445.0</v>
      </c>
      <c r="F3264" s="25">
        <v>0.23055555555555557</v>
      </c>
      <c r="G3264" s="25">
        <v>0.5888888888888889</v>
      </c>
      <c r="H3264" s="27">
        <f t="shared" si="2"/>
        <v>0.3583333333</v>
      </c>
      <c r="I3264" s="28">
        <v>2.0</v>
      </c>
      <c r="J3264" s="29" t="s">
        <v>1454</v>
      </c>
      <c r="K3264" s="30" t="s">
        <v>23</v>
      </c>
      <c r="L3264" s="31" t="str">
        <f>IFERROR(__xludf.DUMMYFUNCTION("IF(OR(E3264="""",K3264=""""),"""",IFERROR(IF(K3264="""","""",query('tbl user'!$A$2:$D10975,""SELECT A WHERE D = '""&amp;K3264&amp;""'"")),""USER TIDAK DIKETAHUI""))"),"#REF!")</f>
        <v>#REF!</v>
      </c>
    </row>
    <row r="3265">
      <c r="A3265" s="21">
        <f t="shared" si="1"/>
        <v>0</v>
      </c>
      <c r="B3265" s="32" t="s">
        <v>601</v>
      </c>
      <c r="C3265" s="23" t="s">
        <v>323</v>
      </c>
      <c r="D3265" s="23" t="s">
        <v>21</v>
      </c>
      <c r="E3265" s="24">
        <v>45445.0</v>
      </c>
      <c r="F3265" s="25">
        <v>0.24722222222222223</v>
      </c>
      <c r="G3265" s="25">
        <v>0.6423611111111112</v>
      </c>
      <c r="H3265" s="27">
        <f t="shared" si="2"/>
        <v>0.3951388889</v>
      </c>
      <c r="I3265" s="28">
        <v>2.0</v>
      </c>
      <c r="J3265" s="29" t="s">
        <v>1454</v>
      </c>
      <c r="K3265" s="30" t="s">
        <v>23</v>
      </c>
      <c r="L3265" s="31" t="str">
        <f>IFERROR(__xludf.DUMMYFUNCTION("IF(OR(E3265="""",K3265=""""),"""",IFERROR(IF(K3265="""","""",query('tbl user'!$A$2:$D10975,""SELECT A WHERE D = '""&amp;K3265&amp;""'"")),""USER TIDAK DIKETAHUI""))"),"#REF!")</f>
        <v>#REF!</v>
      </c>
    </row>
    <row r="3266">
      <c r="A3266" s="21">
        <f t="shared" si="1"/>
        <v>0</v>
      </c>
      <c r="B3266" s="32" t="s">
        <v>260</v>
      </c>
      <c r="C3266" s="23" t="s">
        <v>261</v>
      </c>
      <c r="D3266" s="23" t="s">
        <v>21</v>
      </c>
      <c r="E3266" s="24">
        <v>45445.0</v>
      </c>
      <c r="F3266" s="25">
        <v>0.27291666666666664</v>
      </c>
      <c r="G3266" s="25">
        <v>0.6305555555555555</v>
      </c>
      <c r="H3266" s="27">
        <f t="shared" si="2"/>
        <v>0.3576388889</v>
      </c>
      <c r="I3266" s="28">
        <v>2.0</v>
      </c>
      <c r="J3266" s="29" t="s">
        <v>1454</v>
      </c>
      <c r="K3266" s="30" t="s">
        <v>23</v>
      </c>
      <c r="L3266" s="31" t="str">
        <f>IFERROR(__xludf.DUMMYFUNCTION("IF(OR(E3266="""",K3266=""""),"""",IFERROR(IF(K3266="""","""",query('tbl user'!$A$2:$D10975,""SELECT A WHERE D = '""&amp;K3266&amp;""'"")),""USER TIDAK DIKETAHUI""))"),"#REF!")</f>
        <v>#REF!</v>
      </c>
    </row>
    <row r="3267">
      <c r="A3267" s="21">
        <f t="shared" si="1"/>
        <v>0</v>
      </c>
      <c r="B3267" s="32" t="s">
        <v>305</v>
      </c>
      <c r="C3267" s="23" t="s">
        <v>251</v>
      </c>
      <c r="D3267" s="23" t="s">
        <v>21</v>
      </c>
      <c r="E3267" s="24">
        <v>45445.0</v>
      </c>
      <c r="F3267" s="25">
        <v>0.2326388888888889</v>
      </c>
      <c r="G3267" s="25">
        <v>0.7277777777777777</v>
      </c>
      <c r="H3267" s="27">
        <f t="shared" si="2"/>
        <v>0.4951388889</v>
      </c>
      <c r="I3267" s="28">
        <v>3.0</v>
      </c>
      <c r="J3267" s="29" t="s">
        <v>1465</v>
      </c>
      <c r="K3267" s="30" t="s">
        <v>23</v>
      </c>
      <c r="L3267" s="31" t="str">
        <f>IFERROR(__xludf.DUMMYFUNCTION("IF(OR(E3267="""",K3267=""""),"""",IFERROR(IF(K3267="""","""",query('tbl user'!$A$2:$D10975,""SELECT A WHERE D = '""&amp;K3267&amp;""'"")),""USER TIDAK DIKETAHUI""))"),"#REF!")</f>
        <v>#REF!</v>
      </c>
    </row>
    <row r="3268">
      <c r="A3268" s="21">
        <f t="shared" si="1"/>
        <v>0</v>
      </c>
      <c r="B3268" s="32" t="s">
        <v>331</v>
      </c>
      <c r="C3268" s="23" t="s">
        <v>332</v>
      </c>
      <c r="D3268" s="23" t="s">
        <v>21</v>
      </c>
      <c r="E3268" s="24">
        <v>45445.0</v>
      </c>
      <c r="F3268" s="25">
        <v>0.22847222222222222</v>
      </c>
      <c r="G3268" s="25">
        <v>0.7236111111111111</v>
      </c>
      <c r="H3268" s="27">
        <f t="shared" si="2"/>
        <v>0.4951388889</v>
      </c>
      <c r="I3268" s="28">
        <v>3.0</v>
      </c>
      <c r="J3268" s="29" t="s">
        <v>1454</v>
      </c>
      <c r="K3268" s="30" t="s">
        <v>23</v>
      </c>
      <c r="L3268" s="31" t="str">
        <f>IFERROR(__xludf.DUMMYFUNCTION("IF(OR(E3268="""",K3268=""""),"""",IFERROR(IF(K3268="""","""",query('tbl user'!$A$2:$D10975,""SELECT A WHERE D = '""&amp;K3268&amp;""'"")),""USER TIDAK DIKETAHUI""))"),"#REF!")</f>
        <v>#REF!</v>
      </c>
    </row>
    <row r="3269">
      <c r="A3269" s="21">
        <f t="shared" si="1"/>
        <v>0</v>
      </c>
      <c r="B3269" s="32" t="s">
        <v>319</v>
      </c>
      <c r="C3269" s="23" t="s">
        <v>320</v>
      </c>
      <c r="D3269" s="23" t="s">
        <v>21</v>
      </c>
      <c r="E3269" s="24">
        <v>45445.0</v>
      </c>
      <c r="F3269" s="25">
        <v>0.25416666666666665</v>
      </c>
      <c r="G3269" s="25">
        <v>0.7277777777777777</v>
      </c>
      <c r="H3269" s="27">
        <f t="shared" si="2"/>
        <v>0.4736111111</v>
      </c>
      <c r="I3269" s="28">
        <v>3.0</v>
      </c>
      <c r="J3269" s="29" t="s">
        <v>1454</v>
      </c>
      <c r="K3269" s="30" t="s">
        <v>23</v>
      </c>
      <c r="L3269" s="31" t="str">
        <f>IFERROR(__xludf.DUMMYFUNCTION("IF(OR(E3269="""",K3269=""""),"""",IFERROR(IF(K3269="""","""",query('tbl user'!$A$2:$D10975,""SELECT A WHERE D = '""&amp;K3269&amp;""'"")),""USER TIDAK DIKETAHUI""))"),"#REF!")</f>
        <v>#REF!</v>
      </c>
    </row>
    <row r="3270">
      <c r="A3270" s="21">
        <f t="shared" si="1"/>
        <v>0</v>
      </c>
      <c r="B3270" s="32" t="s">
        <v>325</v>
      </c>
      <c r="C3270" s="23" t="s">
        <v>326</v>
      </c>
      <c r="D3270" s="23" t="s">
        <v>21</v>
      </c>
      <c r="E3270" s="24">
        <v>45445.0</v>
      </c>
      <c r="F3270" s="25">
        <v>0.2611111111111111</v>
      </c>
      <c r="G3270" s="25">
        <v>0.7402777777777778</v>
      </c>
      <c r="H3270" s="27">
        <f t="shared" si="2"/>
        <v>0.4791666667</v>
      </c>
      <c r="I3270" s="28">
        <v>3.0</v>
      </c>
      <c r="J3270" s="29" t="s">
        <v>1454</v>
      </c>
      <c r="K3270" s="30" t="s">
        <v>23</v>
      </c>
      <c r="L3270" s="31" t="str">
        <f>IFERROR(__xludf.DUMMYFUNCTION("IF(OR(E3270="""",K3270=""""),"""",IFERROR(IF(K3270="""","""",query('tbl user'!$A$2:$D10975,""SELECT A WHERE D = '""&amp;K3270&amp;""'"")),""USER TIDAK DIKETAHUI""))"),"#REF!")</f>
        <v>#REF!</v>
      </c>
    </row>
    <row r="3271">
      <c r="A3271" s="21">
        <f t="shared" si="1"/>
        <v>0</v>
      </c>
      <c r="B3271" s="32" t="s">
        <v>110</v>
      </c>
      <c r="C3271" s="23" t="s">
        <v>111</v>
      </c>
      <c r="D3271" s="23" t="s">
        <v>32</v>
      </c>
      <c r="E3271" s="24">
        <v>45445.0</v>
      </c>
      <c r="F3271" s="25">
        <v>0.28888888888888886</v>
      </c>
      <c r="G3271" s="25">
        <v>0.5736111111111111</v>
      </c>
      <c r="H3271" s="27">
        <f t="shared" si="2"/>
        <v>0.2847222222</v>
      </c>
      <c r="I3271" s="28">
        <v>2.0</v>
      </c>
      <c r="J3271" s="29" t="s">
        <v>1466</v>
      </c>
      <c r="K3271" s="30" t="s">
        <v>23</v>
      </c>
      <c r="L3271" s="31" t="str">
        <f>IFERROR(__xludf.DUMMYFUNCTION("IF(OR(E3271="""",K3271=""""),"""",IFERROR(IF(K3271="""","""",query('tbl user'!$A$2:$D10975,""SELECT A WHERE D = '""&amp;K3271&amp;""'"")),""USER TIDAK DIKETAHUI""))"),"#REF!")</f>
        <v>#REF!</v>
      </c>
    </row>
    <row r="3272">
      <c r="A3272" s="21">
        <f t="shared" si="1"/>
        <v>0</v>
      </c>
      <c r="B3272" s="32" t="s">
        <v>120</v>
      </c>
      <c r="C3272" s="23" t="s">
        <v>121</v>
      </c>
      <c r="D3272" s="23" t="s">
        <v>32</v>
      </c>
      <c r="E3272" s="24">
        <v>45445.0</v>
      </c>
      <c r="F3272" s="25">
        <v>0.2763888888888889</v>
      </c>
      <c r="G3272" s="25">
        <v>0.5666666666666667</v>
      </c>
      <c r="H3272" s="27">
        <f t="shared" si="2"/>
        <v>0.2902777778</v>
      </c>
      <c r="I3272" s="28">
        <v>2.0</v>
      </c>
      <c r="J3272" s="29" t="s">
        <v>1467</v>
      </c>
      <c r="K3272" s="30" t="s">
        <v>23</v>
      </c>
      <c r="L3272" s="31" t="str">
        <f>IFERROR(__xludf.DUMMYFUNCTION("IF(OR(E3272="""",K3272=""""),"""",IFERROR(IF(K3272="""","""",query('tbl user'!$A$2:$D10975,""SELECT A WHERE D = '""&amp;K3272&amp;""'"")),""USER TIDAK DIKETAHUI""))"),"#REF!")</f>
        <v>#REF!</v>
      </c>
    </row>
    <row r="3273">
      <c r="A3273" s="21">
        <f t="shared" si="1"/>
        <v>0</v>
      </c>
      <c r="B3273" s="32" t="s">
        <v>131</v>
      </c>
      <c r="C3273" s="23" t="s">
        <v>132</v>
      </c>
      <c r="D3273" s="23" t="s">
        <v>32</v>
      </c>
      <c r="E3273" s="24">
        <v>45445.0</v>
      </c>
      <c r="F3273" s="25">
        <v>0.24791666666666667</v>
      </c>
      <c r="G3273" s="25">
        <v>0.5680555555555555</v>
      </c>
      <c r="H3273" s="27">
        <f t="shared" si="2"/>
        <v>0.3201388889</v>
      </c>
      <c r="I3273" s="28">
        <v>2.0</v>
      </c>
      <c r="J3273" s="29" t="s">
        <v>1468</v>
      </c>
      <c r="K3273" s="30" t="s">
        <v>23</v>
      </c>
      <c r="L3273" s="31" t="str">
        <f>IFERROR(__xludf.DUMMYFUNCTION("IF(OR(E3273="""",K3273=""""),"""",IFERROR(IF(K3273="""","""",query('tbl user'!$A$2:$D10975,""SELECT A WHERE D = '""&amp;K3273&amp;""'"")),""USER TIDAK DIKETAHUI""))"),"#REF!")</f>
        <v>#REF!</v>
      </c>
    </row>
    <row r="3274">
      <c r="A3274" s="21">
        <f t="shared" si="1"/>
        <v>0</v>
      </c>
      <c r="B3274" s="32" t="s">
        <v>78</v>
      </c>
      <c r="C3274" s="23" t="s">
        <v>79</v>
      </c>
      <c r="D3274" s="23" t="s">
        <v>32</v>
      </c>
      <c r="E3274" s="24">
        <v>45445.0</v>
      </c>
      <c r="F3274" s="25">
        <v>0.2534722222222222</v>
      </c>
      <c r="G3274" s="25">
        <v>0.7194444444444444</v>
      </c>
      <c r="H3274" s="27">
        <f t="shared" si="2"/>
        <v>0.4659722222</v>
      </c>
      <c r="I3274" s="28">
        <v>2.0</v>
      </c>
      <c r="J3274" s="29" t="s">
        <v>1469</v>
      </c>
      <c r="K3274" s="30" t="s">
        <v>23</v>
      </c>
      <c r="L3274" s="31" t="str">
        <f>IFERROR(__xludf.DUMMYFUNCTION("IF(OR(E3274="""",K3274=""""),"""",IFERROR(IF(K3274="""","""",query('tbl user'!$A$2:$D10975,""SELECT A WHERE D = '""&amp;K3274&amp;""'"")),""USER TIDAK DIKETAHUI""))"),"#REF!")</f>
        <v>#REF!</v>
      </c>
    </row>
    <row r="3275">
      <c r="A3275" s="21">
        <f t="shared" si="1"/>
        <v>0</v>
      </c>
      <c r="B3275" s="32" t="s">
        <v>412</v>
      </c>
      <c r="C3275" s="23" t="s">
        <v>413</v>
      </c>
      <c r="D3275" s="23" t="s">
        <v>32</v>
      </c>
      <c r="E3275" s="24">
        <v>45445.0</v>
      </c>
      <c r="F3275" s="25">
        <v>0.28888888888888886</v>
      </c>
      <c r="G3275" s="25">
        <v>0.68125</v>
      </c>
      <c r="H3275" s="27">
        <f t="shared" si="2"/>
        <v>0.3923611111</v>
      </c>
      <c r="I3275" s="28">
        <v>3.0</v>
      </c>
      <c r="J3275" s="29" t="s">
        <v>1470</v>
      </c>
      <c r="K3275" s="30" t="s">
        <v>23</v>
      </c>
      <c r="L3275" s="31" t="str">
        <f>IFERROR(__xludf.DUMMYFUNCTION("IF(OR(E3275="""",K3275=""""),"""",IFERROR(IF(K3275="""","""",query('tbl user'!$A$2:$D10975,""SELECT A WHERE D = '""&amp;K3275&amp;""'"")),""USER TIDAK DIKETAHUI""))"),"#REF!")</f>
        <v>#REF!</v>
      </c>
    </row>
    <row r="3276">
      <c r="A3276" s="21">
        <f t="shared" si="1"/>
        <v>0</v>
      </c>
      <c r="B3276" s="32" t="s">
        <v>113</v>
      </c>
      <c r="C3276" s="23" t="s">
        <v>114</v>
      </c>
      <c r="D3276" s="23" t="s">
        <v>32</v>
      </c>
      <c r="E3276" s="24">
        <v>45445.0</v>
      </c>
      <c r="F3276" s="25">
        <v>0.20694444444444443</v>
      </c>
      <c r="G3276" s="25">
        <v>0.625</v>
      </c>
      <c r="H3276" s="27">
        <f t="shared" si="2"/>
        <v>0.4180555556</v>
      </c>
      <c r="I3276" s="28">
        <v>3.0</v>
      </c>
      <c r="J3276" s="29" t="s">
        <v>1470</v>
      </c>
      <c r="K3276" s="30" t="s">
        <v>23</v>
      </c>
      <c r="L3276" s="31" t="str">
        <f>IFERROR(__xludf.DUMMYFUNCTION("IF(OR(E3276="""",K3276=""""),"""",IFERROR(IF(K3276="""","""",query('tbl user'!$A$2:$D10975,""SELECT A WHERE D = '""&amp;K3276&amp;""'"")),""USER TIDAK DIKETAHUI""))"),"#REF!")</f>
        <v>#REF!</v>
      </c>
    </row>
    <row r="3277">
      <c r="A3277" s="21">
        <f t="shared" si="1"/>
        <v>0</v>
      </c>
      <c r="B3277" s="32" t="s">
        <v>115</v>
      </c>
      <c r="C3277" s="23" t="s">
        <v>116</v>
      </c>
      <c r="D3277" s="23" t="s">
        <v>32</v>
      </c>
      <c r="E3277" s="24">
        <v>45445.0</v>
      </c>
      <c r="F3277" s="25">
        <v>0.2638888888888889</v>
      </c>
      <c r="G3277" s="25">
        <v>0.6652777777777777</v>
      </c>
      <c r="H3277" s="27">
        <f t="shared" si="2"/>
        <v>0.4013888889</v>
      </c>
      <c r="I3277" s="28">
        <v>3.0</v>
      </c>
      <c r="J3277" s="29" t="s">
        <v>1471</v>
      </c>
      <c r="K3277" s="30" t="s">
        <v>23</v>
      </c>
      <c r="L3277" s="31" t="str">
        <f>IFERROR(__xludf.DUMMYFUNCTION("IF(OR(E3277="""",K3277=""""),"""",IFERROR(IF(K3277="""","""",query('tbl user'!$A$2:$D10975,""SELECT A WHERE D = '""&amp;K3277&amp;""'"")),""USER TIDAK DIKETAHUI""))"),"#REF!")</f>
        <v>#REF!</v>
      </c>
    </row>
    <row r="3278">
      <c r="A3278" s="21">
        <f t="shared" si="1"/>
        <v>0</v>
      </c>
      <c r="B3278" s="32" t="s">
        <v>263</v>
      </c>
      <c r="C3278" s="23" t="s">
        <v>264</v>
      </c>
      <c r="D3278" s="23" t="s">
        <v>32</v>
      </c>
      <c r="E3278" s="24">
        <v>45445.0</v>
      </c>
      <c r="F3278" s="25">
        <v>0.23194444444444445</v>
      </c>
      <c r="G3278" s="25">
        <v>0.6277777777777778</v>
      </c>
      <c r="H3278" s="27">
        <f t="shared" si="2"/>
        <v>0.3958333333</v>
      </c>
      <c r="I3278" s="28">
        <v>3.0</v>
      </c>
      <c r="J3278" s="29" t="s">
        <v>309</v>
      </c>
      <c r="K3278" s="30" t="s">
        <v>23</v>
      </c>
      <c r="L3278" s="31" t="str">
        <f>IFERROR(__xludf.DUMMYFUNCTION("IF(OR(E3278="""",K3278=""""),"""",IFERROR(IF(K3278="""","""",query('tbl user'!$A$2:$D10975,""SELECT A WHERE D = '""&amp;K3278&amp;""'"")),""USER TIDAK DIKETAHUI""))"),"#REF!")</f>
        <v>#REF!</v>
      </c>
    </row>
    <row r="3279">
      <c r="A3279" s="21">
        <f t="shared" si="1"/>
        <v>0</v>
      </c>
      <c r="B3279" s="32" t="s">
        <v>125</v>
      </c>
      <c r="C3279" s="23" t="s">
        <v>126</v>
      </c>
      <c r="D3279" s="23" t="s">
        <v>32</v>
      </c>
      <c r="E3279" s="24">
        <v>45445.0</v>
      </c>
      <c r="F3279" s="25">
        <v>0.28958333333333336</v>
      </c>
      <c r="G3279" s="25">
        <v>0.7326388888888888</v>
      </c>
      <c r="H3279" s="27">
        <f t="shared" si="2"/>
        <v>0.4430555556</v>
      </c>
      <c r="I3279" s="28">
        <v>3.0</v>
      </c>
      <c r="J3279" s="29" t="s">
        <v>1472</v>
      </c>
      <c r="K3279" s="30" t="s">
        <v>23</v>
      </c>
      <c r="L3279" s="31" t="str">
        <f>IFERROR(__xludf.DUMMYFUNCTION("IF(OR(E3279="""",K3279=""""),"""",IFERROR(IF(K3279="""","""",query('tbl user'!$A$2:$D10975,""SELECT A WHERE D = '""&amp;K3279&amp;""'"")),""USER TIDAK DIKETAHUI""))"),"#REF!")</f>
        <v>#REF!</v>
      </c>
    </row>
    <row r="3280">
      <c r="A3280" s="21">
        <f t="shared" si="1"/>
        <v>0</v>
      </c>
      <c r="B3280" s="32" t="s">
        <v>127</v>
      </c>
      <c r="C3280" s="23" t="s">
        <v>128</v>
      </c>
      <c r="D3280" s="23" t="s">
        <v>32</v>
      </c>
      <c r="E3280" s="24">
        <v>45445.0</v>
      </c>
      <c r="F3280" s="25">
        <v>0.2902777777777778</v>
      </c>
      <c r="G3280" s="25">
        <v>0.68125</v>
      </c>
      <c r="H3280" s="27">
        <f t="shared" si="2"/>
        <v>0.3909722222</v>
      </c>
      <c r="I3280" s="28">
        <v>3.0</v>
      </c>
      <c r="J3280" s="29" t="s">
        <v>1470</v>
      </c>
      <c r="K3280" s="30" t="s">
        <v>23</v>
      </c>
      <c r="L3280" s="31" t="str">
        <f>IFERROR(__xludf.DUMMYFUNCTION("IF(OR(E3280="""",K3280=""""),"""",IFERROR(IF(K3280="""","""",query('tbl user'!$A$2:$D10975,""SELECT A WHERE D = '""&amp;K3280&amp;""'"")),""USER TIDAK DIKETAHUI""))"),"#REF!")</f>
        <v>#REF!</v>
      </c>
    </row>
    <row r="3281">
      <c r="A3281" s="21">
        <f t="shared" si="1"/>
        <v>0</v>
      </c>
      <c r="B3281" s="32" t="s">
        <v>72</v>
      </c>
      <c r="C3281" s="23" t="s">
        <v>73</v>
      </c>
      <c r="D3281" s="23" t="s">
        <v>32</v>
      </c>
      <c r="E3281" s="24">
        <v>45445.0</v>
      </c>
      <c r="F3281" s="25">
        <v>0.22430555555555556</v>
      </c>
      <c r="G3281" s="25">
        <v>0.5972222222222222</v>
      </c>
      <c r="H3281" s="27">
        <f t="shared" si="2"/>
        <v>0.3729166667</v>
      </c>
      <c r="I3281" s="28">
        <v>3.0</v>
      </c>
      <c r="J3281" s="29" t="s">
        <v>1473</v>
      </c>
      <c r="K3281" s="30" t="s">
        <v>23</v>
      </c>
      <c r="L3281" s="31" t="str">
        <f>IFERROR(__xludf.DUMMYFUNCTION("IF(OR(E3281="""",K3281=""""),"""",IFERROR(IF(K3281="""","""",query('tbl user'!$A$2:$D10975,""SELECT A WHERE D = '""&amp;K3281&amp;""'"")),""USER TIDAK DIKETAHUI""))"),"#REF!")</f>
        <v>#REF!</v>
      </c>
    </row>
    <row r="3282">
      <c r="A3282" s="21">
        <f t="shared" si="1"/>
        <v>0</v>
      </c>
      <c r="B3282" s="32" t="s">
        <v>277</v>
      </c>
      <c r="C3282" s="23" t="s">
        <v>278</v>
      </c>
      <c r="D3282" s="23" t="s">
        <v>32</v>
      </c>
      <c r="E3282" s="24">
        <v>45445.0</v>
      </c>
      <c r="F3282" s="25">
        <v>0.23402777777777778</v>
      </c>
      <c r="G3282" s="25">
        <v>0.6708333333333333</v>
      </c>
      <c r="H3282" s="27">
        <f t="shared" si="2"/>
        <v>0.4368055556</v>
      </c>
      <c r="I3282" s="28">
        <v>3.0</v>
      </c>
      <c r="J3282" s="29" t="s">
        <v>1474</v>
      </c>
      <c r="K3282" s="30" t="s">
        <v>23</v>
      </c>
      <c r="L3282" s="31" t="str">
        <f>IFERROR(__xludf.DUMMYFUNCTION("IF(OR(E3282="""",K3282=""""),"""",IFERROR(IF(K3282="""","""",query('tbl user'!$A$2:$D10975,""SELECT A WHERE D = '""&amp;K3282&amp;""'"")),""USER TIDAK DIKETAHUI""))"),"#REF!")</f>
        <v>#REF!</v>
      </c>
    </row>
    <row r="3283">
      <c r="A3283" s="21">
        <f t="shared" si="1"/>
        <v>0</v>
      </c>
      <c r="B3283" s="32" t="s">
        <v>274</v>
      </c>
      <c r="C3283" s="23" t="s">
        <v>275</v>
      </c>
      <c r="D3283" s="23" t="s">
        <v>32</v>
      </c>
      <c r="E3283" s="24">
        <v>45445.0</v>
      </c>
      <c r="F3283" s="25">
        <v>0.2847222222222222</v>
      </c>
      <c r="G3283" s="25">
        <v>0.5923611111111111</v>
      </c>
      <c r="H3283" s="27">
        <f t="shared" si="2"/>
        <v>0.3076388889</v>
      </c>
      <c r="I3283" s="28">
        <v>3.0</v>
      </c>
      <c r="J3283" s="29" t="s">
        <v>1475</v>
      </c>
      <c r="K3283" s="30" t="s">
        <v>23</v>
      </c>
      <c r="L3283" s="31" t="str">
        <f>IFERROR(__xludf.DUMMYFUNCTION("IF(OR(E3283="""",K3283=""""),"""",IFERROR(IF(K3283="""","""",query('tbl user'!$A$2:$D10975,""SELECT A WHERE D = '""&amp;K3283&amp;""'"")),""USER TIDAK DIKETAHUI""))"),"#REF!")</f>
        <v>#REF!</v>
      </c>
    </row>
    <row r="3284">
      <c r="A3284" s="21">
        <f t="shared" si="1"/>
        <v>0</v>
      </c>
      <c r="B3284" s="32" t="s">
        <v>250</v>
      </c>
      <c r="C3284" s="23" t="s">
        <v>315</v>
      </c>
      <c r="D3284" s="23" t="s">
        <v>32</v>
      </c>
      <c r="E3284" s="24">
        <v>45445.0</v>
      </c>
      <c r="F3284" s="25">
        <v>0.24861111111111112</v>
      </c>
      <c r="G3284" s="25">
        <v>0.725</v>
      </c>
      <c r="H3284" s="27">
        <f t="shared" si="2"/>
        <v>0.4763888889</v>
      </c>
      <c r="I3284" s="28">
        <v>4.0</v>
      </c>
      <c r="J3284" s="29" t="s">
        <v>55</v>
      </c>
      <c r="K3284" s="30" t="s">
        <v>23</v>
      </c>
      <c r="L3284" s="31" t="str">
        <f>IFERROR(__xludf.DUMMYFUNCTION("IF(OR(E3284="""",K3284=""""),"""",IFERROR(IF(K3284="""","""",query('tbl user'!$A$2:$D10975,""SELECT A WHERE D = '""&amp;K3284&amp;""'"")),""USER TIDAK DIKETAHUI""))"),"#REF!")</f>
        <v>#REF!</v>
      </c>
    </row>
    <row r="3285">
      <c r="A3285" s="21">
        <f t="shared" si="1"/>
        <v>0</v>
      </c>
      <c r="B3285" s="32" t="s">
        <v>46</v>
      </c>
      <c r="C3285" s="23" t="s">
        <v>47</v>
      </c>
      <c r="D3285" s="23" t="s">
        <v>32</v>
      </c>
      <c r="E3285" s="24">
        <v>45445.0</v>
      </c>
      <c r="F3285" s="25">
        <v>0.2659722222222222</v>
      </c>
      <c r="G3285" s="25">
        <v>0.7333333333333333</v>
      </c>
      <c r="H3285" s="27">
        <f t="shared" si="2"/>
        <v>0.4673611111</v>
      </c>
      <c r="I3285" s="28">
        <v>4.0</v>
      </c>
      <c r="J3285" s="29" t="s">
        <v>55</v>
      </c>
      <c r="K3285" s="30" t="s">
        <v>23</v>
      </c>
      <c r="L3285" s="31" t="str">
        <f>IFERROR(__xludf.DUMMYFUNCTION("IF(OR(E3285="""",K3285=""""),"""",IFERROR(IF(K3285="""","""",query('tbl user'!$A$2:$D10975,""SELECT A WHERE D = '""&amp;K3285&amp;""'"")),""USER TIDAK DIKETAHUI""))"),"#REF!")</f>
        <v>#REF!</v>
      </c>
    </row>
    <row r="3286">
      <c r="A3286" s="21">
        <f t="shared" si="1"/>
        <v>0</v>
      </c>
      <c r="B3286" s="32" t="s">
        <v>118</v>
      </c>
      <c r="C3286" s="23" t="s">
        <v>119</v>
      </c>
      <c r="D3286" s="23" t="s">
        <v>32</v>
      </c>
      <c r="E3286" s="24">
        <v>45445.0</v>
      </c>
      <c r="F3286" s="25">
        <v>0.2076388888888889</v>
      </c>
      <c r="G3286" s="25">
        <v>0.6875</v>
      </c>
      <c r="H3286" s="27">
        <f t="shared" si="2"/>
        <v>0.4798611111</v>
      </c>
      <c r="I3286" s="28">
        <v>4.0</v>
      </c>
      <c r="J3286" s="29" t="s">
        <v>55</v>
      </c>
      <c r="K3286" s="30" t="s">
        <v>23</v>
      </c>
      <c r="L3286" s="31" t="str">
        <f>IFERROR(__xludf.DUMMYFUNCTION("IF(OR(E3286="""",K3286=""""),"""",IFERROR(IF(K3286="""","""",query('tbl user'!$A$2:$D10975,""SELECT A WHERE D = '""&amp;K3286&amp;""'"")),""USER TIDAK DIKETAHUI""))"),"#REF!")</f>
        <v>#REF!</v>
      </c>
    </row>
    <row r="3287">
      <c r="A3287" s="21">
        <f t="shared" si="1"/>
        <v>0</v>
      </c>
      <c r="B3287" s="32" t="s">
        <v>123</v>
      </c>
      <c r="C3287" s="23" t="s">
        <v>124</v>
      </c>
      <c r="D3287" s="23" t="s">
        <v>32</v>
      </c>
      <c r="E3287" s="24">
        <v>45445.0</v>
      </c>
      <c r="F3287" s="25">
        <v>0.2604166666666667</v>
      </c>
      <c r="G3287" s="25">
        <v>0.7173611111111111</v>
      </c>
      <c r="H3287" s="27">
        <f t="shared" si="2"/>
        <v>0.4569444444</v>
      </c>
      <c r="I3287" s="28">
        <v>4.0</v>
      </c>
      <c r="J3287" s="29" t="s">
        <v>55</v>
      </c>
      <c r="K3287" s="30" t="s">
        <v>23</v>
      </c>
      <c r="L3287" s="31" t="str">
        <f>IFERROR(__xludf.DUMMYFUNCTION("IF(OR(E3287="""",K3287=""""),"""",IFERROR(IF(K3287="""","""",query('tbl user'!$A$2:$D10975,""SELECT A WHERE D = '""&amp;K3287&amp;""'"")),""USER TIDAK DIKETAHUI""))"),"#REF!")</f>
        <v>#REF!</v>
      </c>
    </row>
    <row r="3288">
      <c r="A3288" s="21">
        <f t="shared" si="1"/>
        <v>0</v>
      </c>
      <c r="B3288" s="32" t="s">
        <v>312</v>
      </c>
      <c r="C3288" s="23" t="s">
        <v>313</v>
      </c>
      <c r="D3288" s="23" t="s">
        <v>32</v>
      </c>
      <c r="E3288" s="24">
        <v>45445.0</v>
      </c>
      <c r="F3288" s="25">
        <v>0.2777777777777778</v>
      </c>
      <c r="G3288" s="25">
        <v>0.6770833333333334</v>
      </c>
      <c r="H3288" s="27">
        <f t="shared" si="2"/>
        <v>0.3993055556</v>
      </c>
      <c r="I3288" s="28">
        <v>4.0</v>
      </c>
      <c r="J3288" s="29" t="s">
        <v>55</v>
      </c>
      <c r="K3288" s="30" t="s">
        <v>23</v>
      </c>
      <c r="L3288" s="31" t="str">
        <f>IFERROR(__xludf.DUMMYFUNCTION("IF(OR(E3288="""",K3288=""""),"""",IFERROR(IF(K3288="""","""",query('tbl user'!$A$2:$D10975,""SELECT A WHERE D = '""&amp;K3288&amp;""'"")),""USER TIDAK DIKETAHUI""))"),"#REF!")</f>
        <v>#REF!</v>
      </c>
    </row>
    <row r="3289">
      <c r="A3289" s="21">
        <f t="shared" si="1"/>
        <v>0</v>
      </c>
      <c r="B3289" s="32" t="s">
        <v>279</v>
      </c>
      <c r="C3289" s="23" t="s">
        <v>280</v>
      </c>
      <c r="D3289" s="23" t="s">
        <v>32</v>
      </c>
      <c r="E3289" s="24">
        <v>45445.0</v>
      </c>
      <c r="F3289" s="25">
        <v>0.2590277777777778</v>
      </c>
      <c r="G3289" s="25">
        <v>0.6430555555555556</v>
      </c>
      <c r="H3289" s="27">
        <f t="shared" si="2"/>
        <v>0.3840277778</v>
      </c>
      <c r="I3289" s="28">
        <v>4.0</v>
      </c>
      <c r="J3289" s="29" t="s">
        <v>55</v>
      </c>
      <c r="K3289" s="30" t="s">
        <v>23</v>
      </c>
      <c r="L3289" s="31" t="str">
        <f>IFERROR(__xludf.DUMMYFUNCTION("IF(OR(E3289="""",K3289=""""),"""",IFERROR(IF(K3289="""","""",query('tbl user'!$A$2:$D10975,""SELECT A WHERE D = '""&amp;K3289&amp;""'"")),""USER TIDAK DIKETAHUI""))"),"#REF!")</f>
        <v>#REF!</v>
      </c>
    </row>
    <row r="3290">
      <c r="A3290" s="21">
        <f t="shared" si="1"/>
        <v>0</v>
      </c>
      <c r="B3290" s="32" t="s">
        <v>141</v>
      </c>
      <c r="C3290" s="23" t="s">
        <v>142</v>
      </c>
      <c r="D3290" s="23" t="s">
        <v>32</v>
      </c>
      <c r="E3290" s="24">
        <v>45445.0</v>
      </c>
      <c r="F3290" s="25">
        <v>0.29097222222222224</v>
      </c>
      <c r="G3290" s="25">
        <v>0.6673611111111111</v>
      </c>
      <c r="H3290" s="27">
        <f t="shared" si="2"/>
        <v>0.3763888889</v>
      </c>
      <c r="I3290" s="28">
        <v>4.0</v>
      </c>
      <c r="J3290" s="29" t="s">
        <v>55</v>
      </c>
      <c r="K3290" s="30" t="s">
        <v>23</v>
      </c>
      <c r="L3290" s="31" t="str">
        <f>IFERROR(__xludf.DUMMYFUNCTION("IF(OR(E3290="""",K3290=""""),"""",IFERROR(IF(K3290="""","""",query('tbl user'!$A$2:$D10975,""SELECT A WHERE D = '""&amp;K3290&amp;""'"")),""USER TIDAK DIKETAHUI""))"),"#REF!")</f>
        <v>#REF!</v>
      </c>
    </row>
    <row r="3291">
      <c r="A3291" s="21">
        <f t="shared" si="1"/>
        <v>0</v>
      </c>
      <c r="B3291" s="32" t="s">
        <v>144</v>
      </c>
      <c r="C3291" s="23" t="s">
        <v>145</v>
      </c>
      <c r="D3291" s="23" t="s">
        <v>32</v>
      </c>
      <c r="E3291" s="24">
        <v>45445.0</v>
      </c>
      <c r="F3291" s="25">
        <v>0.2743055555555556</v>
      </c>
      <c r="G3291" s="25">
        <v>0.6555555555555556</v>
      </c>
      <c r="H3291" s="27">
        <f t="shared" si="2"/>
        <v>0.38125</v>
      </c>
      <c r="I3291" s="28">
        <v>4.0</v>
      </c>
      <c r="J3291" s="29" t="s">
        <v>55</v>
      </c>
      <c r="K3291" s="30" t="s">
        <v>23</v>
      </c>
      <c r="L3291" s="31" t="str">
        <f>IFERROR(__xludf.DUMMYFUNCTION("IF(OR(E3291="""",K3291=""""),"""",IFERROR(IF(K3291="""","""",query('tbl user'!$A$2:$D10975,""SELECT A WHERE D = '""&amp;K3291&amp;""'"")),""USER TIDAK DIKETAHUI""))"),"#REF!")</f>
        <v>#REF!</v>
      </c>
    </row>
    <row r="3292">
      <c r="A3292" s="21">
        <f t="shared" si="1"/>
        <v>0</v>
      </c>
      <c r="B3292" s="32" t="s">
        <v>146</v>
      </c>
      <c r="C3292" s="23" t="s">
        <v>147</v>
      </c>
      <c r="D3292" s="23" t="s">
        <v>32</v>
      </c>
      <c r="E3292" s="24">
        <v>45445.0</v>
      </c>
      <c r="F3292" s="25">
        <v>0.28888888888888886</v>
      </c>
      <c r="G3292" s="25">
        <v>0.68125</v>
      </c>
      <c r="H3292" s="27">
        <f t="shared" si="2"/>
        <v>0.3923611111</v>
      </c>
      <c r="I3292" s="28">
        <v>4.0</v>
      </c>
      <c r="J3292" s="29" t="s">
        <v>55</v>
      </c>
      <c r="K3292" s="30" t="s">
        <v>23</v>
      </c>
      <c r="L3292" s="31" t="str">
        <f>IFERROR(__xludf.DUMMYFUNCTION("IF(OR(E3292="""",K3292=""""),"""",IFERROR(IF(K3292="""","""",query('tbl user'!$A$2:$D10975,""SELECT A WHERE D = '""&amp;K3292&amp;""'"")),""USER TIDAK DIKETAHUI""))"),"#REF!")</f>
        <v>#REF!</v>
      </c>
    </row>
    <row r="3293">
      <c r="A3293" s="21">
        <f t="shared" si="1"/>
        <v>0</v>
      </c>
      <c r="B3293" s="32" t="s">
        <v>151</v>
      </c>
      <c r="C3293" s="23" t="s">
        <v>152</v>
      </c>
      <c r="D3293" s="23" t="s">
        <v>32</v>
      </c>
      <c r="E3293" s="24">
        <v>45445.0</v>
      </c>
      <c r="F3293" s="25">
        <v>0.2763888888888889</v>
      </c>
      <c r="G3293" s="25">
        <v>0.6555555555555556</v>
      </c>
      <c r="H3293" s="27">
        <f t="shared" si="2"/>
        <v>0.3791666667</v>
      </c>
      <c r="I3293" s="28">
        <v>4.0</v>
      </c>
      <c r="J3293" s="29" t="s">
        <v>55</v>
      </c>
      <c r="K3293" s="30" t="s">
        <v>23</v>
      </c>
      <c r="L3293" s="31" t="str">
        <f>IFERROR(__xludf.DUMMYFUNCTION("IF(OR(E3293="""",K3293=""""),"""",IFERROR(IF(K3293="""","""",query('tbl user'!$A$2:$D10975,""SELECT A WHERE D = '""&amp;K3293&amp;""'"")),""USER TIDAK DIKETAHUI""))"),"#REF!")</f>
        <v>#REF!</v>
      </c>
    </row>
    <row r="3294">
      <c r="A3294" s="21">
        <f t="shared" si="1"/>
        <v>0</v>
      </c>
      <c r="B3294" s="32" t="s">
        <v>133</v>
      </c>
      <c r="C3294" s="23" t="s">
        <v>134</v>
      </c>
      <c r="D3294" s="23" t="s">
        <v>32</v>
      </c>
      <c r="E3294" s="24">
        <v>45445.0</v>
      </c>
      <c r="F3294" s="25">
        <v>0.24513888888888888</v>
      </c>
      <c r="G3294" s="25">
        <v>0.6944444444444444</v>
      </c>
      <c r="H3294" s="27">
        <f t="shared" si="2"/>
        <v>0.4493055556</v>
      </c>
      <c r="I3294" s="28">
        <v>5.0</v>
      </c>
      <c r="J3294" s="29" t="s">
        <v>55</v>
      </c>
      <c r="K3294" s="30" t="s">
        <v>23</v>
      </c>
      <c r="L3294" s="31" t="str">
        <f>IFERROR(__xludf.DUMMYFUNCTION("IF(OR(E3294="""",K3294=""""),"""",IFERROR(IF(K3294="""","""",query('tbl user'!$A$2:$D10975,""SELECT A WHERE D = '""&amp;K3294&amp;""'"")),""USER TIDAK DIKETAHUI""))"),"#REF!")</f>
        <v>#REF!</v>
      </c>
    </row>
    <row r="3295">
      <c r="A3295" s="21">
        <f t="shared" si="1"/>
        <v>0</v>
      </c>
      <c r="B3295" s="32" t="s">
        <v>149</v>
      </c>
      <c r="C3295" s="23" t="s">
        <v>150</v>
      </c>
      <c r="D3295" s="23" t="s">
        <v>32</v>
      </c>
      <c r="E3295" s="24">
        <v>45445.0</v>
      </c>
      <c r="F3295" s="25">
        <v>0.2388888888888889</v>
      </c>
      <c r="G3295" s="25">
        <v>0.7291666666666666</v>
      </c>
      <c r="H3295" s="27">
        <f t="shared" si="2"/>
        <v>0.4902777778</v>
      </c>
      <c r="I3295" s="28">
        <v>5.0</v>
      </c>
      <c r="J3295" s="29" t="s">
        <v>55</v>
      </c>
      <c r="K3295" s="30" t="s">
        <v>23</v>
      </c>
      <c r="L3295" s="31" t="str">
        <f>IFERROR(__xludf.DUMMYFUNCTION("IF(OR(E3295="""",K3295=""""),"""",IFERROR(IF(K3295="""","""",query('tbl user'!$A$2:$D10975,""SELECT A WHERE D = '""&amp;K3295&amp;""'"")),""USER TIDAK DIKETAHUI""))"),"#REF!")</f>
        <v>#REF!</v>
      </c>
    </row>
    <row r="3296">
      <c r="A3296" s="21">
        <f t="shared" si="1"/>
        <v>0</v>
      </c>
      <c r="B3296" s="32" t="s">
        <v>84</v>
      </c>
      <c r="C3296" s="23" t="s">
        <v>85</v>
      </c>
      <c r="D3296" s="23" t="s">
        <v>58</v>
      </c>
      <c r="E3296" s="24">
        <v>45446.0</v>
      </c>
      <c r="F3296" s="25">
        <v>0.2638888888888889</v>
      </c>
      <c r="G3296" s="25">
        <v>0.43333333333333335</v>
      </c>
      <c r="H3296" s="27">
        <f t="shared" si="2"/>
        <v>0.1694444444</v>
      </c>
      <c r="I3296" s="28">
        <v>1.0</v>
      </c>
      <c r="J3296" s="29" t="s">
        <v>1476</v>
      </c>
      <c r="K3296" s="30" t="s">
        <v>23</v>
      </c>
      <c r="L3296" s="31" t="str">
        <f>IFERROR(__xludf.DUMMYFUNCTION("IF(OR(E3296="""",K3296=""""),"""",IFERROR(IF(K3296="""","""",query('tbl user'!$A$2:$D10975,""SELECT A WHERE D = '""&amp;K3296&amp;""'"")),""USER TIDAK DIKETAHUI""))"),"#REF!")</f>
        <v>#REF!</v>
      </c>
    </row>
    <row r="3297">
      <c r="A3297" s="21">
        <f t="shared" si="1"/>
        <v>0</v>
      </c>
      <c r="B3297" s="32" t="s">
        <v>67</v>
      </c>
      <c r="C3297" s="23" t="s">
        <v>68</v>
      </c>
      <c r="D3297" s="23" t="s">
        <v>58</v>
      </c>
      <c r="E3297" s="24">
        <v>45446.0</v>
      </c>
      <c r="F3297" s="25">
        <v>0.2916666666666667</v>
      </c>
      <c r="G3297" s="25">
        <v>0.5833333333333334</v>
      </c>
      <c r="H3297" s="27">
        <f t="shared" si="2"/>
        <v>0.2916666667</v>
      </c>
      <c r="I3297" s="28">
        <v>2.0</v>
      </c>
      <c r="J3297" s="29" t="s">
        <v>1477</v>
      </c>
      <c r="K3297" s="30" t="s">
        <v>23</v>
      </c>
      <c r="L3297" s="31" t="str">
        <f>IFERROR(__xludf.DUMMYFUNCTION("IF(OR(E3297="""",K3297=""""),"""",IFERROR(IF(K3297="""","""",query('tbl user'!$A$2:$D10975,""SELECT A WHERE D = '""&amp;K3297&amp;""'"")),""USER TIDAK DIKETAHUI""))"),"#REF!")</f>
        <v>#REF!</v>
      </c>
    </row>
    <row r="3298">
      <c r="A3298" s="21">
        <f t="shared" si="1"/>
        <v>0</v>
      </c>
      <c r="B3298" s="32" t="s">
        <v>153</v>
      </c>
      <c r="C3298" s="23" t="s">
        <v>211</v>
      </c>
      <c r="D3298" s="23" t="s">
        <v>58</v>
      </c>
      <c r="E3298" s="24">
        <v>45446.0</v>
      </c>
      <c r="F3298" s="25">
        <v>0.2763888888888889</v>
      </c>
      <c r="G3298" s="25">
        <v>0.58125</v>
      </c>
      <c r="H3298" s="27">
        <f t="shared" si="2"/>
        <v>0.3048611111</v>
      </c>
      <c r="I3298" s="28">
        <v>2.0</v>
      </c>
      <c r="J3298" s="29" t="s">
        <v>1478</v>
      </c>
      <c r="K3298" s="30" t="s">
        <v>23</v>
      </c>
      <c r="L3298" s="31" t="str">
        <f>IFERROR(__xludf.DUMMYFUNCTION("IF(OR(E3298="""",K3298=""""),"""",IFERROR(IF(K3298="""","""",query('tbl user'!$A$2:$D10975,""SELECT A WHERE D = '""&amp;K3298&amp;""'"")),""USER TIDAK DIKETAHUI""))"),"#REF!")</f>
        <v>#REF!</v>
      </c>
    </row>
    <row r="3299">
      <c r="A3299" s="21">
        <f t="shared" si="1"/>
        <v>0</v>
      </c>
      <c r="B3299" s="32" t="s">
        <v>187</v>
      </c>
      <c r="C3299" s="23" t="s">
        <v>188</v>
      </c>
      <c r="D3299" s="23" t="s">
        <v>58</v>
      </c>
      <c r="E3299" s="24">
        <v>45446.0</v>
      </c>
      <c r="F3299" s="25">
        <v>0.26319444444444445</v>
      </c>
      <c r="G3299" s="25">
        <v>0.5034722222222222</v>
      </c>
      <c r="H3299" s="27">
        <f t="shared" si="2"/>
        <v>0.2402777778</v>
      </c>
      <c r="I3299" s="28">
        <v>2.0</v>
      </c>
      <c r="J3299" s="29" t="s">
        <v>1479</v>
      </c>
      <c r="K3299" s="30" t="s">
        <v>23</v>
      </c>
      <c r="L3299" s="31" t="str">
        <f>IFERROR(__xludf.DUMMYFUNCTION("IF(OR(E3299="""",K3299=""""),"""",IFERROR(IF(K3299="""","""",query('tbl user'!$A$2:$D10975,""SELECT A WHERE D = '""&amp;K3299&amp;""'"")),""USER TIDAK DIKETAHUI""))"),"#REF!")</f>
        <v>#REF!</v>
      </c>
    </row>
    <row r="3300">
      <c r="A3300" s="21">
        <f t="shared" si="1"/>
        <v>0</v>
      </c>
      <c r="B3300" s="32" t="s">
        <v>167</v>
      </c>
      <c r="C3300" s="23" t="s">
        <v>168</v>
      </c>
      <c r="D3300" s="23" t="s">
        <v>58</v>
      </c>
      <c r="E3300" s="24">
        <v>45446.0</v>
      </c>
      <c r="F3300" s="25">
        <v>0.2916666666666667</v>
      </c>
      <c r="G3300" s="25">
        <v>0.6583333333333333</v>
      </c>
      <c r="H3300" s="27">
        <f t="shared" si="2"/>
        <v>0.3666666667</v>
      </c>
      <c r="I3300" s="28">
        <v>3.0</v>
      </c>
      <c r="J3300" s="29" t="s">
        <v>171</v>
      </c>
      <c r="K3300" s="30" t="s">
        <v>23</v>
      </c>
      <c r="L3300" s="31" t="str">
        <f>IFERROR(__xludf.DUMMYFUNCTION("IF(OR(E3300="""",K3300=""""),"""",IFERROR(IF(K3300="""","""",query('tbl user'!$A$2:$D10975,""SELECT A WHERE D = '""&amp;K3300&amp;""'"")),""USER TIDAK DIKETAHUI""))"),"#REF!")</f>
        <v>#REF!</v>
      </c>
    </row>
    <row r="3301">
      <c r="A3301" s="21">
        <f t="shared" si="1"/>
        <v>0</v>
      </c>
      <c r="B3301" s="32" t="s">
        <v>214</v>
      </c>
      <c r="C3301" s="23" t="s">
        <v>170</v>
      </c>
      <c r="D3301" s="23" t="s">
        <v>58</v>
      </c>
      <c r="E3301" s="24">
        <v>45446.0</v>
      </c>
      <c r="F3301" s="25">
        <v>0.29097222222222224</v>
      </c>
      <c r="G3301" s="25">
        <v>0.6673611111111111</v>
      </c>
      <c r="H3301" s="27">
        <f t="shared" si="2"/>
        <v>0.3763888889</v>
      </c>
      <c r="I3301" s="28">
        <v>3.0</v>
      </c>
      <c r="J3301" s="29" t="s">
        <v>1480</v>
      </c>
      <c r="K3301" s="30" t="s">
        <v>23</v>
      </c>
      <c r="L3301" s="31" t="str">
        <f>IFERROR(__xludf.DUMMYFUNCTION("IF(OR(E3301="""",K3301=""""),"""",IFERROR(IF(K3301="""","""",query('tbl user'!$A$2:$D10975,""SELECT A WHERE D = '""&amp;K3301&amp;""'"")),""USER TIDAK DIKETAHUI""))"),"#REF!")</f>
        <v>#REF!</v>
      </c>
    </row>
    <row r="3302">
      <c r="A3302" s="21">
        <f t="shared" si="1"/>
        <v>0</v>
      </c>
      <c r="B3302" s="32" t="s">
        <v>175</v>
      </c>
      <c r="C3302" s="23" t="s">
        <v>176</v>
      </c>
      <c r="D3302" s="23" t="s">
        <v>58</v>
      </c>
      <c r="E3302" s="24">
        <v>45446.0</v>
      </c>
      <c r="F3302" s="25">
        <v>0.2652777777777778</v>
      </c>
      <c r="G3302" s="25">
        <v>0.6631944444444444</v>
      </c>
      <c r="H3302" s="27">
        <f t="shared" si="2"/>
        <v>0.3979166667</v>
      </c>
      <c r="I3302" s="28">
        <v>3.0</v>
      </c>
      <c r="J3302" s="29" t="s">
        <v>171</v>
      </c>
      <c r="K3302" s="30" t="s">
        <v>23</v>
      </c>
      <c r="L3302" s="31" t="str">
        <f>IFERROR(__xludf.DUMMYFUNCTION("IF(OR(E3302="""",K3302=""""),"""",IFERROR(IF(K3302="""","""",query('tbl user'!$A$2:$D10975,""SELECT A WHERE D = '""&amp;K3302&amp;""'"")),""USER TIDAK DIKETAHUI""))"),"#REF!")</f>
        <v>#REF!</v>
      </c>
    </row>
    <row r="3303">
      <c r="A3303" s="21">
        <f t="shared" si="1"/>
        <v>0</v>
      </c>
      <c r="B3303" s="32" t="s">
        <v>56</v>
      </c>
      <c r="C3303" s="23" t="s">
        <v>57</v>
      </c>
      <c r="D3303" s="23" t="s">
        <v>58</v>
      </c>
      <c r="E3303" s="24">
        <v>45446.0</v>
      </c>
      <c r="F3303" s="25">
        <v>0.2847222222222222</v>
      </c>
      <c r="G3303" s="25">
        <v>0.7097222222222223</v>
      </c>
      <c r="H3303" s="27">
        <f t="shared" si="2"/>
        <v>0.425</v>
      </c>
      <c r="I3303" s="28">
        <v>3.0</v>
      </c>
      <c r="J3303" s="29" t="s">
        <v>171</v>
      </c>
      <c r="K3303" s="30" t="s">
        <v>23</v>
      </c>
      <c r="L3303" s="31" t="str">
        <f>IFERROR(__xludf.DUMMYFUNCTION("IF(OR(E3303="""",K3303=""""),"""",IFERROR(IF(K3303="""","""",query('tbl user'!$A$2:$D10975,""SELECT A WHERE D = '""&amp;K3303&amp;""'"")),""USER TIDAK DIKETAHUI""))"),"#REF!")</f>
        <v>#REF!</v>
      </c>
    </row>
    <row r="3304">
      <c r="A3304" s="21">
        <f t="shared" si="1"/>
        <v>0</v>
      </c>
      <c r="B3304" s="32" t="s">
        <v>184</v>
      </c>
      <c r="C3304" s="23" t="s">
        <v>185</v>
      </c>
      <c r="D3304" s="23" t="s">
        <v>58</v>
      </c>
      <c r="E3304" s="24">
        <v>45446.0</v>
      </c>
      <c r="F3304" s="25">
        <v>0.26944444444444443</v>
      </c>
      <c r="G3304" s="25">
        <v>0.6291666666666667</v>
      </c>
      <c r="H3304" s="27">
        <f t="shared" si="2"/>
        <v>0.3597222222</v>
      </c>
      <c r="I3304" s="28">
        <v>3.0</v>
      </c>
      <c r="J3304" s="29" t="s">
        <v>177</v>
      </c>
      <c r="K3304" s="30" t="s">
        <v>23</v>
      </c>
      <c r="L3304" s="31" t="str">
        <f>IFERROR(__xludf.DUMMYFUNCTION("IF(OR(E3304="""",K3304=""""),"""",IFERROR(IF(K3304="""","""",query('tbl user'!$A$2:$D10975,""SELECT A WHERE D = '""&amp;K3304&amp;""'"")),""USER TIDAK DIKETAHUI""))"),"#REF!")</f>
        <v>#REF!</v>
      </c>
    </row>
    <row r="3305">
      <c r="A3305" s="21">
        <f t="shared" si="1"/>
        <v>0</v>
      </c>
      <c r="B3305" s="32" t="s">
        <v>189</v>
      </c>
      <c r="C3305" s="23" t="s">
        <v>190</v>
      </c>
      <c r="D3305" s="23" t="s">
        <v>58</v>
      </c>
      <c r="E3305" s="24">
        <v>45446.0</v>
      </c>
      <c r="F3305" s="25">
        <v>0.2902777777777778</v>
      </c>
      <c r="G3305" s="25">
        <v>0.7090277777777778</v>
      </c>
      <c r="H3305" s="27">
        <f t="shared" si="2"/>
        <v>0.41875</v>
      </c>
      <c r="I3305" s="28">
        <v>3.0</v>
      </c>
      <c r="J3305" s="29" t="s">
        <v>171</v>
      </c>
      <c r="K3305" s="30" t="s">
        <v>23</v>
      </c>
      <c r="L3305" s="31" t="str">
        <f>IFERROR(__xludf.DUMMYFUNCTION("IF(OR(E3305="""",K3305=""""),"""",IFERROR(IF(K3305="""","""",query('tbl user'!$A$2:$D10975,""SELECT A WHERE D = '""&amp;K3305&amp;""'"")),""USER TIDAK DIKETAHUI""))"),"#REF!")</f>
        <v>#REF!</v>
      </c>
    </row>
    <row r="3306">
      <c r="A3306" s="21">
        <f t="shared" si="1"/>
        <v>0</v>
      </c>
      <c r="B3306" s="32" t="s">
        <v>194</v>
      </c>
      <c r="C3306" s="23" t="s">
        <v>195</v>
      </c>
      <c r="D3306" s="23" t="s">
        <v>58</v>
      </c>
      <c r="E3306" s="24">
        <v>45446.0</v>
      </c>
      <c r="F3306" s="25">
        <v>0.26666666666666666</v>
      </c>
      <c r="G3306" s="25">
        <v>0.5875</v>
      </c>
      <c r="H3306" s="27">
        <f t="shared" si="2"/>
        <v>0.3208333333</v>
      </c>
      <c r="I3306" s="28">
        <v>3.0</v>
      </c>
      <c r="J3306" s="29" t="s">
        <v>1481</v>
      </c>
      <c r="K3306" s="30" t="s">
        <v>23</v>
      </c>
      <c r="L3306" s="31" t="str">
        <f>IFERROR(__xludf.DUMMYFUNCTION("IF(OR(E3306="""",K3306=""""),"""",IFERROR(IF(K3306="""","""",query('tbl user'!$A$2:$D10975,""SELECT A WHERE D = '""&amp;K3306&amp;""'"")),""USER TIDAK DIKETAHUI""))"),"#REF!")</f>
        <v>#REF!</v>
      </c>
    </row>
    <row r="3307">
      <c r="A3307" s="21">
        <f t="shared" si="1"/>
        <v>0</v>
      </c>
      <c r="B3307" s="32" t="s">
        <v>197</v>
      </c>
      <c r="C3307" s="23" t="s">
        <v>198</v>
      </c>
      <c r="D3307" s="23" t="s">
        <v>58</v>
      </c>
      <c r="E3307" s="24">
        <v>45446.0</v>
      </c>
      <c r="F3307" s="25">
        <v>0.26319444444444445</v>
      </c>
      <c r="G3307" s="25">
        <v>0.5972222222222222</v>
      </c>
      <c r="H3307" s="27">
        <f t="shared" si="2"/>
        <v>0.3340277778</v>
      </c>
      <c r="I3307" s="28">
        <v>3.0</v>
      </c>
      <c r="J3307" s="29" t="s">
        <v>1482</v>
      </c>
      <c r="K3307" s="30" t="s">
        <v>23</v>
      </c>
      <c r="L3307" s="31" t="str">
        <f>IFERROR(__xludf.DUMMYFUNCTION("IF(OR(E3307="""",K3307=""""),"""",IFERROR(IF(K3307="""","""",query('tbl user'!$A$2:$D10975,""SELECT A WHERE D = '""&amp;K3307&amp;""'"")),""USER TIDAK DIKETAHUI""))"),"#REF!")</f>
        <v>#REF!</v>
      </c>
    </row>
    <row r="3308">
      <c r="A3308" s="21">
        <f t="shared" si="1"/>
        <v>0</v>
      </c>
      <c r="B3308" s="32" t="s">
        <v>200</v>
      </c>
      <c r="C3308" s="23" t="s">
        <v>201</v>
      </c>
      <c r="D3308" s="23" t="s">
        <v>58</v>
      </c>
      <c r="E3308" s="24">
        <v>45446.0</v>
      </c>
      <c r="F3308" s="25">
        <v>0.26458333333333334</v>
      </c>
      <c r="G3308" s="25">
        <v>0.66875</v>
      </c>
      <c r="H3308" s="27">
        <f t="shared" si="2"/>
        <v>0.4041666667</v>
      </c>
      <c r="I3308" s="28">
        <v>3.0</v>
      </c>
      <c r="J3308" s="29" t="s">
        <v>1483</v>
      </c>
      <c r="K3308" s="30" t="s">
        <v>23</v>
      </c>
      <c r="L3308" s="31" t="str">
        <f>IFERROR(__xludf.DUMMYFUNCTION("IF(OR(E3308="""",K3308=""""),"""",IFERROR(IF(K3308="""","""",query('tbl user'!$A$2:$D10975,""SELECT A WHERE D = '""&amp;K3308&amp;""'"")),""USER TIDAK DIKETAHUI""))"),"#REF!")</f>
        <v>#REF!</v>
      </c>
    </row>
    <row r="3309">
      <c r="A3309" s="21">
        <f t="shared" si="1"/>
        <v>0</v>
      </c>
      <c r="B3309" s="32" t="s">
        <v>104</v>
      </c>
      <c r="C3309" s="23" t="s">
        <v>105</v>
      </c>
      <c r="D3309" s="23" t="s">
        <v>58</v>
      </c>
      <c r="E3309" s="24">
        <v>45446.0</v>
      </c>
      <c r="F3309" s="25">
        <v>0.2708333333333333</v>
      </c>
      <c r="G3309" s="25">
        <v>0.6965277777777777</v>
      </c>
      <c r="H3309" s="27">
        <f t="shared" si="2"/>
        <v>0.4256944444</v>
      </c>
      <c r="I3309" s="28">
        <v>3.0</v>
      </c>
      <c r="J3309" s="29" t="s">
        <v>1484</v>
      </c>
      <c r="K3309" s="30" t="s">
        <v>23</v>
      </c>
      <c r="L3309" s="31" t="str">
        <f>IFERROR(__xludf.DUMMYFUNCTION("IF(OR(E3309="""",K3309=""""),"""",IFERROR(IF(K3309="""","""",query('tbl user'!$A$2:$D10975,""SELECT A WHERE D = '""&amp;K3309&amp;""'"")),""USER TIDAK DIKETAHUI""))"),"#REF!")</f>
        <v>#REF!</v>
      </c>
    </row>
    <row r="3310">
      <c r="A3310" s="21">
        <f t="shared" si="1"/>
        <v>0</v>
      </c>
      <c r="B3310" s="32" t="s">
        <v>202</v>
      </c>
      <c r="C3310" s="23" t="s">
        <v>203</v>
      </c>
      <c r="D3310" s="23" t="s">
        <v>58</v>
      </c>
      <c r="E3310" s="24">
        <v>45446.0</v>
      </c>
      <c r="F3310" s="25">
        <v>0.26875</v>
      </c>
      <c r="G3310" s="25">
        <v>0.71875</v>
      </c>
      <c r="H3310" s="27">
        <f t="shared" si="2"/>
        <v>0.45</v>
      </c>
      <c r="I3310" s="28">
        <v>3.0</v>
      </c>
      <c r="J3310" s="29" t="s">
        <v>1485</v>
      </c>
      <c r="K3310" s="30" t="s">
        <v>23</v>
      </c>
      <c r="L3310" s="31" t="str">
        <f>IFERROR(__xludf.DUMMYFUNCTION("IF(OR(E3310="""",K3310=""""),"""",IFERROR(IF(K3310="""","""",query('tbl user'!$A$2:$D10975,""SELECT A WHERE D = '""&amp;K3310&amp;""'"")),""USER TIDAK DIKETAHUI""))"),"#REF!")</f>
        <v>#REF!</v>
      </c>
    </row>
    <row r="3311">
      <c r="A3311" s="21">
        <f t="shared" si="1"/>
        <v>0</v>
      </c>
      <c r="B3311" s="32" t="s">
        <v>224</v>
      </c>
      <c r="C3311" s="23" t="s">
        <v>208</v>
      </c>
      <c r="D3311" s="23" t="s">
        <v>58</v>
      </c>
      <c r="E3311" s="24">
        <v>45446.0</v>
      </c>
      <c r="F3311" s="25">
        <v>0.27291666666666664</v>
      </c>
      <c r="G3311" s="25">
        <v>0.6513888888888889</v>
      </c>
      <c r="H3311" s="27">
        <f t="shared" si="2"/>
        <v>0.3784722222</v>
      </c>
      <c r="I3311" s="28">
        <v>3.0</v>
      </c>
      <c r="J3311" s="29" t="s">
        <v>171</v>
      </c>
      <c r="K3311" s="30" t="s">
        <v>23</v>
      </c>
      <c r="L3311" s="31" t="str">
        <f>IFERROR(__xludf.DUMMYFUNCTION("IF(OR(E3311="""",K3311=""""),"""",IFERROR(IF(K3311="""","""",query('tbl user'!$A$2:$D10975,""SELECT A WHERE D = '""&amp;K3311&amp;""'"")),""USER TIDAK DIKETAHUI""))"),"#REF!")</f>
        <v>#REF!</v>
      </c>
    </row>
    <row r="3312">
      <c r="A3312" s="21">
        <f t="shared" si="1"/>
        <v>0</v>
      </c>
      <c r="B3312" s="32" t="s">
        <v>92</v>
      </c>
      <c r="C3312" s="23" t="s">
        <v>93</v>
      </c>
      <c r="D3312" s="23" t="s">
        <v>58</v>
      </c>
      <c r="E3312" s="24">
        <v>45446.0</v>
      </c>
      <c r="F3312" s="25">
        <v>0.26458333333333334</v>
      </c>
      <c r="G3312" s="25">
        <v>0.7131944444444445</v>
      </c>
      <c r="H3312" s="27">
        <f t="shared" si="2"/>
        <v>0.4486111111</v>
      </c>
      <c r="I3312" s="28">
        <v>4.0</v>
      </c>
      <c r="J3312" s="29" t="s">
        <v>55</v>
      </c>
      <c r="K3312" s="30" t="s">
        <v>23</v>
      </c>
      <c r="L3312" s="31" t="str">
        <f>IFERROR(__xludf.DUMMYFUNCTION("IF(OR(E3312="""",K3312=""""),"""",IFERROR(IF(K3312="""","""",query('tbl user'!$A$2:$D10975,""SELECT A WHERE D = '""&amp;K3312&amp;""'"")),""USER TIDAK DIKETAHUI""))"),"#REF!")</f>
        <v>#REF!</v>
      </c>
    </row>
    <row r="3313">
      <c r="A3313" s="21">
        <f t="shared" si="1"/>
        <v>0</v>
      </c>
      <c r="B3313" s="32" t="s">
        <v>178</v>
      </c>
      <c r="C3313" s="23" t="s">
        <v>82</v>
      </c>
      <c r="D3313" s="23" t="s">
        <v>58</v>
      </c>
      <c r="E3313" s="24">
        <v>45446.0</v>
      </c>
      <c r="F3313" s="25">
        <v>0.2638888888888889</v>
      </c>
      <c r="G3313" s="25">
        <v>0.6840277777777778</v>
      </c>
      <c r="H3313" s="27">
        <f t="shared" si="2"/>
        <v>0.4201388889</v>
      </c>
      <c r="I3313" s="28">
        <v>4.0</v>
      </c>
      <c r="J3313" s="29" t="s">
        <v>55</v>
      </c>
      <c r="K3313" s="30" t="s">
        <v>23</v>
      </c>
      <c r="L3313" s="31" t="str">
        <f>IFERROR(__xludf.DUMMYFUNCTION("IF(OR(E3313="""",K3313=""""),"""",IFERROR(IF(K3313="""","""",query('tbl user'!$A$2:$D10975,""SELECT A WHERE D = '""&amp;K3313&amp;""'"")),""USER TIDAK DIKETAHUI""))"),"#REF!")</f>
        <v>#REF!</v>
      </c>
    </row>
    <row r="3314">
      <c r="A3314" s="21">
        <f t="shared" si="1"/>
        <v>0</v>
      </c>
      <c r="B3314" s="32" t="s">
        <v>180</v>
      </c>
      <c r="C3314" s="23" t="s">
        <v>181</v>
      </c>
      <c r="D3314" s="23" t="s">
        <v>58</v>
      </c>
      <c r="E3314" s="24">
        <v>45446.0</v>
      </c>
      <c r="F3314" s="25">
        <v>0.2652777777777778</v>
      </c>
      <c r="G3314" s="25">
        <v>0.6986111111111111</v>
      </c>
      <c r="H3314" s="27">
        <f t="shared" si="2"/>
        <v>0.4333333333</v>
      </c>
      <c r="I3314" s="28">
        <v>4.0</v>
      </c>
      <c r="J3314" s="29" t="s">
        <v>55</v>
      </c>
      <c r="K3314" s="30" t="s">
        <v>23</v>
      </c>
      <c r="L3314" s="31" t="str">
        <f>IFERROR(__xludf.DUMMYFUNCTION("IF(OR(E3314="""",K3314=""""),"""",IFERROR(IF(K3314="""","""",query('tbl user'!$A$2:$D10975,""SELECT A WHERE D = '""&amp;K3314&amp;""'"")),""USER TIDAK DIKETAHUI""))"),"#REF!")</f>
        <v>#REF!</v>
      </c>
    </row>
    <row r="3315">
      <c r="A3315" s="21">
        <f t="shared" si="1"/>
        <v>0</v>
      </c>
      <c r="B3315" s="32" t="s">
        <v>182</v>
      </c>
      <c r="C3315" s="23" t="s">
        <v>183</v>
      </c>
      <c r="D3315" s="23" t="s">
        <v>58</v>
      </c>
      <c r="E3315" s="24">
        <v>45446.0</v>
      </c>
      <c r="F3315" s="25">
        <v>0.2625</v>
      </c>
      <c r="G3315" s="25">
        <v>0.6979166666666666</v>
      </c>
      <c r="H3315" s="27">
        <f t="shared" si="2"/>
        <v>0.4354166667</v>
      </c>
      <c r="I3315" s="28">
        <v>4.0</v>
      </c>
      <c r="J3315" s="29" t="s">
        <v>55</v>
      </c>
      <c r="K3315" s="30" t="s">
        <v>23</v>
      </c>
      <c r="L3315" s="31" t="str">
        <f>IFERROR(__xludf.DUMMYFUNCTION("IF(OR(E3315="""",K3315=""""),"""",IFERROR(IF(K3315="""","""",query('tbl user'!$A$2:$D10975,""SELECT A WHERE D = '""&amp;K3315&amp;""'"")),""USER TIDAK DIKETAHUI""))"),"#REF!")</f>
        <v>#REF!</v>
      </c>
    </row>
    <row r="3316">
      <c r="A3316" s="21">
        <f t="shared" si="1"/>
        <v>0</v>
      </c>
      <c r="B3316" s="32" t="s">
        <v>191</v>
      </c>
      <c r="C3316" s="23" t="s">
        <v>192</v>
      </c>
      <c r="D3316" s="23" t="s">
        <v>58</v>
      </c>
      <c r="E3316" s="24">
        <v>45446.0</v>
      </c>
      <c r="F3316" s="25">
        <v>0.26458333333333334</v>
      </c>
      <c r="G3316" s="25">
        <v>0.7263888888888889</v>
      </c>
      <c r="H3316" s="27">
        <f t="shared" si="2"/>
        <v>0.4618055556</v>
      </c>
      <c r="I3316" s="28">
        <v>4.0</v>
      </c>
      <c r="J3316" s="29" t="s">
        <v>55</v>
      </c>
      <c r="K3316" s="30" t="s">
        <v>23</v>
      </c>
      <c r="L3316" s="31" t="str">
        <f>IFERROR(__xludf.DUMMYFUNCTION("IF(OR(E3316="""",K3316=""""),"""",IFERROR(IF(K3316="""","""",query('tbl user'!$A$2:$D10975,""SELECT A WHERE D = '""&amp;K3316&amp;""'"")),""USER TIDAK DIKETAHUI""))"),"#REF!")</f>
        <v>#REF!</v>
      </c>
    </row>
    <row r="3317">
      <c r="A3317" s="21">
        <f t="shared" si="1"/>
        <v>0</v>
      </c>
      <c r="B3317" s="32" t="s">
        <v>98</v>
      </c>
      <c r="C3317" s="23" t="s">
        <v>99</v>
      </c>
      <c r="D3317" s="23" t="s">
        <v>21</v>
      </c>
      <c r="E3317" s="24">
        <v>45446.0</v>
      </c>
      <c r="F3317" s="25">
        <v>0.2847222222222222</v>
      </c>
      <c r="G3317" s="25">
        <v>0.3215277777777778</v>
      </c>
      <c r="H3317" s="27">
        <f t="shared" si="2"/>
        <v>0.03680555556</v>
      </c>
      <c r="I3317" s="28">
        <v>1.0</v>
      </c>
      <c r="J3317" s="29" t="s">
        <v>1486</v>
      </c>
      <c r="K3317" s="30" t="s">
        <v>23</v>
      </c>
      <c r="L3317" s="31" t="str">
        <f>IFERROR(__xludf.DUMMYFUNCTION("IF(OR(E3317="""",K3317=""""),"""",IFERROR(IF(K3317="""","""",query('tbl user'!$A$2:$D10975,""SELECT A WHERE D = '""&amp;K3317&amp;""'"")),""USER TIDAK DIKETAHUI""))"),"#REF!")</f>
        <v>#REF!</v>
      </c>
    </row>
    <row r="3318">
      <c r="A3318" s="21">
        <f t="shared" si="1"/>
        <v>0</v>
      </c>
      <c r="B3318" s="32" t="s">
        <v>81</v>
      </c>
      <c r="C3318" s="23" t="s">
        <v>282</v>
      </c>
      <c r="D3318" s="23" t="s">
        <v>21</v>
      </c>
      <c r="E3318" s="24">
        <v>45446.0</v>
      </c>
      <c r="F3318" s="25">
        <v>0.2916666666666667</v>
      </c>
      <c r="G3318" s="25">
        <v>0.5555555555555556</v>
      </c>
      <c r="H3318" s="27">
        <f t="shared" si="2"/>
        <v>0.2638888889</v>
      </c>
      <c r="I3318" s="28">
        <v>1.0</v>
      </c>
      <c r="J3318" s="29" t="s">
        <v>1487</v>
      </c>
      <c r="K3318" s="30" t="s">
        <v>23</v>
      </c>
      <c r="L3318" s="31" t="str">
        <f>IFERROR(__xludf.DUMMYFUNCTION("IF(OR(E3318="""",K3318=""""),"""",IFERROR(IF(K3318="""","""",query('tbl user'!$A$2:$D10975,""SELECT A WHERE D = '""&amp;K3318&amp;""'"")),""USER TIDAK DIKETAHUI""))"),"#REF!")</f>
        <v>#REF!</v>
      </c>
    </row>
    <row r="3319">
      <c r="A3319" s="21">
        <f t="shared" si="1"/>
        <v>0</v>
      </c>
      <c r="B3319" s="32" t="s">
        <v>24</v>
      </c>
      <c r="C3319" s="23" t="s">
        <v>25</v>
      </c>
      <c r="D3319" s="23" t="s">
        <v>21</v>
      </c>
      <c r="E3319" s="24">
        <v>45446.0</v>
      </c>
      <c r="F3319" s="25">
        <v>0.2861111111111111</v>
      </c>
      <c r="G3319" s="25">
        <v>0.5715277777777777</v>
      </c>
      <c r="H3319" s="27">
        <f t="shared" si="2"/>
        <v>0.2854166667</v>
      </c>
      <c r="I3319" s="28">
        <v>1.0</v>
      </c>
      <c r="J3319" s="29" t="s">
        <v>1488</v>
      </c>
      <c r="K3319" s="30" t="s">
        <v>23</v>
      </c>
      <c r="L3319" s="31" t="str">
        <f>IFERROR(__xludf.DUMMYFUNCTION("IF(OR(E3319="""",K3319=""""),"""",IFERROR(IF(K3319="""","""",query('tbl user'!$A$2:$D10975,""SELECT A WHERE D = '""&amp;K3319&amp;""'"")),""USER TIDAK DIKETAHUI""))"),"#REF!")</f>
        <v>#REF!</v>
      </c>
    </row>
    <row r="3320">
      <c r="A3320" s="21">
        <f t="shared" si="1"/>
        <v>0</v>
      </c>
      <c r="B3320" s="32" t="s">
        <v>43</v>
      </c>
      <c r="C3320" s="23" t="s">
        <v>44</v>
      </c>
      <c r="D3320" s="23" t="s">
        <v>21</v>
      </c>
      <c r="E3320" s="24">
        <v>45446.0</v>
      </c>
      <c r="F3320" s="25">
        <v>0.2902777777777778</v>
      </c>
      <c r="G3320" s="25">
        <v>0.5534722222222223</v>
      </c>
      <c r="H3320" s="27">
        <f t="shared" si="2"/>
        <v>0.2631944444</v>
      </c>
      <c r="I3320" s="28">
        <v>1.0</v>
      </c>
      <c r="J3320" s="29" t="s">
        <v>1300</v>
      </c>
      <c r="K3320" s="30" t="s">
        <v>23</v>
      </c>
      <c r="L3320" s="31" t="str">
        <f>IFERROR(__xludf.DUMMYFUNCTION("IF(OR(E3320="""",K3320=""""),"""",IFERROR(IF(K3320="""","""",query('tbl user'!$A$2:$D10975,""SELECT A WHERE D = '""&amp;K3320&amp;""'"")),""USER TIDAK DIKETAHUI""))"),"#REF!")</f>
        <v>#REF!</v>
      </c>
    </row>
    <row r="3321">
      <c r="A3321" s="21">
        <f t="shared" si="1"/>
        <v>0</v>
      </c>
      <c r="B3321" s="32" t="s">
        <v>159</v>
      </c>
      <c r="C3321" s="23" t="s">
        <v>306</v>
      </c>
      <c r="D3321" s="23" t="s">
        <v>21</v>
      </c>
      <c r="E3321" s="24">
        <v>45446.0</v>
      </c>
      <c r="F3321" s="25">
        <v>0.3034722222222222</v>
      </c>
      <c r="G3321" s="25">
        <v>0.6388888888888888</v>
      </c>
      <c r="H3321" s="27">
        <f t="shared" si="2"/>
        <v>0.3354166667</v>
      </c>
      <c r="I3321" s="28">
        <v>1.0</v>
      </c>
      <c r="J3321" s="29" t="s">
        <v>1489</v>
      </c>
      <c r="K3321" s="30" t="s">
        <v>23</v>
      </c>
      <c r="L3321" s="31" t="str">
        <f>IFERROR(__xludf.DUMMYFUNCTION("IF(OR(E3321="""",K3321=""""),"""",IFERROR(IF(K3321="""","""",query('tbl user'!$A$2:$D10975,""SELECT A WHERE D = '""&amp;K3321&amp;""'"")),""USER TIDAK DIKETAHUI""))"),"#REF!")</f>
        <v>#REF!</v>
      </c>
    </row>
    <row r="3322">
      <c r="A3322" s="21">
        <f t="shared" si="1"/>
        <v>0</v>
      </c>
      <c r="B3322" s="32" t="s">
        <v>331</v>
      </c>
      <c r="C3322" s="23" t="s">
        <v>332</v>
      </c>
      <c r="D3322" s="23" t="s">
        <v>21</v>
      </c>
      <c r="E3322" s="24">
        <v>45446.0</v>
      </c>
      <c r="F3322" s="25">
        <v>0.26458333333333334</v>
      </c>
      <c r="G3322" s="25">
        <v>0.4395833333333333</v>
      </c>
      <c r="H3322" s="27">
        <f t="shared" si="2"/>
        <v>0.175</v>
      </c>
      <c r="I3322" s="28">
        <v>1.0</v>
      </c>
      <c r="J3322" s="29" t="s">
        <v>1490</v>
      </c>
      <c r="K3322" s="30" t="s">
        <v>23</v>
      </c>
      <c r="L3322" s="31" t="str">
        <f>IFERROR(__xludf.DUMMYFUNCTION("IF(OR(E3322="""",K3322=""""),"""",IFERROR(IF(K3322="""","""",query('tbl user'!$A$2:$D10975,""SELECT A WHERE D = '""&amp;K3322&amp;""'"")),""USER TIDAK DIKETAHUI""))"),"#REF!")</f>
        <v>#REF!</v>
      </c>
    </row>
    <row r="3323">
      <c r="A3323" s="21">
        <f t="shared" si="1"/>
        <v>0</v>
      </c>
      <c r="B3323" s="32" t="s">
        <v>219</v>
      </c>
      <c r="C3323" s="23" t="s">
        <v>340</v>
      </c>
      <c r="D3323" s="23" t="s">
        <v>21</v>
      </c>
      <c r="E3323" s="24">
        <v>45446.0</v>
      </c>
      <c r="F3323" s="25">
        <v>0.3020833333333333</v>
      </c>
      <c r="G3323" s="25">
        <v>0.5840277777777778</v>
      </c>
      <c r="H3323" s="27">
        <f t="shared" si="2"/>
        <v>0.2819444444</v>
      </c>
      <c r="I3323" s="28">
        <v>1.0</v>
      </c>
      <c r="J3323" s="29" t="s">
        <v>1491</v>
      </c>
      <c r="K3323" s="30" t="s">
        <v>23</v>
      </c>
      <c r="L3323" s="31" t="str">
        <f>IFERROR(__xludf.DUMMYFUNCTION("IF(OR(E3323="""",K3323=""""),"""",IFERROR(IF(K3323="""","""",query('tbl user'!$A$2:$D10975,""SELECT A WHERE D = '""&amp;K3323&amp;""'"")),""USER TIDAK DIKETAHUI""))"),"#REF!")</f>
        <v>#REF!</v>
      </c>
    </row>
    <row r="3324">
      <c r="A3324" s="21">
        <f t="shared" si="1"/>
        <v>0</v>
      </c>
      <c r="B3324" s="32" t="s">
        <v>328</v>
      </c>
      <c r="C3324" s="23" t="s">
        <v>329</v>
      </c>
      <c r="D3324" s="23" t="s">
        <v>21</v>
      </c>
      <c r="E3324" s="24">
        <v>45446.0</v>
      </c>
      <c r="F3324" s="25">
        <v>0.30416666666666664</v>
      </c>
      <c r="G3324" s="25">
        <v>0.6590277777777778</v>
      </c>
      <c r="H3324" s="27">
        <f t="shared" si="2"/>
        <v>0.3548611111</v>
      </c>
      <c r="I3324" s="28">
        <v>1.0</v>
      </c>
      <c r="J3324" s="29" t="s">
        <v>1492</v>
      </c>
      <c r="K3324" s="30" t="s">
        <v>23</v>
      </c>
      <c r="L3324" s="31" t="str">
        <f>IFERROR(__xludf.DUMMYFUNCTION("IF(OR(E3324="""",K3324=""""),"""",IFERROR(IF(K3324="""","""",query('tbl user'!$A$2:$D10975,""SELECT A WHERE D = '""&amp;K3324&amp;""'"")),""USER TIDAK DIKETAHUI""))"),"#REF!")</f>
        <v>#REF!</v>
      </c>
    </row>
    <row r="3325">
      <c r="A3325" s="21">
        <f t="shared" si="1"/>
        <v>0</v>
      </c>
      <c r="B3325" s="32" t="s">
        <v>325</v>
      </c>
      <c r="C3325" s="23" t="s">
        <v>326</v>
      </c>
      <c r="D3325" s="23" t="s">
        <v>21</v>
      </c>
      <c r="E3325" s="24">
        <v>45446.0</v>
      </c>
      <c r="F3325" s="25">
        <v>0.27291666666666664</v>
      </c>
      <c r="G3325" s="25">
        <v>0.4534722222222222</v>
      </c>
      <c r="H3325" s="27">
        <f t="shared" si="2"/>
        <v>0.1805555556</v>
      </c>
      <c r="I3325" s="28">
        <v>1.0</v>
      </c>
      <c r="J3325" s="29" t="s">
        <v>1493</v>
      </c>
      <c r="K3325" s="30" t="s">
        <v>23</v>
      </c>
      <c r="L3325" s="31" t="str">
        <f>IFERROR(__xludf.DUMMYFUNCTION("IF(OR(E3325="""",K3325=""""),"""",IFERROR(IF(K3325="""","""",query('tbl user'!$A$2:$D10975,""SELECT A WHERE D = '""&amp;K3325&amp;""'"")),""USER TIDAK DIKETAHUI""))"),"#REF!")</f>
        <v>#REF!</v>
      </c>
    </row>
    <row r="3326">
      <c r="A3326" s="21">
        <f t="shared" si="1"/>
        <v>0</v>
      </c>
      <c r="B3326" s="32" t="s">
        <v>238</v>
      </c>
      <c r="C3326" s="23" t="s">
        <v>239</v>
      </c>
      <c r="D3326" s="23" t="s">
        <v>21</v>
      </c>
      <c r="E3326" s="24">
        <v>45446.0</v>
      </c>
      <c r="F3326" s="25">
        <v>0.29097222222222224</v>
      </c>
      <c r="G3326" s="25">
        <v>0.7326388888888888</v>
      </c>
      <c r="H3326" s="27">
        <f t="shared" si="2"/>
        <v>0.4416666667</v>
      </c>
      <c r="I3326" s="28">
        <v>2.0</v>
      </c>
      <c r="J3326" s="29" t="s">
        <v>1494</v>
      </c>
      <c r="K3326" s="30" t="s">
        <v>23</v>
      </c>
      <c r="L3326" s="31" t="str">
        <f>IFERROR(__xludf.DUMMYFUNCTION("IF(OR(E3326="""",K3326=""""),"""",IFERROR(IF(K3326="""","""",query('tbl user'!$A$2:$D10975,""SELECT A WHERE D = '""&amp;K3326&amp;""'"")),""USER TIDAK DIKETAHUI""))"),"#REF!")</f>
        <v>#REF!</v>
      </c>
    </row>
    <row r="3327">
      <c r="A3327" s="21">
        <f t="shared" si="1"/>
        <v>0</v>
      </c>
      <c r="B3327" s="32" t="s">
        <v>34</v>
      </c>
      <c r="C3327" s="23" t="s">
        <v>35</v>
      </c>
      <c r="D3327" s="23" t="s">
        <v>21</v>
      </c>
      <c r="E3327" s="24">
        <v>45446.0</v>
      </c>
      <c r="F3327" s="25">
        <v>0.27361111111111114</v>
      </c>
      <c r="G3327" s="25">
        <v>0.6659722222222222</v>
      </c>
      <c r="H3327" s="27">
        <f t="shared" si="2"/>
        <v>0.3923611111</v>
      </c>
      <c r="I3327" s="28">
        <v>2.0</v>
      </c>
      <c r="J3327" s="29" t="s">
        <v>1495</v>
      </c>
      <c r="K3327" s="30" t="s">
        <v>23</v>
      </c>
      <c r="L3327" s="31" t="str">
        <f>IFERROR(__xludf.DUMMYFUNCTION("IF(OR(E3327="""",K3327=""""),"""",IFERROR(IF(K3327="""","""",query('tbl user'!$A$2:$D10975,""SELECT A WHERE D = '""&amp;K3327&amp;""'"")),""USER TIDAK DIKETAHUI""))"),"#REF!")</f>
        <v>#REF!</v>
      </c>
    </row>
    <row r="3328">
      <c r="A3328" s="21">
        <f t="shared" si="1"/>
        <v>0</v>
      </c>
      <c r="B3328" s="32" t="s">
        <v>37</v>
      </c>
      <c r="C3328" s="23" t="s">
        <v>38</v>
      </c>
      <c r="D3328" s="23" t="s">
        <v>21</v>
      </c>
      <c r="E3328" s="24">
        <v>45446.0</v>
      </c>
      <c r="F3328" s="25">
        <v>0.26875</v>
      </c>
      <c r="G3328" s="25">
        <v>0.7215277777777778</v>
      </c>
      <c r="H3328" s="27">
        <f t="shared" si="2"/>
        <v>0.4527777778</v>
      </c>
      <c r="I3328" s="28">
        <v>2.0</v>
      </c>
      <c r="J3328" s="29" t="s">
        <v>1494</v>
      </c>
      <c r="K3328" s="30" t="s">
        <v>23</v>
      </c>
      <c r="L3328" s="31" t="str">
        <f>IFERROR(__xludf.DUMMYFUNCTION("IF(OR(E3328="""",K3328=""""),"""",IFERROR(IF(K3328="""","""",query('tbl user'!$A$2:$D10975,""SELECT A WHERE D = '""&amp;K3328&amp;""'"")),""USER TIDAK DIKETAHUI""))"),"#REF!")</f>
        <v>#REF!</v>
      </c>
    </row>
    <row r="3329">
      <c r="A3329" s="21">
        <f t="shared" si="1"/>
        <v>0</v>
      </c>
      <c r="B3329" s="32" t="s">
        <v>289</v>
      </c>
      <c r="C3329" s="23" t="s">
        <v>290</v>
      </c>
      <c r="D3329" s="23" t="s">
        <v>21</v>
      </c>
      <c r="E3329" s="24">
        <v>45446.0</v>
      </c>
      <c r="F3329" s="25">
        <v>0.2951388888888889</v>
      </c>
      <c r="G3329" s="25">
        <v>0.7236111111111111</v>
      </c>
      <c r="H3329" s="27">
        <f t="shared" si="2"/>
        <v>0.4284722222</v>
      </c>
      <c r="I3329" s="28">
        <v>2.0</v>
      </c>
      <c r="J3329" s="29" t="s">
        <v>1496</v>
      </c>
      <c r="K3329" s="30" t="s">
        <v>23</v>
      </c>
      <c r="L3329" s="31" t="str">
        <f>IFERROR(__xludf.DUMMYFUNCTION("IF(OR(E3329="""",K3329=""""),"""",IFERROR(IF(K3329="""","""",query('tbl user'!$A$2:$D10975,""SELECT A WHERE D = '""&amp;K3329&amp;""'"")),""USER TIDAK DIKETAHUI""))"),"#REF!")</f>
        <v>#REF!</v>
      </c>
    </row>
    <row r="3330">
      <c r="A3330" s="21">
        <f t="shared" si="1"/>
        <v>0</v>
      </c>
      <c r="B3330" s="32" t="s">
        <v>64</v>
      </c>
      <c r="C3330" s="23" t="s">
        <v>65</v>
      </c>
      <c r="D3330" s="23" t="s">
        <v>21</v>
      </c>
      <c r="E3330" s="24">
        <v>45446.0</v>
      </c>
      <c r="F3330" s="25">
        <v>0.2986111111111111</v>
      </c>
      <c r="G3330" s="25">
        <v>0.7472222222222222</v>
      </c>
      <c r="H3330" s="27">
        <f t="shared" si="2"/>
        <v>0.4486111111</v>
      </c>
      <c r="I3330" s="28">
        <v>2.0</v>
      </c>
      <c r="J3330" s="29" t="s">
        <v>1497</v>
      </c>
      <c r="K3330" s="30" t="s">
        <v>23</v>
      </c>
      <c r="L3330" s="31" t="str">
        <f>IFERROR(__xludf.DUMMYFUNCTION("IF(OR(E3330="""",K3330=""""),"""",IFERROR(IF(K3330="""","""",query('tbl user'!$A$2:$D10975,""SELECT A WHERE D = '""&amp;K3330&amp;""'"")),""USER TIDAK DIKETAHUI""))"),"#REF!")</f>
        <v>#REF!</v>
      </c>
    </row>
    <row r="3331">
      <c r="A3331" s="21">
        <f t="shared" si="1"/>
        <v>0</v>
      </c>
      <c r="B3331" s="32" t="s">
        <v>209</v>
      </c>
      <c r="C3331" s="23" t="s">
        <v>244</v>
      </c>
      <c r="D3331" s="23" t="s">
        <v>21</v>
      </c>
      <c r="E3331" s="24">
        <v>45446.0</v>
      </c>
      <c r="F3331" s="25">
        <v>0.2673611111111111</v>
      </c>
      <c r="G3331" s="25">
        <v>0.6729166666666667</v>
      </c>
      <c r="H3331" s="27">
        <f t="shared" si="2"/>
        <v>0.4055555556</v>
      </c>
      <c r="I3331" s="28">
        <v>2.0</v>
      </c>
      <c r="J3331" s="29" t="s">
        <v>1169</v>
      </c>
      <c r="K3331" s="30" t="s">
        <v>23</v>
      </c>
      <c r="L3331" s="31" t="str">
        <f>IFERROR(__xludf.DUMMYFUNCTION("IF(OR(E3331="""",K3331=""""),"""",IFERROR(IF(K3331="""","""",query('tbl user'!$A$2:$D10975,""SELECT A WHERE D = '""&amp;K3331&amp;""'"")),""USER TIDAK DIKETAHUI""))"),"#REF!")</f>
        <v>#REF!</v>
      </c>
    </row>
    <row r="3332">
      <c r="A3332" s="21">
        <f t="shared" si="1"/>
        <v>0</v>
      </c>
      <c r="B3332" s="32" t="s">
        <v>284</v>
      </c>
      <c r="C3332" s="23" t="s">
        <v>285</v>
      </c>
      <c r="D3332" s="23" t="s">
        <v>21</v>
      </c>
      <c r="E3332" s="24">
        <v>45446.0</v>
      </c>
      <c r="F3332" s="25">
        <v>0.26805555555555555</v>
      </c>
      <c r="G3332" s="25">
        <v>0.6486111111111111</v>
      </c>
      <c r="H3332" s="27">
        <f t="shared" si="2"/>
        <v>0.3805555556</v>
      </c>
      <c r="I3332" s="28">
        <v>2.0</v>
      </c>
      <c r="J3332" s="29" t="s">
        <v>1479</v>
      </c>
      <c r="K3332" s="30" t="s">
        <v>23</v>
      </c>
      <c r="L3332" s="31" t="str">
        <f>IFERROR(__xludf.DUMMYFUNCTION("IF(OR(E3332="""",K3332=""""),"""",IFERROR(IF(K3332="""","""",query('tbl user'!$A$2:$D10975,""SELECT A WHERE D = '""&amp;K3332&amp;""'"")),""USER TIDAK DIKETAHUI""))"),"#REF!")</f>
        <v>#REF!</v>
      </c>
    </row>
    <row r="3333">
      <c r="A3333" s="21">
        <f t="shared" si="1"/>
        <v>0</v>
      </c>
      <c r="B3333" s="32" t="s">
        <v>305</v>
      </c>
      <c r="C3333" s="23" t="s">
        <v>251</v>
      </c>
      <c r="D3333" s="23" t="s">
        <v>21</v>
      </c>
      <c r="E3333" s="24">
        <v>45446.0</v>
      </c>
      <c r="F3333" s="25">
        <v>0.2638888888888889</v>
      </c>
      <c r="G3333" s="25">
        <v>0.6444444444444445</v>
      </c>
      <c r="H3333" s="27">
        <f t="shared" si="2"/>
        <v>0.3805555556</v>
      </c>
      <c r="I3333" s="28">
        <v>2.0</v>
      </c>
      <c r="J3333" s="29" t="s">
        <v>1498</v>
      </c>
      <c r="K3333" s="30" t="s">
        <v>23</v>
      </c>
      <c r="L3333" s="31" t="str">
        <f>IFERROR(__xludf.DUMMYFUNCTION("IF(OR(E3333="""",K3333=""""),"""",IFERROR(IF(K3333="""","""",query('tbl user'!$A$2:$D10975,""SELECT A WHERE D = '""&amp;K3333&amp;""'"")),""USER TIDAK DIKETAHUI""))"),"#REF!")</f>
        <v>#REF!</v>
      </c>
    </row>
    <row r="3334">
      <c r="A3334" s="21">
        <f t="shared" si="1"/>
        <v>0</v>
      </c>
      <c r="B3334" s="32" t="s">
        <v>101</v>
      </c>
      <c r="C3334" s="23" t="s">
        <v>102</v>
      </c>
      <c r="D3334" s="23" t="s">
        <v>21</v>
      </c>
      <c r="E3334" s="24">
        <v>45446.0</v>
      </c>
      <c r="F3334" s="25">
        <v>0.29097222222222224</v>
      </c>
      <c r="G3334" s="25">
        <v>0.7229166666666667</v>
      </c>
      <c r="H3334" s="27">
        <f t="shared" si="2"/>
        <v>0.4319444444</v>
      </c>
      <c r="I3334" s="28">
        <v>2.0</v>
      </c>
      <c r="J3334" s="29" t="s">
        <v>1494</v>
      </c>
      <c r="K3334" s="30" t="s">
        <v>23</v>
      </c>
      <c r="L3334" s="31" t="str">
        <f>IFERROR(__xludf.DUMMYFUNCTION("IF(OR(E3334="""",K3334=""""),"""",IFERROR(IF(K3334="""","""",query('tbl user'!$A$2:$D10975,""SELECT A WHERE D = '""&amp;K3334&amp;""'"")),""USER TIDAK DIKETAHUI""))"),"#REF!")</f>
        <v>#REF!</v>
      </c>
    </row>
    <row r="3335">
      <c r="A3335" s="21">
        <f t="shared" si="1"/>
        <v>0</v>
      </c>
      <c r="B3335" s="32" t="s">
        <v>172</v>
      </c>
      <c r="C3335" s="23" t="s">
        <v>234</v>
      </c>
      <c r="D3335" s="23" t="s">
        <v>21</v>
      </c>
      <c r="E3335" s="24">
        <v>45446.0</v>
      </c>
      <c r="F3335" s="25">
        <v>0.2986111111111111</v>
      </c>
      <c r="G3335" s="25">
        <v>0.6180555555555556</v>
      </c>
      <c r="H3335" s="27">
        <f t="shared" si="2"/>
        <v>0.3194444444</v>
      </c>
      <c r="I3335" s="28">
        <v>2.0</v>
      </c>
      <c r="J3335" s="29" t="s">
        <v>1499</v>
      </c>
      <c r="K3335" s="30" t="s">
        <v>23</v>
      </c>
      <c r="L3335" s="31" t="str">
        <f>IFERROR(__xludf.DUMMYFUNCTION("IF(OR(E3335="""",K3335=""""),"""",IFERROR(IF(K3335="""","""",query('tbl user'!$A$2:$D10975,""SELECT A WHERE D = '""&amp;K3335&amp;""'"")),""USER TIDAK DIKETAHUI""))"),"#REF!")</f>
        <v>#REF!</v>
      </c>
    </row>
    <row r="3336">
      <c r="A3336" s="21">
        <f t="shared" si="1"/>
        <v>0</v>
      </c>
      <c r="B3336" s="32" t="s">
        <v>593</v>
      </c>
      <c r="C3336" s="23" t="s">
        <v>236</v>
      </c>
      <c r="D3336" s="23" t="s">
        <v>21</v>
      </c>
      <c r="E3336" s="24">
        <v>45446.0</v>
      </c>
      <c r="F3336" s="25">
        <v>0.2659722222222222</v>
      </c>
      <c r="G3336" s="25">
        <v>0.6319444444444444</v>
      </c>
      <c r="H3336" s="27">
        <f t="shared" si="2"/>
        <v>0.3659722222</v>
      </c>
      <c r="I3336" s="28">
        <v>2.0</v>
      </c>
      <c r="J3336" s="29" t="s">
        <v>1494</v>
      </c>
      <c r="K3336" s="30" t="s">
        <v>23</v>
      </c>
      <c r="L3336" s="31" t="str">
        <f>IFERROR(__xludf.DUMMYFUNCTION("IF(OR(E3336="""",K3336=""""),"""",IFERROR(IF(K3336="""","""",query('tbl user'!$A$2:$D10975,""SELECT A WHERE D = '""&amp;K3336&amp;""'"")),""USER TIDAK DIKETAHUI""))"),"#REF!")</f>
        <v>#REF!</v>
      </c>
    </row>
    <row r="3337">
      <c r="A3337" s="21">
        <f t="shared" si="1"/>
        <v>0</v>
      </c>
      <c r="B3337" s="32" t="s">
        <v>225</v>
      </c>
      <c r="C3337" s="23" t="s">
        <v>339</v>
      </c>
      <c r="D3337" s="23" t="s">
        <v>21</v>
      </c>
      <c r="E3337" s="24">
        <v>45446.0</v>
      </c>
      <c r="F3337" s="25">
        <v>0.275</v>
      </c>
      <c r="G3337" s="25">
        <v>0.7083333333333334</v>
      </c>
      <c r="H3337" s="27">
        <f t="shared" si="2"/>
        <v>0.4333333333</v>
      </c>
      <c r="I3337" s="28">
        <v>2.0</v>
      </c>
      <c r="J3337" s="29" t="s">
        <v>1494</v>
      </c>
      <c r="K3337" s="30" t="s">
        <v>23</v>
      </c>
      <c r="L3337" s="31" t="str">
        <f>IFERROR(__xludf.DUMMYFUNCTION("IF(OR(E3337="""",K3337=""""),"""",IFERROR(IF(K3337="""","""",query('tbl user'!$A$2:$D10975,""SELECT A WHERE D = '""&amp;K3337&amp;""'"")),""USER TIDAK DIKETAHUI""))"),"#REF!")</f>
        <v>#REF!</v>
      </c>
    </row>
    <row r="3338">
      <c r="A3338" s="21">
        <f t="shared" si="1"/>
        <v>0</v>
      </c>
      <c r="B3338" s="32" t="s">
        <v>258</v>
      </c>
      <c r="C3338" s="23" t="s">
        <v>259</v>
      </c>
      <c r="D3338" s="23" t="s">
        <v>21</v>
      </c>
      <c r="E3338" s="24">
        <v>45446.0</v>
      </c>
      <c r="F3338" s="25">
        <v>0.27361111111111114</v>
      </c>
      <c r="G3338" s="25">
        <v>0.6680555555555555</v>
      </c>
      <c r="H3338" s="27">
        <f t="shared" si="2"/>
        <v>0.3944444444</v>
      </c>
      <c r="I3338" s="28">
        <v>2.0</v>
      </c>
      <c r="J3338" s="29" t="s">
        <v>1494</v>
      </c>
      <c r="K3338" s="30" t="s">
        <v>23</v>
      </c>
      <c r="L3338" s="31" t="str">
        <f>IFERROR(__xludf.DUMMYFUNCTION("IF(OR(E3338="""",K3338=""""),"""",IFERROR(IF(K3338="""","""",query('tbl user'!$A$2:$D10975,""SELECT A WHERE D = '""&amp;K3338&amp;""'"")),""USER TIDAK DIKETAHUI""))"),"#REF!")</f>
        <v>#REF!</v>
      </c>
    </row>
    <row r="3339">
      <c r="A3339" s="21">
        <f t="shared" si="1"/>
        <v>0</v>
      </c>
      <c r="B3339" s="32" t="s">
        <v>335</v>
      </c>
      <c r="C3339" s="23" t="s">
        <v>336</v>
      </c>
      <c r="D3339" s="23" t="s">
        <v>21</v>
      </c>
      <c r="E3339" s="24">
        <v>45446.0</v>
      </c>
      <c r="F3339" s="25">
        <v>0.2743055555555556</v>
      </c>
      <c r="G3339" s="25">
        <v>0.6972222222222222</v>
      </c>
      <c r="H3339" s="27">
        <f t="shared" si="2"/>
        <v>0.4229166667</v>
      </c>
      <c r="I3339" s="28">
        <v>2.0</v>
      </c>
      <c r="J3339" s="29" t="s">
        <v>245</v>
      </c>
      <c r="K3339" s="30" t="s">
        <v>23</v>
      </c>
      <c r="L3339" s="31" t="str">
        <f>IFERROR(__xludf.DUMMYFUNCTION("IF(OR(E3339="""",K3339=""""),"""",IFERROR(IF(K3339="""","""",query('tbl user'!$A$2:$D10975,""SELECT A WHERE D = '""&amp;K3339&amp;""'"")),""USER TIDAK DIKETAHUI""))"),"#REF!")</f>
        <v>#REF!</v>
      </c>
    </row>
    <row r="3340">
      <c r="A3340" s="21">
        <f t="shared" si="1"/>
        <v>0</v>
      </c>
      <c r="B3340" s="32" t="s">
        <v>716</v>
      </c>
      <c r="C3340" s="23" t="s">
        <v>316</v>
      </c>
      <c r="D3340" s="23" t="s">
        <v>21</v>
      </c>
      <c r="E3340" s="24">
        <v>45446.0</v>
      </c>
      <c r="F3340" s="25">
        <v>0.2708333333333333</v>
      </c>
      <c r="G3340" s="25">
        <v>0.6597222222222222</v>
      </c>
      <c r="H3340" s="27">
        <f t="shared" si="2"/>
        <v>0.3888888889</v>
      </c>
      <c r="I3340" s="28">
        <v>2.0</v>
      </c>
      <c r="J3340" s="29" t="s">
        <v>1494</v>
      </c>
      <c r="K3340" s="30" t="s">
        <v>23</v>
      </c>
      <c r="L3340" s="31" t="str">
        <f>IFERROR(__xludf.DUMMYFUNCTION("IF(OR(E3340="""",K3340=""""),"""",IFERROR(IF(K3340="""","""",query('tbl user'!$A$2:$D10975,""SELECT A WHERE D = '""&amp;K3340&amp;""'"")),""USER TIDAK DIKETAHUI""))"),"#REF!")</f>
        <v>#REF!</v>
      </c>
    </row>
    <row r="3341">
      <c r="A3341" s="21">
        <f t="shared" si="1"/>
        <v>0</v>
      </c>
      <c r="B3341" s="32" t="s">
        <v>87</v>
      </c>
      <c r="C3341" s="23" t="s">
        <v>88</v>
      </c>
      <c r="D3341" s="23" t="s">
        <v>21</v>
      </c>
      <c r="E3341" s="24">
        <v>45446.0</v>
      </c>
      <c r="F3341" s="25">
        <v>0.2708333333333333</v>
      </c>
      <c r="G3341" s="25">
        <v>0.6173611111111111</v>
      </c>
      <c r="H3341" s="27">
        <f t="shared" si="2"/>
        <v>0.3465277778</v>
      </c>
      <c r="I3341" s="28">
        <v>2.0</v>
      </c>
      <c r="J3341" s="29" t="s">
        <v>1500</v>
      </c>
      <c r="K3341" s="30" t="s">
        <v>23</v>
      </c>
      <c r="L3341" s="31" t="str">
        <f>IFERROR(__xludf.DUMMYFUNCTION("IF(OR(E3341="""",K3341=""""),"""",IFERROR(IF(K3341="""","""",query('tbl user'!$A$2:$D10975,""SELECT A WHERE D = '""&amp;K3341&amp;""'"")),""USER TIDAK DIKETAHUI""))"),"#REF!")</f>
        <v>#REF!</v>
      </c>
    </row>
    <row r="3342">
      <c r="A3342" s="21">
        <f t="shared" si="1"/>
        <v>0</v>
      </c>
      <c r="B3342" s="32" t="s">
        <v>53</v>
      </c>
      <c r="C3342" s="23" t="s">
        <v>54</v>
      </c>
      <c r="D3342" s="23" t="s">
        <v>21</v>
      </c>
      <c r="E3342" s="24">
        <v>45446.0</v>
      </c>
      <c r="F3342" s="25">
        <v>0.2673611111111111</v>
      </c>
      <c r="G3342" s="25">
        <v>0.6402777777777777</v>
      </c>
      <c r="H3342" s="27">
        <f t="shared" si="2"/>
        <v>0.3729166667</v>
      </c>
      <c r="I3342" s="28">
        <v>2.0</v>
      </c>
      <c r="J3342" s="29" t="s">
        <v>1494</v>
      </c>
      <c r="K3342" s="30" t="s">
        <v>23</v>
      </c>
      <c r="L3342" s="31" t="str">
        <f>IFERROR(__xludf.DUMMYFUNCTION("IF(OR(E3342="""",K3342=""""),"""",IFERROR(IF(K3342="""","""",query('tbl user'!$A$2:$D10975,""SELECT A WHERE D = '""&amp;K3342&amp;""'"")),""USER TIDAK DIKETAHUI""))"),"#REF!")</f>
        <v>#REF!</v>
      </c>
    </row>
    <row r="3343">
      <c r="A3343" s="21">
        <f t="shared" si="1"/>
        <v>0</v>
      </c>
      <c r="B3343" s="32" t="s">
        <v>319</v>
      </c>
      <c r="C3343" s="23" t="s">
        <v>320</v>
      </c>
      <c r="D3343" s="23" t="s">
        <v>21</v>
      </c>
      <c r="E3343" s="24">
        <v>45446.0</v>
      </c>
      <c r="F3343" s="25">
        <v>0.275</v>
      </c>
      <c r="G3343" s="25">
        <v>0.6902777777777778</v>
      </c>
      <c r="H3343" s="27">
        <f t="shared" si="2"/>
        <v>0.4152777778</v>
      </c>
      <c r="I3343" s="28">
        <v>2.0</v>
      </c>
      <c r="J3343" s="29" t="s">
        <v>1501</v>
      </c>
      <c r="K3343" s="30" t="s">
        <v>23</v>
      </c>
      <c r="L3343" s="31" t="str">
        <f>IFERROR(__xludf.DUMMYFUNCTION("IF(OR(E3343="""",K3343=""""),"""",IFERROR(IF(K3343="""","""",query('tbl user'!$A$2:$D10975,""SELECT A WHERE D = '""&amp;K3343&amp;""'"")),""USER TIDAK DIKETAHUI""))"),"#REF!")</f>
        <v>#REF!</v>
      </c>
    </row>
    <row r="3344">
      <c r="A3344" s="21">
        <f t="shared" si="1"/>
        <v>0</v>
      </c>
      <c r="B3344" s="32" t="s">
        <v>577</v>
      </c>
      <c r="C3344" s="23" t="s">
        <v>330</v>
      </c>
      <c r="D3344" s="23" t="s">
        <v>21</v>
      </c>
      <c r="E3344" s="24">
        <v>45446.0</v>
      </c>
      <c r="F3344" s="25">
        <v>0.2743055555555556</v>
      </c>
      <c r="G3344" s="25">
        <v>0.7020833333333333</v>
      </c>
      <c r="H3344" s="27">
        <f t="shared" si="2"/>
        <v>0.4277777778</v>
      </c>
      <c r="I3344" s="28">
        <v>2.0</v>
      </c>
      <c r="J3344" s="29" t="s">
        <v>1494</v>
      </c>
      <c r="K3344" s="30" t="s">
        <v>23</v>
      </c>
      <c r="L3344" s="31" t="str">
        <f>IFERROR(__xludf.DUMMYFUNCTION("IF(OR(E3344="""",K3344=""""),"""",IFERROR(IF(K3344="""","""",query('tbl user'!$A$2:$D10975,""SELECT A WHERE D = '""&amp;K3344&amp;""'"")),""USER TIDAK DIKETAHUI""))"),"#REF!")</f>
        <v>#REF!</v>
      </c>
    </row>
    <row r="3345">
      <c r="A3345" s="21">
        <f t="shared" si="1"/>
        <v>0</v>
      </c>
      <c r="B3345" s="32" t="s">
        <v>51</v>
      </c>
      <c r="C3345" s="23" t="s">
        <v>338</v>
      </c>
      <c r="D3345" s="23" t="s">
        <v>21</v>
      </c>
      <c r="E3345" s="24">
        <v>45446.0</v>
      </c>
      <c r="F3345" s="25">
        <v>0.29097222222222224</v>
      </c>
      <c r="G3345" s="25">
        <v>0.7263888888888889</v>
      </c>
      <c r="H3345" s="27">
        <f t="shared" si="2"/>
        <v>0.4354166667</v>
      </c>
      <c r="I3345" s="28">
        <v>2.0</v>
      </c>
      <c r="J3345" s="29" t="s">
        <v>1502</v>
      </c>
      <c r="K3345" s="30" t="s">
        <v>23</v>
      </c>
      <c r="L3345" s="31" t="str">
        <f>IFERROR(__xludf.DUMMYFUNCTION("IF(OR(E3345="""",K3345=""""),"""",IFERROR(IF(K3345="""","""",query('tbl user'!$A$2:$D10975,""SELECT A WHERE D = '""&amp;K3345&amp;""'"")),""USER TIDAK DIKETAHUI""))"),"#REF!")</f>
        <v>#REF!</v>
      </c>
    </row>
    <row r="3346">
      <c r="A3346" s="21">
        <f t="shared" si="1"/>
        <v>0</v>
      </c>
      <c r="B3346" s="32" t="s">
        <v>601</v>
      </c>
      <c r="C3346" s="23" t="s">
        <v>323</v>
      </c>
      <c r="D3346" s="23" t="s">
        <v>21</v>
      </c>
      <c r="E3346" s="24">
        <v>45446.0</v>
      </c>
      <c r="F3346" s="25">
        <v>0.2763888888888889</v>
      </c>
      <c r="G3346" s="25">
        <v>0.73125</v>
      </c>
      <c r="H3346" s="27">
        <f t="shared" si="2"/>
        <v>0.4548611111</v>
      </c>
      <c r="I3346" s="28">
        <v>2.0</v>
      </c>
      <c r="J3346" s="29" t="s">
        <v>1494</v>
      </c>
      <c r="K3346" s="30" t="s">
        <v>23</v>
      </c>
      <c r="L3346" s="31" t="str">
        <f>IFERROR(__xludf.DUMMYFUNCTION("IF(OR(E3346="""",K3346=""""),"""",IFERROR(IF(K3346="""","""",query('tbl user'!$A$2:$D10975,""SELECT A WHERE D = '""&amp;K3346&amp;""'"")),""USER TIDAK DIKETAHUI""))"),"#REF!")</f>
        <v>#REF!</v>
      </c>
    </row>
    <row r="3347">
      <c r="A3347" s="21">
        <f t="shared" si="1"/>
        <v>0</v>
      </c>
      <c r="B3347" s="32" t="s">
        <v>260</v>
      </c>
      <c r="C3347" s="23" t="s">
        <v>261</v>
      </c>
      <c r="D3347" s="23" t="s">
        <v>21</v>
      </c>
      <c r="E3347" s="24">
        <v>45446.0</v>
      </c>
      <c r="F3347" s="25">
        <v>0.2652777777777778</v>
      </c>
      <c r="G3347" s="25">
        <v>0.5861111111111111</v>
      </c>
      <c r="H3347" s="27">
        <f t="shared" si="2"/>
        <v>0.3208333333</v>
      </c>
      <c r="I3347" s="28">
        <v>2.0</v>
      </c>
      <c r="J3347" s="29" t="s">
        <v>1503</v>
      </c>
      <c r="K3347" s="30" t="s">
        <v>23</v>
      </c>
      <c r="L3347" s="31" t="str">
        <f>IFERROR(__xludf.DUMMYFUNCTION("IF(OR(E3347="""",K3347=""""),"""",IFERROR(IF(K3347="""","""",query('tbl user'!$A$2:$D10975,""SELECT A WHERE D = '""&amp;K3347&amp;""'"")),""USER TIDAK DIKETAHUI""))"),"#REF!")</f>
        <v>#REF!</v>
      </c>
    </row>
    <row r="3348">
      <c r="A3348" s="21">
        <f t="shared" si="1"/>
        <v>0</v>
      </c>
      <c r="B3348" s="32" t="s">
        <v>255</v>
      </c>
      <c r="C3348" s="23" t="s">
        <v>256</v>
      </c>
      <c r="D3348" s="23" t="s">
        <v>21</v>
      </c>
      <c r="E3348" s="24">
        <v>45446.0</v>
      </c>
      <c r="F3348" s="25">
        <v>0.2638888888888889</v>
      </c>
      <c r="G3348" s="25">
        <v>0.7388888888888889</v>
      </c>
      <c r="H3348" s="27">
        <f t="shared" si="2"/>
        <v>0.475</v>
      </c>
      <c r="I3348" s="28">
        <v>3.0</v>
      </c>
      <c r="J3348" s="29" t="s">
        <v>1504</v>
      </c>
      <c r="K3348" s="30" t="s">
        <v>23</v>
      </c>
      <c r="L3348" s="31" t="str">
        <f>IFERROR(__xludf.DUMMYFUNCTION("IF(OR(E3348="""",K3348=""""),"""",IFERROR(IF(K3348="""","""",query('tbl user'!$A$2:$D10975,""SELECT A WHERE D = '""&amp;K3348&amp;""'"")),""USER TIDAK DIKETAHUI""))"),"#REF!")</f>
        <v>#REF!</v>
      </c>
    </row>
    <row r="3349">
      <c r="A3349" s="21">
        <f t="shared" si="1"/>
        <v>0</v>
      </c>
      <c r="B3349" s="32" t="s">
        <v>30</v>
      </c>
      <c r="C3349" s="23" t="s">
        <v>31</v>
      </c>
      <c r="D3349" s="23" t="s">
        <v>32</v>
      </c>
      <c r="E3349" s="24">
        <v>45446.0</v>
      </c>
      <c r="F3349" s="25">
        <v>0.2638888888888889</v>
      </c>
      <c r="G3349" s="25">
        <v>0.44027777777777777</v>
      </c>
      <c r="H3349" s="27">
        <f t="shared" si="2"/>
        <v>0.1763888889</v>
      </c>
      <c r="I3349" s="28">
        <v>1.0</v>
      </c>
      <c r="J3349" s="29" t="s">
        <v>1505</v>
      </c>
      <c r="K3349" s="30" t="s">
        <v>23</v>
      </c>
      <c r="L3349" s="31" t="str">
        <f>IFERROR(__xludf.DUMMYFUNCTION("IF(OR(E3349="""",K3349=""""),"""",IFERROR(IF(K3349="""","""",query('tbl user'!$A$2:$D10975,""SELECT A WHERE D = '""&amp;K3349&amp;""'"")),""USER TIDAK DIKETAHUI""))"),"#REF!")</f>
        <v>#REF!</v>
      </c>
    </row>
    <row r="3350">
      <c r="A3350" s="21">
        <f t="shared" si="1"/>
        <v>0</v>
      </c>
      <c r="B3350" s="32" t="s">
        <v>40</v>
      </c>
      <c r="C3350" s="23" t="s">
        <v>41</v>
      </c>
      <c r="D3350" s="23" t="s">
        <v>32</v>
      </c>
      <c r="E3350" s="24">
        <v>45446.0</v>
      </c>
      <c r="F3350" s="25">
        <v>0.2743055555555556</v>
      </c>
      <c r="G3350" s="25">
        <v>0.4861111111111111</v>
      </c>
      <c r="H3350" s="27">
        <f t="shared" si="2"/>
        <v>0.2118055556</v>
      </c>
      <c r="I3350" s="28">
        <v>1.0</v>
      </c>
      <c r="J3350" s="29" t="s">
        <v>1506</v>
      </c>
      <c r="K3350" s="30" t="s">
        <v>23</v>
      </c>
      <c r="L3350" s="31" t="str">
        <f>IFERROR(__xludf.DUMMYFUNCTION("IF(OR(E3350="""",K3350=""""),"""",IFERROR(IF(K3350="""","""",query('tbl user'!$A$2:$D10975,""SELECT A WHERE D = '""&amp;K3350&amp;""'"")),""USER TIDAK DIKETAHUI""))"),"#REF!")</f>
        <v>#REF!</v>
      </c>
    </row>
    <row r="3351">
      <c r="A3351" s="21">
        <f t="shared" si="1"/>
        <v>0</v>
      </c>
      <c r="B3351" s="32" t="s">
        <v>131</v>
      </c>
      <c r="C3351" s="23" t="s">
        <v>132</v>
      </c>
      <c r="D3351" s="23" t="s">
        <v>32</v>
      </c>
      <c r="E3351" s="24">
        <v>45446.0</v>
      </c>
      <c r="F3351" s="25">
        <v>0.28541666666666665</v>
      </c>
      <c r="G3351" s="25">
        <v>0.6381944444444444</v>
      </c>
      <c r="H3351" s="27">
        <f t="shared" si="2"/>
        <v>0.3527777778</v>
      </c>
      <c r="I3351" s="28">
        <v>2.0</v>
      </c>
      <c r="J3351" s="29" t="s">
        <v>1507</v>
      </c>
      <c r="K3351" s="30" t="s">
        <v>23</v>
      </c>
      <c r="L3351" s="31" t="str">
        <f>IFERROR(__xludf.DUMMYFUNCTION("IF(OR(E3351="""",K3351=""""),"""",IFERROR(IF(K3351="""","""",query('tbl user'!$A$2:$D10975,""SELECT A WHERE D = '""&amp;K3351&amp;""'"")),""USER TIDAK DIKETAHUI""))"),"#REF!")</f>
        <v>#REF!</v>
      </c>
    </row>
    <row r="3352">
      <c r="A3352" s="21">
        <f t="shared" si="1"/>
        <v>0</v>
      </c>
      <c r="B3352" s="32" t="s">
        <v>135</v>
      </c>
      <c r="C3352" s="23" t="s">
        <v>136</v>
      </c>
      <c r="D3352" s="23" t="s">
        <v>32</v>
      </c>
      <c r="E3352" s="24">
        <v>45446.0</v>
      </c>
      <c r="F3352" s="25">
        <v>0.27708333333333335</v>
      </c>
      <c r="G3352" s="25">
        <v>0.6375</v>
      </c>
      <c r="H3352" s="27">
        <f t="shared" si="2"/>
        <v>0.3604166667</v>
      </c>
      <c r="I3352" s="28">
        <v>2.0</v>
      </c>
      <c r="J3352" s="29" t="s">
        <v>1507</v>
      </c>
      <c r="K3352" s="30" t="s">
        <v>23</v>
      </c>
      <c r="L3352" s="31" t="str">
        <f>IFERROR(__xludf.DUMMYFUNCTION("IF(OR(E3352="""",K3352=""""),"""",IFERROR(IF(K3352="""","""",query('tbl user'!$A$2:$D10975,""SELECT A WHERE D = '""&amp;K3352&amp;""'"")),""USER TIDAK DIKETAHUI""))"),"#REF!")</f>
        <v>#REF!</v>
      </c>
    </row>
    <row r="3353">
      <c r="A3353" s="21">
        <f t="shared" si="1"/>
        <v>0</v>
      </c>
      <c r="B3353" s="32" t="s">
        <v>137</v>
      </c>
      <c r="C3353" s="23" t="s">
        <v>138</v>
      </c>
      <c r="D3353" s="23" t="s">
        <v>32</v>
      </c>
      <c r="E3353" s="24">
        <v>45446.0</v>
      </c>
      <c r="F3353" s="25">
        <v>0.2673611111111111</v>
      </c>
      <c r="G3353" s="25">
        <v>0.5743055555555555</v>
      </c>
      <c r="H3353" s="27">
        <f t="shared" si="2"/>
        <v>0.3069444444</v>
      </c>
      <c r="I3353" s="28">
        <v>2.0</v>
      </c>
      <c r="J3353" s="29" t="s">
        <v>1508</v>
      </c>
      <c r="K3353" s="30" t="s">
        <v>23</v>
      </c>
      <c r="L3353" s="31" t="str">
        <f>IFERROR(__xludf.DUMMYFUNCTION("IF(OR(E3353="""",K3353=""""),"""",IFERROR(IF(K3353="""","""",query('tbl user'!$A$2:$D10975,""SELECT A WHERE D = '""&amp;K3353&amp;""'"")),""USER TIDAK DIKETAHUI""))"),"#REF!")</f>
        <v>#REF!</v>
      </c>
    </row>
    <row r="3354">
      <c r="A3354" s="21">
        <f t="shared" si="1"/>
        <v>0</v>
      </c>
      <c r="B3354" s="32" t="s">
        <v>139</v>
      </c>
      <c r="C3354" s="23" t="s">
        <v>96</v>
      </c>
      <c r="D3354" s="23" t="s">
        <v>32</v>
      </c>
      <c r="E3354" s="24">
        <v>45446.0</v>
      </c>
      <c r="F3354" s="25">
        <v>0.2701388888888889</v>
      </c>
      <c r="G3354" s="25">
        <v>0.5875</v>
      </c>
      <c r="H3354" s="27">
        <f t="shared" si="2"/>
        <v>0.3173611111</v>
      </c>
      <c r="I3354" s="28">
        <v>2.0</v>
      </c>
      <c r="J3354" s="29" t="s">
        <v>1509</v>
      </c>
      <c r="K3354" s="30" t="s">
        <v>23</v>
      </c>
      <c r="L3354" s="31" t="str">
        <f>IFERROR(__xludf.DUMMYFUNCTION("IF(OR(E3354="""",K3354=""""),"""",IFERROR(IF(K3354="""","""",query('tbl user'!$A$2:$D10975,""SELECT A WHERE D = '""&amp;K3354&amp;""'"")),""USER TIDAK DIKETAHUI""))"),"#REF!")</f>
        <v>#REF!</v>
      </c>
    </row>
    <row r="3355">
      <c r="A3355" s="21">
        <f t="shared" si="1"/>
        <v>0</v>
      </c>
      <c r="B3355" s="32" t="s">
        <v>267</v>
      </c>
      <c r="C3355" s="23" t="s">
        <v>268</v>
      </c>
      <c r="D3355" s="23" t="s">
        <v>32</v>
      </c>
      <c r="E3355" s="24">
        <v>45446.0</v>
      </c>
      <c r="F3355" s="25">
        <v>0.29097222222222224</v>
      </c>
      <c r="G3355" s="25">
        <v>0.6534722222222222</v>
      </c>
      <c r="H3355" s="27">
        <f t="shared" si="2"/>
        <v>0.3625</v>
      </c>
      <c r="I3355" s="28">
        <v>2.0</v>
      </c>
      <c r="J3355" s="29" t="s">
        <v>1507</v>
      </c>
      <c r="K3355" s="30" t="s">
        <v>23</v>
      </c>
      <c r="L3355" s="31" t="str">
        <f>IFERROR(__xludf.DUMMYFUNCTION("IF(OR(E3355="""",K3355=""""),"""",IFERROR(IF(K3355="""","""",query('tbl user'!$A$2:$D10975,""SELECT A WHERE D = '""&amp;K3355&amp;""'"")),""USER TIDAK DIKETAHUI""))"),"#REF!")</f>
        <v>#REF!</v>
      </c>
    </row>
    <row r="3356">
      <c r="A3356" s="21">
        <f t="shared" si="1"/>
        <v>0</v>
      </c>
      <c r="B3356" s="32" t="s">
        <v>269</v>
      </c>
      <c r="C3356" s="23" t="s">
        <v>270</v>
      </c>
      <c r="D3356" s="23" t="s">
        <v>32</v>
      </c>
      <c r="E3356" s="24">
        <v>45446.0</v>
      </c>
      <c r="F3356" s="25">
        <v>0.2743055555555556</v>
      </c>
      <c r="G3356" s="25">
        <v>0.5763888888888888</v>
      </c>
      <c r="H3356" s="27">
        <f t="shared" si="2"/>
        <v>0.3020833333</v>
      </c>
      <c r="I3356" s="28">
        <v>2.0</v>
      </c>
      <c r="J3356" s="29" t="s">
        <v>1510</v>
      </c>
      <c r="K3356" s="30" t="s">
        <v>23</v>
      </c>
      <c r="L3356" s="31" t="str">
        <f>IFERROR(__xludf.DUMMYFUNCTION("IF(OR(E3356="""",K3356=""""),"""",IFERROR(IF(K3356="""","""",query('tbl user'!$A$2:$D10975,""SELECT A WHERE D = '""&amp;K3356&amp;""'"")),""USER TIDAK DIKETAHUI""))"),"#REF!")</f>
        <v>#REF!</v>
      </c>
    </row>
    <row r="3357">
      <c r="A3357" s="21">
        <f t="shared" si="1"/>
        <v>0</v>
      </c>
      <c r="B3357" s="32" t="s">
        <v>78</v>
      </c>
      <c r="C3357" s="23" t="s">
        <v>79</v>
      </c>
      <c r="D3357" s="23" t="s">
        <v>32</v>
      </c>
      <c r="E3357" s="24">
        <v>45446.0</v>
      </c>
      <c r="F3357" s="25">
        <v>0.27291666666666664</v>
      </c>
      <c r="G3357" s="25">
        <v>0.6305555555555555</v>
      </c>
      <c r="H3357" s="27">
        <f t="shared" si="2"/>
        <v>0.3576388889</v>
      </c>
      <c r="I3357" s="28">
        <v>2.0</v>
      </c>
      <c r="J3357" s="29" t="s">
        <v>1507</v>
      </c>
      <c r="K3357" s="30" t="s">
        <v>23</v>
      </c>
      <c r="L3357" s="31" t="str">
        <f>IFERROR(__xludf.DUMMYFUNCTION("IF(OR(E3357="""",K3357=""""),"""",IFERROR(IF(K3357="""","""",query('tbl user'!$A$2:$D10975,""SELECT A WHERE D = '""&amp;K3357&amp;""'"")),""USER TIDAK DIKETAHUI""))"),"#REF!")</f>
        <v>#REF!</v>
      </c>
    </row>
    <row r="3358">
      <c r="A3358" s="21">
        <f t="shared" si="1"/>
        <v>0</v>
      </c>
      <c r="B3358" s="32" t="s">
        <v>146</v>
      </c>
      <c r="C3358" s="23" t="s">
        <v>147</v>
      </c>
      <c r="D3358" s="23" t="s">
        <v>32</v>
      </c>
      <c r="E3358" s="24">
        <v>45446.0</v>
      </c>
      <c r="F3358" s="25">
        <v>0.2708333333333333</v>
      </c>
      <c r="G3358" s="25">
        <v>0.4625</v>
      </c>
      <c r="H3358" s="27">
        <f t="shared" si="2"/>
        <v>0.1916666667</v>
      </c>
      <c r="I3358" s="28">
        <v>2.0</v>
      </c>
      <c r="J3358" s="29" t="s">
        <v>1511</v>
      </c>
      <c r="K3358" s="30" t="s">
        <v>23</v>
      </c>
      <c r="L3358" s="31" t="str">
        <f>IFERROR(__xludf.DUMMYFUNCTION("IF(OR(E3358="""",K3358=""""),"""",IFERROR(IF(K3358="""","""",query('tbl user'!$A$2:$D10975,""SELECT A WHERE D = '""&amp;K3358&amp;""'"")),""USER TIDAK DIKETAHUI""))"),"#REF!")</f>
        <v>#REF!</v>
      </c>
    </row>
    <row r="3359">
      <c r="A3359" s="21">
        <f t="shared" si="1"/>
        <v>0</v>
      </c>
      <c r="B3359" s="32" t="s">
        <v>46</v>
      </c>
      <c r="C3359" s="23" t="s">
        <v>47</v>
      </c>
      <c r="D3359" s="23" t="s">
        <v>32</v>
      </c>
      <c r="E3359" s="24">
        <v>45446.0</v>
      </c>
      <c r="F3359" s="25">
        <v>0.2652777777777778</v>
      </c>
      <c r="G3359" s="25">
        <v>0.5881944444444445</v>
      </c>
      <c r="H3359" s="27">
        <f t="shared" si="2"/>
        <v>0.3229166667</v>
      </c>
      <c r="I3359" s="28">
        <v>3.0</v>
      </c>
      <c r="J3359" s="29" t="s">
        <v>1507</v>
      </c>
      <c r="K3359" s="30" t="s">
        <v>23</v>
      </c>
      <c r="L3359" s="31" t="str">
        <f>IFERROR(__xludf.DUMMYFUNCTION("IF(OR(E3359="""",K3359=""""),"""",IFERROR(IF(K3359="""","""",query('tbl user'!$A$2:$D10975,""SELECT A WHERE D = '""&amp;K3359&amp;""'"")),""USER TIDAK DIKETAHUI""))"),"#REF!")</f>
        <v>#REF!</v>
      </c>
    </row>
    <row r="3360">
      <c r="A3360" s="21">
        <f t="shared" si="1"/>
        <v>0</v>
      </c>
      <c r="B3360" s="32" t="s">
        <v>120</v>
      </c>
      <c r="C3360" s="23" t="s">
        <v>121</v>
      </c>
      <c r="D3360" s="23" t="s">
        <v>32</v>
      </c>
      <c r="E3360" s="24">
        <v>45446.0</v>
      </c>
      <c r="F3360" s="25">
        <v>0.26944444444444443</v>
      </c>
      <c r="G3360" s="25">
        <v>0.64375</v>
      </c>
      <c r="H3360" s="27">
        <f t="shared" si="2"/>
        <v>0.3743055556</v>
      </c>
      <c r="I3360" s="28">
        <v>3.0</v>
      </c>
      <c r="J3360" s="29" t="s">
        <v>1512</v>
      </c>
      <c r="K3360" s="30" t="s">
        <v>23</v>
      </c>
      <c r="L3360" s="31" t="str">
        <f>IFERROR(__xludf.DUMMYFUNCTION("IF(OR(E3360="""",K3360=""""),"""",IFERROR(IF(K3360="""","""",query('tbl user'!$A$2:$D10975,""SELECT A WHERE D = '""&amp;K3360&amp;""'"")),""USER TIDAK DIKETAHUI""))"),"#REF!")</f>
        <v>#REF!</v>
      </c>
    </row>
    <row r="3361">
      <c r="A3361" s="21">
        <f t="shared" si="1"/>
        <v>0</v>
      </c>
      <c r="B3361" s="32" t="s">
        <v>133</v>
      </c>
      <c r="C3361" s="23" t="s">
        <v>134</v>
      </c>
      <c r="D3361" s="23" t="s">
        <v>32</v>
      </c>
      <c r="E3361" s="24">
        <v>45446.0</v>
      </c>
      <c r="F3361" s="25">
        <v>0.2881944444444444</v>
      </c>
      <c r="G3361" s="25">
        <v>0.6395833333333333</v>
      </c>
      <c r="H3361" s="27">
        <f t="shared" si="2"/>
        <v>0.3513888889</v>
      </c>
      <c r="I3361" s="28">
        <v>3.0</v>
      </c>
      <c r="J3361" s="29" t="s">
        <v>1513</v>
      </c>
      <c r="K3361" s="30" t="s">
        <v>23</v>
      </c>
      <c r="L3361" s="31" t="str">
        <f>IFERROR(__xludf.DUMMYFUNCTION("IF(OR(E3361="""",K3361=""""),"""",IFERROR(IF(K3361="""","""",query('tbl user'!$A$2:$D10975,""SELECT A WHERE D = '""&amp;K3361&amp;""'"")),""USER TIDAK DIKETAHUI""))"),"#REF!")</f>
        <v>#REF!</v>
      </c>
    </row>
    <row r="3362">
      <c r="A3362" s="21">
        <f t="shared" si="1"/>
        <v>0</v>
      </c>
      <c r="B3362" s="32" t="s">
        <v>279</v>
      </c>
      <c r="C3362" s="23" t="s">
        <v>280</v>
      </c>
      <c r="D3362" s="23" t="s">
        <v>32</v>
      </c>
      <c r="E3362" s="24">
        <v>45446.0</v>
      </c>
      <c r="F3362" s="25">
        <v>0.2722222222222222</v>
      </c>
      <c r="G3362" s="25">
        <v>0.5923611111111111</v>
      </c>
      <c r="H3362" s="27">
        <f t="shared" si="2"/>
        <v>0.3201388889</v>
      </c>
      <c r="I3362" s="28">
        <v>3.0</v>
      </c>
      <c r="J3362" s="29" t="s">
        <v>1514</v>
      </c>
      <c r="K3362" s="30" t="s">
        <v>23</v>
      </c>
      <c r="L3362" s="31" t="str">
        <f>IFERROR(__xludf.DUMMYFUNCTION("IF(OR(E3362="""",K3362=""""),"""",IFERROR(IF(K3362="""","""",query('tbl user'!$A$2:$D10975,""SELECT A WHERE D = '""&amp;K3362&amp;""'"")),""USER TIDAK DIKETAHUI""))"),"#REF!")</f>
        <v>#REF!</v>
      </c>
    </row>
    <row r="3363">
      <c r="A3363" s="21">
        <f t="shared" si="1"/>
        <v>0</v>
      </c>
      <c r="B3363" s="32" t="s">
        <v>151</v>
      </c>
      <c r="C3363" s="23" t="s">
        <v>152</v>
      </c>
      <c r="D3363" s="23" t="s">
        <v>32</v>
      </c>
      <c r="E3363" s="24">
        <v>45446.0</v>
      </c>
      <c r="F3363" s="25">
        <v>0.275</v>
      </c>
      <c r="G3363" s="25">
        <v>0.5881944444444445</v>
      </c>
      <c r="H3363" s="27">
        <f t="shared" si="2"/>
        <v>0.3131944444</v>
      </c>
      <c r="I3363" s="28">
        <v>3.0</v>
      </c>
      <c r="J3363" s="29" t="s">
        <v>1507</v>
      </c>
      <c r="K3363" s="30" t="s">
        <v>23</v>
      </c>
      <c r="L3363" s="31" t="str">
        <f>IFERROR(__xludf.DUMMYFUNCTION("IF(OR(E3363="""",K3363=""""),"""",IFERROR(IF(K3363="""","""",query('tbl user'!$A$2:$D10975,""SELECT A WHERE D = '""&amp;K3363&amp;""'"")),""USER TIDAK DIKETAHUI""))"),"#REF!")</f>
        <v>#REF!</v>
      </c>
    </row>
    <row r="3364">
      <c r="A3364" s="21">
        <f t="shared" si="1"/>
        <v>0</v>
      </c>
      <c r="B3364" s="32" t="s">
        <v>412</v>
      </c>
      <c r="C3364" s="23" t="s">
        <v>413</v>
      </c>
      <c r="D3364" s="23" t="s">
        <v>32</v>
      </c>
      <c r="E3364" s="24">
        <v>45446.0</v>
      </c>
      <c r="F3364" s="25">
        <v>0.29097222222222224</v>
      </c>
      <c r="G3364" s="25">
        <v>0.6805555555555556</v>
      </c>
      <c r="H3364" s="27">
        <f t="shared" si="2"/>
        <v>0.3895833333</v>
      </c>
      <c r="I3364" s="28">
        <v>4.0</v>
      </c>
      <c r="J3364" s="29" t="s">
        <v>55</v>
      </c>
      <c r="K3364" s="30" t="s">
        <v>23</v>
      </c>
      <c r="L3364" s="31" t="str">
        <f>IFERROR(__xludf.DUMMYFUNCTION("IF(OR(E3364="""",K3364=""""),"""",IFERROR(IF(K3364="""","""",query('tbl user'!$A$2:$D10975,""SELECT A WHERE D = '""&amp;K3364&amp;""'"")),""USER TIDAK DIKETAHUI""))"),"#REF!")</f>
        <v>#REF!</v>
      </c>
    </row>
    <row r="3365">
      <c r="A3365" s="21">
        <f t="shared" si="1"/>
        <v>0</v>
      </c>
      <c r="B3365" s="32" t="s">
        <v>250</v>
      </c>
      <c r="C3365" s="23" t="s">
        <v>315</v>
      </c>
      <c r="D3365" s="23" t="s">
        <v>32</v>
      </c>
      <c r="E3365" s="24">
        <v>45446.0</v>
      </c>
      <c r="F3365" s="25">
        <v>0.2701388888888889</v>
      </c>
      <c r="G3365" s="25">
        <v>0.7243055555555555</v>
      </c>
      <c r="H3365" s="27">
        <f t="shared" si="2"/>
        <v>0.4541666667</v>
      </c>
      <c r="I3365" s="28">
        <v>4.0</v>
      </c>
      <c r="J3365" s="29" t="s">
        <v>55</v>
      </c>
      <c r="K3365" s="30" t="s">
        <v>23</v>
      </c>
      <c r="L3365" s="31" t="str">
        <f>IFERROR(__xludf.DUMMYFUNCTION("IF(OR(E3365="""",K3365=""""),"""",IFERROR(IF(K3365="""","""",query('tbl user'!$A$2:$D10975,""SELECT A WHERE D = '""&amp;K3365&amp;""'"")),""USER TIDAK DIKETAHUI""))"),"#REF!")</f>
        <v>#REF!</v>
      </c>
    </row>
    <row r="3366">
      <c r="A3366" s="21">
        <f t="shared" si="1"/>
        <v>0</v>
      </c>
      <c r="B3366" s="32" t="s">
        <v>110</v>
      </c>
      <c r="C3366" s="23" t="s">
        <v>111</v>
      </c>
      <c r="D3366" s="23" t="s">
        <v>32</v>
      </c>
      <c r="E3366" s="24">
        <v>45446.0</v>
      </c>
      <c r="F3366" s="25">
        <v>0.2763888888888889</v>
      </c>
      <c r="G3366" s="25">
        <v>0.6486111111111111</v>
      </c>
      <c r="H3366" s="27">
        <f t="shared" si="2"/>
        <v>0.3722222222</v>
      </c>
      <c r="I3366" s="28">
        <v>4.0</v>
      </c>
      <c r="J3366" s="29" t="s">
        <v>55</v>
      </c>
      <c r="K3366" s="30" t="s">
        <v>23</v>
      </c>
      <c r="L3366" s="31" t="str">
        <f>IFERROR(__xludf.DUMMYFUNCTION("IF(OR(E3366="""",K3366=""""),"""",IFERROR(IF(K3366="""","""",query('tbl user'!$A$2:$D10975,""SELECT A WHERE D = '""&amp;K3366&amp;""'"")),""USER TIDAK DIKETAHUI""))"),"#REF!")</f>
        <v>#REF!</v>
      </c>
    </row>
    <row r="3367">
      <c r="A3367" s="21">
        <f t="shared" si="1"/>
        <v>0</v>
      </c>
      <c r="B3367" s="32" t="s">
        <v>113</v>
      </c>
      <c r="C3367" s="23" t="s">
        <v>114</v>
      </c>
      <c r="D3367" s="23" t="s">
        <v>32</v>
      </c>
      <c r="E3367" s="24">
        <v>45446.0</v>
      </c>
      <c r="F3367" s="25">
        <v>0.26458333333333334</v>
      </c>
      <c r="G3367" s="25">
        <v>0.6902777777777778</v>
      </c>
      <c r="H3367" s="27">
        <f t="shared" si="2"/>
        <v>0.4256944444</v>
      </c>
      <c r="I3367" s="28">
        <v>4.0</v>
      </c>
      <c r="J3367" s="29" t="s">
        <v>55</v>
      </c>
      <c r="K3367" s="30" t="s">
        <v>23</v>
      </c>
      <c r="L3367" s="31" t="str">
        <f>IFERROR(__xludf.DUMMYFUNCTION("IF(OR(E3367="""",K3367=""""),"""",IFERROR(IF(K3367="""","""",query('tbl user'!$A$2:$D10975,""SELECT A WHERE D = '""&amp;K3367&amp;""'"")),""USER TIDAK DIKETAHUI""))"),"#REF!")</f>
        <v>#REF!</v>
      </c>
    </row>
    <row r="3368">
      <c r="A3368" s="21">
        <f t="shared" si="1"/>
        <v>0</v>
      </c>
      <c r="B3368" s="32" t="s">
        <v>115</v>
      </c>
      <c r="C3368" s="23" t="s">
        <v>116</v>
      </c>
      <c r="D3368" s="23" t="s">
        <v>32</v>
      </c>
      <c r="E3368" s="24">
        <v>45446.0</v>
      </c>
      <c r="F3368" s="25">
        <v>0.29097222222222224</v>
      </c>
      <c r="G3368" s="25">
        <v>0.6833333333333333</v>
      </c>
      <c r="H3368" s="27">
        <f t="shared" si="2"/>
        <v>0.3923611111</v>
      </c>
      <c r="I3368" s="28">
        <v>4.0</v>
      </c>
      <c r="J3368" s="29" t="s">
        <v>55</v>
      </c>
      <c r="K3368" s="30" t="s">
        <v>23</v>
      </c>
      <c r="L3368" s="31" t="str">
        <f>IFERROR(__xludf.DUMMYFUNCTION("IF(OR(E3368="""",K3368=""""),"""",IFERROR(IF(K3368="""","""",query('tbl user'!$A$2:$D10975,""SELECT A WHERE D = '""&amp;K3368&amp;""'"")),""USER TIDAK DIKETAHUI""))"),"#REF!")</f>
        <v>#REF!</v>
      </c>
    </row>
    <row r="3369">
      <c r="A3369" s="21">
        <f t="shared" si="1"/>
        <v>0</v>
      </c>
      <c r="B3369" s="32" t="s">
        <v>277</v>
      </c>
      <c r="C3369" s="23" t="s">
        <v>278</v>
      </c>
      <c r="D3369" s="23" t="s">
        <v>32</v>
      </c>
      <c r="E3369" s="24">
        <v>45446.0</v>
      </c>
      <c r="F3369" s="25">
        <v>0.28194444444444444</v>
      </c>
      <c r="G3369" s="25">
        <v>0.7013888888888888</v>
      </c>
      <c r="H3369" s="27">
        <f t="shared" si="2"/>
        <v>0.4194444444</v>
      </c>
      <c r="I3369" s="28">
        <v>4.0</v>
      </c>
      <c r="J3369" s="29" t="s">
        <v>55</v>
      </c>
      <c r="K3369" s="30" t="s">
        <v>23</v>
      </c>
      <c r="L3369" s="31" t="str">
        <f>IFERROR(__xludf.DUMMYFUNCTION("IF(OR(E3369="""",K3369=""""),"""",IFERROR(IF(K3369="""","""",query('tbl user'!$A$2:$D10975,""SELECT A WHERE D = '""&amp;K3369&amp;""'"")),""USER TIDAK DIKETAHUI""))"),"#REF!")</f>
        <v>#REF!</v>
      </c>
    </row>
    <row r="3370">
      <c r="A3370" s="21">
        <f t="shared" si="1"/>
        <v>0</v>
      </c>
      <c r="B3370" s="32" t="s">
        <v>312</v>
      </c>
      <c r="C3370" s="23" t="s">
        <v>313</v>
      </c>
      <c r="D3370" s="23" t="s">
        <v>32</v>
      </c>
      <c r="E3370" s="24">
        <v>45446.0</v>
      </c>
      <c r="F3370" s="25">
        <v>0.27152777777777776</v>
      </c>
      <c r="G3370" s="25">
        <v>0.6125</v>
      </c>
      <c r="H3370" s="27">
        <f t="shared" si="2"/>
        <v>0.3409722222</v>
      </c>
      <c r="I3370" s="28">
        <v>4.0</v>
      </c>
      <c r="J3370" s="29" t="s">
        <v>55</v>
      </c>
      <c r="K3370" s="30" t="s">
        <v>23</v>
      </c>
      <c r="L3370" s="31" t="str">
        <f>IFERROR(__xludf.DUMMYFUNCTION("IF(OR(E3370="""",K3370=""""),"""",IFERROR(IF(K3370="""","""",query('tbl user'!$A$2:$D10975,""SELECT A WHERE D = '""&amp;K3370&amp;""'"")),""USER TIDAK DIKETAHUI""))"),"#REF!")</f>
        <v>#REF!</v>
      </c>
    </row>
    <row r="3371">
      <c r="A3371" s="21">
        <f t="shared" si="1"/>
        <v>0</v>
      </c>
      <c r="B3371" s="32" t="s">
        <v>141</v>
      </c>
      <c r="C3371" s="23" t="s">
        <v>142</v>
      </c>
      <c r="D3371" s="23" t="s">
        <v>32</v>
      </c>
      <c r="E3371" s="24">
        <v>45446.0</v>
      </c>
      <c r="F3371" s="25">
        <v>0.2902777777777778</v>
      </c>
      <c r="G3371" s="25">
        <v>0.6527777777777778</v>
      </c>
      <c r="H3371" s="27">
        <f t="shared" si="2"/>
        <v>0.3625</v>
      </c>
      <c r="I3371" s="28">
        <v>4.0</v>
      </c>
      <c r="J3371" s="29" t="s">
        <v>55</v>
      </c>
      <c r="K3371" s="30" t="s">
        <v>23</v>
      </c>
      <c r="L3371" s="31" t="str">
        <f>IFERROR(__xludf.DUMMYFUNCTION("IF(OR(E3371="""",K3371=""""),"""",IFERROR(IF(K3371="""","""",query('tbl user'!$A$2:$D10975,""SELECT A WHERE D = '""&amp;K3371&amp;""'"")),""USER TIDAK DIKETAHUI""))"),"#REF!")</f>
        <v>#REF!</v>
      </c>
    </row>
    <row r="3372">
      <c r="A3372" s="21">
        <f t="shared" si="1"/>
        <v>0</v>
      </c>
      <c r="B3372" s="32" t="s">
        <v>144</v>
      </c>
      <c r="C3372" s="23" t="s">
        <v>145</v>
      </c>
      <c r="D3372" s="23" t="s">
        <v>32</v>
      </c>
      <c r="E3372" s="24">
        <v>45446.0</v>
      </c>
      <c r="F3372" s="25">
        <v>0.27569444444444446</v>
      </c>
      <c r="G3372" s="25">
        <v>0.6986111111111111</v>
      </c>
      <c r="H3372" s="27">
        <f t="shared" si="2"/>
        <v>0.4229166667</v>
      </c>
      <c r="I3372" s="28">
        <v>4.0</v>
      </c>
      <c r="J3372" s="29" t="s">
        <v>55</v>
      </c>
      <c r="K3372" s="30" t="s">
        <v>23</v>
      </c>
      <c r="L3372" s="31" t="str">
        <f>IFERROR(__xludf.DUMMYFUNCTION("IF(OR(E3372="""",K3372=""""),"""",IFERROR(IF(K3372="""","""",query('tbl user'!$A$2:$D10975,""SELECT A WHERE D = '""&amp;K3372&amp;""'"")),""USER TIDAK DIKETAHUI""))"),"#REF!")</f>
        <v>#REF!</v>
      </c>
    </row>
    <row r="3373">
      <c r="A3373" s="21">
        <f t="shared" si="1"/>
        <v>0</v>
      </c>
      <c r="B3373" s="32" t="s">
        <v>118</v>
      </c>
      <c r="C3373" s="23" t="s">
        <v>119</v>
      </c>
      <c r="D3373" s="23" t="s">
        <v>32</v>
      </c>
      <c r="E3373" s="24">
        <v>45446.0</v>
      </c>
      <c r="F3373" s="25">
        <v>0.2652777777777778</v>
      </c>
      <c r="G3373" s="25">
        <v>0.6930555555555555</v>
      </c>
      <c r="H3373" s="27">
        <f t="shared" si="2"/>
        <v>0.4277777778</v>
      </c>
      <c r="I3373" s="28">
        <v>5.0</v>
      </c>
      <c r="J3373" s="29" t="s">
        <v>55</v>
      </c>
      <c r="K3373" s="30" t="s">
        <v>23</v>
      </c>
      <c r="L3373" s="31" t="str">
        <f>IFERROR(__xludf.DUMMYFUNCTION("IF(OR(E3373="""",K3373=""""),"""",IFERROR(IF(K3373="""","""",query('tbl user'!$A$2:$D10975,""SELECT A WHERE D = '""&amp;K3373&amp;""'"")),""USER TIDAK DIKETAHUI""))"),"#REF!")</f>
        <v>#REF!</v>
      </c>
    </row>
    <row r="3374">
      <c r="A3374" s="21">
        <f t="shared" si="1"/>
        <v>0</v>
      </c>
      <c r="B3374" s="32" t="s">
        <v>81</v>
      </c>
      <c r="C3374" s="23" t="s">
        <v>282</v>
      </c>
      <c r="D3374" s="23" t="s">
        <v>58</v>
      </c>
      <c r="E3374" s="24">
        <v>45447.0</v>
      </c>
      <c r="F3374" s="25">
        <v>0.3020833333333333</v>
      </c>
      <c r="G3374" s="25">
        <v>0.6006944444444444</v>
      </c>
      <c r="H3374" s="27">
        <f t="shared" si="2"/>
        <v>0.2986111111</v>
      </c>
      <c r="I3374" s="28">
        <v>1.0</v>
      </c>
      <c r="J3374" s="29" t="s">
        <v>393</v>
      </c>
      <c r="K3374" s="30" t="s">
        <v>23</v>
      </c>
      <c r="L3374" s="31" t="str">
        <f>IFERROR(__xludf.DUMMYFUNCTION("IF(OR(E3374="""",K3374=""""),"""",IFERROR(IF(K3374="""","""",query('tbl user'!$A$2:$D10975,""SELECT A WHERE D = '""&amp;K3374&amp;""'"")),""USER TIDAK DIKETAHUI""))"),"#REF!")</f>
        <v>#REF!</v>
      </c>
    </row>
    <row r="3375">
      <c r="A3375" s="21">
        <f t="shared" si="1"/>
        <v>0</v>
      </c>
      <c r="B3375" s="32" t="s">
        <v>209</v>
      </c>
      <c r="C3375" s="23" t="s">
        <v>244</v>
      </c>
      <c r="D3375" s="23" t="s">
        <v>58</v>
      </c>
      <c r="E3375" s="24">
        <v>45447.0</v>
      </c>
      <c r="F3375" s="25">
        <v>0.3034722222222222</v>
      </c>
      <c r="G3375" s="25">
        <v>0.5826388888888889</v>
      </c>
      <c r="H3375" s="27">
        <f t="shared" si="2"/>
        <v>0.2791666667</v>
      </c>
      <c r="I3375" s="28">
        <v>1.0</v>
      </c>
      <c r="J3375" s="29" t="s">
        <v>1515</v>
      </c>
      <c r="K3375" s="30" t="s">
        <v>23</v>
      </c>
      <c r="L3375" s="31" t="str">
        <f>IFERROR(__xludf.DUMMYFUNCTION("IF(OR(E3375="""",K3375=""""),"""",IFERROR(IF(K3375="""","""",query('tbl user'!$A$2:$D10975,""SELECT A WHERE D = '""&amp;K3375&amp;""'"")),""USER TIDAK DIKETAHUI""))"),"#REF!")</f>
        <v>#REF!</v>
      </c>
    </row>
    <row r="3376">
      <c r="A3376" s="21">
        <f t="shared" si="1"/>
        <v>0</v>
      </c>
      <c r="B3376" s="32" t="s">
        <v>662</v>
      </c>
      <c r="C3376" s="23" t="s">
        <v>234</v>
      </c>
      <c r="D3376" s="23" t="s">
        <v>58</v>
      </c>
      <c r="E3376" s="24">
        <v>45447.0</v>
      </c>
      <c r="F3376" s="25">
        <v>0.28541666666666665</v>
      </c>
      <c r="G3376" s="25">
        <v>0.5020833333333333</v>
      </c>
      <c r="H3376" s="27">
        <f t="shared" si="2"/>
        <v>0.2166666667</v>
      </c>
      <c r="I3376" s="28">
        <v>1.0</v>
      </c>
      <c r="J3376" s="29" t="s">
        <v>1516</v>
      </c>
      <c r="K3376" s="30" t="s">
        <v>23</v>
      </c>
      <c r="L3376" s="31" t="str">
        <f>IFERROR(__xludf.DUMMYFUNCTION("IF(OR(E3376="""",K3376=""""),"""",IFERROR(IF(K3376="""","""",query('tbl user'!$A$2:$D10975,""SELECT A WHERE D = '""&amp;K3376&amp;""'"")),""USER TIDAK DIKETAHUI""))"),"#REF!")</f>
        <v>#REF!</v>
      </c>
    </row>
    <row r="3377">
      <c r="A3377" s="21">
        <f t="shared" si="1"/>
        <v>0</v>
      </c>
      <c r="B3377" s="32" t="s">
        <v>225</v>
      </c>
      <c r="C3377" s="23" t="s">
        <v>339</v>
      </c>
      <c r="D3377" s="23" t="s">
        <v>58</v>
      </c>
      <c r="E3377" s="24">
        <v>45447.0</v>
      </c>
      <c r="F3377" s="25">
        <v>0.30277777777777776</v>
      </c>
      <c r="G3377" s="25">
        <v>0.5819444444444445</v>
      </c>
      <c r="H3377" s="27">
        <f t="shared" si="2"/>
        <v>0.2791666667</v>
      </c>
      <c r="I3377" s="28">
        <v>1.0</v>
      </c>
      <c r="J3377" s="29" t="s">
        <v>1517</v>
      </c>
      <c r="K3377" s="30" t="s">
        <v>23</v>
      </c>
      <c r="L3377" s="31" t="str">
        <f>IFERROR(__xludf.DUMMYFUNCTION("IF(OR(E3377="""",K3377=""""),"""",IFERROR(IF(K3377="""","""",query('tbl user'!$A$2:$D10975,""SELECT A WHERE D = '""&amp;K3377&amp;""'"")),""USER TIDAK DIKETAHUI""))"),"#REF!")</f>
        <v>#REF!</v>
      </c>
    </row>
    <row r="3378">
      <c r="A3378" s="21">
        <f t="shared" si="1"/>
        <v>0</v>
      </c>
      <c r="B3378" s="32" t="s">
        <v>331</v>
      </c>
      <c r="C3378" s="23" t="s">
        <v>332</v>
      </c>
      <c r="D3378" s="23" t="s">
        <v>58</v>
      </c>
      <c r="E3378" s="24">
        <v>45447.0</v>
      </c>
      <c r="F3378" s="25">
        <v>0.2604166666666667</v>
      </c>
      <c r="G3378" s="25">
        <v>0.40347222222222223</v>
      </c>
      <c r="H3378" s="27">
        <f t="shared" si="2"/>
        <v>0.1430555556</v>
      </c>
      <c r="I3378" s="28">
        <v>1.0</v>
      </c>
      <c r="J3378" s="29" t="s">
        <v>1518</v>
      </c>
      <c r="K3378" s="30" t="s">
        <v>23</v>
      </c>
      <c r="L3378" s="31" t="str">
        <f>IFERROR(__xludf.DUMMYFUNCTION("IF(OR(E3378="""",K3378=""""),"""",IFERROR(IF(K3378="""","""",query('tbl user'!$A$2:$D10975,""SELECT A WHERE D = '""&amp;K3378&amp;""'"")),""USER TIDAK DIKETAHUI""))"),"#REF!")</f>
        <v>#REF!</v>
      </c>
    </row>
    <row r="3379">
      <c r="A3379" s="21">
        <f t="shared" si="1"/>
        <v>0</v>
      </c>
      <c r="B3379" s="32" t="s">
        <v>258</v>
      </c>
      <c r="C3379" s="23" t="s">
        <v>259</v>
      </c>
      <c r="D3379" s="23" t="s">
        <v>58</v>
      </c>
      <c r="E3379" s="24">
        <v>45447.0</v>
      </c>
      <c r="F3379" s="25">
        <v>0.25972222222222224</v>
      </c>
      <c r="G3379" s="25">
        <v>0.40555555555555556</v>
      </c>
      <c r="H3379" s="27">
        <f t="shared" si="2"/>
        <v>0.1458333333</v>
      </c>
      <c r="I3379" s="28">
        <v>1.0</v>
      </c>
      <c r="J3379" s="29" t="s">
        <v>1519</v>
      </c>
      <c r="K3379" s="30" t="s">
        <v>23</v>
      </c>
      <c r="L3379" s="31" t="str">
        <f>IFERROR(__xludf.DUMMYFUNCTION("IF(OR(E3379="""",K3379=""""),"""",IFERROR(IF(K3379="""","""",query('tbl user'!$A$2:$D10975,""SELECT A WHERE D = '""&amp;K3379&amp;""'"")),""USER TIDAK DIKETAHUI""))"),"#REF!")</f>
        <v>#REF!</v>
      </c>
    </row>
    <row r="3380">
      <c r="A3380" s="21">
        <f t="shared" si="1"/>
        <v>0</v>
      </c>
      <c r="B3380" s="32" t="s">
        <v>335</v>
      </c>
      <c r="C3380" s="23" t="s">
        <v>336</v>
      </c>
      <c r="D3380" s="23" t="s">
        <v>58</v>
      </c>
      <c r="E3380" s="24">
        <v>45447.0</v>
      </c>
      <c r="F3380" s="25">
        <v>0.28958333333333336</v>
      </c>
      <c r="G3380" s="25">
        <v>0.58125</v>
      </c>
      <c r="H3380" s="27">
        <f t="shared" si="2"/>
        <v>0.2916666667</v>
      </c>
      <c r="I3380" s="28">
        <v>1.0</v>
      </c>
      <c r="J3380" s="29" t="s">
        <v>1520</v>
      </c>
      <c r="K3380" s="30" t="s">
        <v>23</v>
      </c>
      <c r="L3380" s="31" t="str">
        <f>IFERROR(__xludf.DUMMYFUNCTION("IF(OR(E3380="""",K3380=""""),"""",IFERROR(IF(K3380="""","""",query('tbl user'!$A$2:$D10975,""SELECT A WHERE D = '""&amp;K3380&amp;""'"")),""USER TIDAK DIKETAHUI""))"),"#REF!")</f>
        <v>#REF!</v>
      </c>
    </row>
    <row r="3381">
      <c r="A3381" s="21">
        <f t="shared" si="1"/>
        <v>0</v>
      </c>
      <c r="B3381" s="32" t="s">
        <v>328</v>
      </c>
      <c r="C3381" s="23" t="s">
        <v>329</v>
      </c>
      <c r="D3381" s="23" t="s">
        <v>58</v>
      </c>
      <c r="E3381" s="24">
        <v>45447.0</v>
      </c>
      <c r="F3381" s="25">
        <v>0.2902777777777778</v>
      </c>
      <c r="G3381" s="25">
        <v>0.49930555555555556</v>
      </c>
      <c r="H3381" s="27">
        <f t="shared" si="2"/>
        <v>0.2090277778</v>
      </c>
      <c r="I3381" s="28">
        <v>1.0</v>
      </c>
      <c r="J3381" s="29" t="s">
        <v>1521</v>
      </c>
      <c r="K3381" s="30" t="s">
        <v>23</v>
      </c>
      <c r="L3381" s="31" t="str">
        <f>IFERROR(__xludf.DUMMYFUNCTION("IF(OR(E3381="""",K3381=""""),"""",IFERROR(IF(K3381="""","""",query('tbl user'!$A$2:$D10975,""SELECT A WHERE D = '""&amp;K3381&amp;""'"")),""USER TIDAK DIKETAHUI""))"),"#REF!")</f>
        <v>#REF!</v>
      </c>
    </row>
    <row r="3382">
      <c r="A3382" s="21">
        <f t="shared" si="1"/>
        <v>0</v>
      </c>
      <c r="B3382" s="32" t="s">
        <v>337</v>
      </c>
      <c r="C3382" s="23" t="s">
        <v>338</v>
      </c>
      <c r="D3382" s="23" t="s">
        <v>58</v>
      </c>
      <c r="E3382" s="24">
        <v>45447.0</v>
      </c>
      <c r="F3382" s="25">
        <v>0.2590277777777778</v>
      </c>
      <c r="G3382" s="25">
        <v>0.42430555555555555</v>
      </c>
      <c r="H3382" s="27">
        <f t="shared" si="2"/>
        <v>0.1652777778</v>
      </c>
      <c r="I3382" s="28">
        <v>1.0</v>
      </c>
      <c r="J3382" s="29" t="s">
        <v>1522</v>
      </c>
      <c r="K3382" s="30" t="s">
        <v>23</v>
      </c>
      <c r="L3382" s="31" t="str">
        <f>IFERROR(__xludf.DUMMYFUNCTION("IF(OR(E3382="""",K3382=""""),"""",IFERROR(IF(K3382="""","""",query('tbl user'!$A$2:$D10975,""SELECT A WHERE D = '""&amp;K3382&amp;""'"")),""USER TIDAK DIKETAHUI""))"),"#REF!")</f>
        <v>#REF!</v>
      </c>
    </row>
    <row r="3383">
      <c r="A3383" s="21">
        <f t="shared" si="1"/>
        <v>0</v>
      </c>
      <c r="B3383" s="32" t="s">
        <v>601</v>
      </c>
      <c r="C3383" s="23" t="s">
        <v>323</v>
      </c>
      <c r="D3383" s="23" t="s">
        <v>58</v>
      </c>
      <c r="E3383" s="24">
        <v>45447.0</v>
      </c>
      <c r="F3383" s="25">
        <v>0.2638888888888889</v>
      </c>
      <c r="G3383" s="25">
        <v>0.6243055555555556</v>
      </c>
      <c r="H3383" s="27">
        <f t="shared" si="2"/>
        <v>0.3604166667</v>
      </c>
      <c r="I3383" s="28">
        <v>1.0</v>
      </c>
      <c r="J3383" s="29" t="s">
        <v>1523</v>
      </c>
      <c r="K3383" s="30" t="s">
        <v>23</v>
      </c>
      <c r="L3383" s="31" t="str">
        <f>IFERROR(__xludf.DUMMYFUNCTION("IF(OR(E3383="""",K3383=""""),"""",IFERROR(IF(K3383="""","""",query('tbl user'!$A$2:$D10975,""SELECT A WHERE D = '""&amp;K3383&amp;""'"")),""USER TIDAK DIKETAHUI""))"),"#REF!")</f>
        <v>#REF!</v>
      </c>
    </row>
    <row r="3384">
      <c r="A3384" s="21">
        <f t="shared" si="1"/>
        <v>0</v>
      </c>
      <c r="B3384" s="32" t="s">
        <v>159</v>
      </c>
      <c r="C3384" s="23" t="s">
        <v>35</v>
      </c>
      <c r="D3384" s="23" t="s">
        <v>58</v>
      </c>
      <c r="E3384" s="24">
        <v>45447.0</v>
      </c>
      <c r="F3384" s="25">
        <v>0.29097222222222224</v>
      </c>
      <c r="G3384" s="25">
        <v>0.6979166666666666</v>
      </c>
      <c r="H3384" s="27">
        <f t="shared" si="2"/>
        <v>0.4069444444</v>
      </c>
      <c r="I3384" s="28">
        <v>2.0</v>
      </c>
      <c r="J3384" s="29" t="s">
        <v>1524</v>
      </c>
      <c r="K3384" s="30" t="s">
        <v>23</v>
      </c>
      <c r="L3384" s="31" t="str">
        <f>IFERROR(__xludf.DUMMYFUNCTION("IF(OR(E3384="""",K3384=""""),"""",IFERROR(IF(K3384="""","""",query('tbl user'!$A$2:$D10975,""SELECT A WHERE D = '""&amp;K3384&amp;""'"")),""USER TIDAK DIKETAHUI""))"),"#REF!")</f>
        <v>#REF!</v>
      </c>
    </row>
    <row r="3385">
      <c r="A3385" s="21">
        <f t="shared" si="1"/>
        <v>0</v>
      </c>
      <c r="B3385" s="32" t="s">
        <v>37</v>
      </c>
      <c r="C3385" s="23" t="s">
        <v>38</v>
      </c>
      <c r="D3385" s="23" t="s">
        <v>58</v>
      </c>
      <c r="E3385" s="24">
        <v>45447.0</v>
      </c>
      <c r="F3385" s="25">
        <v>0.29097222222222224</v>
      </c>
      <c r="G3385" s="25">
        <v>0.68125</v>
      </c>
      <c r="H3385" s="27">
        <f t="shared" si="2"/>
        <v>0.3902777778</v>
      </c>
      <c r="I3385" s="28">
        <v>2.0</v>
      </c>
      <c r="J3385" s="29" t="s">
        <v>1525</v>
      </c>
      <c r="K3385" s="30" t="s">
        <v>23</v>
      </c>
      <c r="L3385" s="31" t="str">
        <f>IFERROR(__xludf.DUMMYFUNCTION("IF(OR(E3385="""",K3385=""""),"""",IFERROR(IF(K3385="""","""",query('tbl user'!$A$2:$D10975,""SELECT A WHERE D = '""&amp;K3385&amp;""'"")),""USER TIDAK DIKETAHUI""))"),"#REF!")</f>
        <v>#REF!</v>
      </c>
    </row>
    <row r="3386">
      <c r="A3386" s="21">
        <f t="shared" si="1"/>
        <v>0</v>
      </c>
      <c r="B3386" s="32" t="s">
        <v>98</v>
      </c>
      <c r="C3386" s="23" t="s">
        <v>99</v>
      </c>
      <c r="D3386" s="23" t="s">
        <v>58</v>
      </c>
      <c r="E3386" s="24">
        <v>45447.0</v>
      </c>
      <c r="F3386" s="25">
        <v>0.28680555555555554</v>
      </c>
      <c r="G3386" s="25">
        <v>0.7118055555555556</v>
      </c>
      <c r="H3386" s="27">
        <f t="shared" si="2"/>
        <v>0.425</v>
      </c>
      <c r="I3386" s="28">
        <v>2.0</v>
      </c>
      <c r="J3386" s="29" t="s">
        <v>1526</v>
      </c>
      <c r="K3386" s="30" t="s">
        <v>23</v>
      </c>
      <c r="L3386" s="31" t="str">
        <f>IFERROR(__xludf.DUMMYFUNCTION("IF(OR(E3386="""",K3386=""""),"""",IFERROR(IF(K3386="""","""",query('tbl user'!$A$2:$D10975,""SELECT A WHERE D = '""&amp;K3386&amp;""'"")),""USER TIDAK DIKETAHUI""))"),"#REF!")</f>
        <v>#REF!</v>
      </c>
    </row>
    <row r="3387">
      <c r="A3387" s="21">
        <f t="shared" si="1"/>
        <v>0</v>
      </c>
      <c r="B3387" s="32" t="s">
        <v>289</v>
      </c>
      <c r="C3387" s="23" t="s">
        <v>290</v>
      </c>
      <c r="D3387" s="23" t="s">
        <v>58</v>
      </c>
      <c r="E3387" s="24">
        <v>45447.0</v>
      </c>
      <c r="F3387" s="25">
        <v>0.2902777777777778</v>
      </c>
      <c r="G3387" s="25">
        <v>0.6826388888888889</v>
      </c>
      <c r="H3387" s="27">
        <f t="shared" si="2"/>
        <v>0.3923611111</v>
      </c>
      <c r="I3387" s="28">
        <v>2.0</v>
      </c>
      <c r="J3387" s="29" t="s">
        <v>1524</v>
      </c>
      <c r="K3387" s="30" t="s">
        <v>23</v>
      </c>
      <c r="L3387" s="31" t="str">
        <f>IFERROR(__xludf.DUMMYFUNCTION("IF(OR(E3387="""",K3387=""""),"""",IFERROR(IF(K3387="""","""",query('tbl user'!$A$2:$D10975,""SELECT A WHERE D = '""&amp;K3387&amp;""'"")),""USER TIDAK DIKETAHUI""))"),"#REF!")</f>
        <v>#REF!</v>
      </c>
    </row>
    <row r="3388">
      <c r="A3388" s="21">
        <f t="shared" si="1"/>
        <v>0</v>
      </c>
      <c r="B3388" s="32" t="s">
        <v>64</v>
      </c>
      <c r="C3388" s="23" t="s">
        <v>65</v>
      </c>
      <c r="D3388" s="23" t="s">
        <v>58</v>
      </c>
      <c r="E3388" s="24">
        <v>45447.0</v>
      </c>
      <c r="F3388" s="25">
        <v>0.3090277777777778</v>
      </c>
      <c r="G3388" s="25">
        <v>0.7284722222222222</v>
      </c>
      <c r="H3388" s="27">
        <f t="shared" si="2"/>
        <v>0.4194444444</v>
      </c>
      <c r="I3388" s="28">
        <v>2.0</v>
      </c>
      <c r="J3388" s="29" t="s">
        <v>1524</v>
      </c>
      <c r="K3388" s="30" t="s">
        <v>23</v>
      </c>
      <c r="L3388" s="31" t="str">
        <f>IFERROR(__xludf.DUMMYFUNCTION("IF(OR(E3388="""",K3388=""""),"""",IFERROR(IF(K3388="""","""",query('tbl user'!$A$2:$D10975,""SELECT A WHERE D = '""&amp;K3388&amp;""'"")),""USER TIDAK DIKETAHUI""))"),"#REF!")</f>
        <v>#REF!</v>
      </c>
    </row>
    <row r="3389">
      <c r="A3389" s="21">
        <f t="shared" si="1"/>
        <v>0</v>
      </c>
      <c r="B3389" s="32" t="s">
        <v>246</v>
      </c>
      <c r="C3389" s="23" t="s">
        <v>285</v>
      </c>
      <c r="D3389" s="23" t="s">
        <v>58</v>
      </c>
      <c r="E3389" s="24">
        <v>45447.0</v>
      </c>
      <c r="F3389" s="25">
        <v>0.30486111111111114</v>
      </c>
      <c r="G3389" s="25">
        <v>0.7076388888888889</v>
      </c>
      <c r="H3389" s="27">
        <f t="shared" si="2"/>
        <v>0.4027777778</v>
      </c>
      <c r="I3389" s="28">
        <v>2.0</v>
      </c>
      <c r="J3389" s="29" t="s">
        <v>1524</v>
      </c>
      <c r="K3389" s="30" t="s">
        <v>23</v>
      </c>
      <c r="L3389" s="31" t="str">
        <f>IFERROR(__xludf.DUMMYFUNCTION("IF(OR(E3389="""",K3389=""""),"""",IFERROR(IF(K3389="""","""",query('tbl user'!$A$2:$D10975,""SELECT A WHERE D = '""&amp;K3389&amp;""'"")),""USER TIDAK DIKETAHUI""))"),"#REF!")</f>
        <v>#REF!</v>
      </c>
    </row>
    <row r="3390">
      <c r="A3390" s="21">
        <f t="shared" si="1"/>
        <v>0</v>
      </c>
      <c r="B3390" s="32" t="s">
        <v>24</v>
      </c>
      <c r="C3390" s="23" t="s">
        <v>25</v>
      </c>
      <c r="D3390" s="23" t="s">
        <v>58</v>
      </c>
      <c r="E3390" s="24">
        <v>45447.0</v>
      </c>
      <c r="F3390" s="25">
        <v>0.2722222222222222</v>
      </c>
      <c r="G3390" s="25">
        <v>0.6256944444444444</v>
      </c>
      <c r="H3390" s="27">
        <f t="shared" si="2"/>
        <v>0.3534722222</v>
      </c>
      <c r="I3390" s="28">
        <v>2.0</v>
      </c>
      <c r="J3390" s="29" t="s">
        <v>1524</v>
      </c>
      <c r="K3390" s="30" t="s">
        <v>23</v>
      </c>
      <c r="L3390" s="31" t="str">
        <f>IFERROR(__xludf.DUMMYFUNCTION("IF(OR(E3390="""",K3390=""""),"""",IFERROR(IF(K3390="""","""",query('tbl user'!$A$2:$D10975,""SELECT A WHERE D = '""&amp;K3390&amp;""'"")),""USER TIDAK DIKETAHUI""))"),"#REF!")</f>
        <v>#REF!</v>
      </c>
    </row>
    <row r="3391">
      <c r="A3391" s="21">
        <f t="shared" si="1"/>
        <v>0</v>
      </c>
      <c r="B3391" s="32" t="s">
        <v>81</v>
      </c>
      <c r="C3391" s="23" t="s">
        <v>44</v>
      </c>
      <c r="D3391" s="23" t="s">
        <v>58</v>
      </c>
      <c r="E3391" s="24">
        <v>45447.0</v>
      </c>
      <c r="F3391" s="25">
        <v>0.2951388888888889</v>
      </c>
      <c r="G3391" s="25">
        <v>0.7013888888888888</v>
      </c>
      <c r="H3391" s="27">
        <f t="shared" si="2"/>
        <v>0.40625</v>
      </c>
      <c r="I3391" s="28">
        <v>2.0</v>
      </c>
      <c r="J3391" s="29" t="s">
        <v>1300</v>
      </c>
      <c r="K3391" s="30" t="s">
        <v>23</v>
      </c>
      <c r="L3391" s="31" t="str">
        <f>IFERROR(__xludf.DUMMYFUNCTION("IF(OR(E3391="""",K3391=""""),"""",IFERROR(IF(K3391="""","""",query('tbl user'!$A$2:$D10975,""SELECT A WHERE D = '""&amp;K3391&amp;""'"")),""USER TIDAK DIKETAHUI""))"),"#REF!")</f>
        <v>#REF!</v>
      </c>
    </row>
    <row r="3392">
      <c r="A3392" s="21">
        <f t="shared" si="1"/>
        <v>0</v>
      </c>
      <c r="B3392" s="32" t="s">
        <v>101</v>
      </c>
      <c r="C3392" s="23" t="s">
        <v>102</v>
      </c>
      <c r="D3392" s="23" t="s">
        <v>58</v>
      </c>
      <c r="E3392" s="24">
        <v>45447.0</v>
      </c>
      <c r="F3392" s="25">
        <v>0.3055555555555556</v>
      </c>
      <c r="G3392" s="25">
        <v>0.7180555555555556</v>
      </c>
      <c r="H3392" s="27">
        <f t="shared" si="2"/>
        <v>0.4125</v>
      </c>
      <c r="I3392" s="28">
        <v>2.0</v>
      </c>
      <c r="J3392" s="29" t="s">
        <v>1527</v>
      </c>
      <c r="K3392" s="30" t="s">
        <v>23</v>
      </c>
      <c r="L3392" s="31" t="str">
        <f>IFERROR(__xludf.DUMMYFUNCTION("IF(OR(E3392="""",K3392=""""),"""",IFERROR(IF(K3392="""","""",query('tbl user'!$A$2:$D10975,""SELECT A WHERE D = '""&amp;K3392&amp;""'"")),""USER TIDAK DIKETAHUI""))"),"#REF!")</f>
        <v>#REF!</v>
      </c>
    </row>
    <row r="3393">
      <c r="A3393" s="21">
        <f t="shared" si="1"/>
        <v>0</v>
      </c>
      <c r="B3393" s="32" t="s">
        <v>333</v>
      </c>
      <c r="C3393" s="23" t="s">
        <v>334</v>
      </c>
      <c r="D3393" s="23" t="s">
        <v>58</v>
      </c>
      <c r="E3393" s="24">
        <v>45447.0</v>
      </c>
      <c r="F3393" s="25">
        <v>0.2791666666666667</v>
      </c>
      <c r="G3393" s="25">
        <v>0.6534722222222222</v>
      </c>
      <c r="H3393" s="27">
        <f t="shared" si="2"/>
        <v>0.3743055556</v>
      </c>
      <c r="I3393" s="28">
        <v>2.0</v>
      </c>
      <c r="J3393" s="29" t="s">
        <v>1528</v>
      </c>
      <c r="K3393" s="30" t="s">
        <v>23</v>
      </c>
      <c r="L3393" s="31" t="str">
        <f>IFERROR(__xludf.DUMMYFUNCTION("IF(OR(E3393="""",K3393=""""),"""",IFERROR(IF(K3393="""","""",query('tbl user'!$A$2:$D10975,""SELECT A WHERE D = '""&amp;K3393&amp;""'"")),""USER TIDAK DIKETAHUI""))"),"#REF!")</f>
        <v>#REF!</v>
      </c>
    </row>
    <row r="3394">
      <c r="A3394" s="21">
        <f t="shared" si="1"/>
        <v>0</v>
      </c>
      <c r="B3394" s="32" t="s">
        <v>716</v>
      </c>
      <c r="C3394" s="23" t="s">
        <v>316</v>
      </c>
      <c r="D3394" s="23" t="s">
        <v>58</v>
      </c>
      <c r="E3394" s="24">
        <v>45447.0</v>
      </c>
      <c r="F3394" s="25">
        <v>0.2722222222222222</v>
      </c>
      <c r="G3394" s="25">
        <v>0.6368055555555555</v>
      </c>
      <c r="H3394" s="27">
        <f t="shared" si="2"/>
        <v>0.3645833333</v>
      </c>
      <c r="I3394" s="28">
        <v>2.0</v>
      </c>
      <c r="J3394" s="29" t="s">
        <v>1529</v>
      </c>
      <c r="K3394" s="30" t="s">
        <v>23</v>
      </c>
      <c r="L3394" s="31" t="str">
        <f>IFERROR(__xludf.DUMMYFUNCTION("IF(OR(E3394="""",K3394=""""),"""",IFERROR(IF(K3394="""","""",query('tbl user'!$A$2:$D10975,""SELECT A WHERE D = '""&amp;K3394&amp;""'"")),""USER TIDAK DIKETAHUI""))"),"#REF!")</f>
        <v>#REF!</v>
      </c>
    </row>
    <row r="3395">
      <c r="A3395" s="21">
        <f t="shared" si="1"/>
        <v>0</v>
      </c>
      <c r="B3395" s="32" t="s">
        <v>219</v>
      </c>
      <c r="C3395" s="23" t="s">
        <v>340</v>
      </c>
      <c r="D3395" s="23" t="s">
        <v>58</v>
      </c>
      <c r="E3395" s="24">
        <v>45447.0</v>
      </c>
      <c r="F3395" s="25">
        <v>0.30277777777777776</v>
      </c>
      <c r="G3395" s="25">
        <v>0.7138888888888889</v>
      </c>
      <c r="H3395" s="27">
        <f t="shared" si="2"/>
        <v>0.4111111111</v>
      </c>
      <c r="I3395" s="28">
        <v>2.0</v>
      </c>
      <c r="J3395" s="29" t="s">
        <v>1524</v>
      </c>
      <c r="K3395" s="30" t="s">
        <v>23</v>
      </c>
      <c r="L3395" s="31" t="str">
        <f>IFERROR(__xludf.DUMMYFUNCTION("IF(OR(E3395="""",K3395=""""),"""",IFERROR(IF(K3395="""","""",query('tbl user'!$A$2:$D10975,""SELECT A WHERE D = '""&amp;K3395&amp;""'"")),""USER TIDAK DIKETAHUI""))"),"#REF!")</f>
        <v>#REF!</v>
      </c>
    </row>
    <row r="3396">
      <c r="A3396" s="21">
        <f t="shared" si="1"/>
        <v>0</v>
      </c>
      <c r="B3396" s="32" t="s">
        <v>87</v>
      </c>
      <c r="C3396" s="23" t="s">
        <v>88</v>
      </c>
      <c r="D3396" s="23" t="s">
        <v>58</v>
      </c>
      <c r="E3396" s="24">
        <v>45447.0</v>
      </c>
      <c r="F3396" s="25">
        <v>0.28055555555555556</v>
      </c>
      <c r="G3396" s="25">
        <v>0.6625</v>
      </c>
      <c r="H3396" s="27">
        <f t="shared" si="2"/>
        <v>0.3819444444</v>
      </c>
      <c r="I3396" s="28">
        <v>2.0</v>
      </c>
      <c r="J3396" s="29" t="s">
        <v>1524</v>
      </c>
      <c r="K3396" s="30" t="s">
        <v>23</v>
      </c>
      <c r="L3396" s="31" t="str">
        <f>IFERROR(__xludf.DUMMYFUNCTION("IF(OR(E3396="""",K3396=""""),"""",IFERROR(IF(K3396="""","""",query('tbl user'!$A$2:$D10975,""SELECT A WHERE D = '""&amp;K3396&amp;""'"")),""USER TIDAK DIKETAHUI""))"),"#REF!")</f>
        <v>#REF!</v>
      </c>
    </row>
    <row r="3397">
      <c r="A3397" s="21">
        <f t="shared" si="1"/>
        <v>0</v>
      </c>
      <c r="B3397" s="32" t="s">
        <v>172</v>
      </c>
      <c r="C3397" s="23" t="s">
        <v>54</v>
      </c>
      <c r="D3397" s="23" t="s">
        <v>58</v>
      </c>
      <c r="E3397" s="24">
        <v>45447.0</v>
      </c>
      <c r="F3397" s="25">
        <v>0.2986111111111111</v>
      </c>
      <c r="G3397" s="25">
        <v>0.7048611111111112</v>
      </c>
      <c r="H3397" s="27">
        <f t="shared" si="2"/>
        <v>0.40625</v>
      </c>
      <c r="I3397" s="28">
        <v>2.0</v>
      </c>
      <c r="J3397" s="29" t="s">
        <v>1524</v>
      </c>
      <c r="K3397" s="30" t="s">
        <v>23</v>
      </c>
      <c r="L3397" s="31" t="str">
        <f>IFERROR(__xludf.DUMMYFUNCTION("IF(OR(E3397="""",K3397=""""),"""",IFERROR(IF(K3397="""","""",query('tbl user'!$A$2:$D10975,""SELECT A WHERE D = '""&amp;K3397&amp;""'"")),""USER TIDAK DIKETAHUI""))"),"#REF!")</f>
        <v>#REF!</v>
      </c>
    </row>
    <row r="3398">
      <c r="A3398" s="21">
        <f t="shared" si="1"/>
        <v>0</v>
      </c>
      <c r="B3398" s="32" t="s">
        <v>319</v>
      </c>
      <c r="C3398" s="23" t="s">
        <v>320</v>
      </c>
      <c r="D3398" s="23" t="s">
        <v>58</v>
      </c>
      <c r="E3398" s="24">
        <v>45447.0</v>
      </c>
      <c r="F3398" s="25">
        <v>0.24305555555555555</v>
      </c>
      <c r="G3398" s="25">
        <v>0.6076388888888888</v>
      </c>
      <c r="H3398" s="27">
        <f t="shared" si="2"/>
        <v>0.3645833333</v>
      </c>
      <c r="I3398" s="28">
        <v>2.0</v>
      </c>
      <c r="J3398" s="29" t="s">
        <v>1524</v>
      </c>
      <c r="K3398" s="30" t="s">
        <v>23</v>
      </c>
      <c r="L3398" s="31" t="str">
        <f>IFERROR(__xludf.DUMMYFUNCTION("IF(OR(E3398="""",K3398=""""),"""",IFERROR(IF(K3398="""","""",query('tbl user'!$A$2:$D10975,""SELECT A WHERE D = '""&amp;K3398&amp;""'"")),""USER TIDAK DIKETAHUI""))"),"#REF!")</f>
        <v>#REF!</v>
      </c>
    </row>
    <row r="3399">
      <c r="A3399" s="21">
        <f t="shared" si="1"/>
        <v>0</v>
      </c>
      <c r="B3399" s="32" t="s">
        <v>325</v>
      </c>
      <c r="C3399" s="23" t="s">
        <v>326</v>
      </c>
      <c r="D3399" s="23" t="s">
        <v>58</v>
      </c>
      <c r="E3399" s="24">
        <v>45447.0</v>
      </c>
      <c r="F3399" s="25">
        <v>0.2548611111111111</v>
      </c>
      <c r="G3399" s="25">
        <v>0.7444444444444445</v>
      </c>
      <c r="H3399" s="27">
        <f t="shared" si="2"/>
        <v>0.4895833333</v>
      </c>
      <c r="I3399" s="28">
        <v>2.0</v>
      </c>
      <c r="J3399" s="29" t="s">
        <v>1530</v>
      </c>
      <c r="K3399" s="30" t="s">
        <v>23</v>
      </c>
      <c r="L3399" s="31" t="str">
        <f>IFERROR(__xludf.DUMMYFUNCTION("IF(OR(E3399="""",K3399=""""),"""",IFERROR(IF(K3399="""","""",query('tbl user'!$A$2:$D10975,""SELECT A WHERE D = '""&amp;K3399&amp;""'"")),""USER TIDAK DIKETAHUI""))"),"#REF!")</f>
        <v>#REF!</v>
      </c>
    </row>
    <row r="3400">
      <c r="A3400" s="21">
        <f t="shared" si="1"/>
        <v>0</v>
      </c>
      <c r="B3400" s="32" t="s">
        <v>577</v>
      </c>
      <c r="C3400" s="23" t="s">
        <v>330</v>
      </c>
      <c r="D3400" s="23" t="s">
        <v>58</v>
      </c>
      <c r="E3400" s="24">
        <v>45447.0</v>
      </c>
      <c r="F3400" s="25">
        <v>0.2673611111111111</v>
      </c>
      <c r="G3400" s="25">
        <v>0.6465277777777778</v>
      </c>
      <c r="H3400" s="27">
        <f t="shared" si="2"/>
        <v>0.3791666667</v>
      </c>
      <c r="I3400" s="28">
        <v>2.0</v>
      </c>
      <c r="J3400" s="29" t="s">
        <v>1531</v>
      </c>
      <c r="K3400" s="30" t="s">
        <v>23</v>
      </c>
      <c r="L3400" s="31" t="str">
        <f>IFERROR(__xludf.DUMMYFUNCTION("IF(OR(E3400="""",K3400=""""),"""",IFERROR(IF(K3400="""","""",query('tbl user'!$A$2:$D10975,""SELECT A WHERE D = '""&amp;K3400&amp;""'"")),""USER TIDAK DIKETAHUI""))"),"#REF!")</f>
        <v>#REF!</v>
      </c>
    </row>
    <row r="3401">
      <c r="A3401" s="21">
        <f t="shared" si="1"/>
        <v>0</v>
      </c>
      <c r="B3401" s="32" t="s">
        <v>260</v>
      </c>
      <c r="C3401" s="23" t="s">
        <v>261</v>
      </c>
      <c r="D3401" s="23" t="s">
        <v>58</v>
      </c>
      <c r="E3401" s="24">
        <v>45447.0</v>
      </c>
      <c r="F3401" s="25">
        <v>0.25</v>
      </c>
      <c r="G3401" s="25">
        <v>0.6138888888888889</v>
      </c>
      <c r="H3401" s="27">
        <f t="shared" si="2"/>
        <v>0.3638888889</v>
      </c>
      <c r="I3401" s="28">
        <v>2.0</v>
      </c>
      <c r="J3401" s="29" t="s">
        <v>1532</v>
      </c>
      <c r="K3401" s="30" t="s">
        <v>23</v>
      </c>
      <c r="L3401" s="31" t="str">
        <f>IFERROR(__xludf.DUMMYFUNCTION("IF(OR(E3401="""",K3401=""""),"""",IFERROR(IF(K3401="""","""",query('tbl user'!$A$2:$D10975,""SELECT A WHERE D = '""&amp;K3401&amp;""'"")),""USER TIDAK DIKETAHUI""))"),"#REF!")</f>
        <v>#REF!</v>
      </c>
    </row>
    <row r="3402">
      <c r="A3402" s="21">
        <f t="shared" si="1"/>
        <v>0</v>
      </c>
      <c r="B3402" s="32" t="s">
        <v>255</v>
      </c>
      <c r="C3402" s="23" t="s">
        <v>256</v>
      </c>
      <c r="D3402" s="23" t="s">
        <v>58</v>
      </c>
      <c r="E3402" s="24">
        <v>45447.0</v>
      </c>
      <c r="F3402" s="25">
        <v>0.22569444444444445</v>
      </c>
      <c r="G3402" s="25">
        <v>0.7340277777777777</v>
      </c>
      <c r="H3402" s="27">
        <f t="shared" si="2"/>
        <v>0.5083333333</v>
      </c>
      <c r="I3402" s="28">
        <v>3.0</v>
      </c>
      <c r="J3402" s="29" t="s">
        <v>55</v>
      </c>
      <c r="K3402" s="30" t="s">
        <v>23</v>
      </c>
      <c r="L3402" s="31" t="str">
        <f>IFERROR(__xludf.DUMMYFUNCTION("IF(OR(E3402="""",K3402=""""),"""",IFERROR(IF(K3402="""","""",query('tbl user'!$A$2:$D10975,""SELECT A WHERE D = '""&amp;K3402&amp;""'"")),""USER TIDAK DIKETAHUI""))"),"#REF!")</f>
        <v>#REF!</v>
      </c>
    </row>
    <row r="3403">
      <c r="A3403" s="21">
        <f t="shared" si="1"/>
        <v>0</v>
      </c>
      <c r="B3403" s="32" t="s">
        <v>81</v>
      </c>
      <c r="C3403" s="23" t="s">
        <v>282</v>
      </c>
      <c r="D3403" s="23" t="s">
        <v>21</v>
      </c>
      <c r="E3403" s="24">
        <v>45447.0</v>
      </c>
      <c r="F3403" s="25">
        <v>0.3020833333333333</v>
      </c>
      <c r="G3403" s="25">
        <v>0.6006944444444444</v>
      </c>
      <c r="H3403" s="27">
        <f t="shared" si="2"/>
        <v>0.2986111111</v>
      </c>
      <c r="I3403" s="28">
        <v>1.0</v>
      </c>
      <c r="J3403" s="29" t="s">
        <v>393</v>
      </c>
      <c r="K3403" s="30" t="s">
        <v>23</v>
      </c>
      <c r="L3403" s="31" t="str">
        <f>IFERROR(__xludf.DUMMYFUNCTION("IF(OR(E3403="""",K3403=""""),"""",IFERROR(IF(K3403="""","""",query('tbl user'!$A$2:$D10975,""SELECT A WHERE D = '""&amp;K3403&amp;""'"")),""USER TIDAK DIKETAHUI""))"),"#REF!")</f>
        <v>#REF!</v>
      </c>
    </row>
    <row r="3404">
      <c r="A3404" s="21">
        <f t="shared" si="1"/>
        <v>0</v>
      </c>
      <c r="B3404" s="32" t="s">
        <v>209</v>
      </c>
      <c r="C3404" s="23" t="s">
        <v>244</v>
      </c>
      <c r="D3404" s="23" t="s">
        <v>21</v>
      </c>
      <c r="E3404" s="24">
        <v>45447.0</v>
      </c>
      <c r="F3404" s="25">
        <v>0.3034722222222222</v>
      </c>
      <c r="G3404" s="25">
        <v>0.5826388888888889</v>
      </c>
      <c r="H3404" s="27">
        <f t="shared" si="2"/>
        <v>0.2791666667</v>
      </c>
      <c r="I3404" s="28">
        <v>1.0</v>
      </c>
      <c r="J3404" s="29" t="s">
        <v>1515</v>
      </c>
      <c r="K3404" s="30" t="s">
        <v>23</v>
      </c>
      <c r="L3404" s="31" t="str">
        <f>IFERROR(__xludf.DUMMYFUNCTION("IF(OR(E3404="""",K3404=""""),"""",IFERROR(IF(K3404="""","""",query('tbl user'!$A$2:$D10975,""SELECT A WHERE D = '""&amp;K3404&amp;""'"")),""USER TIDAK DIKETAHUI""))"),"#REF!")</f>
        <v>#REF!</v>
      </c>
    </row>
    <row r="3405">
      <c r="A3405" s="21">
        <f t="shared" si="1"/>
        <v>0</v>
      </c>
      <c r="B3405" s="32" t="s">
        <v>662</v>
      </c>
      <c r="C3405" s="23" t="s">
        <v>234</v>
      </c>
      <c r="D3405" s="23" t="s">
        <v>21</v>
      </c>
      <c r="E3405" s="24">
        <v>45447.0</v>
      </c>
      <c r="F3405" s="25">
        <v>0.28541666666666665</v>
      </c>
      <c r="G3405" s="25">
        <v>0.5020833333333333</v>
      </c>
      <c r="H3405" s="27">
        <f t="shared" si="2"/>
        <v>0.2166666667</v>
      </c>
      <c r="I3405" s="28">
        <v>1.0</v>
      </c>
      <c r="J3405" s="29" t="s">
        <v>1516</v>
      </c>
      <c r="K3405" s="30" t="s">
        <v>23</v>
      </c>
      <c r="L3405" s="31" t="str">
        <f>IFERROR(__xludf.DUMMYFUNCTION("IF(OR(E3405="""",K3405=""""),"""",IFERROR(IF(K3405="""","""",query('tbl user'!$A$2:$D10975,""SELECT A WHERE D = '""&amp;K3405&amp;""'"")),""USER TIDAK DIKETAHUI""))"),"#REF!")</f>
        <v>#REF!</v>
      </c>
    </row>
    <row r="3406">
      <c r="A3406" s="21">
        <f t="shared" si="1"/>
        <v>0</v>
      </c>
      <c r="B3406" s="32" t="s">
        <v>225</v>
      </c>
      <c r="C3406" s="23" t="s">
        <v>339</v>
      </c>
      <c r="D3406" s="23" t="s">
        <v>21</v>
      </c>
      <c r="E3406" s="24">
        <v>45447.0</v>
      </c>
      <c r="F3406" s="25">
        <v>0.30277777777777776</v>
      </c>
      <c r="G3406" s="25">
        <v>0.5819444444444445</v>
      </c>
      <c r="H3406" s="27">
        <f t="shared" si="2"/>
        <v>0.2791666667</v>
      </c>
      <c r="I3406" s="28">
        <v>1.0</v>
      </c>
      <c r="J3406" s="29" t="s">
        <v>1517</v>
      </c>
      <c r="K3406" s="30" t="s">
        <v>23</v>
      </c>
      <c r="L3406" s="31" t="str">
        <f>IFERROR(__xludf.DUMMYFUNCTION("IF(OR(E3406="""",K3406=""""),"""",IFERROR(IF(K3406="""","""",query('tbl user'!$A$2:$D10975,""SELECT A WHERE D = '""&amp;K3406&amp;""'"")),""USER TIDAK DIKETAHUI""))"),"#REF!")</f>
        <v>#REF!</v>
      </c>
    </row>
    <row r="3407">
      <c r="A3407" s="21">
        <f t="shared" si="1"/>
        <v>0</v>
      </c>
      <c r="B3407" s="32" t="s">
        <v>331</v>
      </c>
      <c r="C3407" s="23" t="s">
        <v>332</v>
      </c>
      <c r="D3407" s="23" t="s">
        <v>21</v>
      </c>
      <c r="E3407" s="24">
        <v>45447.0</v>
      </c>
      <c r="F3407" s="25">
        <v>0.2604166666666667</v>
      </c>
      <c r="G3407" s="25">
        <v>0.40347222222222223</v>
      </c>
      <c r="H3407" s="27">
        <f t="shared" si="2"/>
        <v>0.1430555556</v>
      </c>
      <c r="I3407" s="28">
        <v>1.0</v>
      </c>
      <c r="J3407" s="29" t="s">
        <v>1518</v>
      </c>
      <c r="K3407" s="30" t="s">
        <v>23</v>
      </c>
      <c r="L3407" s="31" t="str">
        <f>IFERROR(__xludf.DUMMYFUNCTION("IF(OR(E3407="""",K3407=""""),"""",IFERROR(IF(K3407="""","""",query('tbl user'!$A$2:$D10975,""SELECT A WHERE D = '""&amp;K3407&amp;""'"")),""USER TIDAK DIKETAHUI""))"),"#REF!")</f>
        <v>#REF!</v>
      </c>
    </row>
    <row r="3408">
      <c r="A3408" s="21">
        <f t="shared" si="1"/>
        <v>0</v>
      </c>
      <c r="B3408" s="32" t="s">
        <v>258</v>
      </c>
      <c r="C3408" s="23" t="s">
        <v>259</v>
      </c>
      <c r="D3408" s="23" t="s">
        <v>21</v>
      </c>
      <c r="E3408" s="24">
        <v>45447.0</v>
      </c>
      <c r="F3408" s="25">
        <v>0.25972222222222224</v>
      </c>
      <c r="G3408" s="25">
        <v>0.40555555555555556</v>
      </c>
      <c r="H3408" s="27">
        <f t="shared" si="2"/>
        <v>0.1458333333</v>
      </c>
      <c r="I3408" s="28">
        <v>1.0</v>
      </c>
      <c r="J3408" s="29" t="s">
        <v>1519</v>
      </c>
      <c r="K3408" s="30" t="s">
        <v>23</v>
      </c>
      <c r="L3408" s="31" t="str">
        <f>IFERROR(__xludf.DUMMYFUNCTION("IF(OR(E3408="""",K3408=""""),"""",IFERROR(IF(K3408="""","""",query('tbl user'!$A$2:$D10975,""SELECT A WHERE D = '""&amp;K3408&amp;""'"")),""USER TIDAK DIKETAHUI""))"),"#REF!")</f>
        <v>#REF!</v>
      </c>
    </row>
    <row r="3409">
      <c r="A3409" s="21">
        <f t="shared" si="1"/>
        <v>0</v>
      </c>
      <c r="B3409" s="32" t="s">
        <v>335</v>
      </c>
      <c r="C3409" s="23" t="s">
        <v>336</v>
      </c>
      <c r="D3409" s="23" t="s">
        <v>21</v>
      </c>
      <c r="E3409" s="24">
        <v>45447.0</v>
      </c>
      <c r="F3409" s="25">
        <v>0.28958333333333336</v>
      </c>
      <c r="G3409" s="25">
        <v>0.58125</v>
      </c>
      <c r="H3409" s="27">
        <f t="shared" si="2"/>
        <v>0.2916666667</v>
      </c>
      <c r="I3409" s="28">
        <v>1.0</v>
      </c>
      <c r="J3409" s="29" t="s">
        <v>1520</v>
      </c>
      <c r="K3409" s="30" t="s">
        <v>23</v>
      </c>
      <c r="L3409" s="31" t="str">
        <f>IFERROR(__xludf.DUMMYFUNCTION("IF(OR(E3409="""",K3409=""""),"""",IFERROR(IF(K3409="""","""",query('tbl user'!$A$2:$D10975,""SELECT A WHERE D = '""&amp;K3409&amp;""'"")),""USER TIDAK DIKETAHUI""))"),"#REF!")</f>
        <v>#REF!</v>
      </c>
    </row>
    <row r="3410">
      <c r="A3410" s="21">
        <f t="shared" si="1"/>
        <v>0</v>
      </c>
      <c r="B3410" s="32" t="s">
        <v>328</v>
      </c>
      <c r="C3410" s="23" t="s">
        <v>329</v>
      </c>
      <c r="D3410" s="23" t="s">
        <v>21</v>
      </c>
      <c r="E3410" s="24">
        <v>45447.0</v>
      </c>
      <c r="F3410" s="25">
        <v>0.2902777777777778</v>
      </c>
      <c r="G3410" s="25">
        <v>0.49930555555555556</v>
      </c>
      <c r="H3410" s="27">
        <f t="shared" si="2"/>
        <v>0.2090277778</v>
      </c>
      <c r="I3410" s="28">
        <v>1.0</v>
      </c>
      <c r="J3410" s="29" t="s">
        <v>1521</v>
      </c>
      <c r="K3410" s="30" t="s">
        <v>23</v>
      </c>
      <c r="L3410" s="31" t="str">
        <f>IFERROR(__xludf.DUMMYFUNCTION("IF(OR(E3410="""",K3410=""""),"""",IFERROR(IF(K3410="""","""",query('tbl user'!$A$2:$D10975,""SELECT A WHERE D = '""&amp;K3410&amp;""'"")),""USER TIDAK DIKETAHUI""))"),"#REF!")</f>
        <v>#REF!</v>
      </c>
    </row>
    <row r="3411">
      <c r="A3411" s="21">
        <f t="shared" si="1"/>
        <v>0</v>
      </c>
      <c r="B3411" s="32" t="s">
        <v>337</v>
      </c>
      <c r="C3411" s="23" t="s">
        <v>338</v>
      </c>
      <c r="D3411" s="23" t="s">
        <v>21</v>
      </c>
      <c r="E3411" s="24">
        <v>45447.0</v>
      </c>
      <c r="F3411" s="25">
        <v>0.2590277777777778</v>
      </c>
      <c r="G3411" s="25">
        <v>0.42430555555555555</v>
      </c>
      <c r="H3411" s="27">
        <f t="shared" si="2"/>
        <v>0.1652777778</v>
      </c>
      <c r="I3411" s="28">
        <v>1.0</v>
      </c>
      <c r="J3411" s="29" t="s">
        <v>1522</v>
      </c>
      <c r="K3411" s="30" t="s">
        <v>23</v>
      </c>
      <c r="L3411" s="31" t="str">
        <f>IFERROR(__xludf.DUMMYFUNCTION("IF(OR(E3411="""",K3411=""""),"""",IFERROR(IF(K3411="""","""",query('tbl user'!$A$2:$D10975,""SELECT A WHERE D = '""&amp;K3411&amp;""'"")),""USER TIDAK DIKETAHUI""))"),"#REF!")</f>
        <v>#REF!</v>
      </c>
    </row>
    <row r="3412">
      <c r="A3412" s="21">
        <f t="shared" si="1"/>
        <v>0</v>
      </c>
      <c r="B3412" s="32" t="s">
        <v>601</v>
      </c>
      <c r="C3412" s="23" t="s">
        <v>323</v>
      </c>
      <c r="D3412" s="23" t="s">
        <v>21</v>
      </c>
      <c r="E3412" s="24">
        <v>45447.0</v>
      </c>
      <c r="F3412" s="25">
        <v>0.2638888888888889</v>
      </c>
      <c r="G3412" s="25">
        <v>0.6243055555555556</v>
      </c>
      <c r="H3412" s="27">
        <f t="shared" si="2"/>
        <v>0.3604166667</v>
      </c>
      <c r="I3412" s="28">
        <v>1.0</v>
      </c>
      <c r="J3412" s="29" t="s">
        <v>1523</v>
      </c>
      <c r="K3412" s="30" t="s">
        <v>23</v>
      </c>
      <c r="L3412" s="31" t="str">
        <f>IFERROR(__xludf.DUMMYFUNCTION("IF(OR(E3412="""",K3412=""""),"""",IFERROR(IF(K3412="""","""",query('tbl user'!$A$2:$D10975,""SELECT A WHERE D = '""&amp;K3412&amp;""'"")),""USER TIDAK DIKETAHUI""))"),"#REF!")</f>
        <v>#REF!</v>
      </c>
    </row>
    <row r="3413">
      <c r="A3413" s="21">
        <f t="shared" si="1"/>
        <v>0</v>
      </c>
      <c r="B3413" s="32" t="s">
        <v>159</v>
      </c>
      <c r="C3413" s="23" t="s">
        <v>35</v>
      </c>
      <c r="D3413" s="23" t="s">
        <v>21</v>
      </c>
      <c r="E3413" s="24">
        <v>45447.0</v>
      </c>
      <c r="F3413" s="25">
        <v>0.29097222222222224</v>
      </c>
      <c r="G3413" s="25">
        <v>0.6979166666666666</v>
      </c>
      <c r="H3413" s="27">
        <f t="shared" si="2"/>
        <v>0.4069444444</v>
      </c>
      <c r="I3413" s="28">
        <v>2.0</v>
      </c>
      <c r="J3413" s="29" t="s">
        <v>1524</v>
      </c>
      <c r="K3413" s="30" t="s">
        <v>23</v>
      </c>
      <c r="L3413" s="31" t="str">
        <f>IFERROR(__xludf.DUMMYFUNCTION("IF(OR(E3413="""",K3413=""""),"""",IFERROR(IF(K3413="""","""",query('tbl user'!$A$2:$D10975,""SELECT A WHERE D = '""&amp;K3413&amp;""'"")),""USER TIDAK DIKETAHUI""))"),"#REF!")</f>
        <v>#REF!</v>
      </c>
    </row>
    <row r="3414">
      <c r="A3414" s="21">
        <f t="shared" si="1"/>
        <v>0</v>
      </c>
      <c r="B3414" s="32" t="s">
        <v>37</v>
      </c>
      <c r="C3414" s="23" t="s">
        <v>38</v>
      </c>
      <c r="D3414" s="23" t="s">
        <v>21</v>
      </c>
      <c r="E3414" s="24">
        <v>45447.0</v>
      </c>
      <c r="F3414" s="25">
        <v>0.29097222222222224</v>
      </c>
      <c r="G3414" s="25">
        <v>0.68125</v>
      </c>
      <c r="H3414" s="27">
        <f t="shared" si="2"/>
        <v>0.3902777778</v>
      </c>
      <c r="I3414" s="28">
        <v>2.0</v>
      </c>
      <c r="J3414" s="29" t="s">
        <v>1525</v>
      </c>
      <c r="K3414" s="30" t="s">
        <v>23</v>
      </c>
      <c r="L3414" s="31" t="str">
        <f>IFERROR(__xludf.DUMMYFUNCTION("IF(OR(E3414="""",K3414=""""),"""",IFERROR(IF(K3414="""","""",query('tbl user'!$A$2:$D10975,""SELECT A WHERE D = '""&amp;K3414&amp;""'"")),""USER TIDAK DIKETAHUI""))"),"#REF!")</f>
        <v>#REF!</v>
      </c>
    </row>
    <row r="3415">
      <c r="A3415" s="21">
        <f t="shared" si="1"/>
        <v>0</v>
      </c>
      <c r="B3415" s="32" t="s">
        <v>98</v>
      </c>
      <c r="C3415" s="23" t="s">
        <v>99</v>
      </c>
      <c r="D3415" s="23" t="s">
        <v>21</v>
      </c>
      <c r="E3415" s="24">
        <v>45447.0</v>
      </c>
      <c r="F3415" s="25">
        <v>0.28680555555555554</v>
      </c>
      <c r="G3415" s="25">
        <v>0.7118055555555556</v>
      </c>
      <c r="H3415" s="27">
        <f t="shared" si="2"/>
        <v>0.425</v>
      </c>
      <c r="I3415" s="28">
        <v>2.0</v>
      </c>
      <c r="J3415" s="29" t="s">
        <v>1526</v>
      </c>
      <c r="K3415" s="30" t="s">
        <v>23</v>
      </c>
      <c r="L3415" s="31" t="str">
        <f>IFERROR(__xludf.DUMMYFUNCTION("IF(OR(E3415="""",K3415=""""),"""",IFERROR(IF(K3415="""","""",query('tbl user'!$A$2:$D10975,""SELECT A WHERE D = '""&amp;K3415&amp;""'"")),""USER TIDAK DIKETAHUI""))"),"#REF!")</f>
        <v>#REF!</v>
      </c>
    </row>
    <row r="3416">
      <c r="A3416" s="21">
        <f t="shared" si="1"/>
        <v>0</v>
      </c>
      <c r="B3416" s="32" t="s">
        <v>289</v>
      </c>
      <c r="C3416" s="23" t="s">
        <v>290</v>
      </c>
      <c r="D3416" s="23" t="s">
        <v>21</v>
      </c>
      <c r="E3416" s="24">
        <v>45447.0</v>
      </c>
      <c r="F3416" s="25">
        <v>0.2902777777777778</v>
      </c>
      <c r="G3416" s="25">
        <v>0.6826388888888889</v>
      </c>
      <c r="H3416" s="27">
        <f t="shared" si="2"/>
        <v>0.3923611111</v>
      </c>
      <c r="I3416" s="28">
        <v>2.0</v>
      </c>
      <c r="J3416" s="29" t="s">
        <v>1524</v>
      </c>
      <c r="K3416" s="30" t="s">
        <v>23</v>
      </c>
      <c r="L3416" s="31" t="str">
        <f>IFERROR(__xludf.DUMMYFUNCTION("IF(OR(E3416="""",K3416=""""),"""",IFERROR(IF(K3416="""","""",query('tbl user'!$A$2:$D10975,""SELECT A WHERE D = '""&amp;K3416&amp;""'"")),""USER TIDAK DIKETAHUI""))"),"#REF!")</f>
        <v>#REF!</v>
      </c>
    </row>
    <row r="3417">
      <c r="A3417" s="21">
        <f t="shared" si="1"/>
        <v>0</v>
      </c>
      <c r="B3417" s="32" t="s">
        <v>64</v>
      </c>
      <c r="C3417" s="23" t="s">
        <v>65</v>
      </c>
      <c r="D3417" s="23" t="s">
        <v>21</v>
      </c>
      <c r="E3417" s="24">
        <v>45447.0</v>
      </c>
      <c r="F3417" s="25">
        <v>0.3090277777777778</v>
      </c>
      <c r="G3417" s="25">
        <v>0.7284722222222222</v>
      </c>
      <c r="H3417" s="27">
        <f t="shared" si="2"/>
        <v>0.4194444444</v>
      </c>
      <c r="I3417" s="28">
        <v>2.0</v>
      </c>
      <c r="J3417" s="29" t="s">
        <v>1524</v>
      </c>
      <c r="K3417" s="30" t="s">
        <v>23</v>
      </c>
      <c r="L3417" s="31" t="str">
        <f>IFERROR(__xludf.DUMMYFUNCTION("IF(OR(E3417="""",K3417=""""),"""",IFERROR(IF(K3417="""","""",query('tbl user'!$A$2:$D10975,""SELECT A WHERE D = '""&amp;K3417&amp;""'"")),""USER TIDAK DIKETAHUI""))"),"#REF!")</f>
        <v>#REF!</v>
      </c>
    </row>
    <row r="3418">
      <c r="A3418" s="21">
        <f t="shared" si="1"/>
        <v>0</v>
      </c>
      <c r="B3418" s="32" t="s">
        <v>246</v>
      </c>
      <c r="C3418" s="23" t="s">
        <v>285</v>
      </c>
      <c r="D3418" s="23" t="s">
        <v>21</v>
      </c>
      <c r="E3418" s="24">
        <v>45447.0</v>
      </c>
      <c r="F3418" s="25">
        <v>0.30486111111111114</v>
      </c>
      <c r="G3418" s="25">
        <v>0.7076388888888889</v>
      </c>
      <c r="H3418" s="27">
        <f t="shared" si="2"/>
        <v>0.4027777778</v>
      </c>
      <c r="I3418" s="28">
        <v>2.0</v>
      </c>
      <c r="J3418" s="29" t="s">
        <v>1524</v>
      </c>
      <c r="K3418" s="30" t="s">
        <v>23</v>
      </c>
      <c r="L3418" s="31" t="str">
        <f>IFERROR(__xludf.DUMMYFUNCTION("IF(OR(E3418="""",K3418=""""),"""",IFERROR(IF(K3418="""","""",query('tbl user'!$A$2:$D10975,""SELECT A WHERE D = '""&amp;K3418&amp;""'"")),""USER TIDAK DIKETAHUI""))"),"#REF!")</f>
        <v>#REF!</v>
      </c>
    </row>
    <row r="3419">
      <c r="A3419" s="21">
        <f t="shared" si="1"/>
        <v>0</v>
      </c>
      <c r="B3419" s="32" t="s">
        <v>24</v>
      </c>
      <c r="C3419" s="23" t="s">
        <v>25</v>
      </c>
      <c r="D3419" s="23" t="s">
        <v>21</v>
      </c>
      <c r="E3419" s="24">
        <v>45447.0</v>
      </c>
      <c r="F3419" s="25">
        <v>0.2722222222222222</v>
      </c>
      <c r="G3419" s="25">
        <v>0.6256944444444444</v>
      </c>
      <c r="H3419" s="27">
        <f t="shared" si="2"/>
        <v>0.3534722222</v>
      </c>
      <c r="I3419" s="28">
        <v>2.0</v>
      </c>
      <c r="J3419" s="29" t="s">
        <v>1524</v>
      </c>
      <c r="K3419" s="30" t="s">
        <v>23</v>
      </c>
      <c r="L3419" s="31" t="str">
        <f>IFERROR(__xludf.DUMMYFUNCTION("IF(OR(E3419="""",K3419=""""),"""",IFERROR(IF(K3419="""","""",query('tbl user'!$A$2:$D10975,""SELECT A WHERE D = '""&amp;K3419&amp;""'"")),""USER TIDAK DIKETAHUI""))"),"#REF!")</f>
        <v>#REF!</v>
      </c>
    </row>
    <row r="3420">
      <c r="A3420" s="21">
        <f t="shared" si="1"/>
        <v>0</v>
      </c>
      <c r="B3420" s="32" t="s">
        <v>81</v>
      </c>
      <c r="C3420" s="23" t="s">
        <v>44</v>
      </c>
      <c r="D3420" s="23" t="s">
        <v>21</v>
      </c>
      <c r="E3420" s="24">
        <v>45447.0</v>
      </c>
      <c r="F3420" s="25">
        <v>0.2951388888888889</v>
      </c>
      <c r="G3420" s="25">
        <v>0.7013888888888888</v>
      </c>
      <c r="H3420" s="27">
        <f t="shared" si="2"/>
        <v>0.40625</v>
      </c>
      <c r="I3420" s="28">
        <v>2.0</v>
      </c>
      <c r="J3420" s="29" t="s">
        <v>1300</v>
      </c>
      <c r="K3420" s="30" t="s">
        <v>23</v>
      </c>
      <c r="L3420" s="31" t="str">
        <f>IFERROR(__xludf.DUMMYFUNCTION("IF(OR(E3420="""",K3420=""""),"""",IFERROR(IF(K3420="""","""",query('tbl user'!$A$2:$D10975,""SELECT A WHERE D = '""&amp;K3420&amp;""'"")),""USER TIDAK DIKETAHUI""))"),"#REF!")</f>
        <v>#REF!</v>
      </c>
    </row>
    <row r="3421">
      <c r="A3421" s="21">
        <f t="shared" si="1"/>
        <v>0</v>
      </c>
      <c r="B3421" s="32" t="s">
        <v>101</v>
      </c>
      <c r="C3421" s="23" t="s">
        <v>102</v>
      </c>
      <c r="D3421" s="23" t="s">
        <v>21</v>
      </c>
      <c r="E3421" s="24">
        <v>45447.0</v>
      </c>
      <c r="F3421" s="25">
        <v>0.3055555555555556</v>
      </c>
      <c r="G3421" s="25">
        <v>0.7180555555555556</v>
      </c>
      <c r="H3421" s="27">
        <f t="shared" si="2"/>
        <v>0.4125</v>
      </c>
      <c r="I3421" s="28">
        <v>2.0</v>
      </c>
      <c r="J3421" s="29" t="s">
        <v>1527</v>
      </c>
      <c r="K3421" s="30" t="s">
        <v>23</v>
      </c>
      <c r="L3421" s="31" t="str">
        <f>IFERROR(__xludf.DUMMYFUNCTION("IF(OR(E3421="""",K3421=""""),"""",IFERROR(IF(K3421="""","""",query('tbl user'!$A$2:$D10975,""SELECT A WHERE D = '""&amp;K3421&amp;""'"")),""USER TIDAK DIKETAHUI""))"),"#REF!")</f>
        <v>#REF!</v>
      </c>
    </row>
    <row r="3422">
      <c r="A3422" s="21">
        <f t="shared" si="1"/>
        <v>0</v>
      </c>
      <c r="B3422" s="32" t="s">
        <v>333</v>
      </c>
      <c r="C3422" s="23" t="s">
        <v>334</v>
      </c>
      <c r="D3422" s="23" t="s">
        <v>21</v>
      </c>
      <c r="E3422" s="24">
        <v>45447.0</v>
      </c>
      <c r="F3422" s="25">
        <v>0.2791666666666667</v>
      </c>
      <c r="G3422" s="25">
        <v>0.6534722222222222</v>
      </c>
      <c r="H3422" s="27">
        <f t="shared" si="2"/>
        <v>0.3743055556</v>
      </c>
      <c r="I3422" s="28">
        <v>2.0</v>
      </c>
      <c r="J3422" s="29" t="s">
        <v>1528</v>
      </c>
      <c r="K3422" s="30" t="s">
        <v>23</v>
      </c>
      <c r="L3422" s="31" t="str">
        <f>IFERROR(__xludf.DUMMYFUNCTION("IF(OR(E3422="""",K3422=""""),"""",IFERROR(IF(K3422="""","""",query('tbl user'!$A$2:$D10975,""SELECT A WHERE D = '""&amp;K3422&amp;""'"")),""USER TIDAK DIKETAHUI""))"),"#REF!")</f>
        <v>#REF!</v>
      </c>
    </row>
    <row r="3423">
      <c r="A3423" s="21">
        <f t="shared" si="1"/>
        <v>0</v>
      </c>
      <c r="B3423" s="32" t="s">
        <v>716</v>
      </c>
      <c r="C3423" s="23" t="s">
        <v>316</v>
      </c>
      <c r="D3423" s="23" t="s">
        <v>21</v>
      </c>
      <c r="E3423" s="24">
        <v>45447.0</v>
      </c>
      <c r="F3423" s="25">
        <v>0.2722222222222222</v>
      </c>
      <c r="G3423" s="25">
        <v>0.6368055555555555</v>
      </c>
      <c r="H3423" s="27">
        <f t="shared" si="2"/>
        <v>0.3645833333</v>
      </c>
      <c r="I3423" s="28">
        <v>2.0</v>
      </c>
      <c r="J3423" s="29" t="s">
        <v>1529</v>
      </c>
      <c r="K3423" s="30" t="s">
        <v>23</v>
      </c>
      <c r="L3423" s="31" t="str">
        <f>IFERROR(__xludf.DUMMYFUNCTION("IF(OR(E3423="""",K3423=""""),"""",IFERROR(IF(K3423="""","""",query('tbl user'!$A$2:$D10975,""SELECT A WHERE D = '""&amp;K3423&amp;""'"")),""USER TIDAK DIKETAHUI""))"),"#REF!")</f>
        <v>#REF!</v>
      </c>
    </row>
    <row r="3424">
      <c r="A3424" s="21">
        <f t="shared" si="1"/>
        <v>0</v>
      </c>
      <c r="B3424" s="32" t="s">
        <v>219</v>
      </c>
      <c r="C3424" s="23" t="s">
        <v>340</v>
      </c>
      <c r="D3424" s="23" t="s">
        <v>21</v>
      </c>
      <c r="E3424" s="24">
        <v>45447.0</v>
      </c>
      <c r="F3424" s="25">
        <v>0.30277777777777776</v>
      </c>
      <c r="G3424" s="25">
        <v>0.7138888888888889</v>
      </c>
      <c r="H3424" s="27">
        <f t="shared" si="2"/>
        <v>0.4111111111</v>
      </c>
      <c r="I3424" s="28">
        <v>2.0</v>
      </c>
      <c r="J3424" s="29" t="s">
        <v>1524</v>
      </c>
      <c r="K3424" s="30" t="s">
        <v>23</v>
      </c>
      <c r="L3424" s="31" t="str">
        <f>IFERROR(__xludf.DUMMYFUNCTION("IF(OR(E3424="""",K3424=""""),"""",IFERROR(IF(K3424="""","""",query('tbl user'!$A$2:$D10975,""SELECT A WHERE D = '""&amp;K3424&amp;""'"")),""USER TIDAK DIKETAHUI""))"),"#REF!")</f>
        <v>#REF!</v>
      </c>
    </row>
    <row r="3425">
      <c r="A3425" s="21">
        <f t="shared" si="1"/>
        <v>0</v>
      </c>
      <c r="B3425" s="32" t="s">
        <v>87</v>
      </c>
      <c r="C3425" s="23" t="s">
        <v>88</v>
      </c>
      <c r="D3425" s="23" t="s">
        <v>21</v>
      </c>
      <c r="E3425" s="24">
        <v>45447.0</v>
      </c>
      <c r="F3425" s="25">
        <v>0.28055555555555556</v>
      </c>
      <c r="G3425" s="25">
        <v>0.6625</v>
      </c>
      <c r="H3425" s="27">
        <f t="shared" si="2"/>
        <v>0.3819444444</v>
      </c>
      <c r="I3425" s="28">
        <v>2.0</v>
      </c>
      <c r="J3425" s="29" t="s">
        <v>1524</v>
      </c>
      <c r="K3425" s="30" t="s">
        <v>23</v>
      </c>
      <c r="L3425" s="31" t="str">
        <f>IFERROR(__xludf.DUMMYFUNCTION("IF(OR(E3425="""",K3425=""""),"""",IFERROR(IF(K3425="""","""",query('tbl user'!$A$2:$D10975,""SELECT A WHERE D = '""&amp;K3425&amp;""'"")),""USER TIDAK DIKETAHUI""))"),"#REF!")</f>
        <v>#REF!</v>
      </c>
    </row>
    <row r="3426">
      <c r="A3426" s="21">
        <f t="shared" si="1"/>
        <v>0</v>
      </c>
      <c r="B3426" s="32" t="s">
        <v>172</v>
      </c>
      <c r="C3426" s="23" t="s">
        <v>54</v>
      </c>
      <c r="D3426" s="23" t="s">
        <v>21</v>
      </c>
      <c r="E3426" s="24">
        <v>45447.0</v>
      </c>
      <c r="F3426" s="25">
        <v>0.2986111111111111</v>
      </c>
      <c r="G3426" s="25">
        <v>0.7048611111111112</v>
      </c>
      <c r="H3426" s="27">
        <f t="shared" si="2"/>
        <v>0.40625</v>
      </c>
      <c r="I3426" s="28">
        <v>2.0</v>
      </c>
      <c r="J3426" s="29" t="s">
        <v>1524</v>
      </c>
      <c r="K3426" s="30" t="s">
        <v>23</v>
      </c>
      <c r="L3426" s="31" t="str">
        <f>IFERROR(__xludf.DUMMYFUNCTION("IF(OR(E3426="""",K3426=""""),"""",IFERROR(IF(K3426="""","""",query('tbl user'!$A$2:$D10975,""SELECT A WHERE D = '""&amp;K3426&amp;""'"")),""USER TIDAK DIKETAHUI""))"),"#REF!")</f>
        <v>#REF!</v>
      </c>
    </row>
    <row r="3427">
      <c r="A3427" s="21">
        <f t="shared" si="1"/>
        <v>0</v>
      </c>
      <c r="B3427" s="32" t="s">
        <v>319</v>
      </c>
      <c r="C3427" s="23" t="s">
        <v>320</v>
      </c>
      <c r="D3427" s="23" t="s">
        <v>21</v>
      </c>
      <c r="E3427" s="24">
        <v>45447.0</v>
      </c>
      <c r="F3427" s="25">
        <v>0.24305555555555555</v>
      </c>
      <c r="G3427" s="25">
        <v>0.6076388888888888</v>
      </c>
      <c r="H3427" s="27">
        <f t="shared" si="2"/>
        <v>0.3645833333</v>
      </c>
      <c r="I3427" s="28">
        <v>2.0</v>
      </c>
      <c r="J3427" s="29" t="s">
        <v>1524</v>
      </c>
      <c r="K3427" s="30" t="s">
        <v>23</v>
      </c>
      <c r="L3427" s="31" t="str">
        <f>IFERROR(__xludf.DUMMYFUNCTION("IF(OR(E3427="""",K3427=""""),"""",IFERROR(IF(K3427="""","""",query('tbl user'!$A$2:$D10975,""SELECT A WHERE D = '""&amp;K3427&amp;""'"")),""USER TIDAK DIKETAHUI""))"),"#REF!")</f>
        <v>#REF!</v>
      </c>
    </row>
    <row r="3428">
      <c r="A3428" s="21">
        <f t="shared" si="1"/>
        <v>0</v>
      </c>
      <c r="B3428" s="32" t="s">
        <v>325</v>
      </c>
      <c r="C3428" s="23" t="s">
        <v>326</v>
      </c>
      <c r="D3428" s="23" t="s">
        <v>21</v>
      </c>
      <c r="E3428" s="24">
        <v>45447.0</v>
      </c>
      <c r="F3428" s="25">
        <v>0.2548611111111111</v>
      </c>
      <c r="G3428" s="25">
        <v>0.7444444444444445</v>
      </c>
      <c r="H3428" s="27">
        <f t="shared" si="2"/>
        <v>0.4895833333</v>
      </c>
      <c r="I3428" s="28">
        <v>2.0</v>
      </c>
      <c r="J3428" s="29" t="s">
        <v>1530</v>
      </c>
      <c r="K3428" s="30" t="s">
        <v>23</v>
      </c>
      <c r="L3428" s="31" t="str">
        <f>IFERROR(__xludf.DUMMYFUNCTION("IF(OR(E3428="""",K3428=""""),"""",IFERROR(IF(K3428="""","""",query('tbl user'!$A$2:$D10975,""SELECT A WHERE D = '""&amp;K3428&amp;""'"")),""USER TIDAK DIKETAHUI""))"),"#REF!")</f>
        <v>#REF!</v>
      </c>
    </row>
    <row r="3429">
      <c r="A3429" s="21">
        <f t="shared" si="1"/>
        <v>0</v>
      </c>
      <c r="B3429" s="32" t="s">
        <v>577</v>
      </c>
      <c r="C3429" s="23" t="s">
        <v>330</v>
      </c>
      <c r="D3429" s="23" t="s">
        <v>21</v>
      </c>
      <c r="E3429" s="24">
        <v>45447.0</v>
      </c>
      <c r="F3429" s="25">
        <v>0.2673611111111111</v>
      </c>
      <c r="G3429" s="25">
        <v>0.6465277777777778</v>
      </c>
      <c r="H3429" s="27">
        <f t="shared" si="2"/>
        <v>0.3791666667</v>
      </c>
      <c r="I3429" s="28">
        <v>2.0</v>
      </c>
      <c r="J3429" s="29" t="s">
        <v>1531</v>
      </c>
      <c r="K3429" s="30" t="s">
        <v>23</v>
      </c>
      <c r="L3429" s="31" t="str">
        <f>IFERROR(__xludf.DUMMYFUNCTION("IF(OR(E3429="""",K3429=""""),"""",IFERROR(IF(K3429="""","""",query('tbl user'!$A$2:$D10975,""SELECT A WHERE D = '""&amp;K3429&amp;""'"")),""USER TIDAK DIKETAHUI""))"),"#REF!")</f>
        <v>#REF!</v>
      </c>
    </row>
    <row r="3430">
      <c r="A3430" s="21">
        <f t="shared" si="1"/>
        <v>0</v>
      </c>
      <c r="B3430" s="32" t="s">
        <v>260</v>
      </c>
      <c r="C3430" s="23" t="s">
        <v>261</v>
      </c>
      <c r="D3430" s="23" t="s">
        <v>21</v>
      </c>
      <c r="E3430" s="24">
        <v>45447.0</v>
      </c>
      <c r="F3430" s="25">
        <v>0.25</v>
      </c>
      <c r="G3430" s="25">
        <v>0.6138888888888889</v>
      </c>
      <c r="H3430" s="27">
        <f t="shared" si="2"/>
        <v>0.3638888889</v>
      </c>
      <c r="I3430" s="28">
        <v>2.0</v>
      </c>
      <c r="J3430" s="29" t="s">
        <v>1532</v>
      </c>
      <c r="K3430" s="30" t="s">
        <v>23</v>
      </c>
      <c r="L3430" s="31" t="str">
        <f>IFERROR(__xludf.DUMMYFUNCTION("IF(OR(E3430="""",K3430=""""),"""",IFERROR(IF(K3430="""","""",query('tbl user'!$A$2:$D10975,""SELECT A WHERE D = '""&amp;K3430&amp;""'"")),""USER TIDAK DIKETAHUI""))"),"#REF!")</f>
        <v>#REF!</v>
      </c>
    </row>
    <row r="3431">
      <c r="A3431" s="21">
        <f t="shared" si="1"/>
        <v>0</v>
      </c>
      <c r="B3431" s="32" t="s">
        <v>255</v>
      </c>
      <c r="C3431" s="23" t="s">
        <v>256</v>
      </c>
      <c r="D3431" s="23" t="s">
        <v>21</v>
      </c>
      <c r="E3431" s="24">
        <v>45447.0</v>
      </c>
      <c r="F3431" s="25">
        <v>0.22569444444444445</v>
      </c>
      <c r="G3431" s="25">
        <v>0.7340277777777777</v>
      </c>
      <c r="H3431" s="27">
        <f t="shared" si="2"/>
        <v>0.5083333333</v>
      </c>
      <c r="I3431" s="28">
        <v>3.0</v>
      </c>
      <c r="J3431" s="29" t="s">
        <v>55</v>
      </c>
      <c r="K3431" s="30" t="s">
        <v>23</v>
      </c>
      <c r="L3431" s="31" t="str">
        <f>IFERROR(__xludf.DUMMYFUNCTION("IF(OR(E3431="""",K3431=""""),"""",IFERROR(IF(K3431="""","""",query('tbl user'!$A$2:$D10975,""SELECT A WHERE D = '""&amp;K3431&amp;""'"")),""USER TIDAK DIKETAHUI""))"),"#REF!")</f>
        <v>#REF!</v>
      </c>
    </row>
    <row r="3432">
      <c r="A3432" s="21" t="str">
        <f t="shared" si="1"/>
        <v/>
      </c>
      <c r="B3432" s="35"/>
      <c r="C3432" s="23" t="s">
        <v>76</v>
      </c>
      <c r="D3432" s="23" t="s">
        <v>32</v>
      </c>
      <c r="E3432" s="24">
        <v>45447.0</v>
      </c>
      <c r="F3432" s="25">
        <v>0.2916666666666667</v>
      </c>
      <c r="G3432" s="25">
        <v>0.5805555555555556</v>
      </c>
      <c r="H3432" s="27">
        <f t="shared" si="2"/>
        <v>0.2888888889</v>
      </c>
      <c r="I3432" s="28">
        <v>0.0</v>
      </c>
      <c r="J3432" s="29" t="s">
        <v>1533</v>
      </c>
      <c r="K3432" s="30" t="s">
        <v>23</v>
      </c>
      <c r="L3432" s="31" t="str">
        <f>IFERROR(__xludf.DUMMYFUNCTION("IF(OR(E3432="""",K3432=""""),"""",IFERROR(IF(K3432="""","""",query('tbl user'!$A$2:$D10975,""SELECT A WHERE D = '""&amp;K3432&amp;""'"")),""USER TIDAK DIKETAHUI""))"),"#REF!")</f>
        <v>#REF!</v>
      </c>
    </row>
    <row r="3433">
      <c r="A3433" s="21">
        <f t="shared" si="1"/>
        <v>0</v>
      </c>
      <c r="B3433" s="32" t="s">
        <v>125</v>
      </c>
      <c r="C3433" s="23" t="s">
        <v>126</v>
      </c>
      <c r="D3433" s="23" t="s">
        <v>32</v>
      </c>
      <c r="E3433" s="24">
        <v>45447.0</v>
      </c>
      <c r="F3433" s="25">
        <v>0.2923611111111111</v>
      </c>
      <c r="G3433" s="25">
        <v>0.5013888888888889</v>
      </c>
      <c r="H3433" s="27">
        <f t="shared" si="2"/>
        <v>0.2090277778</v>
      </c>
      <c r="I3433" s="28">
        <v>1.0</v>
      </c>
      <c r="J3433" s="29" t="s">
        <v>1534</v>
      </c>
      <c r="K3433" s="30" t="s">
        <v>23</v>
      </c>
      <c r="L3433" s="31" t="str">
        <f>IFERROR(__xludf.DUMMYFUNCTION("IF(OR(E3433="""",K3433=""""),"""",IFERROR(IF(K3433="""","""",query('tbl user'!$A$2:$D10975,""SELECT A WHERE D = '""&amp;K3433&amp;""'"")),""USER TIDAK DIKETAHUI""))"),"#REF!")</f>
        <v>#REF!</v>
      </c>
    </row>
    <row r="3434">
      <c r="A3434" s="21">
        <f t="shared" si="1"/>
        <v>0</v>
      </c>
      <c r="B3434" s="32" t="s">
        <v>127</v>
      </c>
      <c r="C3434" s="23" t="s">
        <v>128</v>
      </c>
      <c r="D3434" s="23" t="s">
        <v>32</v>
      </c>
      <c r="E3434" s="24">
        <v>45447.0</v>
      </c>
      <c r="F3434" s="25">
        <v>0.2902777777777778</v>
      </c>
      <c r="G3434" s="25">
        <v>0.47708333333333336</v>
      </c>
      <c r="H3434" s="27">
        <f t="shared" si="2"/>
        <v>0.1868055556</v>
      </c>
      <c r="I3434" s="28">
        <v>1.0</v>
      </c>
      <c r="J3434" s="29" t="s">
        <v>1535</v>
      </c>
      <c r="K3434" s="30" t="s">
        <v>23</v>
      </c>
      <c r="L3434" s="31" t="str">
        <f>IFERROR(__xludf.DUMMYFUNCTION("IF(OR(E3434="""",K3434=""""),"""",IFERROR(IF(K3434="""","""",query('tbl user'!$A$2:$D10975,""SELECT A WHERE D = '""&amp;K3434&amp;""'"")),""USER TIDAK DIKETAHUI""))"),"#REF!")</f>
        <v>#REF!</v>
      </c>
    </row>
    <row r="3435">
      <c r="A3435" s="21">
        <f t="shared" si="1"/>
        <v>0</v>
      </c>
      <c r="B3435" s="32" t="s">
        <v>363</v>
      </c>
      <c r="C3435" s="23" t="s">
        <v>90</v>
      </c>
      <c r="D3435" s="23" t="s">
        <v>32</v>
      </c>
      <c r="E3435" s="24">
        <v>45447.0</v>
      </c>
      <c r="F3435" s="25">
        <v>0.2951388888888889</v>
      </c>
      <c r="G3435" s="25">
        <v>0.5326388888888889</v>
      </c>
      <c r="H3435" s="27">
        <f t="shared" si="2"/>
        <v>0.2375</v>
      </c>
      <c r="I3435" s="28">
        <v>1.0</v>
      </c>
      <c r="J3435" s="29" t="s">
        <v>1536</v>
      </c>
      <c r="K3435" s="30" t="s">
        <v>23</v>
      </c>
      <c r="L3435" s="31" t="str">
        <f>IFERROR(__xludf.DUMMYFUNCTION("IF(OR(E3435="""",K3435=""""),"""",IFERROR(IF(K3435="""","""",query('tbl user'!$A$2:$D10975,""SELECT A WHERE D = '""&amp;K3435&amp;""'"")),""USER TIDAK DIKETAHUI""))"),"#REF!")</f>
        <v>#REF!</v>
      </c>
    </row>
    <row r="3436">
      <c r="A3436" s="21">
        <f t="shared" si="1"/>
        <v>0</v>
      </c>
      <c r="B3436" s="32" t="s">
        <v>312</v>
      </c>
      <c r="C3436" s="23" t="s">
        <v>313</v>
      </c>
      <c r="D3436" s="23" t="s">
        <v>32</v>
      </c>
      <c r="E3436" s="24">
        <v>45447.0</v>
      </c>
      <c r="F3436" s="25">
        <v>0.2847222222222222</v>
      </c>
      <c r="G3436" s="25">
        <v>0.5715277777777777</v>
      </c>
      <c r="H3436" s="27">
        <f t="shared" si="2"/>
        <v>0.2868055556</v>
      </c>
      <c r="I3436" s="28">
        <v>1.0</v>
      </c>
      <c r="J3436" s="29" t="s">
        <v>1537</v>
      </c>
      <c r="K3436" s="30" t="s">
        <v>23</v>
      </c>
      <c r="L3436" s="31" t="str">
        <f>IFERROR(__xludf.DUMMYFUNCTION("IF(OR(E3436="""",K3436=""""),"""",IFERROR(IF(K3436="""","""",query('tbl user'!$A$2:$D10975,""SELECT A WHERE D = '""&amp;K3436&amp;""'"")),""USER TIDAK DIKETAHUI""))"),"#REF!")</f>
        <v>#REF!</v>
      </c>
    </row>
    <row r="3437">
      <c r="A3437" s="21">
        <f t="shared" si="1"/>
        <v>0</v>
      </c>
      <c r="B3437" s="32" t="s">
        <v>269</v>
      </c>
      <c r="C3437" s="23" t="s">
        <v>270</v>
      </c>
      <c r="D3437" s="23" t="s">
        <v>32</v>
      </c>
      <c r="E3437" s="24">
        <v>45447.0</v>
      </c>
      <c r="F3437" s="25">
        <v>0.28958333333333336</v>
      </c>
      <c r="G3437" s="25">
        <v>0.6527777777777778</v>
      </c>
      <c r="H3437" s="27">
        <f t="shared" si="2"/>
        <v>0.3631944444</v>
      </c>
      <c r="I3437" s="28">
        <v>2.0</v>
      </c>
      <c r="J3437" s="29" t="s">
        <v>171</v>
      </c>
      <c r="K3437" s="30" t="s">
        <v>23</v>
      </c>
      <c r="L3437" s="31" t="str">
        <f>IFERROR(__xludf.DUMMYFUNCTION("IF(OR(E3437="""",K3437=""""),"""",IFERROR(IF(K3437="""","""",query('tbl user'!$A$2:$D10975,""SELECT A WHERE D = '""&amp;K3437&amp;""'"")),""USER TIDAK DIKETAHUI""))"),"#REF!")</f>
        <v>#REF!</v>
      </c>
    </row>
    <row r="3438">
      <c r="A3438" s="21">
        <f t="shared" si="1"/>
        <v>0</v>
      </c>
      <c r="B3438" s="32" t="s">
        <v>277</v>
      </c>
      <c r="C3438" s="23" t="s">
        <v>278</v>
      </c>
      <c r="D3438" s="23" t="s">
        <v>32</v>
      </c>
      <c r="E3438" s="24">
        <v>45447.0</v>
      </c>
      <c r="F3438" s="25">
        <v>0.26180555555555557</v>
      </c>
      <c r="G3438" s="25">
        <v>0.7145833333333333</v>
      </c>
      <c r="H3438" s="27">
        <f t="shared" si="2"/>
        <v>0.4527777778</v>
      </c>
      <c r="I3438" s="28">
        <v>2.0</v>
      </c>
      <c r="J3438" s="29" t="s">
        <v>1538</v>
      </c>
      <c r="K3438" s="30" t="s">
        <v>23</v>
      </c>
      <c r="L3438" s="31" t="str">
        <f>IFERROR(__xludf.DUMMYFUNCTION("IF(OR(E3438="""",K3438=""""),"""",IFERROR(IF(K3438="""","""",query('tbl user'!$A$2:$D10975,""SELECT A WHERE D = '""&amp;K3438&amp;""'"")),""USER TIDAK DIKETAHUI""))"),"#REF!")</f>
        <v>#REF!</v>
      </c>
    </row>
    <row r="3439">
      <c r="A3439" s="21">
        <f t="shared" si="1"/>
        <v>0</v>
      </c>
      <c r="B3439" s="32" t="s">
        <v>279</v>
      </c>
      <c r="C3439" s="23" t="s">
        <v>280</v>
      </c>
      <c r="D3439" s="23" t="s">
        <v>32</v>
      </c>
      <c r="E3439" s="24">
        <v>45447.0</v>
      </c>
      <c r="F3439" s="25">
        <v>0.2881944444444444</v>
      </c>
      <c r="G3439" s="25">
        <v>0.6506944444444445</v>
      </c>
      <c r="H3439" s="27">
        <f t="shared" si="2"/>
        <v>0.3625</v>
      </c>
      <c r="I3439" s="28">
        <v>2.0</v>
      </c>
      <c r="J3439" s="29" t="s">
        <v>171</v>
      </c>
      <c r="K3439" s="30" t="s">
        <v>23</v>
      </c>
      <c r="L3439" s="31" t="str">
        <f>IFERROR(__xludf.DUMMYFUNCTION("IF(OR(E3439="""",K3439=""""),"""",IFERROR(IF(K3439="""","""",query('tbl user'!$A$2:$D10975,""SELECT A WHERE D = '""&amp;K3439&amp;""'"")),""USER TIDAK DIKETAHUI""))"),"#REF!")</f>
        <v>#REF!</v>
      </c>
    </row>
    <row r="3440">
      <c r="A3440" s="21">
        <f t="shared" si="1"/>
        <v>0</v>
      </c>
      <c r="B3440" s="32" t="s">
        <v>141</v>
      </c>
      <c r="C3440" s="23" t="s">
        <v>142</v>
      </c>
      <c r="D3440" s="23" t="s">
        <v>32</v>
      </c>
      <c r="E3440" s="24">
        <v>45447.0</v>
      </c>
      <c r="F3440" s="25">
        <v>0.29097222222222224</v>
      </c>
      <c r="G3440" s="25">
        <v>0.6020833333333333</v>
      </c>
      <c r="H3440" s="27">
        <f t="shared" si="2"/>
        <v>0.3111111111</v>
      </c>
      <c r="I3440" s="28">
        <v>2.0</v>
      </c>
      <c r="J3440" s="29" t="s">
        <v>171</v>
      </c>
      <c r="K3440" s="30" t="s">
        <v>23</v>
      </c>
      <c r="L3440" s="31" t="str">
        <f>IFERROR(__xludf.DUMMYFUNCTION("IF(OR(E3440="""",K3440=""""),"""",IFERROR(IF(K3440="""","""",query('tbl user'!$A$2:$D10975,""SELECT A WHERE D = '""&amp;K3440&amp;""'"")),""USER TIDAK DIKETAHUI""))"),"#REF!")</f>
        <v>#REF!</v>
      </c>
    </row>
    <row r="3441">
      <c r="A3441" s="21">
        <f t="shared" si="1"/>
        <v>0</v>
      </c>
      <c r="B3441" s="32" t="s">
        <v>118</v>
      </c>
      <c r="C3441" s="23" t="s">
        <v>119</v>
      </c>
      <c r="D3441" s="23" t="s">
        <v>32</v>
      </c>
      <c r="E3441" s="24">
        <v>45447.0</v>
      </c>
      <c r="F3441" s="25">
        <v>0.24375</v>
      </c>
      <c r="G3441" s="25">
        <v>0.6215277777777778</v>
      </c>
      <c r="H3441" s="27">
        <f t="shared" si="2"/>
        <v>0.3777777778</v>
      </c>
      <c r="I3441" s="28">
        <v>3.0</v>
      </c>
      <c r="J3441" s="29" t="s">
        <v>673</v>
      </c>
      <c r="K3441" s="30" t="s">
        <v>23</v>
      </c>
      <c r="L3441" s="31" t="str">
        <f>IFERROR(__xludf.DUMMYFUNCTION("IF(OR(E3441="""",K3441=""""),"""",IFERROR(IF(K3441="""","""",query('tbl user'!$A$2:$D10975,""SELECT A WHERE D = '""&amp;K3441&amp;""'"")),""USER TIDAK DIKETAHUI""))"),"#REF!")</f>
        <v>#REF!</v>
      </c>
    </row>
    <row r="3442">
      <c r="A3442" s="21">
        <f t="shared" si="1"/>
        <v>0</v>
      </c>
      <c r="B3442" s="32" t="s">
        <v>263</v>
      </c>
      <c r="C3442" s="23" t="s">
        <v>264</v>
      </c>
      <c r="D3442" s="23" t="s">
        <v>32</v>
      </c>
      <c r="E3442" s="24">
        <v>45447.0</v>
      </c>
      <c r="F3442" s="25">
        <v>0.2659722222222222</v>
      </c>
      <c r="G3442" s="25">
        <v>0.6770833333333334</v>
      </c>
      <c r="H3442" s="27">
        <f t="shared" si="2"/>
        <v>0.4111111111</v>
      </c>
      <c r="I3442" s="28">
        <v>3.0</v>
      </c>
      <c r="J3442" s="29" t="s">
        <v>1539</v>
      </c>
      <c r="K3442" s="30" t="s">
        <v>23</v>
      </c>
      <c r="L3442" s="31" t="str">
        <f>IFERROR(__xludf.DUMMYFUNCTION("IF(OR(E3442="""",K3442=""""),"""",IFERROR(IF(K3442="""","""",query('tbl user'!$A$2:$D10975,""SELECT A WHERE D = '""&amp;K3442&amp;""'"")),""USER TIDAK DIKETAHUI""))"),"#REF!")</f>
        <v>#REF!</v>
      </c>
    </row>
    <row r="3443">
      <c r="A3443" s="21">
        <f t="shared" si="1"/>
        <v>0</v>
      </c>
      <c r="B3443" s="32" t="s">
        <v>123</v>
      </c>
      <c r="C3443" s="23" t="s">
        <v>124</v>
      </c>
      <c r="D3443" s="23" t="s">
        <v>32</v>
      </c>
      <c r="E3443" s="24">
        <v>45447.0</v>
      </c>
      <c r="F3443" s="25">
        <v>0.25972222222222224</v>
      </c>
      <c r="G3443" s="25">
        <v>0.6638888888888889</v>
      </c>
      <c r="H3443" s="27">
        <f t="shared" si="2"/>
        <v>0.4041666667</v>
      </c>
      <c r="I3443" s="28">
        <v>3.0</v>
      </c>
      <c r="J3443" s="29" t="s">
        <v>1540</v>
      </c>
      <c r="K3443" s="30" t="s">
        <v>23</v>
      </c>
      <c r="L3443" s="31" t="str">
        <f>IFERROR(__xludf.DUMMYFUNCTION("IF(OR(E3443="""",K3443=""""),"""",IFERROR(IF(K3443="""","""",query('tbl user'!$A$2:$D10975,""SELECT A WHERE D = '""&amp;K3443&amp;""'"")),""USER TIDAK DIKETAHUI""))"),"#REF!")</f>
        <v>#REF!</v>
      </c>
    </row>
    <row r="3444">
      <c r="A3444" s="21">
        <f t="shared" si="1"/>
        <v>0</v>
      </c>
      <c r="B3444" s="32" t="s">
        <v>72</v>
      </c>
      <c r="C3444" s="23" t="s">
        <v>73</v>
      </c>
      <c r="D3444" s="23" t="s">
        <v>32</v>
      </c>
      <c r="E3444" s="24">
        <v>45447.0</v>
      </c>
      <c r="F3444" s="25">
        <v>0.26805555555555555</v>
      </c>
      <c r="G3444" s="25">
        <v>0.6701388888888888</v>
      </c>
      <c r="H3444" s="27">
        <f t="shared" si="2"/>
        <v>0.4020833333</v>
      </c>
      <c r="I3444" s="28">
        <v>3.0</v>
      </c>
      <c r="J3444" s="29" t="s">
        <v>171</v>
      </c>
      <c r="K3444" s="30" t="s">
        <v>23</v>
      </c>
      <c r="L3444" s="31" t="str">
        <f>IFERROR(__xludf.DUMMYFUNCTION("IF(OR(E3444="""",K3444=""""),"""",IFERROR(IF(K3444="""","""",query('tbl user'!$A$2:$D10975,""SELECT A WHERE D = '""&amp;K3444&amp;""'"")),""USER TIDAK DIKETAHUI""))"),"#REF!")</f>
        <v>#REF!</v>
      </c>
    </row>
    <row r="3445">
      <c r="A3445" s="21">
        <f t="shared" si="1"/>
        <v>0</v>
      </c>
      <c r="B3445" s="32" t="s">
        <v>78</v>
      </c>
      <c r="C3445" s="23" t="s">
        <v>79</v>
      </c>
      <c r="D3445" s="23" t="s">
        <v>32</v>
      </c>
      <c r="E3445" s="24">
        <v>45447.0</v>
      </c>
      <c r="F3445" s="25">
        <v>0.26666666666666666</v>
      </c>
      <c r="G3445" s="25">
        <v>0.6236111111111111</v>
      </c>
      <c r="H3445" s="27">
        <f t="shared" si="2"/>
        <v>0.3569444444</v>
      </c>
      <c r="I3445" s="28">
        <v>3.0</v>
      </c>
      <c r="J3445" s="29" t="s">
        <v>598</v>
      </c>
      <c r="K3445" s="30" t="s">
        <v>23</v>
      </c>
      <c r="L3445" s="31" t="str">
        <f>IFERROR(__xludf.DUMMYFUNCTION("IF(OR(E3445="""",K3445=""""),"""",IFERROR(IF(K3445="""","""",query('tbl user'!$A$2:$D10975,""SELECT A WHERE D = '""&amp;K3445&amp;""'"")),""USER TIDAK DIKETAHUI""))"),"#REF!")</f>
        <v>#REF!</v>
      </c>
    </row>
    <row r="3446">
      <c r="A3446" s="21">
        <f t="shared" si="1"/>
        <v>0</v>
      </c>
      <c r="B3446" s="32" t="s">
        <v>267</v>
      </c>
      <c r="C3446" s="23" t="s">
        <v>152</v>
      </c>
      <c r="D3446" s="23" t="s">
        <v>32</v>
      </c>
      <c r="E3446" s="24">
        <v>45447.0</v>
      </c>
      <c r="F3446" s="25">
        <v>0.29305555555555557</v>
      </c>
      <c r="G3446" s="25">
        <v>0.6694444444444444</v>
      </c>
      <c r="H3446" s="27">
        <f t="shared" si="2"/>
        <v>0.3763888889</v>
      </c>
      <c r="I3446" s="28">
        <v>3.0</v>
      </c>
      <c r="J3446" s="29" t="s">
        <v>171</v>
      </c>
      <c r="K3446" s="30" t="s">
        <v>23</v>
      </c>
      <c r="L3446" s="31" t="str">
        <f>IFERROR(__xludf.DUMMYFUNCTION("IF(OR(E3446="""",K3446=""""),"""",IFERROR(IF(K3446="""","""",query('tbl user'!$A$2:$D10975,""SELECT A WHERE D = '""&amp;K3446&amp;""'"")),""USER TIDAK DIKETAHUI""))"),"#REF!")</f>
        <v>#REF!</v>
      </c>
    </row>
    <row r="3447">
      <c r="A3447" s="21">
        <f t="shared" si="1"/>
        <v>0</v>
      </c>
      <c r="B3447" s="32" t="s">
        <v>120</v>
      </c>
      <c r="C3447" s="23" t="s">
        <v>121</v>
      </c>
      <c r="D3447" s="23" t="s">
        <v>32</v>
      </c>
      <c r="E3447" s="24">
        <v>45447.0</v>
      </c>
      <c r="F3447" s="25">
        <v>0.26875</v>
      </c>
      <c r="G3447" s="25">
        <v>0.6986111111111111</v>
      </c>
      <c r="H3447" s="27">
        <f t="shared" si="2"/>
        <v>0.4298611111</v>
      </c>
      <c r="I3447" s="28">
        <v>4.0</v>
      </c>
      <c r="J3447" s="29" t="s">
        <v>55</v>
      </c>
      <c r="K3447" s="30" t="s">
        <v>23</v>
      </c>
      <c r="L3447" s="31" t="str">
        <f>IFERROR(__xludf.DUMMYFUNCTION("IF(OR(E3447="""",K3447=""""),"""",IFERROR(IF(K3447="""","""",query('tbl user'!$A$2:$D10975,""SELECT A WHERE D = '""&amp;K3447&amp;""'"")),""USER TIDAK DIKETAHUI""))"),"#REF!")</f>
        <v>#REF!</v>
      </c>
    </row>
    <row r="3448">
      <c r="A3448" s="21">
        <f t="shared" si="1"/>
        <v>0</v>
      </c>
      <c r="B3448" s="32" t="s">
        <v>131</v>
      </c>
      <c r="C3448" s="23" t="s">
        <v>132</v>
      </c>
      <c r="D3448" s="23" t="s">
        <v>32</v>
      </c>
      <c r="E3448" s="24">
        <v>45447.0</v>
      </c>
      <c r="F3448" s="25">
        <v>0.28402777777777777</v>
      </c>
      <c r="G3448" s="25">
        <v>0.74375</v>
      </c>
      <c r="H3448" s="27">
        <f t="shared" si="2"/>
        <v>0.4597222222</v>
      </c>
      <c r="I3448" s="28">
        <v>4.0</v>
      </c>
      <c r="J3448" s="29" t="s">
        <v>55</v>
      </c>
      <c r="K3448" s="30" t="s">
        <v>23</v>
      </c>
      <c r="L3448" s="31" t="str">
        <f>IFERROR(__xludf.DUMMYFUNCTION("IF(OR(E3448="""",K3448=""""),"""",IFERROR(IF(K3448="""","""",query('tbl user'!$A$2:$D10975,""SELECT A WHERE D = '""&amp;K3448&amp;""'"")),""USER TIDAK DIKETAHUI""))"),"#REF!")</f>
        <v>#REF!</v>
      </c>
    </row>
    <row r="3449">
      <c r="A3449" s="21">
        <f t="shared" si="1"/>
        <v>0</v>
      </c>
      <c r="B3449" s="32" t="s">
        <v>133</v>
      </c>
      <c r="C3449" s="23" t="s">
        <v>134</v>
      </c>
      <c r="D3449" s="23" t="s">
        <v>32</v>
      </c>
      <c r="E3449" s="24">
        <v>45447.0</v>
      </c>
      <c r="F3449" s="25">
        <v>0.25833333333333336</v>
      </c>
      <c r="G3449" s="25">
        <v>0.6763888888888889</v>
      </c>
      <c r="H3449" s="27">
        <f t="shared" si="2"/>
        <v>0.4180555556</v>
      </c>
      <c r="I3449" s="28">
        <v>4.0</v>
      </c>
      <c r="J3449" s="29" t="s">
        <v>55</v>
      </c>
      <c r="K3449" s="30" t="s">
        <v>23</v>
      </c>
      <c r="L3449" s="31" t="str">
        <f>IFERROR(__xludf.DUMMYFUNCTION("IF(OR(E3449="""",K3449=""""),"""",IFERROR(IF(K3449="""","""",query('tbl user'!$A$2:$D10975,""SELECT A WHERE D = '""&amp;K3449&amp;""'"")),""USER TIDAK DIKETAHUI""))"),"#REF!")</f>
        <v>#REF!</v>
      </c>
    </row>
    <row r="3450">
      <c r="A3450" s="21">
        <f t="shared" si="1"/>
        <v>0</v>
      </c>
      <c r="B3450" s="32" t="s">
        <v>135</v>
      </c>
      <c r="C3450" s="23" t="s">
        <v>136</v>
      </c>
      <c r="D3450" s="23" t="s">
        <v>32</v>
      </c>
      <c r="E3450" s="24">
        <v>45447.0</v>
      </c>
      <c r="F3450" s="25">
        <v>0.2652777777777778</v>
      </c>
      <c r="G3450" s="25">
        <v>0.6916666666666667</v>
      </c>
      <c r="H3450" s="27">
        <f t="shared" si="2"/>
        <v>0.4263888889</v>
      </c>
      <c r="I3450" s="28">
        <v>4.0</v>
      </c>
      <c r="J3450" s="29" t="s">
        <v>55</v>
      </c>
      <c r="K3450" s="30" t="s">
        <v>23</v>
      </c>
      <c r="L3450" s="31" t="str">
        <f>IFERROR(__xludf.DUMMYFUNCTION("IF(OR(E3450="""",K3450=""""),"""",IFERROR(IF(K3450="""","""",query('tbl user'!$A$2:$D10975,""SELECT A WHERE D = '""&amp;K3450&amp;""'"")),""USER TIDAK DIKETAHUI""))"),"#REF!")</f>
        <v>#REF!</v>
      </c>
    </row>
    <row r="3451">
      <c r="A3451" s="21">
        <f t="shared" si="1"/>
        <v>0</v>
      </c>
      <c r="B3451" s="32" t="s">
        <v>40</v>
      </c>
      <c r="C3451" s="23" t="s">
        <v>41</v>
      </c>
      <c r="D3451" s="23" t="s">
        <v>32</v>
      </c>
      <c r="E3451" s="24">
        <v>45447.0</v>
      </c>
      <c r="F3451" s="25">
        <v>0.25416666666666665</v>
      </c>
      <c r="G3451" s="25">
        <v>0.6881944444444444</v>
      </c>
      <c r="H3451" s="27">
        <f t="shared" si="2"/>
        <v>0.4340277778</v>
      </c>
      <c r="I3451" s="28">
        <v>4.0</v>
      </c>
      <c r="J3451" s="29" t="s">
        <v>55</v>
      </c>
      <c r="K3451" s="30" t="s">
        <v>23</v>
      </c>
      <c r="L3451" s="31" t="str">
        <f>IFERROR(__xludf.DUMMYFUNCTION("IF(OR(E3451="""",K3451=""""),"""",IFERROR(IF(K3451="""","""",query('tbl user'!$A$2:$D10975,""SELECT A WHERE D = '""&amp;K3451&amp;""'"")),""USER TIDAK DIKETAHUI""))"),"#REF!")</f>
        <v>#REF!</v>
      </c>
    </row>
    <row r="3452">
      <c r="A3452" s="21">
        <f t="shared" si="1"/>
        <v>0</v>
      </c>
      <c r="B3452" s="32" t="s">
        <v>137</v>
      </c>
      <c r="C3452" s="23" t="s">
        <v>138</v>
      </c>
      <c r="D3452" s="23" t="s">
        <v>32</v>
      </c>
      <c r="E3452" s="24">
        <v>45447.0</v>
      </c>
      <c r="F3452" s="25">
        <v>0.25763888888888886</v>
      </c>
      <c r="G3452" s="25">
        <v>0.6819444444444445</v>
      </c>
      <c r="H3452" s="27">
        <f t="shared" si="2"/>
        <v>0.4243055556</v>
      </c>
      <c r="I3452" s="28">
        <v>4.0</v>
      </c>
      <c r="J3452" s="29" t="s">
        <v>55</v>
      </c>
      <c r="K3452" s="30" t="s">
        <v>23</v>
      </c>
      <c r="L3452" s="31" t="str">
        <f>IFERROR(__xludf.DUMMYFUNCTION("IF(OR(E3452="""",K3452=""""),"""",IFERROR(IF(K3452="""","""",query('tbl user'!$A$2:$D10975,""SELECT A WHERE D = '""&amp;K3452&amp;""'"")),""USER TIDAK DIKETAHUI""))"),"#REF!")</f>
        <v>#REF!</v>
      </c>
    </row>
    <row r="3453">
      <c r="A3453" s="21">
        <f t="shared" si="1"/>
        <v>0</v>
      </c>
      <c r="B3453" s="32" t="s">
        <v>144</v>
      </c>
      <c r="C3453" s="23" t="s">
        <v>145</v>
      </c>
      <c r="D3453" s="23" t="s">
        <v>32</v>
      </c>
      <c r="E3453" s="24">
        <v>45447.0</v>
      </c>
      <c r="F3453" s="25">
        <v>0.28402777777777777</v>
      </c>
      <c r="G3453" s="25">
        <v>0.6868055555555556</v>
      </c>
      <c r="H3453" s="27">
        <f t="shared" si="2"/>
        <v>0.4027777778</v>
      </c>
      <c r="I3453" s="28">
        <v>4.0</v>
      </c>
      <c r="J3453" s="29" t="s">
        <v>55</v>
      </c>
      <c r="K3453" s="30" t="s">
        <v>23</v>
      </c>
      <c r="L3453" s="31" t="str">
        <f>IFERROR(__xludf.DUMMYFUNCTION("IF(OR(E3453="""",K3453=""""),"""",IFERROR(IF(K3453="""","""",query('tbl user'!$A$2:$D10975,""SELECT A WHERE D = '""&amp;K3453&amp;""'"")),""USER TIDAK DIKETAHUI""))"),"#REF!")</f>
        <v>#REF!</v>
      </c>
    </row>
    <row r="3454">
      <c r="A3454" s="21">
        <f t="shared" si="1"/>
        <v>0</v>
      </c>
      <c r="B3454" s="32" t="s">
        <v>146</v>
      </c>
      <c r="C3454" s="23" t="s">
        <v>147</v>
      </c>
      <c r="D3454" s="23" t="s">
        <v>32</v>
      </c>
      <c r="E3454" s="24">
        <v>45447.0</v>
      </c>
      <c r="F3454" s="25">
        <v>0.28958333333333336</v>
      </c>
      <c r="G3454" s="25">
        <v>0.7263888888888889</v>
      </c>
      <c r="H3454" s="27">
        <f t="shared" si="2"/>
        <v>0.4368055556</v>
      </c>
      <c r="I3454" s="28">
        <v>4.0</v>
      </c>
      <c r="J3454" s="29" t="s">
        <v>55</v>
      </c>
      <c r="K3454" s="30" t="s">
        <v>23</v>
      </c>
      <c r="L3454" s="31" t="str">
        <f>IFERROR(__xludf.DUMMYFUNCTION("IF(OR(E3454="""",K3454=""""),"""",IFERROR(IF(K3454="""","""",query('tbl user'!$A$2:$D10975,""SELECT A WHERE D = '""&amp;K3454&amp;""'"")),""USER TIDAK DIKETAHUI""))"),"#REF!")</f>
        <v>#REF!</v>
      </c>
    </row>
    <row r="3455">
      <c r="A3455" s="21">
        <f t="shared" si="1"/>
        <v>0</v>
      </c>
      <c r="B3455" s="32" t="s">
        <v>149</v>
      </c>
      <c r="C3455" s="23" t="s">
        <v>150</v>
      </c>
      <c r="D3455" s="23" t="s">
        <v>32</v>
      </c>
      <c r="E3455" s="24">
        <v>45447.0</v>
      </c>
      <c r="F3455" s="25">
        <v>0.25833333333333336</v>
      </c>
      <c r="G3455" s="25">
        <v>0.6875</v>
      </c>
      <c r="H3455" s="27">
        <f t="shared" si="2"/>
        <v>0.4291666667</v>
      </c>
      <c r="I3455" s="28">
        <v>4.0</v>
      </c>
      <c r="J3455" s="29" t="s">
        <v>55</v>
      </c>
      <c r="K3455" s="30" t="s">
        <v>23</v>
      </c>
      <c r="L3455" s="31" t="str">
        <f>IFERROR(__xludf.DUMMYFUNCTION("IF(OR(E3455="""",K3455=""""),"""",IFERROR(IF(K3455="""","""",query('tbl user'!$A$2:$D10975,""SELECT A WHERE D = '""&amp;K3455&amp;""'"")),""USER TIDAK DIKETAHUI""))"),"#REF!")</f>
        <v>#REF!</v>
      </c>
    </row>
    <row r="3456">
      <c r="A3456" s="21">
        <f t="shared" si="1"/>
        <v>0</v>
      </c>
      <c r="B3456" s="32" t="s">
        <v>139</v>
      </c>
      <c r="C3456" s="23" t="s">
        <v>96</v>
      </c>
      <c r="D3456" s="23" t="s">
        <v>32</v>
      </c>
      <c r="E3456" s="24">
        <v>45447.0</v>
      </c>
      <c r="F3456" s="25">
        <v>0.24097222222222223</v>
      </c>
      <c r="G3456" s="25">
        <v>0.7430555555555556</v>
      </c>
      <c r="H3456" s="27">
        <f t="shared" si="2"/>
        <v>0.5020833333</v>
      </c>
      <c r="I3456" s="28">
        <v>5.0</v>
      </c>
      <c r="J3456" s="29" t="s">
        <v>55</v>
      </c>
      <c r="K3456" s="30" t="s">
        <v>23</v>
      </c>
      <c r="L3456" s="31" t="str">
        <f>IFERROR(__xludf.DUMMYFUNCTION("IF(OR(E3456="""",K3456=""""),"""",IFERROR(IF(K3456="""","""",query('tbl user'!$A$2:$D10975,""SELECT A WHERE D = '""&amp;K3456&amp;""'"")),""USER TIDAK DIKETAHUI""))"),"#REF!")</f>
        <v>#REF!</v>
      </c>
    </row>
    <row r="3457">
      <c r="A3457" s="21" t="str">
        <f t="shared" si="1"/>
        <v/>
      </c>
      <c r="B3457" s="35"/>
      <c r="C3457" s="23" t="s">
        <v>68</v>
      </c>
      <c r="D3457" s="23" t="s">
        <v>58</v>
      </c>
      <c r="E3457" s="24">
        <v>45448.0</v>
      </c>
      <c r="F3457" s="25">
        <v>0.26319444444444445</v>
      </c>
      <c r="G3457" s="25">
        <v>0.32569444444444445</v>
      </c>
      <c r="H3457" s="27">
        <f t="shared" si="2"/>
        <v>0.0625</v>
      </c>
      <c r="I3457" s="28">
        <v>0.0</v>
      </c>
      <c r="J3457" s="29" t="s">
        <v>1541</v>
      </c>
      <c r="K3457" s="30" t="s">
        <v>23</v>
      </c>
      <c r="L3457" s="31" t="str">
        <f>IFERROR(__xludf.DUMMYFUNCTION("IF(OR(E3457="""",K3457=""""),"""",IFERROR(IF(K3457="""","""",query('tbl user'!$A$2:$D10975,""SELECT A WHERE D = '""&amp;K3457&amp;""'"")),""USER TIDAK DIKETAHUI""))"),"#REF!")</f>
        <v>#REF!</v>
      </c>
    </row>
    <row r="3458">
      <c r="A3458" s="21">
        <f t="shared" si="1"/>
        <v>0</v>
      </c>
      <c r="B3458" s="32" t="s">
        <v>56</v>
      </c>
      <c r="C3458" s="23" t="s">
        <v>57</v>
      </c>
      <c r="D3458" s="23" t="s">
        <v>58</v>
      </c>
      <c r="E3458" s="24">
        <v>45448.0</v>
      </c>
      <c r="F3458" s="25">
        <v>0.2833333333333333</v>
      </c>
      <c r="G3458" s="25">
        <v>0.43680555555555556</v>
      </c>
      <c r="H3458" s="27">
        <f t="shared" si="2"/>
        <v>0.1534722222</v>
      </c>
      <c r="I3458" s="28">
        <v>1.0</v>
      </c>
      <c r="J3458" s="29" t="s">
        <v>1542</v>
      </c>
      <c r="K3458" s="30" t="s">
        <v>23</v>
      </c>
      <c r="L3458" s="31" t="str">
        <f>IFERROR(__xludf.DUMMYFUNCTION("IF(OR(E3458="""",K3458=""""),"""",IFERROR(IF(K3458="""","""",query('tbl user'!$A$2:$D10975,""SELECT A WHERE D = '""&amp;K3458&amp;""'"")),""USER TIDAK DIKETAHUI""))"),"#REF!")</f>
        <v>#REF!</v>
      </c>
    </row>
    <row r="3459">
      <c r="A3459" s="21">
        <f t="shared" si="1"/>
        <v>0</v>
      </c>
      <c r="B3459" s="32" t="s">
        <v>224</v>
      </c>
      <c r="C3459" s="23" t="s">
        <v>208</v>
      </c>
      <c r="D3459" s="23" t="s">
        <v>58</v>
      </c>
      <c r="E3459" s="24">
        <v>45448.0</v>
      </c>
      <c r="F3459" s="25">
        <v>0.24513888888888888</v>
      </c>
      <c r="G3459" s="25">
        <v>0.58125</v>
      </c>
      <c r="H3459" s="27">
        <f t="shared" si="2"/>
        <v>0.3361111111</v>
      </c>
      <c r="I3459" s="28">
        <v>1.0</v>
      </c>
      <c r="J3459" s="29" t="s">
        <v>1543</v>
      </c>
      <c r="K3459" s="30" t="s">
        <v>23</v>
      </c>
      <c r="L3459" s="31" t="str">
        <f>IFERROR(__xludf.DUMMYFUNCTION("IF(OR(E3459="""",K3459=""""),"""",IFERROR(IF(K3459="""","""",query('tbl user'!$A$2:$D10975,""SELECT A WHERE D = '""&amp;K3459&amp;""'"")),""USER TIDAK DIKETAHUI""))"),"#REF!")</f>
        <v>#REF!</v>
      </c>
    </row>
    <row r="3460">
      <c r="A3460" s="21">
        <f t="shared" si="1"/>
        <v>0</v>
      </c>
      <c r="B3460" s="32" t="s">
        <v>209</v>
      </c>
      <c r="C3460" s="23" t="s">
        <v>85</v>
      </c>
      <c r="D3460" s="23" t="s">
        <v>58</v>
      </c>
      <c r="E3460" s="24">
        <v>45448.0</v>
      </c>
      <c r="F3460" s="25">
        <v>0.2763888888888889</v>
      </c>
      <c r="G3460" s="25">
        <v>0.6722222222222223</v>
      </c>
      <c r="H3460" s="27">
        <f t="shared" si="2"/>
        <v>0.3958333333</v>
      </c>
      <c r="I3460" s="28">
        <v>1.0</v>
      </c>
      <c r="J3460" s="29" t="s">
        <v>1544</v>
      </c>
      <c r="K3460" s="30" t="s">
        <v>23</v>
      </c>
      <c r="L3460" s="31" t="str">
        <f>IFERROR(__xludf.DUMMYFUNCTION("IF(OR(E3460="""",K3460=""""),"""",IFERROR(IF(K3460="""","""",query('tbl user'!$A$2:$D10975,""SELECT A WHERE D = '""&amp;K3460&amp;""'"")),""USER TIDAK DIKETAHUI""))"),"#REF!")</f>
        <v>#REF!</v>
      </c>
    </row>
    <row r="3461">
      <c r="A3461" s="21">
        <f t="shared" si="1"/>
        <v>0</v>
      </c>
      <c r="B3461" s="32" t="s">
        <v>153</v>
      </c>
      <c r="C3461" s="23" t="s">
        <v>211</v>
      </c>
      <c r="D3461" s="23" t="s">
        <v>58</v>
      </c>
      <c r="E3461" s="24">
        <v>45448.0</v>
      </c>
      <c r="F3461" s="25">
        <v>0.25972222222222224</v>
      </c>
      <c r="G3461" s="25">
        <v>0.5840277777777778</v>
      </c>
      <c r="H3461" s="27">
        <f t="shared" si="2"/>
        <v>0.3243055556</v>
      </c>
      <c r="I3461" s="28">
        <v>2.0</v>
      </c>
      <c r="J3461" s="29" t="s">
        <v>1545</v>
      </c>
      <c r="K3461" s="30" t="s">
        <v>23</v>
      </c>
      <c r="L3461" s="31" t="str">
        <f>IFERROR(__xludf.DUMMYFUNCTION("IF(OR(E3461="""",K3461=""""),"""",IFERROR(IF(K3461="""","""",query('tbl user'!$A$2:$D10975,""SELECT A WHERE D = '""&amp;K3461&amp;""'"")),""USER TIDAK DIKETAHUI""))"),"#REF!")</f>
        <v>#REF!</v>
      </c>
    </row>
    <row r="3462">
      <c r="A3462" s="21">
        <f t="shared" si="1"/>
        <v>0</v>
      </c>
      <c r="B3462" s="32" t="s">
        <v>178</v>
      </c>
      <c r="C3462" s="23" t="s">
        <v>82</v>
      </c>
      <c r="D3462" s="23" t="s">
        <v>58</v>
      </c>
      <c r="E3462" s="24">
        <v>45448.0</v>
      </c>
      <c r="F3462" s="25">
        <v>0.2673611111111111</v>
      </c>
      <c r="G3462" s="25">
        <v>0.5763888888888888</v>
      </c>
      <c r="H3462" s="27">
        <f t="shared" si="2"/>
        <v>0.3090277778</v>
      </c>
      <c r="I3462" s="28">
        <v>2.0</v>
      </c>
      <c r="J3462" s="29" t="s">
        <v>1546</v>
      </c>
      <c r="K3462" s="30" t="s">
        <v>23</v>
      </c>
      <c r="L3462" s="31" t="str">
        <f>IFERROR(__xludf.DUMMYFUNCTION("IF(OR(E3462="""",K3462=""""),"""",IFERROR(IF(K3462="""","""",query('tbl user'!$A$2:$D10975,""SELECT A WHERE D = '""&amp;K3462&amp;""'"")),""USER TIDAK DIKETAHUI""))"),"#REF!")</f>
        <v>#REF!</v>
      </c>
    </row>
    <row r="3463">
      <c r="A3463" s="21">
        <f t="shared" si="1"/>
        <v>0</v>
      </c>
      <c r="B3463" s="32" t="s">
        <v>104</v>
      </c>
      <c r="C3463" s="23" t="s">
        <v>105</v>
      </c>
      <c r="D3463" s="23" t="s">
        <v>58</v>
      </c>
      <c r="E3463" s="24">
        <v>45448.0</v>
      </c>
      <c r="F3463" s="25">
        <v>0.24305555555555555</v>
      </c>
      <c r="G3463" s="25">
        <v>0.4423611111111111</v>
      </c>
      <c r="H3463" s="27">
        <f t="shared" si="2"/>
        <v>0.1993055556</v>
      </c>
      <c r="I3463" s="28">
        <v>2.0</v>
      </c>
      <c r="J3463" s="29" t="s">
        <v>1547</v>
      </c>
      <c r="K3463" s="30" t="s">
        <v>23</v>
      </c>
      <c r="L3463" s="31" t="str">
        <f>IFERROR(__xludf.DUMMYFUNCTION("IF(OR(E3463="""",K3463=""""),"""",IFERROR(IF(K3463="""","""",query('tbl user'!$A$2:$D10975,""SELECT A WHERE D = '""&amp;K3463&amp;""'"")),""USER TIDAK DIKETAHUI""))"),"#REF!")</f>
        <v>#REF!</v>
      </c>
    </row>
    <row r="3464">
      <c r="A3464" s="21">
        <f t="shared" si="1"/>
        <v>0</v>
      </c>
      <c r="B3464" s="32" t="s">
        <v>202</v>
      </c>
      <c r="C3464" s="23" t="s">
        <v>203</v>
      </c>
      <c r="D3464" s="23" t="s">
        <v>58</v>
      </c>
      <c r="E3464" s="24">
        <v>45448.0</v>
      </c>
      <c r="F3464" s="25">
        <v>0.24583333333333332</v>
      </c>
      <c r="G3464" s="25">
        <v>0.5854166666666667</v>
      </c>
      <c r="H3464" s="27">
        <f t="shared" si="2"/>
        <v>0.3395833333</v>
      </c>
      <c r="I3464" s="28">
        <v>2.0</v>
      </c>
      <c r="J3464" s="29" t="s">
        <v>1548</v>
      </c>
      <c r="K3464" s="30" t="s">
        <v>23</v>
      </c>
      <c r="L3464" s="31" t="str">
        <f>IFERROR(__xludf.DUMMYFUNCTION("IF(OR(E3464="""",K3464=""""),"""",IFERROR(IF(K3464="""","""",query('tbl user'!$A$2:$D10975,""SELECT A WHERE D = '""&amp;K3464&amp;""'"")),""USER TIDAK DIKETAHUI""))"),"#REF!")</f>
        <v>#REF!</v>
      </c>
    </row>
    <row r="3465">
      <c r="A3465" s="21">
        <f t="shared" si="1"/>
        <v>0</v>
      </c>
      <c r="B3465" s="32" t="s">
        <v>214</v>
      </c>
      <c r="C3465" s="23" t="s">
        <v>170</v>
      </c>
      <c r="D3465" s="23" t="s">
        <v>58</v>
      </c>
      <c r="E3465" s="24">
        <v>45448.0</v>
      </c>
      <c r="F3465" s="25">
        <v>0.28958333333333336</v>
      </c>
      <c r="G3465" s="25">
        <v>0.6784722222222223</v>
      </c>
      <c r="H3465" s="27">
        <f t="shared" si="2"/>
        <v>0.3888888889</v>
      </c>
      <c r="I3465" s="28">
        <v>3.0</v>
      </c>
      <c r="J3465" s="29" t="s">
        <v>1303</v>
      </c>
      <c r="K3465" s="30" t="s">
        <v>23</v>
      </c>
      <c r="L3465" s="31" t="str">
        <f>IFERROR(__xludf.DUMMYFUNCTION("IF(OR(E3465="""",K3465=""""),"""",IFERROR(IF(K3465="""","""",query('tbl user'!$A$2:$D10975,""SELECT A WHERE D = '""&amp;K3465&amp;""'"")),""USER TIDAK DIKETAHUI""))"),"#REF!")</f>
        <v>#REF!</v>
      </c>
    </row>
    <row r="3466">
      <c r="A3466" s="21">
        <f t="shared" si="1"/>
        <v>0</v>
      </c>
      <c r="B3466" s="32" t="s">
        <v>180</v>
      </c>
      <c r="C3466" s="23" t="s">
        <v>181</v>
      </c>
      <c r="D3466" s="23" t="s">
        <v>58</v>
      </c>
      <c r="E3466" s="24">
        <v>45448.0</v>
      </c>
      <c r="F3466" s="25">
        <v>0.2375</v>
      </c>
      <c r="G3466" s="25">
        <v>0.6756944444444445</v>
      </c>
      <c r="H3466" s="27">
        <f t="shared" si="2"/>
        <v>0.4381944444</v>
      </c>
      <c r="I3466" s="28">
        <v>3.0</v>
      </c>
      <c r="J3466" s="29" t="s">
        <v>1549</v>
      </c>
      <c r="K3466" s="30" t="s">
        <v>23</v>
      </c>
      <c r="L3466" s="31" t="str">
        <f>IFERROR(__xludf.DUMMYFUNCTION("IF(OR(E3466="""",K3466=""""),"""",IFERROR(IF(K3466="""","""",query('tbl user'!$A$2:$D10975,""SELECT A WHERE D = '""&amp;K3466&amp;""'"")),""USER TIDAK DIKETAHUI""))"),"#REF!")</f>
        <v>#REF!</v>
      </c>
    </row>
    <row r="3467">
      <c r="A3467" s="21">
        <f t="shared" si="1"/>
        <v>0</v>
      </c>
      <c r="B3467" s="32" t="s">
        <v>189</v>
      </c>
      <c r="C3467" s="23" t="s">
        <v>190</v>
      </c>
      <c r="D3467" s="23" t="s">
        <v>58</v>
      </c>
      <c r="E3467" s="24">
        <v>45448.0</v>
      </c>
      <c r="F3467" s="25">
        <v>0.26944444444444443</v>
      </c>
      <c r="G3467" s="25">
        <v>0.6888888888888889</v>
      </c>
      <c r="H3467" s="27">
        <f t="shared" si="2"/>
        <v>0.4194444444</v>
      </c>
      <c r="I3467" s="28">
        <v>3.0</v>
      </c>
      <c r="J3467" s="29" t="s">
        <v>171</v>
      </c>
      <c r="K3467" s="30" t="s">
        <v>23</v>
      </c>
      <c r="L3467" s="31" t="str">
        <f>IFERROR(__xludf.DUMMYFUNCTION("IF(OR(E3467="""",K3467=""""),"""",IFERROR(IF(K3467="""","""",query('tbl user'!$A$2:$D10975,""SELECT A WHERE D = '""&amp;K3467&amp;""'"")),""USER TIDAK DIKETAHUI""))"),"#REF!")</f>
        <v>#REF!</v>
      </c>
    </row>
    <row r="3468">
      <c r="A3468" s="21">
        <f t="shared" si="1"/>
        <v>0</v>
      </c>
      <c r="B3468" s="32" t="s">
        <v>194</v>
      </c>
      <c r="C3468" s="23" t="s">
        <v>195</v>
      </c>
      <c r="D3468" s="23" t="s">
        <v>58</v>
      </c>
      <c r="E3468" s="24">
        <v>45448.0</v>
      </c>
      <c r="F3468" s="25">
        <v>0.22708333333333333</v>
      </c>
      <c r="G3468" s="25">
        <v>0.6965277777777777</v>
      </c>
      <c r="H3468" s="27">
        <f t="shared" si="2"/>
        <v>0.4694444444</v>
      </c>
      <c r="I3468" s="28">
        <v>3.0</v>
      </c>
      <c r="J3468" s="29" t="s">
        <v>1550</v>
      </c>
      <c r="K3468" s="30" t="s">
        <v>23</v>
      </c>
      <c r="L3468" s="31" t="str">
        <f>IFERROR(__xludf.DUMMYFUNCTION("IF(OR(E3468="""",K3468=""""),"""",IFERROR(IF(K3468="""","""",query('tbl user'!$A$2:$D10975,""SELECT A WHERE D = '""&amp;K3468&amp;""'"")),""USER TIDAK DIKETAHUI""))"),"#REF!")</f>
        <v>#REF!</v>
      </c>
    </row>
    <row r="3469">
      <c r="A3469" s="21">
        <f t="shared" si="1"/>
        <v>0</v>
      </c>
      <c r="B3469" s="32" t="s">
        <v>197</v>
      </c>
      <c r="C3469" s="23" t="s">
        <v>198</v>
      </c>
      <c r="D3469" s="23" t="s">
        <v>58</v>
      </c>
      <c r="E3469" s="24">
        <v>45448.0</v>
      </c>
      <c r="F3469" s="25">
        <v>0.2013888888888889</v>
      </c>
      <c r="G3469" s="25">
        <v>0.5784722222222223</v>
      </c>
      <c r="H3469" s="27">
        <f t="shared" si="2"/>
        <v>0.3770833333</v>
      </c>
      <c r="I3469" s="28">
        <v>3.0</v>
      </c>
      <c r="J3469" s="29" t="s">
        <v>171</v>
      </c>
      <c r="K3469" s="30" t="s">
        <v>23</v>
      </c>
      <c r="L3469" s="31" t="str">
        <f>IFERROR(__xludf.DUMMYFUNCTION("IF(OR(E3469="""",K3469=""""),"""",IFERROR(IF(K3469="""","""",query('tbl user'!$A$2:$D10975,""SELECT A WHERE D = '""&amp;K3469&amp;""'"")),""USER TIDAK DIKETAHUI""))"),"#REF!")</f>
        <v>#REF!</v>
      </c>
    </row>
    <row r="3470">
      <c r="A3470" s="21">
        <f t="shared" si="1"/>
        <v>0</v>
      </c>
      <c r="B3470" s="32" t="s">
        <v>200</v>
      </c>
      <c r="C3470" s="23" t="s">
        <v>201</v>
      </c>
      <c r="D3470" s="23" t="s">
        <v>58</v>
      </c>
      <c r="E3470" s="24">
        <v>45448.0</v>
      </c>
      <c r="F3470" s="25">
        <v>0.20347222222222222</v>
      </c>
      <c r="G3470" s="25">
        <v>0.5868055555555556</v>
      </c>
      <c r="H3470" s="27">
        <f t="shared" si="2"/>
        <v>0.3833333333</v>
      </c>
      <c r="I3470" s="28">
        <v>3.0</v>
      </c>
      <c r="J3470" s="29" t="s">
        <v>171</v>
      </c>
      <c r="K3470" s="30" t="s">
        <v>23</v>
      </c>
      <c r="L3470" s="31" t="str">
        <f>IFERROR(__xludf.DUMMYFUNCTION("IF(OR(E3470="""",K3470=""""),"""",IFERROR(IF(K3470="""","""",query('tbl user'!$A$2:$D10975,""SELECT A WHERE D = '""&amp;K3470&amp;""'"")),""USER TIDAK DIKETAHUI""))"),"#REF!")</f>
        <v>#REF!</v>
      </c>
    </row>
    <row r="3471">
      <c r="A3471" s="21">
        <f t="shared" si="1"/>
        <v>0</v>
      </c>
      <c r="B3471" s="32" t="s">
        <v>175</v>
      </c>
      <c r="C3471" s="23" t="s">
        <v>176</v>
      </c>
      <c r="D3471" s="23" t="s">
        <v>58</v>
      </c>
      <c r="E3471" s="24">
        <v>45448.0</v>
      </c>
      <c r="F3471" s="25">
        <v>0.24444444444444444</v>
      </c>
      <c r="G3471" s="25">
        <v>0.7159722222222222</v>
      </c>
      <c r="H3471" s="27">
        <f t="shared" si="2"/>
        <v>0.4715277778</v>
      </c>
      <c r="I3471" s="28">
        <v>4.0</v>
      </c>
      <c r="J3471" s="29" t="s">
        <v>55</v>
      </c>
      <c r="K3471" s="30" t="s">
        <v>23</v>
      </c>
      <c r="L3471" s="31" t="str">
        <f>IFERROR(__xludf.DUMMYFUNCTION("IF(OR(E3471="""",K3471=""""),"""",IFERROR(IF(K3471="""","""",query('tbl user'!$A$2:$D10975,""SELECT A WHERE D = '""&amp;K3471&amp;""'"")),""USER TIDAK DIKETAHUI""))"),"#REF!")</f>
        <v>#REF!</v>
      </c>
    </row>
    <row r="3472">
      <c r="A3472" s="21">
        <f t="shared" si="1"/>
        <v>0</v>
      </c>
      <c r="B3472" s="32" t="s">
        <v>182</v>
      </c>
      <c r="C3472" s="23" t="s">
        <v>183</v>
      </c>
      <c r="D3472" s="23" t="s">
        <v>58</v>
      </c>
      <c r="E3472" s="24">
        <v>45448.0</v>
      </c>
      <c r="F3472" s="25">
        <v>0.22013888888888888</v>
      </c>
      <c r="G3472" s="25">
        <v>0.6743055555555556</v>
      </c>
      <c r="H3472" s="27">
        <f t="shared" si="2"/>
        <v>0.4541666667</v>
      </c>
      <c r="I3472" s="28">
        <v>4.0</v>
      </c>
      <c r="J3472" s="29" t="s">
        <v>55</v>
      </c>
      <c r="K3472" s="30" t="s">
        <v>23</v>
      </c>
      <c r="L3472" s="31" t="str">
        <f>IFERROR(__xludf.DUMMYFUNCTION("IF(OR(E3472="""",K3472=""""),"""",IFERROR(IF(K3472="""","""",query('tbl user'!$A$2:$D10975,""SELECT A WHERE D = '""&amp;K3472&amp;""'"")),""USER TIDAK DIKETAHUI""))"),"#REF!")</f>
        <v>#REF!</v>
      </c>
    </row>
    <row r="3473">
      <c r="A3473" s="21">
        <f t="shared" si="1"/>
        <v>0</v>
      </c>
      <c r="B3473" s="32" t="s">
        <v>184</v>
      </c>
      <c r="C3473" s="23" t="s">
        <v>185</v>
      </c>
      <c r="D3473" s="23" t="s">
        <v>58</v>
      </c>
      <c r="E3473" s="24">
        <v>45448.0</v>
      </c>
      <c r="F3473" s="25">
        <v>0.2465277777777778</v>
      </c>
      <c r="G3473" s="25">
        <v>0.6847222222222222</v>
      </c>
      <c r="H3473" s="27">
        <f t="shared" si="2"/>
        <v>0.4381944444</v>
      </c>
      <c r="I3473" s="28">
        <v>4.0</v>
      </c>
      <c r="J3473" s="29" t="s">
        <v>55</v>
      </c>
      <c r="K3473" s="30" t="s">
        <v>23</v>
      </c>
      <c r="L3473" s="31" t="str">
        <f>IFERROR(__xludf.DUMMYFUNCTION("IF(OR(E3473="""",K3473=""""),"""",IFERROR(IF(K3473="""","""",query('tbl user'!$A$2:$D10975,""SELECT A WHERE D = '""&amp;K3473&amp;""'"")),""USER TIDAK DIKETAHUI""))"),"#REF!")</f>
        <v>#REF!</v>
      </c>
    </row>
    <row r="3474">
      <c r="A3474" s="21">
        <f t="shared" si="1"/>
        <v>0</v>
      </c>
      <c r="B3474" s="32" t="s">
        <v>187</v>
      </c>
      <c r="C3474" s="23" t="s">
        <v>188</v>
      </c>
      <c r="D3474" s="23" t="s">
        <v>58</v>
      </c>
      <c r="E3474" s="24">
        <v>45448.0</v>
      </c>
      <c r="F3474" s="25">
        <v>0.23194444444444445</v>
      </c>
      <c r="G3474" s="25">
        <v>0.7194444444444444</v>
      </c>
      <c r="H3474" s="27">
        <f t="shared" si="2"/>
        <v>0.4875</v>
      </c>
      <c r="I3474" s="28">
        <v>4.0</v>
      </c>
      <c r="J3474" s="29" t="s">
        <v>55</v>
      </c>
      <c r="K3474" s="30" t="s">
        <v>23</v>
      </c>
      <c r="L3474" s="31" t="str">
        <f>IFERROR(__xludf.DUMMYFUNCTION("IF(OR(E3474="""",K3474=""""),"""",IFERROR(IF(K3474="""","""",query('tbl user'!$A$2:$D10975,""SELECT A WHERE D = '""&amp;K3474&amp;""'"")),""USER TIDAK DIKETAHUI""))"),"#REF!")</f>
        <v>#REF!</v>
      </c>
    </row>
    <row r="3475">
      <c r="A3475" s="21">
        <f t="shared" si="1"/>
        <v>0</v>
      </c>
      <c r="B3475" s="32" t="s">
        <v>191</v>
      </c>
      <c r="C3475" s="23" t="s">
        <v>192</v>
      </c>
      <c r="D3475" s="23" t="s">
        <v>58</v>
      </c>
      <c r="E3475" s="24">
        <v>45448.0</v>
      </c>
      <c r="F3475" s="25">
        <v>0.25069444444444444</v>
      </c>
      <c r="G3475" s="33">
        <v>0.6770833333333334</v>
      </c>
      <c r="H3475" s="27">
        <f t="shared" si="2"/>
        <v>0.4263888889</v>
      </c>
      <c r="I3475" s="28">
        <v>4.0</v>
      </c>
      <c r="J3475" s="29" t="s">
        <v>55</v>
      </c>
      <c r="K3475" s="30" t="s">
        <v>23</v>
      </c>
      <c r="L3475" s="31" t="str">
        <f>IFERROR(__xludf.DUMMYFUNCTION("IF(OR(E3475="""",K3475=""""),"""",IFERROR(IF(K3475="""","""",query('tbl user'!$A$2:$D10975,""SELECT A WHERE D = '""&amp;K3475&amp;""'"")),""USER TIDAK DIKETAHUI""))"),"#REF!")</f>
        <v>#REF!</v>
      </c>
    </row>
    <row r="3476">
      <c r="A3476" s="21">
        <f t="shared" si="1"/>
        <v>0</v>
      </c>
      <c r="B3476" s="32" t="s">
        <v>205</v>
      </c>
      <c r="C3476" s="23" t="s">
        <v>206</v>
      </c>
      <c r="D3476" s="23" t="s">
        <v>58</v>
      </c>
      <c r="E3476" s="24">
        <v>45448.0</v>
      </c>
      <c r="F3476" s="25">
        <v>0.23541666666666666</v>
      </c>
      <c r="G3476" s="25">
        <v>0.7013888888888888</v>
      </c>
      <c r="H3476" s="27">
        <f t="shared" si="2"/>
        <v>0.4659722222</v>
      </c>
      <c r="I3476" s="28">
        <v>4.0</v>
      </c>
      <c r="J3476" s="29" t="s">
        <v>55</v>
      </c>
      <c r="K3476" s="30" t="s">
        <v>23</v>
      </c>
      <c r="L3476" s="31" t="str">
        <f>IFERROR(__xludf.DUMMYFUNCTION("IF(OR(E3476="""",K3476=""""),"""",IFERROR(IF(K3476="""","""",query('tbl user'!$A$2:$D10975,""SELECT A WHERE D = '""&amp;K3476&amp;""'"")),""USER TIDAK DIKETAHUI""))"),"#REF!")</f>
        <v>#REF!</v>
      </c>
    </row>
    <row r="3477">
      <c r="A3477" s="21">
        <f t="shared" si="1"/>
        <v>0</v>
      </c>
      <c r="B3477" s="32" t="s">
        <v>34</v>
      </c>
      <c r="C3477" s="23" t="s">
        <v>35</v>
      </c>
      <c r="D3477" s="23" t="s">
        <v>21</v>
      </c>
      <c r="E3477" s="24">
        <v>45448.0</v>
      </c>
      <c r="F3477" s="25">
        <v>0.2673611111111111</v>
      </c>
      <c r="G3477" s="25">
        <v>0.5791666666666667</v>
      </c>
      <c r="H3477" s="27">
        <f t="shared" si="2"/>
        <v>0.3118055556</v>
      </c>
      <c r="I3477" s="28">
        <v>1.0</v>
      </c>
      <c r="J3477" s="29" t="s">
        <v>1551</v>
      </c>
      <c r="K3477" s="30" t="s">
        <v>23</v>
      </c>
      <c r="L3477" s="31" t="str">
        <f>IFERROR(__xludf.DUMMYFUNCTION("IF(OR(E3477="""",K3477=""""),"""",IFERROR(IF(K3477="""","""",query('tbl user'!$A$2:$D10975,""SELECT A WHERE D = '""&amp;K3477&amp;""'"")),""USER TIDAK DIKETAHUI""))"),"#REF!")</f>
        <v>#REF!</v>
      </c>
    </row>
    <row r="3478">
      <c r="A3478" s="21">
        <f t="shared" si="1"/>
        <v>0</v>
      </c>
      <c r="B3478" s="32" t="s">
        <v>238</v>
      </c>
      <c r="C3478" s="23" t="s">
        <v>239</v>
      </c>
      <c r="D3478" s="23" t="s">
        <v>21</v>
      </c>
      <c r="E3478" s="24">
        <v>45448.0</v>
      </c>
      <c r="F3478" s="25">
        <v>0.4486111111111111</v>
      </c>
      <c r="G3478" s="25">
        <v>0.7020833333333333</v>
      </c>
      <c r="H3478" s="27">
        <f t="shared" si="2"/>
        <v>0.2534722222</v>
      </c>
      <c r="I3478" s="28">
        <v>1.0</v>
      </c>
      <c r="J3478" s="29" t="s">
        <v>643</v>
      </c>
      <c r="K3478" s="30" t="s">
        <v>23</v>
      </c>
      <c r="L3478" s="31" t="str">
        <f>IFERROR(__xludf.DUMMYFUNCTION("IF(OR(E3478="""",K3478=""""),"""",IFERROR(IF(K3478="""","""",query('tbl user'!$A$2:$D10975,""SELECT A WHERE D = '""&amp;K3478&amp;""'"")),""USER TIDAK DIKETAHUI""))"),"#REF!")</f>
        <v>#REF!</v>
      </c>
    </row>
    <row r="3479">
      <c r="A3479" s="21">
        <f t="shared" si="1"/>
        <v>0</v>
      </c>
      <c r="B3479" s="32" t="s">
        <v>98</v>
      </c>
      <c r="C3479" s="23" t="s">
        <v>99</v>
      </c>
      <c r="D3479" s="23" t="s">
        <v>21</v>
      </c>
      <c r="E3479" s="24">
        <v>45448.0</v>
      </c>
      <c r="F3479" s="25">
        <v>0.28888888888888886</v>
      </c>
      <c r="G3479" s="25">
        <v>0.5770833333333333</v>
      </c>
      <c r="H3479" s="27">
        <f t="shared" si="2"/>
        <v>0.2881944444</v>
      </c>
      <c r="I3479" s="28">
        <v>1.0</v>
      </c>
      <c r="J3479" s="29" t="s">
        <v>1552</v>
      </c>
      <c r="K3479" s="30" t="s">
        <v>23</v>
      </c>
      <c r="L3479" s="31" t="str">
        <f>IFERROR(__xludf.DUMMYFUNCTION("IF(OR(E3479="""",K3479=""""),"""",IFERROR(IF(K3479="""","""",query('tbl user'!$A$2:$D10975,""SELECT A WHERE D = '""&amp;K3479&amp;""'"")),""USER TIDAK DIKETAHUI""))"),"#REF!")</f>
        <v>#REF!</v>
      </c>
    </row>
    <row r="3480">
      <c r="A3480" s="21">
        <f t="shared" si="1"/>
        <v>0</v>
      </c>
      <c r="B3480" s="32" t="s">
        <v>281</v>
      </c>
      <c r="C3480" s="23" t="s">
        <v>282</v>
      </c>
      <c r="D3480" s="23" t="s">
        <v>21</v>
      </c>
      <c r="E3480" s="24">
        <v>45448.0</v>
      </c>
      <c r="F3480" s="25">
        <v>0.2902777777777778</v>
      </c>
      <c r="G3480" s="25">
        <v>0.5972222222222222</v>
      </c>
      <c r="H3480" s="27">
        <f t="shared" si="2"/>
        <v>0.3069444444</v>
      </c>
      <c r="I3480" s="28">
        <v>1.0</v>
      </c>
      <c r="J3480" s="29" t="s">
        <v>1553</v>
      </c>
      <c r="K3480" s="30" t="s">
        <v>23</v>
      </c>
      <c r="L3480" s="31" t="str">
        <f>IFERROR(__xludf.DUMMYFUNCTION("IF(OR(E3480="""",K3480=""""),"""",IFERROR(IF(K3480="""","""",query('tbl user'!$A$2:$D10975,""SELECT A WHERE D = '""&amp;K3480&amp;""'"")),""USER TIDAK DIKETAHUI""))"),"#REF!")</f>
        <v>#REF!</v>
      </c>
    </row>
    <row r="3481">
      <c r="A3481" s="21">
        <f t="shared" si="1"/>
        <v>0</v>
      </c>
      <c r="B3481" s="32" t="s">
        <v>289</v>
      </c>
      <c r="C3481" s="23" t="s">
        <v>290</v>
      </c>
      <c r="D3481" s="23" t="s">
        <v>21</v>
      </c>
      <c r="E3481" s="24">
        <v>45448.0</v>
      </c>
      <c r="F3481" s="25">
        <v>0.25625</v>
      </c>
      <c r="G3481" s="25">
        <v>0.49444444444444446</v>
      </c>
      <c r="H3481" s="27">
        <f t="shared" si="2"/>
        <v>0.2381944444</v>
      </c>
      <c r="I3481" s="28">
        <v>1.0</v>
      </c>
      <c r="J3481" s="29" t="s">
        <v>1554</v>
      </c>
      <c r="K3481" s="30" t="s">
        <v>23</v>
      </c>
      <c r="L3481" s="31" t="str">
        <f>IFERROR(__xludf.DUMMYFUNCTION("IF(OR(E3481="""",K3481=""""),"""",IFERROR(IF(K3481="""","""",query('tbl user'!$A$2:$D10975,""SELECT A WHERE D = '""&amp;K3481&amp;""'"")),""USER TIDAK DIKETAHUI""))"),"#REF!")</f>
        <v>#REF!</v>
      </c>
    </row>
    <row r="3482">
      <c r="A3482" s="21">
        <f t="shared" si="1"/>
        <v>0</v>
      </c>
      <c r="B3482" s="32" t="s">
        <v>51</v>
      </c>
      <c r="C3482" s="23" t="s">
        <v>27</v>
      </c>
      <c r="D3482" s="23" t="s">
        <v>21</v>
      </c>
      <c r="E3482" s="24">
        <v>45448.0</v>
      </c>
      <c r="F3482" s="25">
        <v>0.2881944444444444</v>
      </c>
      <c r="G3482" s="25">
        <v>0.5826388888888889</v>
      </c>
      <c r="H3482" s="27">
        <f t="shared" si="2"/>
        <v>0.2944444444</v>
      </c>
      <c r="I3482" s="28">
        <v>1.0</v>
      </c>
      <c r="J3482" s="29" t="s">
        <v>618</v>
      </c>
      <c r="K3482" s="30" t="s">
        <v>23</v>
      </c>
      <c r="L3482" s="31" t="str">
        <f>IFERROR(__xludf.DUMMYFUNCTION("IF(OR(E3482="""",K3482=""""),"""",IFERROR(IF(K3482="""","""",query('tbl user'!$A$2:$D10975,""SELECT A WHERE D = '""&amp;K3482&amp;""'"")),""USER TIDAK DIKETAHUI""))"),"#REF!")</f>
        <v>#REF!</v>
      </c>
    </row>
    <row r="3483">
      <c r="A3483" s="21">
        <f t="shared" si="1"/>
        <v>0</v>
      </c>
      <c r="B3483" s="32" t="s">
        <v>81</v>
      </c>
      <c r="C3483" s="23" t="s">
        <v>244</v>
      </c>
      <c r="D3483" s="23" t="s">
        <v>21</v>
      </c>
      <c r="E3483" s="24">
        <v>45448.0</v>
      </c>
      <c r="F3483" s="25">
        <v>0.275</v>
      </c>
      <c r="G3483" s="25">
        <v>0.48819444444444443</v>
      </c>
      <c r="H3483" s="27">
        <f t="shared" si="2"/>
        <v>0.2131944444</v>
      </c>
      <c r="I3483" s="28">
        <v>1.0</v>
      </c>
      <c r="J3483" s="29" t="s">
        <v>1524</v>
      </c>
      <c r="K3483" s="30" t="s">
        <v>23</v>
      </c>
      <c r="L3483" s="31" t="str">
        <f>IFERROR(__xludf.DUMMYFUNCTION("IF(OR(E3483="""",K3483=""""),"""",IFERROR(IF(K3483="""","""",query('tbl user'!$A$2:$D10975,""SELECT A WHERE D = '""&amp;K3483&amp;""'"")),""USER TIDAK DIKETAHUI""))"),"#REF!")</f>
        <v>#REF!</v>
      </c>
    </row>
    <row r="3484">
      <c r="A3484" s="21">
        <f t="shared" si="1"/>
        <v>0</v>
      </c>
      <c r="B3484" s="32" t="s">
        <v>284</v>
      </c>
      <c r="C3484" s="23" t="s">
        <v>285</v>
      </c>
      <c r="D3484" s="23" t="s">
        <v>21</v>
      </c>
      <c r="E3484" s="24">
        <v>45448.0</v>
      </c>
      <c r="F3484" s="25">
        <v>0.29097222222222224</v>
      </c>
      <c r="G3484" s="25">
        <v>0.5555555555555556</v>
      </c>
      <c r="H3484" s="27">
        <f t="shared" si="2"/>
        <v>0.2645833333</v>
      </c>
      <c r="I3484" s="28">
        <v>1.0</v>
      </c>
      <c r="J3484" s="29" t="s">
        <v>1524</v>
      </c>
      <c r="K3484" s="30" t="s">
        <v>23</v>
      </c>
      <c r="L3484" s="31" t="str">
        <f>IFERROR(__xludf.DUMMYFUNCTION("IF(OR(E3484="""",K3484=""""),"""",IFERROR(IF(K3484="""","""",query('tbl user'!$A$2:$D10975,""SELECT A WHERE D = '""&amp;K3484&amp;""'"")),""USER TIDAK DIKETAHUI""))"),"#REF!")</f>
        <v>#REF!</v>
      </c>
    </row>
    <row r="3485">
      <c r="A3485" s="21">
        <f t="shared" si="1"/>
        <v>0</v>
      </c>
      <c r="B3485" s="32" t="s">
        <v>246</v>
      </c>
      <c r="C3485" s="23" t="s">
        <v>44</v>
      </c>
      <c r="D3485" s="23" t="s">
        <v>21</v>
      </c>
      <c r="E3485" s="24">
        <v>45448.0</v>
      </c>
      <c r="F3485" s="25">
        <v>0.28958333333333336</v>
      </c>
      <c r="G3485" s="25">
        <v>0.5847222222222223</v>
      </c>
      <c r="H3485" s="27">
        <f t="shared" si="2"/>
        <v>0.2951388889</v>
      </c>
      <c r="I3485" s="28">
        <v>1.0</v>
      </c>
      <c r="J3485" s="29" t="s">
        <v>1524</v>
      </c>
      <c r="K3485" s="30" t="s">
        <v>23</v>
      </c>
      <c r="L3485" s="31" t="str">
        <f>IFERROR(__xludf.DUMMYFUNCTION("IF(OR(E3485="""",K3485=""""),"""",IFERROR(IF(K3485="""","""",query('tbl user'!$A$2:$D10975,""SELECT A WHERE D = '""&amp;K3485&amp;""'"")),""USER TIDAK DIKETAHUI""))"),"#REF!")</f>
        <v>#REF!</v>
      </c>
    </row>
    <row r="3486">
      <c r="A3486" s="21">
        <f t="shared" si="1"/>
        <v>0</v>
      </c>
      <c r="B3486" s="32" t="s">
        <v>159</v>
      </c>
      <c r="C3486" s="23" t="s">
        <v>306</v>
      </c>
      <c r="D3486" s="23" t="s">
        <v>21</v>
      </c>
      <c r="E3486" s="24">
        <v>45448.0</v>
      </c>
      <c r="F3486" s="25">
        <v>0.2569444444444444</v>
      </c>
      <c r="G3486" s="25">
        <v>0.5493055555555556</v>
      </c>
      <c r="H3486" s="27">
        <f t="shared" si="2"/>
        <v>0.2923611111</v>
      </c>
      <c r="I3486" s="28">
        <v>1.0</v>
      </c>
      <c r="J3486" s="29" t="s">
        <v>1524</v>
      </c>
      <c r="K3486" s="30" t="s">
        <v>23</v>
      </c>
      <c r="L3486" s="31" t="str">
        <f>IFERROR(__xludf.DUMMYFUNCTION("IF(OR(E3486="""",K3486=""""),"""",IFERROR(IF(K3486="""","""",query('tbl user'!$A$2:$D10975,""SELECT A WHERE D = '""&amp;K3486&amp;""'"")),""USER TIDAK DIKETAHUI""))"),"#REF!")</f>
        <v>#REF!</v>
      </c>
    </row>
    <row r="3487">
      <c r="A3487" s="21">
        <f t="shared" si="1"/>
        <v>0</v>
      </c>
      <c r="B3487" s="32" t="s">
        <v>225</v>
      </c>
      <c r="C3487" s="23" t="s">
        <v>339</v>
      </c>
      <c r="D3487" s="23" t="s">
        <v>21</v>
      </c>
      <c r="E3487" s="24">
        <v>45448.0</v>
      </c>
      <c r="F3487" s="25">
        <v>0.28958333333333336</v>
      </c>
      <c r="G3487" s="25">
        <v>0.5729166666666666</v>
      </c>
      <c r="H3487" s="27">
        <f t="shared" si="2"/>
        <v>0.2833333333</v>
      </c>
      <c r="I3487" s="28">
        <v>1.0</v>
      </c>
      <c r="J3487" s="29" t="s">
        <v>1524</v>
      </c>
      <c r="K3487" s="30" t="s">
        <v>23</v>
      </c>
      <c r="L3487" s="31" t="str">
        <f>IFERROR(__xludf.DUMMYFUNCTION("IF(OR(E3487="""",K3487=""""),"""",IFERROR(IF(K3487="""","""",query('tbl user'!$A$2:$D10975,""SELECT A WHERE D = '""&amp;K3487&amp;""'"")),""USER TIDAK DIKETAHUI""))"),"#REF!")</f>
        <v>#REF!</v>
      </c>
    </row>
    <row r="3488">
      <c r="A3488" s="21">
        <f t="shared" si="1"/>
        <v>0</v>
      </c>
      <c r="B3488" s="32" t="s">
        <v>331</v>
      </c>
      <c r="C3488" s="23" t="s">
        <v>332</v>
      </c>
      <c r="D3488" s="23" t="s">
        <v>21</v>
      </c>
      <c r="E3488" s="24">
        <v>45448.0</v>
      </c>
      <c r="F3488" s="25">
        <v>0.2604166666666667</v>
      </c>
      <c r="G3488" s="25">
        <v>0.6847222222222222</v>
      </c>
      <c r="H3488" s="27">
        <f t="shared" si="2"/>
        <v>0.4243055556</v>
      </c>
      <c r="I3488" s="28">
        <v>1.0</v>
      </c>
      <c r="J3488" s="29" t="s">
        <v>1524</v>
      </c>
      <c r="K3488" s="30" t="s">
        <v>23</v>
      </c>
      <c r="L3488" s="31" t="str">
        <f>IFERROR(__xludf.DUMMYFUNCTION("IF(OR(E3488="""",K3488=""""),"""",IFERROR(IF(K3488="""","""",query('tbl user'!$A$2:$D10975,""SELECT A WHERE D = '""&amp;K3488&amp;""'"")),""USER TIDAK DIKETAHUI""))"),"#REF!")</f>
        <v>#REF!</v>
      </c>
    </row>
    <row r="3489">
      <c r="A3489" s="21">
        <f t="shared" si="1"/>
        <v>0</v>
      </c>
      <c r="B3489" s="32" t="s">
        <v>335</v>
      </c>
      <c r="C3489" s="23" t="s">
        <v>336</v>
      </c>
      <c r="D3489" s="23" t="s">
        <v>21</v>
      </c>
      <c r="E3489" s="24">
        <v>45448.0</v>
      </c>
      <c r="F3489" s="25">
        <v>0.2791666666666667</v>
      </c>
      <c r="G3489" s="25">
        <v>0.49166666666666664</v>
      </c>
      <c r="H3489" s="27">
        <f t="shared" si="2"/>
        <v>0.2125</v>
      </c>
      <c r="I3489" s="28">
        <v>1.0</v>
      </c>
      <c r="J3489" s="29" t="s">
        <v>1555</v>
      </c>
      <c r="K3489" s="30" t="s">
        <v>23</v>
      </c>
      <c r="L3489" s="31" t="str">
        <f>IFERROR(__xludf.DUMMYFUNCTION("IF(OR(E3489="""",K3489=""""),"""",IFERROR(IF(K3489="""","""",query('tbl user'!$A$2:$D10975,""SELECT A WHERE D = '""&amp;K3489&amp;""'"")),""USER TIDAK DIKETAHUI""))"),"#REF!")</f>
        <v>#REF!</v>
      </c>
    </row>
    <row r="3490">
      <c r="A3490" s="21">
        <f t="shared" si="1"/>
        <v>0</v>
      </c>
      <c r="B3490" s="32" t="s">
        <v>577</v>
      </c>
      <c r="C3490" s="23" t="s">
        <v>330</v>
      </c>
      <c r="D3490" s="23" t="s">
        <v>21</v>
      </c>
      <c r="E3490" s="24">
        <v>45448.0</v>
      </c>
      <c r="F3490" s="25">
        <v>0.3020833333333333</v>
      </c>
      <c r="G3490" s="25">
        <v>0.6729166666666667</v>
      </c>
      <c r="H3490" s="27">
        <f t="shared" si="2"/>
        <v>0.3708333333</v>
      </c>
      <c r="I3490" s="28">
        <v>1.0</v>
      </c>
      <c r="J3490" s="29" t="s">
        <v>449</v>
      </c>
      <c r="K3490" s="30" t="s">
        <v>23</v>
      </c>
      <c r="L3490" s="31" t="str">
        <f>IFERROR(__xludf.DUMMYFUNCTION("IF(OR(E3490="""",K3490=""""),"""",IFERROR(IF(K3490="""","""",query('tbl user'!$A$2:$D10975,""SELECT A WHERE D = '""&amp;K3490&amp;""'"")),""USER TIDAK DIKETAHUI""))"),"#REF!")</f>
        <v>#REF!</v>
      </c>
    </row>
    <row r="3491">
      <c r="A3491" s="21">
        <f t="shared" si="1"/>
        <v>0</v>
      </c>
      <c r="B3491" s="32" t="s">
        <v>601</v>
      </c>
      <c r="C3491" s="23" t="s">
        <v>323</v>
      </c>
      <c r="D3491" s="23" t="s">
        <v>21</v>
      </c>
      <c r="E3491" s="24">
        <v>45448.0</v>
      </c>
      <c r="F3491" s="25">
        <v>0.25972222222222224</v>
      </c>
      <c r="G3491" s="25">
        <v>0.59375</v>
      </c>
      <c r="H3491" s="27">
        <f t="shared" si="2"/>
        <v>0.3340277778</v>
      </c>
      <c r="I3491" s="28">
        <v>1.0</v>
      </c>
      <c r="J3491" s="29" t="s">
        <v>1524</v>
      </c>
      <c r="K3491" s="30" t="s">
        <v>23</v>
      </c>
      <c r="L3491" s="31" t="str">
        <f>IFERROR(__xludf.DUMMYFUNCTION("IF(OR(E3491="""",K3491=""""),"""",IFERROR(IF(K3491="""","""",query('tbl user'!$A$2:$D10975,""SELECT A WHERE D = '""&amp;K3491&amp;""'"")),""USER TIDAK DIKETAHUI""))"),"#REF!")</f>
        <v>#REF!</v>
      </c>
    </row>
    <row r="3492">
      <c r="A3492" s="21">
        <f t="shared" si="1"/>
        <v>0</v>
      </c>
      <c r="B3492" s="32" t="s">
        <v>156</v>
      </c>
      <c r="C3492" s="23" t="s">
        <v>1556</v>
      </c>
      <c r="D3492" s="23" t="s">
        <v>21</v>
      </c>
      <c r="E3492" s="24">
        <v>45448.0</v>
      </c>
      <c r="F3492" s="25">
        <v>0.3125</v>
      </c>
      <c r="G3492" s="25">
        <v>0.6055555555555555</v>
      </c>
      <c r="H3492" s="27">
        <f t="shared" si="2"/>
        <v>0.2930555556</v>
      </c>
      <c r="I3492" s="28">
        <v>1.0</v>
      </c>
      <c r="J3492" s="29" t="s">
        <v>1524</v>
      </c>
      <c r="K3492" s="30" t="s">
        <v>23</v>
      </c>
      <c r="L3492" s="31" t="str">
        <f>IFERROR(__xludf.DUMMYFUNCTION("IF(OR(E3492="""",K3492=""""),"""",IFERROR(IF(K3492="""","""",query('tbl user'!$A$2:$D10975,""SELECT A WHERE D = '""&amp;K3492&amp;""'"")),""USER TIDAK DIKETAHUI""))"),"#REF!")</f>
        <v>#REF!</v>
      </c>
    </row>
    <row r="3493">
      <c r="A3493" s="21">
        <f t="shared" si="1"/>
        <v>0</v>
      </c>
      <c r="B3493" s="32" t="s">
        <v>64</v>
      </c>
      <c r="C3493" s="23" t="s">
        <v>65</v>
      </c>
      <c r="D3493" s="23" t="s">
        <v>21</v>
      </c>
      <c r="E3493" s="24">
        <v>45448.0</v>
      </c>
      <c r="F3493" s="25">
        <v>0.2833333333333333</v>
      </c>
      <c r="G3493" s="25">
        <v>0.7263888888888889</v>
      </c>
      <c r="H3493" s="27">
        <f t="shared" si="2"/>
        <v>0.4430555556</v>
      </c>
      <c r="I3493" s="28">
        <v>2.0</v>
      </c>
      <c r="J3493" s="29" t="s">
        <v>1557</v>
      </c>
      <c r="K3493" s="30" t="s">
        <v>23</v>
      </c>
      <c r="L3493" s="31" t="str">
        <f>IFERROR(__xludf.DUMMYFUNCTION("IF(OR(E3493="""",K3493=""""),"""",IFERROR(IF(K3493="""","""",query('tbl user'!$A$2:$D10975,""SELECT A WHERE D = '""&amp;K3493&amp;""'"")),""USER TIDAK DIKETAHUI""))"),"#REF!")</f>
        <v>#REF!</v>
      </c>
    </row>
    <row r="3494">
      <c r="A3494" s="21">
        <f t="shared" si="1"/>
        <v>0</v>
      </c>
      <c r="B3494" s="32" t="s">
        <v>24</v>
      </c>
      <c r="C3494" s="23" t="s">
        <v>25</v>
      </c>
      <c r="D3494" s="23" t="s">
        <v>21</v>
      </c>
      <c r="E3494" s="24">
        <v>45448.0</v>
      </c>
      <c r="F3494" s="25">
        <v>0.23819444444444443</v>
      </c>
      <c r="G3494" s="25">
        <v>0.71875</v>
      </c>
      <c r="H3494" s="27">
        <f t="shared" si="2"/>
        <v>0.4805555556</v>
      </c>
      <c r="I3494" s="28">
        <v>2.0</v>
      </c>
      <c r="J3494" s="29" t="s">
        <v>1558</v>
      </c>
      <c r="K3494" s="30" t="s">
        <v>23</v>
      </c>
      <c r="L3494" s="31" t="str">
        <f>IFERROR(__xludf.DUMMYFUNCTION("IF(OR(E3494="""",K3494=""""),"""",IFERROR(IF(K3494="""","""",query('tbl user'!$A$2:$D10975,""SELECT A WHERE D = '""&amp;K3494&amp;""'"")),""USER TIDAK DIKETAHUI""))"),"#REF!")</f>
        <v>#REF!</v>
      </c>
    </row>
    <row r="3495">
      <c r="A3495" s="21">
        <f t="shared" si="1"/>
        <v>0</v>
      </c>
      <c r="B3495" s="32" t="s">
        <v>305</v>
      </c>
      <c r="C3495" s="23" t="s">
        <v>251</v>
      </c>
      <c r="D3495" s="23" t="s">
        <v>21</v>
      </c>
      <c r="E3495" s="24">
        <v>45448.0</v>
      </c>
      <c r="F3495" s="25">
        <v>0.225</v>
      </c>
      <c r="G3495" s="25">
        <v>0.6173611111111111</v>
      </c>
      <c r="H3495" s="27">
        <f t="shared" si="2"/>
        <v>0.3923611111</v>
      </c>
      <c r="I3495" s="28">
        <v>2.0</v>
      </c>
      <c r="J3495" s="29" t="s">
        <v>1559</v>
      </c>
      <c r="K3495" s="30" t="s">
        <v>23</v>
      </c>
      <c r="L3495" s="31" t="str">
        <f>IFERROR(__xludf.DUMMYFUNCTION("IF(OR(E3495="""",K3495=""""),"""",IFERROR(IF(K3495="""","""",query('tbl user'!$A$2:$D10975,""SELECT A WHERE D = '""&amp;K3495&amp;""'"")),""USER TIDAK DIKETAHUI""))"),"#REF!")</f>
        <v>#REF!</v>
      </c>
    </row>
    <row r="3496">
      <c r="A3496" s="21">
        <f t="shared" si="1"/>
        <v>0</v>
      </c>
      <c r="B3496" s="32" t="s">
        <v>662</v>
      </c>
      <c r="C3496" s="23" t="s">
        <v>234</v>
      </c>
      <c r="D3496" s="23" t="s">
        <v>21</v>
      </c>
      <c r="E3496" s="24">
        <v>45448.0</v>
      </c>
      <c r="F3496" s="25">
        <v>0.2701388888888889</v>
      </c>
      <c r="G3496" s="25">
        <v>0.7055555555555556</v>
      </c>
      <c r="H3496" s="27">
        <f t="shared" si="2"/>
        <v>0.4354166667</v>
      </c>
      <c r="I3496" s="28">
        <v>2.0</v>
      </c>
      <c r="J3496" s="29" t="s">
        <v>1524</v>
      </c>
      <c r="K3496" s="30" t="s">
        <v>23</v>
      </c>
      <c r="L3496" s="31" t="str">
        <f>IFERROR(__xludf.DUMMYFUNCTION("IF(OR(E3496="""",K3496=""""),"""",IFERROR(IF(K3496="""","""",query('tbl user'!$A$2:$D10975,""SELECT A WHERE D = '""&amp;K3496&amp;""'"")),""USER TIDAK DIKETAHUI""))"),"#REF!")</f>
        <v>#REF!</v>
      </c>
    </row>
    <row r="3497">
      <c r="A3497" s="21">
        <f t="shared" si="1"/>
        <v>0</v>
      </c>
      <c r="B3497" s="32" t="s">
        <v>593</v>
      </c>
      <c r="C3497" s="23" t="s">
        <v>236</v>
      </c>
      <c r="D3497" s="23" t="s">
        <v>21</v>
      </c>
      <c r="E3497" s="24">
        <v>45448.0</v>
      </c>
      <c r="F3497" s="25">
        <v>0.22569444444444445</v>
      </c>
      <c r="G3497" s="25">
        <v>0.6326388888888889</v>
      </c>
      <c r="H3497" s="27">
        <f t="shared" si="2"/>
        <v>0.4069444444</v>
      </c>
      <c r="I3497" s="28">
        <v>2.0</v>
      </c>
      <c r="J3497" s="29" t="s">
        <v>1560</v>
      </c>
      <c r="K3497" s="30" t="s">
        <v>23</v>
      </c>
      <c r="L3497" s="31" t="str">
        <f>IFERROR(__xludf.DUMMYFUNCTION("IF(OR(E3497="""",K3497=""""),"""",IFERROR(IF(K3497="""","""",query('tbl user'!$A$2:$D10975,""SELECT A WHERE D = '""&amp;K3497&amp;""'"")),""USER TIDAK DIKETAHUI""))"),"#REF!")</f>
        <v>#REF!</v>
      </c>
    </row>
    <row r="3498">
      <c r="A3498" s="21">
        <f t="shared" si="1"/>
        <v>0</v>
      </c>
      <c r="B3498" s="32" t="s">
        <v>333</v>
      </c>
      <c r="C3498" s="23" t="s">
        <v>334</v>
      </c>
      <c r="D3498" s="23" t="s">
        <v>21</v>
      </c>
      <c r="E3498" s="24">
        <v>45448.0</v>
      </c>
      <c r="F3498" s="25">
        <v>0.25</v>
      </c>
      <c r="G3498" s="25">
        <v>0.6513888888888889</v>
      </c>
      <c r="H3498" s="27">
        <f t="shared" si="2"/>
        <v>0.4013888889</v>
      </c>
      <c r="I3498" s="28">
        <v>2.0</v>
      </c>
      <c r="J3498" s="29" t="s">
        <v>1561</v>
      </c>
      <c r="K3498" s="30" t="s">
        <v>23</v>
      </c>
      <c r="L3498" s="31" t="str">
        <f>IFERROR(__xludf.DUMMYFUNCTION("IF(OR(E3498="""",K3498=""""),"""",IFERROR(IF(K3498="""","""",query('tbl user'!$A$2:$D10975,""SELECT A WHERE D = '""&amp;K3498&amp;""'"")),""USER TIDAK DIKETAHUI""))"),"#REF!")</f>
        <v>#REF!</v>
      </c>
    </row>
    <row r="3499">
      <c r="A3499" s="21">
        <f t="shared" si="1"/>
        <v>0</v>
      </c>
      <c r="B3499" s="32" t="s">
        <v>258</v>
      </c>
      <c r="C3499" s="23" t="s">
        <v>259</v>
      </c>
      <c r="D3499" s="23" t="s">
        <v>21</v>
      </c>
      <c r="E3499" s="24">
        <v>45448.0</v>
      </c>
      <c r="F3499" s="25">
        <v>0.2652777777777778</v>
      </c>
      <c r="G3499" s="25">
        <v>0.6986111111111111</v>
      </c>
      <c r="H3499" s="27">
        <f t="shared" si="2"/>
        <v>0.4333333333</v>
      </c>
      <c r="I3499" s="28">
        <v>2.0</v>
      </c>
      <c r="J3499" s="29" t="s">
        <v>1524</v>
      </c>
      <c r="K3499" s="30" t="s">
        <v>23</v>
      </c>
      <c r="L3499" s="31" t="str">
        <f>IFERROR(__xludf.DUMMYFUNCTION("IF(OR(E3499="""",K3499=""""),"""",IFERROR(IF(K3499="""","""",query('tbl user'!$A$2:$D10975,""SELECT A WHERE D = '""&amp;K3499&amp;""'"")),""USER TIDAK DIKETAHUI""))"),"#REF!")</f>
        <v>#REF!</v>
      </c>
    </row>
    <row r="3500">
      <c r="A3500" s="21">
        <f t="shared" si="1"/>
        <v>0</v>
      </c>
      <c r="B3500" s="32" t="s">
        <v>219</v>
      </c>
      <c r="C3500" s="23" t="s">
        <v>340</v>
      </c>
      <c r="D3500" s="23" t="s">
        <v>21</v>
      </c>
      <c r="E3500" s="24">
        <v>45448.0</v>
      </c>
      <c r="F3500" s="25">
        <v>0.23819444444444443</v>
      </c>
      <c r="G3500" s="25">
        <v>0.7131944444444445</v>
      </c>
      <c r="H3500" s="27">
        <f t="shared" si="2"/>
        <v>0.475</v>
      </c>
      <c r="I3500" s="28">
        <v>2.0</v>
      </c>
      <c r="J3500" s="29" t="s">
        <v>1562</v>
      </c>
      <c r="K3500" s="30" t="s">
        <v>23</v>
      </c>
      <c r="L3500" s="31" t="str">
        <f>IFERROR(__xludf.DUMMYFUNCTION("IF(OR(E3500="""",K3500=""""),"""",IFERROR(IF(K3500="""","""",query('tbl user'!$A$2:$D10975,""SELECT A WHERE D = '""&amp;K3500&amp;""'"")),""USER TIDAK DIKETAHUI""))"),"#REF!")</f>
        <v>#REF!</v>
      </c>
    </row>
    <row r="3501">
      <c r="A3501" s="21">
        <f t="shared" si="1"/>
        <v>0</v>
      </c>
      <c r="B3501" s="32" t="s">
        <v>172</v>
      </c>
      <c r="C3501" s="23" t="s">
        <v>329</v>
      </c>
      <c r="D3501" s="23" t="s">
        <v>21</v>
      </c>
      <c r="E3501" s="24">
        <v>45448.0</v>
      </c>
      <c r="F3501" s="25">
        <v>0.29097222222222224</v>
      </c>
      <c r="G3501" s="25">
        <v>0.7368055555555556</v>
      </c>
      <c r="H3501" s="27">
        <f t="shared" si="2"/>
        <v>0.4458333333</v>
      </c>
      <c r="I3501" s="28">
        <v>2.0</v>
      </c>
      <c r="J3501" s="29" t="s">
        <v>1524</v>
      </c>
      <c r="K3501" s="30" t="s">
        <v>23</v>
      </c>
      <c r="L3501" s="31" t="str">
        <f>IFERROR(__xludf.DUMMYFUNCTION("IF(OR(E3501="""",K3501=""""),"""",IFERROR(IF(K3501="""","""",query('tbl user'!$A$2:$D10975,""SELECT A WHERE D = '""&amp;K3501&amp;""'"")),""USER TIDAK DIKETAHUI""))"),"#REF!")</f>
        <v>#REF!</v>
      </c>
    </row>
    <row r="3502">
      <c r="A3502" s="21">
        <f t="shared" si="1"/>
        <v>0</v>
      </c>
      <c r="B3502" s="32" t="s">
        <v>87</v>
      </c>
      <c r="C3502" s="23" t="s">
        <v>88</v>
      </c>
      <c r="D3502" s="23" t="s">
        <v>21</v>
      </c>
      <c r="E3502" s="24">
        <v>45448.0</v>
      </c>
      <c r="F3502" s="25">
        <v>0.2847222222222222</v>
      </c>
      <c r="G3502" s="25">
        <v>0.64375</v>
      </c>
      <c r="H3502" s="27">
        <f t="shared" si="2"/>
        <v>0.3590277778</v>
      </c>
      <c r="I3502" s="28">
        <v>2.0</v>
      </c>
      <c r="J3502" s="29" t="s">
        <v>1563</v>
      </c>
      <c r="K3502" s="30" t="s">
        <v>23</v>
      </c>
      <c r="L3502" s="31" t="str">
        <f>IFERROR(__xludf.DUMMYFUNCTION("IF(OR(E3502="""",K3502=""""),"""",IFERROR(IF(K3502="""","""",query('tbl user'!$A$2:$D10975,""SELECT A WHERE D = '""&amp;K3502&amp;""'"")),""USER TIDAK DIKETAHUI""))"),"#REF!")</f>
        <v>#REF!</v>
      </c>
    </row>
    <row r="3503">
      <c r="A3503" s="21">
        <f t="shared" si="1"/>
        <v>0</v>
      </c>
      <c r="B3503" s="32" t="s">
        <v>53</v>
      </c>
      <c r="C3503" s="23" t="s">
        <v>54</v>
      </c>
      <c r="D3503" s="23" t="s">
        <v>21</v>
      </c>
      <c r="E3503" s="24">
        <v>45448.0</v>
      </c>
      <c r="F3503" s="25">
        <v>0.2548611111111111</v>
      </c>
      <c r="G3503" s="25">
        <v>0.6798611111111111</v>
      </c>
      <c r="H3503" s="27">
        <f t="shared" si="2"/>
        <v>0.425</v>
      </c>
      <c r="I3503" s="28">
        <v>2.0</v>
      </c>
      <c r="J3503" s="29" t="s">
        <v>300</v>
      </c>
      <c r="K3503" s="30" t="s">
        <v>23</v>
      </c>
      <c r="L3503" s="31" t="str">
        <f>IFERROR(__xludf.DUMMYFUNCTION("IF(OR(E3503="""",K3503=""""),"""",IFERROR(IF(K3503="""","""",query('tbl user'!$A$2:$D10975,""SELECT A WHERE D = '""&amp;K3503&amp;""'"")),""USER TIDAK DIKETAHUI""))"),"#REF!")</f>
        <v>#REF!</v>
      </c>
    </row>
    <row r="3504">
      <c r="A3504" s="21">
        <f t="shared" si="1"/>
        <v>0</v>
      </c>
      <c r="B3504" s="32" t="s">
        <v>319</v>
      </c>
      <c r="C3504" s="23" t="s">
        <v>320</v>
      </c>
      <c r="D3504" s="23" t="s">
        <v>21</v>
      </c>
      <c r="E3504" s="24">
        <v>45448.0</v>
      </c>
      <c r="F3504" s="25">
        <v>0.23125</v>
      </c>
      <c r="G3504" s="25">
        <v>0.625</v>
      </c>
      <c r="H3504" s="27">
        <f t="shared" si="2"/>
        <v>0.39375</v>
      </c>
      <c r="I3504" s="28">
        <v>2.0</v>
      </c>
      <c r="J3504" s="29" t="s">
        <v>1524</v>
      </c>
      <c r="K3504" s="30" t="s">
        <v>23</v>
      </c>
      <c r="L3504" s="31" t="str">
        <f>IFERROR(__xludf.DUMMYFUNCTION("IF(OR(E3504="""",K3504=""""),"""",IFERROR(IF(K3504="""","""",query('tbl user'!$A$2:$D10975,""SELECT A WHERE D = '""&amp;K3504&amp;""'"")),""USER TIDAK DIKETAHUI""))"),"#REF!")</f>
        <v>#REF!</v>
      </c>
    </row>
    <row r="3505">
      <c r="A3505" s="21">
        <f t="shared" si="1"/>
        <v>0</v>
      </c>
      <c r="B3505" s="32" t="s">
        <v>325</v>
      </c>
      <c r="C3505" s="23" t="s">
        <v>326</v>
      </c>
      <c r="D3505" s="23" t="s">
        <v>21</v>
      </c>
      <c r="E3505" s="24">
        <v>45448.0</v>
      </c>
      <c r="F3505" s="25">
        <v>0.25833333333333336</v>
      </c>
      <c r="G3505" s="25">
        <v>0.6631944444444444</v>
      </c>
      <c r="H3505" s="27">
        <f t="shared" si="2"/>
        <v>0.4048611111</v>
      </c>
      <c r="I3505" s="28">
        <v>2.0</v>
      </c>
      <c r="J3505" s="29" t="s">
        <v>1524</v>
      </c>
      <c r="K3505" s="30" t="s">
        <v>23</v>
      </c>
      <c r="L3505" s="31" t="str">
        <f>IFERROR(__xludf.DUMMYFUNCTION("IF(OR(E3505="""",K3505=""""),"""",IFERROR(IF(K3505="""","""",query('tbl user'!$A$2:$D10975,""SELECT A WHERE D = '""&amp;K3505&amp;""'"")),""USER TIDAK DIKETAHUI""))"),"#REF!")</f>
        <v>#REF!</v>
      </c>
    </row>
    <row r="3506">
      <c r="A3506" s="21">
        <f t="shared" si="1"/>
        <v>0</v>
      </c>
      <c r="B3506" s="32" t="s">
        <v>337</v>
      </c>
      <c r="C3506" s="23" t="s">
        <v>338</v>
      </c>
      <c r="D3506" s="23" t="s">
        <v>21</v>
      </c>
      <c r="E3506" s="24">
        <v>45448.0</v>
      </c>
      <c r="F3506" s="25">
        <v>0.2881944444444444</v>
      </c>
      <c r="G3506" s="25">
        <v>0.7326388888888888</v>
      </c>
      <c r="H3506" s="27">
        <f t="shared" si="2"/>
        <v>0.4444444444</v>
      </c>
      <c r="I3506" s="28">
        <v>2.0</v>
      </c>
      <c r="J3506" s="29" t="s">
        <v>1524</v>
      </c>
      <c r="K3506" s="30" t="s">
        <v>23</v>
      </c>
      <c r="L3506" s="31" t="str">
        <f>IFERROR(__xludf.DUMMYFUNCTION("IF(OR(E3506="""",K3506=""""),"""",IFERROR(IF(K3506="""","""",query('tbl user'!$A$2:$D10975,""SELECT A WHERE D = '""&amp;K3506&amp;""'"")),""USER TIDAK DIKETAHUI""))"),"#REF!")</f>
        <v>#REF!</v>
      </c>
    </row>
    <row r="3507">
      <c r="A3507" s="21">
        <f t="shared" si="1"/>
        <v>0</v>
      </c>
      <c r="B3507" s="32" t="s">
        <v>260</v>
      </c>
      <c r="C3507" s="23" t="s">
        <v>261</v>
      </c>
      <c r="D3507" s="23" t="s">
        <v>21</v>
      </c>
      <c r="E3507" s="24">
        <v>45448.0</v>
      </c>
      <c r="F3507" s="25">
        <v>0.21180555555555555</v>
      </c>
      <c r="G3507" s="25">
        <v>0.6319444444444444</v>
      </c>
      <c r="H3507" s="27">
        <f t="shared" si="2"/>
        <v>0.4201388889</v>
      </c>
      <c r="I3507" s="28">
        <v>2.0</v>
      </c>
      <c r="J3507" s="29" t="s">
        <v>1524</v>
      </c>
      <c r="K3507" s="30" t="s">
        <v>23</v>
      </c>
      <c r="L3507" s="31" t="str">
        <f>IFERROR(__xludf.DUMMYFUNCTION("IF(OR(E3507="""",K3507=""""),"""",IFERROR(IF(K3507="""","""",query('tbl user'!$A$2:$D10975,""SELECT A WHERE D = '""&amp;K3507&amp;""'"")),""USER TIDAK DIKETAHUI""))"),"#REF!")</f>
        <v>#REF!</v>
      </c>
    </row>
    <row r="3508">
      <c r="A3508" s="21">
        <f t="shared" si="1"/>
        <v>0</v>
      </c>
      <c r="B3508" s="32" t="s">
        <v>46</v>
      </c>
      <c r="C3508" s="23" t="s">
        <v>47</v>
      </c>
      <c r="D3508" s="23" t="s">
        <v>32</v>
      </c>
      <c r="E3508" s="24">
        <v>45448.0</v>
      </c>
      <c r="F3508" s="25">
        <v>0.29097222222222224</v>
      </c>
      <c r="G3508" s="25">
        <v>0.43333333333333335</v>
      </c>
      <c r="H3508" s="27">
        <f t="shared" si="2"/>
        <v>0.1423611111</v>
      </c>
      <c r="I3508" s="28">
        <v>1.0</v>
      </c>
      <c r="J3508" s="29" t="s">
        <v>1564</v>
      </c>
      <c r="K3508" s="30" t="s">
        <v>23</v>
      </c>
      <c r="L3508" s="31" t="str">
        <f>IFERROR(__xludf.DUMMYFUNCTION("IF(OR(E3508="""",K3508=""""),"""",IFERROR(IF(K3508="""","""",query('tbl user'!$A$2:$D10975,""SELECT A WHERE D = '""&amp;K3508&amp;""'"")),""USER TIDAK DIKETAHUI""))"),"#REF!")</f>
        <v>#REF!</v>
      </c>
    </row>
    <row r="3509">
      <c r="A3509" s="21">
        <f t="shared" si="1"/>
        <v>0</v>
      </c>
      <c r="B3509" s="32" t="s">
        <v>135</v>
      </c>
      <c r="C3509" s="23" t="s">
        <v>136</v>
      </c>
      <c r="D3509" s="23" t="s">
        <v>32</v>
      </c>
      <c r="E3509" s="24">
        <v>45448.0</v>
      </c>
      <c r="F3509" s="25">
        <v>0.26805555555555555</v>
      </c>
      <c r="G3509" s="25">
        <v>0.4166666666666667</v>
      </c>
      <c r="H3509" s="27">
        <f t="shared" si="2"/>
        <v>0.1486111111</v>
      </c>
      <c r="I3509" s="28">
        <v>1.0</v>
      </c>
      <c r="J3509" s="29" t="s">
        <v>1565</v>
      </c>
      <c r="K3509" s="30" t="s">
        <v>23</v>
      </c>
      <c r="L3509" s="31" t="str">
        <f>IFERROR(__xludf.DUMMYFUNCTION("IF(OR(E3509="""",K3509=""""),"""",IFERROR(IF(K3509="""","""",query('tbl user'!$A$2:$D10975,""SELECT A WHERE D = '""&amp;K3509&amp;""'"")),""USER TIDAK DIKETAHUI""))"),"#REF!")</f>
        <v>#REF!</v>
      </c>
    </row>
    <row r="3510">
      <c r="A3510" s="21">
        <f t="shared" si="1"/>
        <v>0</v>
      </c>
      <c r="B3510" s="32" t="s">
        <v>312</v>
      </c>
      <c r="C3510" s="23" t="s">
        <v>313</v>
      </c>
      <c r="D3510" s="23" t="s">
        <v>32</v>
      </c>
      <c r="E3510" s="24">
        <v>45448.0</v>
      </c>
      <c r="F3510" s="25">
        <v>0.23402777777777778</v>
      </c>
      <c r="G3510" s="25">
        <v>0.38819444444444445</v>
      </c>
      <c r="H3510" s="27">
        <f t="shared" si="2"/>
        <v>0.1541666667</v>
      </c>
      <c r="I3510" s="28">
        <v>1.0</v>
      </c>
      <c r="J3510" s="29" t="s">
        <v>1566</v>
      </c>
      <c r="K3510" s="30" t="s">
        <v>23</v>
      </c>
      <c r="L3510" s="31" t="str">
        <f>IFERROR(__xludf.DUMMYFUNCTION("IF(OR(E3510="""",K3510=""""),"""",IFERROR(IF(K3510="""","""",query('tbl user'!$A$2:$D10975,""SELECT A WHERE D = '""&amp;K3510&amp;""'"")),""USER TIDAK DIKETAHUI""))"),"#REF!")</f>
        <v>#REF!</v>
      </c>
    </row>
    <row r="3511">
      <c r="A3511" s="21">
        <f t="shared" si="1"/>
        <v>0</v>
      </c>
      <c r="B3511" s="32" t="s">
        <v>113</v>
      </c>
      <c r="C3511" s="23" t="s">
        <v>114</v>
      </c>
      <c r="D3511" s="23" t="s">
        <v>32</v>
      </c>
      <c r="E3511" s="24">
        <v>45448.0</v>
      </c>
      <c r="F3511" s="25">
        <v>0.21041666666666667</v>
      </c>
      <c r="G3511" s="25">
        <v>0.4736111111111111</v>
      </c>
      <c r="H3511" s="27">
        <f t="shared" si="2"/>
        <v>0.2631944444</v>
      </c>
      <c r="I3511" s="28">
        <v>2.0</v>
      </c>
      <c r="J3511" s="29" t="s">
        <v>1567</v>
      </c>
      <c r="K3511" s="30" t="s">
        <v>23</v>
      </c>
      <c r="L3511" s="31" t="str">
        <f>IFERROR(__xludf.DUMMYFUNCTION("IF(OR(E3511="""",K3511=""""),"""",IFERROR(IF(K3511="""","""",query('tbl user'!$A$2:$D10975,""SELECT A WHERE D = '""&amp;K3511&amp;""'"")),""USER TIDAK DIKETAHUI""))"),"#REF!")</f>
        <v>#REF!</v>
      </c>
    </row>
    <row r="3512">
      <c r="A3512" s="21">
        <f t="shared" si="1"/>
        <v>0</v>
      </c>
      <c r="B3512" s="32" t="s">
        <v>118</v>
      </c>
      <c r="C3512" s="23" t="s">
        <v>119</v>
      </c>
      <c r="D3512" s="23" t="s">
        <v>32</v>
      </c>
      <c r="E3512" s="24">
        <v>45448.0</v>
      </c>
      <c r="F3512" s="25">
        <v>0.225</v>
      </c>
      <c r="G3512" s="25">
        <v>0.4395833333333333</v>
      </c>
      <c r="H3512" s="27">
        <f t="shared" si="2"/>
        <v>0.2145833333</v>
      </c>
      <c r="I3512" s="28">
        <v>2.0</v>
      </c>
      <c r="J3512" s="29" t="s">
        <v>1568</v>
      </c>
      <c r="K3512" s="30" t="s">
        <v>23</v>
      </c>
      <c r="L3512" s="31" t="str">
        <f>IFERROR(__xludf.DUMMYFUNCTION("IF(OR(E3512="""",K3512=""""),"""",IFERROR(IF(K3512="""","""",query('tbl user'!$A$2:$D10975,""SELECT A WHERE D = '""&amp;K3512&amp;""'"")),""USER TIDAK DIKETAHUI""))"),"#REF!")</f>
        <v>#REF!</v>
      </c>
    </row>
    <row r="3513">
      <c r="A3513" s="21">
        <f t="shared" si="1"/>
        <v>0</v>
      </c>
      <c r="B3513" s="32" t="s">
        <v>30</v>
      </c>
      <c r="C3513" s="23" t="s">
        <v>31</v>
      </c>
      <c r="D3513" s="23" t="s">
        <v>32</v>
      </c>
      <c r="E3513" s="24">
        <v>45448.0</v>
      </c>
      <c r="F3513" s="25">
        <v>0.2902777777777778</v>
      </c>
      <c r="G3513" s="25">
        <v>0.7215277777777778</v>
      </c>
      <c r="H3513" s="27">
        <f t="shared" si="2"/>
        <v>0.43125</v>
      </c>
      <c r="I3513" s="28">
        <v>2.0</v>
      </c>
      <c r="J3513" s="29" t="s">
        <v>1569</v>
      </c>
      <c r="K3513" s="30" t="s">
        <v>23</v>
      </c>
      <c r="L3513" s="31" t="str">
        <f>IFERROR(__xludf.DUMMYFUNCTION("IF(OR(E3513="""",K3513=""""),"""",IFERROR(IF(K3513="""","""",query('tbl user'!$A$2:$D10975,""SELECT A WHERE D = '""&amp;K3513&amp;""'"")),""USER TIDAK DIKETAHUI""))"),"#REF!")</f>
        <v>#REF!</v>
      </c>
    </row>
    <row r="3514">
      <c r="A3514" s="21">
        <f t="shared" si="1"/>
        <v>0</v>
      </c>
      <c r="B3514" s="32" t="s">
        <v>139</v>
      </c>
      <c r="C3514" s="23" t="s">
        <v>96</v>
      </c>
      <c r="D3514" s="23" t="s">
        <v>32</v>
      </c>
      <c r="E3514" s="24">
        <v>45448.0</v>
      </c>
      <c r="F3514" s="25">
        <v>0.23125</v>
      </c>
      <c r="G3514" s="25">
        <v>0.47291666666666665</v>
      </c>
      <c r="H3514" s="27">
        <f t="shared" si="2"/>
        <v>0.2416666667</v>
      </c>
      <c r="I3514" s="28">
        <v>2.0</v>
      </c>
      <c r="J3514" s="29" t="s">
        <v>1570</v>
      </c>
      <c r="K3514" s="30" t="s">
        <v>23</v>
      </c>
      <c r="L3514" s="31" t="str">
        <f>IFERROR(__xludf.DUMMYFUNCTION("IF(OR(E3514="""",K3514=""""),"""",IFERROR(IF(K3514="""","""",query('tbl user'!$A$2:$D10975,""SELECT A WHERE D = '""&amp;K3514&amp;""'"")),""USER TIDAK DIKETAHUI""))"),"#REF!")</f>
        <v>#REF!</v>
      </c>
    </row>
    <row r="3515">
      <c r="A3515" s="21">
        <f t="shared" si="1"/>
        <v>0</v>
      </c>
      <c r="B3515" s="32" t="s">
        <v>277</v>
      </c>
      <c r="C3515" s="23" t="s">
        <v>278</v>
      </c>
      <c r="D3515" s="23" t="s">
        <v>32</v>
      </c>
      <c r="E3515" s="24">
        <v>45448.0</v>
      </c>
      <c r="F3515" s="25">
        <v>0.4534722222222222</v>
      </c>
      <c r="G3515" s="25">
        <v>0.7388888888888889</v>
      </c>
      <c r="H3515" s="27">
        <f t="shared" si="2"/>
        <v>0.2854166667</v>
      </c>
      <c r="I3515" s="28">
        <v>2.0</v>
      </c>
      <c r="J3515" s="29" t="s">
        <v>1571</v>
      </c>
      <c r="K3515" s="30" t="s">
        <v>23</v>
      </c>
      <c r="L3515" s="31" t="str">
        <f>IFERROR(__xludf.DUMMYFUNCTION("IF(OR(E3515="""",K3515=""""),"""",IFERROR(IF(K3515="""","""",query('tbl user'!$A$2:$D10975,""SELECT A WHERE D = '""&amp;K3515&amp;""'"")),""USER TIDAK DIKETAHUI""))"),"#REF!")</f>
        <v>#REF!</v>
      </c>
    </row>
    <row r="3516">
      <c r="A3516" s="21">
        <f t="shared" si="1"/>
        <v>0</v>
      </c>
      <c r="B3516" s="32" t="s">
        <v>151</v>
      </c>
      <c r="C3516" s="23" t="s">
        <v>152</v>
      </c>
      <c r="D3516" s="23" t="s">
        <v>32</v>
      </c>
      <c r="E3516" s="24">
        <v>45448.0</v>
      </c>
      <c r="F3516" s="25">
        <v>0.2611111111111111</v>
      </c>
      <c r="G3516" s="25">
        <v>0.48819444444444443</v>
      </c>
      <c r="H3516" s="27">
        <f t="shared" si="2"/>
        <v>0.2270833333</v>
      </c>
      <c r="I3516" s="28">
        <v>2.0</v>
      </c>
      <c r="J3516" s="29" t="s">
        <v>517</v>
      </c>
      <c r="K3516" s="30" t="s">
        <v>23</v>
      </c>
      <c r="L3516" s="31" t="str">
        <f>IFERROR(__xludf.DUMMYFUNCTION("IF(OR(E3516="""",K3516=""""),"""",IFERROR(IF(K3516="""","""",query('tbl user'!$A$2:$D10975,""SELECT A WHERE D = '""&amp;K3516&amp;""'"")),""USER TIDAK DIKETAHUI""))"),"#REF!")</f>
        <v>#REF!</v>
      </c>
    </row>
    <row r="3517">
      <c r="A3517" s="21">
        <f t="shared" si="1"/>
        <v>0</v>
      </c>
      <c r="B3517" s="32" t="s">
        <v>412</v>
      </c>
      <c r="C3517" s="23" t="s">
        <v>413</v>
      </c>
      <c r="D3517" s="23" t="s">
        <v>32</v>
      </c>
      <c r="E3517" s="24">
        <v>45448.0</v>
      </c>
      <c r="F3517" s="25">
        <v>0.2881944444444444</v>
      </c>
      <c r="G3517" s="25">
        <v>0.6729166666666667</v>
      </c>
      <c r="H3517" s="27">
        <f t="shared" si="2"/>
        <v>0.3847222222</v>
      </c>
      <c r="I3517" s="28">
        <v>3.0</v>
      </c>
      <c r="J3517" s="29" t="s">
        <v>1572</v>
      </c>
      <c r="K3517" s="30" t="s">
        <v>23</v>
      </c>
      <c r="L3517" s="31" t="str">
        <f>IFERROR(__xludf.DUMMYFUNCTION("IF(OR(E3517="""",K3517=""""),"""",IFERROR(IF(K3517="""","""",query('tbl user'!$A$2:$D10975,""SELECT A WHERE D = '""&amp;K3517&amp;""'"")),""USER TIDAK DIKETAHUI""))"),"#REF!")</f>
        <v>#REF!</v>
      </c>
    </row>
    <row r="3518">
      <c r="A3518" s="21">
        <f t="shared" si="1"/>
        <v>0</v>
      </c>
      <c r="B3518" s="32" t="s">
        <v>250</v>
      </c>
      <c r="C3518" s="23" t="s">
        <v>315</v>
      </c>
      <c r="D3518" s="23" t="s">
        <v>32</v>
      </c>
      <c r="E3518" s="24">
        <v>45448.0</v>
      </c>
      <c r="F3518" s="25">
        <v>0.24583333333333332</v>
      </c>
      <c r="G3518" s="25">
        <v>0.6354166666666666</v>
      </c>
      <c r="H3518" s="27">
        <f t="shared" si="2"/>
        <v>0.3895833333</v>
      </c>
      <c r="I3518" s="28">
        <v>3.0</v>
      </c>
      <c r="J3518" s="29" t="s">
        <v>1573</v>
      </c>
      <c r="K3518" s="30" t="s">
        <v>23</v>
      </c>
      <c r="L3518" s="31" t="str">
        <f>IFERROR(__xludf.DUMMYFUNCTION("IF(OR(E3518="""",K3518=""""),"""",IFERROR(IF(K3518="""","""",query('tbl user'!$A$2:$D10975,""SELECT A WHERE D = '""&amp;K3518&amp;""'"")),""USER TIDAK DIKETAHUI""))"),"#REF!")</f>
        <v>#REF!</v>
      </c>
    </row>
    <row r="3519">
      <c r="A3519" s="21">
        <f t="shared" si="1"/>
        <v>0</v>
      </c>
      <c r="B3519" s="32" t="s">
        <v>115</v>
      </c>
      <c r="C3519" s="23" t="s">
        <v>116</v>
      </c>
      <c r="D3519" s="23" t="s">
        <v>32</v>
      </c>
      <c r="E3519" s="24">
        <v>45448.0</v>
      </c>
      <c r="F3519" s="25">
        <v>0.2833333333333333</v>
      </c>
      <c r="G3519" s="25">
        <v>0.6701388888888888</v>
      </c>
      <c r="H3519" s="27">
        <f t="shared" si="2"/>
        <v>0.3868055556</v>
      </c>
      <c r="I3519" s="28">
        <v>3.0</v>
      </c>
      <c r="J3519" s="29" t="s">
        <v>1574</v>
      </c>
      <c r="K3519" s="30" t="s">
        <v>23</v>
      </c>
      <c r="L3519" s="31" t="str">
        <f>IFERROR(__xludf.DUMMYFUNCTION("IF(OR(E3519="""",K3519=""""),"""",IFERROR(IF(K3519="""","""",query('tbl user'!$A$2:$D10975,""SELECT A WHERE D = '""&amp;K3519&amp;""'"")),""USER TIDAK DIKETAHUI""))"),"#REF!")</f>
        <v>#REF!</v>
      </c>
    </row>
    <row r="3520">
      <c r="A3520" s="21">
        <f t="shared" si="1"/>
        <v>0</v>
      </c>
      <c r="B3520" s="32" t="s">
        <v>125</v>
      </c>
      <c r="C3520" s="23" t="s">
        <v>126</v>
      </c>
      <c r="D3520" s="23" t="s">
        <v>32</v>
      </c>
      <c r="E3520" s="24">
        <v>45448.0</v>
      </c>
      <c r="F3520" s="25">
        <v>0.29375</v>
      </c>
      <c r="G3520" s="25">
        <v>0.6708333333333333</v>
      </c>
      <c r="H3520" s="27">
        <f t="shared" si="2"/>
        <v>0.3770833333</v>
      </c>
      <c r="I3520" s="28">
        <v>3.0</v>
      </c>
      <c r="J3520" s="29" t="s">
        <v>1575</v>
      </c>
      <c r="K3520" s="30" t="s">
        <v>23</v>
      </c>
      <c r="L3520" s="31" t="str">
        <f>IFERROR(__xludf.DUMMYFUNCTION("IF(OR(E3520="""",K3520=""""),"""",IFERROR(IF(K3520="""","""",query('tbl user'!$A$2:$D10975,""SELECT A WHERE D = '""&amp;K3520&amp;""'"")),""USER TIDAK DIKETAHUI""))"),"#REF!")</f>
        <v>#REF!</v>
      </c>
    </row>
    <row r="3521">
      <c r="A3521" s="21">
        <f t="shared" si="1"/>
        <v>0</v>
      </c>
      <c r="B3521" s="32" t="s">
        <v>127</v>
      </c>
      <c r="C3521" s="23" t="s">
        <v>128</v>
      </c>
      <c r="D3521" s="23" t="s">
        <v>32</v>
      </c>
      <c r="E3521" s="24">
        <v>45448.0</v>
      </c>
      <c r="F3521" s="25">
        <v>0.26875</v>
      </c>
      <c r="G3521" s="25">
        <v>0.6034722222222222</v>
      </c>
      <c r="H3521" s="27">
        <f t="shared" si="2"/>
        <v>0.3347222222</v>
      </c>
      <c r="I3521" s="28">
        <v>3.0</v>
      </c>
      <c r="J3521" s="29" t="s">
        <v>1576</v>
      </c>
      <c r="K3521" s="30" t="s">
        <v>23</v>
      </c>
      <c r="L3521" s="31" t="str">
        <f>IFERROR(__xludf.DUMMYFUNCTION("IF(OR(E3521="""",K3521=""""),"""",IFERROR(IF(K3521="""","""",query('tbl user'!$A$2:$D10975,""SELECT A WHERE D = '""&amp;K3521&amp;""'"")),""USER TIDAK DIKETAHUI""))"),"#REF!")</f>
        <v>#REF!</v>
      </c>
    </row>
    <row r="3522">
      <c r="A3522" s="21">
        <f t="shared" si="1"/>
        <v>0</v>
      </c>
      <c r="B3522" s="32" t="s">
        <v>40</v>
      </c>
      <c r="C3522" s="23" t="s">
        <v>41</v>
      </c>
      <c r="D3522" s="23" t="s">
        <v>32</v>
      </c>
      <c r="E3522" s="24">
        <v>45448.0</v>
      </c>
      <c r="F3522" s="25">
        <v>0.2923611111111111</v>
      </c>
      <c r="G3522" s="25">
        <v>0.7201388888888889</v>
      </c>
      <c r="H3522" s="27">
        <f t="shared" si="2"/>
        <v>0.4277777778</v>
      </c>
      <c r="I3522" s="28">
        <v>3.0</v>
      </c>
      <c r="J3522" s="29" t="s">
        <v>1577</v>
      </c>
      <c r="K3522" s="30" t="s">
        <v>23</v>
      </c>
      <c r="L3522" s="31" t="str">
        <f>IFERROR(__xludf.DUMMYFUNCTION("IF(OR(E3522="""",K3522=""""),"""",IFERROR(IF(K3522="""","""",query('tbl user'!$A$2:$D10975,""SELECT A WHERE D = '""&amp;K3522&amp;""'"")),""USER TIDAK DIKETAHUI""))"),"#REF!")</f>
        <v>#REF!</v>
      </c>
    </row>
    <row r="3523">
      <c r="A3523" s="21">
        <f t="shared" si="1"/>
        <v>0</v>
      </c>
      <c r="B3523" s="32" t="s">
        <v>137</v>
      </c>
      <c r="C3523" s="23" t="s">
        <v>138</v>
      </c>
      <c r="D3523" s="23" t="s">
        <v>32</v>
      </c>
      <c r="E3523" s="24">
        <v>45448.0</v>
      </c>
      <c r="F3523" s="25">
        <v>0.2388888888888889</v>
      </c>
      <c r="G3523" s="25">
        <v>0.7284722222222222</v>
      </c>
      <c r="H3523" s="27">
        <f t="shared" si="2"/>
        <v>0.4895833333</v>
      </c>
      <c r="I3523" s="28">
        <v>3.0</v>
      </c>
      <c r="J3523" s="29" t="s">
        <v>100</v>
      </c>
      <c r="K3523" s="30" t="s">
        <v>23</v>
      </c>
      <c r="L3523" s="31" t="str">
        <f>IFERROR(__xludf.DUMMYFUNCTION("IF(OR(E3523="""",K3523=""""),"""",IFERROR(IF(K3523="""","""",query('tbl user'!$A$2:$D10975,""SELECT A WHERE D = '""&amp;K3523&amp;""'"")),""USER TIDAK DIKETAHUI""))"),"#REF!")</f>
        <v>#REF!</v>
      </c>
    </row>
    <row r="3524">
      <c r="A3524" s="21">
        <f t="shared" si="1"/>
        <v>0</v>
      </c>
      <c r="B3524" s="32" t="s">
        <v>149</v>
      </c>
      <c r="C3524" s="23" t="s">
        <v>150</v>
      </c>
      <c r="D3524" s="23" t="s">
        <v>32</v>
      </c>
      <c r="E3524" s="24">
        <v>45448.0</v>
      </c>
      <c r="F3524" s="25">
        <v>0.29097222222222224</v>
      </c>
      <c r="G3524" s="25">
        <v>0.7166666666666667</v>
      </c>
      <c r="H3524" s="27">
        <f t="shared" si="2"/>
        <v>0.4256944444</v>
      </c>
      <c r="I3524" s="28">
        <v>3.0</v>
      </c>
      <c r="J3524" s="29" t="s">
        <v>673</v>
      </c>
      <c r="K3524" s="30" t="s">
        <v>23</v>
      </c>
      <c r="L3524" s="31" t="str">
        <f>IFERROR(__xludf.DUMMYFUNCTION("IF(OR(E3524="""",K3524=""""),"""",IFERROR(IF(K3524="""","""",query('tbl user'!$A$2:$D10975,""SELECT A WHERE D = '""&amp;K3524&amp;""'"")),""USER TIDAK DIKETAHUI""))"),"#REF!")</f>
        <v>#REF!</v>
      </c>
    </row>
    <row r="3525">
      <c r="A3525" s="21">
        <f t="shared" si="1"/>
        <v>0</v>
      </c>
      <c r="B3525" s="32" t="s">
        <v>120</v>
      </c>
      <c r="C3525" s="23" t="s">
        <v>121</v>
      </c>
      <c r="D3525" s="23" t="s">
        <v>32</v>
      </c>
      <c r="E3525" s="24">
        <v>45448.0</v>
      </c>
      <c r="F3525" s="25">
        <v>0.26458333333333334</v>
      </c>
      <c r="G3525" s="25">
        <v>0.7326388888888888</v>
      </c>
      <c r="H3525" s="27">
        <f t="shared" si="2"/>
        <v>0.4680555556</v>
      </c>
      <c r="I3525" s="28">
        <v>4.0</v>
      </c>
      <c r="J3525" s="29" t="s">
        <v>55</v>
      </c>
      <c r="K3525" s="30" t="s">
        <v>23</v>
      </c>
      <c r="L3525" s="31" t="str">
        <f>IFERROR(__xludf.DUMMYFUNCTION("IF(OR(E3525="""",K3525=""""),"""",IFERROR(IF(K3525="""","""",query('tbl user'!$A$2:$D10975,""SELECT A WHERE D = '""&amp;K3525&amp;""'"")),""USER TIDAK DIKETAHUI""))"),"#REF!")</f>
        <v>#REF!</v>
      </c>
    </row>
    <row r="3526">
      <c r="A3526" s="21">
        <f t="shared" si="1"/>
        <v>0</v>
      </c>
      <c r="B3526" s="32" t="s">
        <v>263</v>
      </c>
      <c r="C3526" s="23" t="s">
        <v>264</v>
      </c>
      <c r="D3526" s="23" t="s">
        <v>32</v>
      </c>
      <c r="E3526" s="24">
        <v>45448.0</v>
      </c>
      <c r="F3526" s="25">
        <v>0.23055555555555557</v>
      </c>
      <c r="G3526" s="25">
        <v>0.6354166666666666</v>
      </c>
      <c r="H3526" s="27">
        <f t="shared" si="2"/>
        <v>0.4048611111</v>
      </c>
      <c r="I3526" s="28">
        <v>4.0</v>
      </c>
      <c r="J3526" s="29" t="s">
        <v>55</v>
      </c>
      <c r="K3526" s="30" t="s">
        <v>23</v>
      </c>
      <c r="L3526" s="31" t="str">
        <f>IFERROR(__xludf.DUMMYFUNCTION("IF(OR(E3526="""",K3526=""""),"""",IFERROR(IF(K3526="""","""",query('tbl user'!$A$2:$D10975,""SELECT A WHERE D = '""&amp;K3526&amp;""'"")),""USER TIDAK DIKETAHUI""))"),"#REF!")</f>
        <v>#REF!</v>
      </c>
    </row>
    <row r="3527">
      <c r="A3527" s="21">
        <f t="shared" si="1"/>
        <v>0</v>
      </c>
      <c r="B3527" s="32" t="s">
        <v>95</v>
      </c>
      <c r="C3527" s="23" t="s">
        <v>76</v>
      </c>
      <c r="D3527" s="23" t="s">
        <v>32</v>
      </c>
      <c r="E3527" s="24">
        <v>45448.0</v>
      </c>
      <c r="F3527" s="25">
        <v>0.2763888888888889</v>
      </c>
      <c r="G3527" s="25">
        <v>0.6701388888888888</v>
      </c>
      <c r="H3527" s="27">
        <f t="shared" si="2"/>
        <v>0.39375</v>
      </c>
      <c r="I3527" s="28">
        <v>4.0</v>
      </c>
      <c r="J3527" s="29" t="s">
        <v>55</v>
      </c>
      <c r="K3527" s="30" t="s">
        <v>23</v>
      </c>
      <c r="L3527" s="31" t="str">
        <f>IFERROR(__xludf.DUMMYFUNCTION("IF(OR(E3527="""",K3527=""""),"""",IFERROR(IF(K3527="""","""",query('tbl user'!$A$2:$D10975,""SELECT A WHERE D = '""&amp;K3527&amp;""'"")),""USER TIDAK DIKETAHUI""))"),"#REF!")</f>
        <v>#REF!</v>
      </c>
    </row>
    <row r="3528">
      <c r="A3528" s="21">
        <f t="shared" si="1"/>
        <v>0</v>
      </c>
      <c r="B3528" s="32" t="s">
        <v>123</v>
      </c>
      <c r="C3528" s="23" t="s">
        <v>124</v>
      </c>
      <c r="D3528" s="23" t="s">
        <v>32</v>
      </c>
      <c r="E3528" s="24">
        <v>45448.0</v>
      </c>
      <c r="F3528" s="25">
        <v>0.2534722222222222</v>
      </c>
      <c r="G3528" s="25">
        <v>0.6527777777777778</v>
      </c>
      <c r="H3528" s="27">
        <f t="shared" si="2"/>
        <v>0.3993055556</v>
      </c>
      <c r="I3528" s="28">
        <v>4.0</v>
      </c>
      <c r="J3528" s="29" t="s">
        <v>55</v>
      </c>
      <c r="K3528" s="30" t="s">
        <v>23</v>
      </c>
      <c r="L3528" s="31" t="str">
        <f>IFERROR(__xludf.DUMMYFUNCTION("IF(OR(E3528="""",K3528=""""),"""",IFERROR(IF(K3528="""","""",query('tbl user'!$A$2:$D10975,""SELECT A WHERE D = '""&amp;K3528&amp;""'"")),""USER TIDAK DIKETAHUI""))"),"#REF!")</f>
        <v>#REF!</v>
      </c>
    </row>
    <row r="3529">
      <c r="A3529" s="21">
        <f t="shared" si="1"/>
        <v>0</v>
      </c>
      <c r="B3529" s="32" t="s">
        <v>72</v>
      </c>
      <c r="C3529" s="23" t="s">
        <v>73</v>
      </c>
      <c r="D3529" s="23" t="s">
        <v>32</v>
      </c>
      <c r="E3529" s="24">
        <v>45448.0</v>
      </c>
      <c r="F3529" s="25">
        <v>0.20347222222222222</v>
      </c>
      <c r="G3529" s="25">
        <v>0.6944444444444444</v>
      </c>
      <c r="H3529" s="27">
        <f t="shared" si="2"/>
        <v>0.4909722222</v>
      </c>
      <c r="I3529" s="28">
        <v>4.0</v>
      </c>
      <c r="J3529" s="29" t="s">
        <v>55</v>
      </c>
      <c r="K3529" s="30" t="s">
        <v>23</v>
      </c>
      <c r="L3529" s="31" t="str">
        <f>IFERROR(__xludf.DUMMYFUNCTION("IF(OR(E3529="""",K3529=""""),"""",IFERROR(IF(K3529="""","""",query('tbl user'!$A$2:$D10975,""SELECT A WHERE D = '""&amp;K3529&amp;""'"")),""USER TIDAK DIKETAHUI""))"),"#REF!")</f>
        <v>#REF!</v>
      </c>
    </row>
    <row r="3530">
      <c r="A3530" s="21">
        <f t="shared" si="1"/>
        <v>0</v>
      </c>
      <c r="B3530" s="32" t="s">
        <v>133</v>
      </c>
      <c r="C3530" s="23" t="s">
        <v>134</v>
      </c>
      <c r="D3530" s="23" t="s">
        <v>32</v>
      </c>
      <c r="E3530" s="24">
        <v>45448.0</v>
      </c>
      <c r="F3530" s="25">
        <v>0.22847222222222222</v>
      </c>
      <c r="G3530" s="25">
        <v>0.6840277777777778</v>
      </c>
      <c r="H3530" s="27">
        <f t="shared" si="2"/>
        <v>0.4555555556</v>
      </c>
      <c r="I3530" s="28">
        <v>4.0</v>
      </c>
      <c r="J3530" s="29" t="s">
        <v>55</v>
      </c>
      <c r="K3530" s="30" t="s">
        <v>23</v>
      </c>
      <c r="L3530" s="31" t="str">
        <f>IFERROR(__xludf.DUMMYFUNCTION("IF(OR(E3530="""",K3530=""""),"""",IFERROR(IF(K3530="""","""",query('tbl user'!$A$2:$D10975,""SELECT A WHERE D = '""&amp;K3530&amp;""'"")),""USER TIDAK DIKETAHUI""))"),"#REF!")</f>
        <v>#REF!</v>
      </c>
    </row>
    <row r="3531">
      <c r="A3531" s="21">
        <f t="shared" si="1"/>
        <v>0</v>
      </c>
      <c r="B3531" s="32" t="s">
        <v>269</v>
      </c>
      <c r="C3531" s="23" t="s">
        <v>270</v>
      </c>
      <c r="D3531" s="23" t="s">
        <v>32</v>
      </c>
      <c r="E3531" s="24">
        <v>45448.0</v>
      </c>
      <c r="F3531" s="25">
        <v>0.24305555555555555</v>
      </c>
      <c r="G3531" s="25">
        <v>0.7194444444444444</v>
      </c>
      <c r="H3531" s="27">
        <f t="shared" si="2"/>
        <v>0.4763888889</v>
      </c>
      <c r="I3531" s="28">
        <v>4.0</v>
      </c>
      <c r="J3531" s="29" t="s">
        <v>55</v>
      </c>
      <c r="K3531" s="30" t="s">
        <v>23</v>
      </c>
      <c r="L3531" s="31" t="str">
        <f>IFERROR(__xludf.DUMMYFUNCTION("IF(OR(E3531="""",K3531=""""),"""",IFERROR(IF(K3531="""","""",query('tbl user'!$A$2:$D10975,""SELECT A WHERE D = '""&amp;K3531&amp;""'"")),""USER TIDAK DIKETAHUI""))"),"#REF!")</f>
        <v>#REF!</v>
      </c>
    </row>
    <row r="3532">
      <c r="A3532" s="21">
        <f t="shared" si="1"/>
        <v>0</v>
      </c>
      <c r="B3532" s="32" t="s">
        <v>279</v>
      </c>
      <c r="C3532" s="23" t="s">
        <v>280</v>
      </c>
      <c r="D3532" s="23" t="s">
        <v>32</v>
      </c>
      <c r="E3532" s="24">
        <v>45448.0</v>
      </c>
      <c r="F3532" s="25">
        <v>0.26180555555555557</v>
      </c>
      <c r="G3532" s="25">
        <v>0.6618055555555555</v>
      </c>
      <c r="H3532" s="27">
        <f t="shared" si="2"/>
        <v>0.4</v>
      </c>
      <c r="I3532" s="28">
        <v>4.0</v>
      </c>
      <c r="J3532" s="29" t="s">
        <v>55</v>
      </c>
      <c r="K3532" s="30" t="s">
        <v>23</v>
      </c>
      <c r="L3532" s="31" t="str">
        <f>IFERROR(__xludf.DUMMYFUNCTION("IF(OR(E3532="""",K3532=""""),"""",IFERROR(IF(K3532="""","""",query('tbl user'!$A$2:$D10975,""SELECT A WHERE D = '""&amp;K3532&amp;""'"")),""USER TIDAK DIKETAHUI""))"),"#REF!")</f>
        <v>#REF!</v>
      </c>
    </row>
    <row r="3533">
      <c r="A3533" s="21">
        <f t="shared" si="1"/>
        <v>0</v>
      </c>
      <c r="B3533" s="32" t="s">
        <v>141</v>
      </c>
      <c r="C3533" s="23" t="s">
        <v>142</v>
      </c>
      <c r="D3533" s="23" t="s">
        <v>32</v>
      </c>
      <c r="E3533" s="24">
        <v>45448.0</v>
      </c>
      <c r="F3533" s="25">
        <v>0.2743055555555556</v>
      </c>
      <c r="G3533" s="25">
        <v>0.6694444444444444</v>
      </c>
      <c r="H3533" s="27">
        <f t="shared" si="2"/>
        <v>0.3951388889</v>
      </c>
      <c r="I3533" s="28">
        <v>4.0</v>
      </c>
      <c r="J3533" s="29" t="s">
        <v>55</v>
      </c>
      <c r="K3533" s="30" t="s">
        <v>23</v>
      </c>
      <c r="L3533" s="31" t="str">
        <f>IFERROR(__xludf.DUMMYFUNCTION("IF(OR(E3533="""",K3533=""""),"""",IFERROR(IF(K3533="""","""",query('tbl user'!$A$2:$D10975,""SELECT A WHERE D = '""&amp;K3533&amp;""'"")),""USER TIDAK DIKETAHUI""))"),"#REF!")</f>
        <v>#REF!</v>
      </c>
    </row>
    <row r="3534">
      <c r="A3534" s="21">
        <f t="shared" si="1"/>
        <v>0</v>
      </c>
      <c r="B3534" s="32" t="s">
        <v>67</v>
      </c>
      <c r="C3534" s="23" t="s">
        <v>68</v>
      </c>
      <c r="D3534" s="23" t="s">
        <v>58</v>
      </c>
      <c r="E3534" s="24">
        <v>45449.0</v>
      </c>
      <c r="F3534" s="25">
        <v>0.2652777777777778</v>
      </c>
      <c r="G3534" s="25">
        <v>0.7347222222222223</v>
      </c>
      <c r="H3534" s="27">
        <f t="shared" si="2"/>
        <v>0.4694444444</v>
      </c>
      <c r="I3534" s="28">
        <v>4.0</v>
      </c>
      <c r="J3534" s="29" t="s">
        <v>55</v>
      </c>
      <c r="K3534" s="30" t="s">
        <v>23</v>
      </c>
      <c r="L3534" s="31" t="str">
        <f>IFERROR(__xludf.DUMMYFUNCTION("IF(OR(E3534="""",K3534=""""),"""",IFERROR(IF(K3534="""","""",query('tbl user'!$A$2:$D10975,""SELECT A WHERE D = '""&amp;K3534&amp;""'"")),""USER TIDAK DIKETAHUI""))"),"#REF!")</f>
        <v>#REF!</v>
      </c>
    </row>
    <row r="3535">
      <c r="A3535" s="21">
        <f t="shared" si="1"/>
        <v>0</v>
      </c>
      <c r="B3535" s="32" t="s">
        <v>153</v>
      </c>
      <c r="C3535" s="23" t="s">
        <v>154</v>
      </c>
      <c r="D3535" s="23" t="s">
        <v>58</v>
      </c>
      <c r="E3535" s="24">
        <v>45449.0</v>
      </c>
      <c r="F3535" s="25">
        <v>0.38472222222222224</v>
      </c>
      <c r="G3535" s="25">
        <v>0.5951388888888889</v>
      </c>
      <c r="H3535" s="27">
        <f t="shared" si="2"/>
        <v>0.2104166667</v>
      </c>
      <c r="I3535" s="28">
        <v>1.0</v>
      </c>
      <c r="J3535" s="29" t="s">
        <v>1578</v>
      </c>
      <c r="K3535" s="30" t="s">
        <v>23</v>
      </c>
      <c r="L3535" s="31" t="str">
        <f>IFERROR(__xludf.DUMMYFUNCTION("IF(OR(E3535="""",K3535=""""),"""",IFERROR(IF(K3535="""","""",query('tbl user'!$A$2:$D10975,""SELECT A WHERE D = '""&amp;K3535&amp;""'"")),""USER TIDAK DIKETAHUI""))"),"#REF!")</f>
        <v>#REF!</v>
      </c>
    </row>
    <row r="3536">
      <c r="A3536" s="21">
        <f t="shared" si="1"/>
        <v>0</v>
      </c>
      <c r="B3536" s="32" t="s">
        <v>156</v>
      </c>
      <c r="C3536" s="23" t="s">
        <v>157</v>
      </c>
      <c r="D3536" s="23" t="s">
        <v>58</v>
      </c>
      <c r="E3536" s="24">
        <v>45449.0</v>
      </c>
      <c r="F3536" s="25">
        <v>0.38125</v>
      </c>
      <c r="G3536" s="25">
        <v>0.5034722222222222</v>
      </c>
      <c r="H3536" s="27">
        <f t="shared" si="2"/>
        <v>0.1222222222</v>
      </c>
      <c r="I3536" s="28">
        <v>1.0</v>
      </c>
      <c r="J3536" s="29" t="s">
        <v>158</v>
      </c>
      <c r="K3536" s="30" t="s">
        <v>23</v>
      </c>
      <c r="L3536" s="31" t="str">
        <f>IFERROR(__xludf.DUMMYFUNCTION("IF(OR(E3536="""",K3536=""""),"""",IFERROR(IF(K3536="""","""",query('tbl user'!$A$2:$D10975,""SELECT A WHERE D = '""&amp;K3536&amp;""'"")),""USER TIDAK DIKETAHUI""))"),"#REF!")</f>
        <v>#REF!</v>
      </c>
    </row>
    <row r="3537">
      <c r="A3537" s="21">
        <f t="shared" si="1"/>
        <v>0</v>
      </c>
      <c r="B3537" s="32" t="s">
        <v>159</v>
      </c>
      <c r="C3537" s="23" t="s">
        <v>160</v>
      </c>
      <c r="D3537" s="23" t="s">
        <v>58</v>
      </c>
      <c r="E3537" s="24">
        <v>45449.0</v>
      </c>
      <c r="F3537" s="25">
        <v>0.29097222222222224</v>
      </c>
      <c r="G3537" s="25">
        <v>0.5902777777777778</v>
      </c>
      <c r="H3537" s="27">
        <f t="shared" si="2"/>
        <v>0.2993055556</v>
      </c>
      <c r="I3537" s="28">
        <v>2.0</v>
      </c>
      <c r="J3537" s="29" t="s">
        <v>1579</v>
      </c>
      <c r="K3537" s="30" t="s">
        <v>23</v>
      </c>
      <c r="L3537" s="31" t="str">
        <f>IFERROR(__xludf.DUMMYFUNCTION("IF(OR(E3537="""",K3537=""""),"""",IFERROR(IF(K3537="""","""",query('tbl user'!$A$2:$D10975,""SELECT A WHERE D = '""&amp;K3537&amp;""'"")),""USER TIDAK DIKETAHUI""))"),"#REF!")</f>
        <v>#REF!</v>
      </c>
    </row>
    <row r="3538">
      <c r="A3538" s="21">
        <f t="shared" si="1"/>
        <v>0</v>
      </c>
      <c r="B3538" s="32" t="s">
        <v>162</v>
      </c>
      <c r="C3538" s="23" t="s">
        <v>163</v>
      </c>
      <c r="D3538" s="23" t="s">
        <v>58</v>
      </c>
      <c r="E3538" s="24">
        <v>45449.0</v>
      </c>
      <c r="F3538" s="25">
        <v>0.2951388888888889</v>
      </c>
      <c r="G3538" s="25">
        <v>0.4777777777777778</v>
      </c>
      <c r="H3538" s="27">
        <f t="shared" si="2"/>
        <v>0.1826388889</v>
      </c>
      <c r="I3538" s="28">
        <v>1.0</v>
      </c>
      <c r="J3538" s="29" t="s">
        <v>1580</v>
      </c>
      <c r="K3538" s="30" t="s">
        <v>23</v>
      </c>
      <c r="L3538" s="31" t="str">
        <f>IFERROR(__xludf.DUMMYFUNCTION("IF(OR(E3538="""",K3538=""""),"""",IFERROR(IF(K3538="""","""",query('tbl user'!$A$2:$D10975,""SELECT A WHERE D = '""&amp;K3538&amp;""'"")),""USER TIDAK DIKETAHUI""))"),"#REF!")</f>
        <v>#REF!</v>
      </c>
    </row>
    <row r="3539">
      <c r="A3539" s="21">
        <f t="shared" si="1"/>
        <v>0</v>
      </c>
      <c r="B3539" s="32" t="s">
        <v>81</v>
      </c>
      <c r="C3539" s="23" t="s">
        <v>165</v>
      </c>
      <c r="D3539" s="23" t="s">
        <v>58</v>
      </c>
      <c r="E3539" s="24">
        <v>45449.0</v>
      </c>
      <c r="F3539" s="25">
        <v>0.2916666666666667</v>
      </c>
      <c r="G3539" s="25">
        <v>0.5972222222222222</v>
      </c>
      <c r="H3539" s="27">
        <f t="shared" si="2"/>
        <v>0.3055555556</v>
      </c>
      <c r="I3539" s="28">
        <v>2.0</v>
      </c>
      <c r="J3539" s="29" t="s">
        <v>166</v>
      </c>
      <c r="K3539" s="30" t="s">
        <v>23</v>
      </c>
      <c r="L3539" s="31" t="str">
        <f>IFERROR(__xludf.DUMMYFUNCTION("IF(OR(E3539="""",K3539=""""),"""",IFERROR(IF(K3539="""","""",query('tbl user'!$A$2:$D10975,""SELECT A WHERE D = '""&amp;K3539&amp;""'"")),""USER TIDAK DIKETAHUI""))"),"#REF!")</f>
        <v>#REF!</v>
      </c>
    </row>
    <row r="3540">
      <c r="A3540" s="21">
        <f t="shared" si="1"/>
        <v>0</v>
      </c>
      <c r="B3540" s="32" t="s">
        <v>167</v>
      </c>
      <c r="C3540" s="23" t="s">
        <v>168</v>
      </c>
      <c r="D3540" s="23" t="s">
        <v>58</v>
      </c>
      <c r="E3540" s="24">
        <v>45449.0</v>
      </c>
      <c r="F3540" s="25">
        <v>0.28541666666666665</v>
      </c>
      <c r="G3540" s="25">
        <v>0.7340277777777777</v>
      </c>
      <c r="H3540" s="27">
        <f t="shared" si="2"/>
        <v>0.4486111111</v>
      </c>
      <c r="I3540" s="28">
        <v>2.0</v>
      </c>
      <c r="J3540" s="29" t="s">
        <v>169</v>
      </c>
      <c r="K3540" s="30" t="s">
        <v>23</v>
      </c>
      <c r="L3540" s="31" t="str">
        <f>IFERROR(__xludf.DUMMYFUNCTION("IF(OR(E3540="""",K3540=""""),"""",IFERROR(IF(K3540="""","""",query('tbl user'!$A$2:$D10975,""SELECT A WHERE D = '""&amp;K3540&amp;""'"")),""USER TIDAK DIKETAHUI""))"),"#REF!")</f>
        <v>#REF!</v>
      </c>
    </row>
    <row r="3541">
      <c r="A3541" s="21">
        <f t="shared" si="1"/>
        <v>0</v>
      </c>
      <c r="B3541" s="32" t="s">
        <v>98</v>
      </c>
      <c r="C3541" s="23" t="s">
        <v>170</v>
      </c>
      <c r="D3541" s="23" t="s">
        <v>58</v>
      </c>
      <c r="E3541" s="24">
        <v>45449.0</v>
      </c>
      <c r="F3541" s="25">
        <v>0.2965277777777778</v>
      </c>
      <c r="G3541" s="25">
        <v>0.6881944444444444</v>
      </c>
      <c r="H3541" s="27">
        <f t="shared" si="2"/>
        <v>0.3916666667</v>
      </c>
      <c r="I3541" s="28">
        <v>3.0</v>
      </c>
      <c r="J3541" s="29" t="s">
        <v>171</v>
      </c>
      <c r="K3541" s="30" t="s">
        <v>23</v>
      </c>
      <c r="L3541" s="31" t="str">
        <f>IFERROR(__xludf.DUMMYFUNCTION("IF(OR(E3541="""",K3541=""""),"""",IFERROR(IF(K3541="""","""",query('tbl user'!$A$2:$D10975,""SELECT A WHERE D = '""&amp;K3541&amp;""'"")),""USER TIDAK DIKETAHUI""))"),"#REF!")</f>
        <v>#REF!</v>
      </c>
    </row>
    <row r="3542">
      <c r="A3542" s="21">
        <f t="shared" si="1"/>
        <v>0</v>
      </c>
      <c r="B3542" s="32" t="s">
        <v>92</v>
      </c>
      <c r="C3542" s="23" t="s">
        <v>93</v>
      </c>
      <c r="D3542" s="23" t="s">
        <v>58</v>
      </c>
      <c r="E3542" s="24">
        <v>45449.0</v>
      </c>
      <c r="F3542" s="25">
        <v>0.2673611111111111</v>
      </c>
      <c r="G3542" s="25">
        <v>0.6479166666666667</v>
      </c>
      <c r="H3542" s="27">
        <f t="shared" si="2"/>
        <v>0.3805555556</v>
      </c>
      <c r="I3542" s="28">
        <v>3.0</v>
      </c>
      <c r="J3542" s="29" t="s">
        <v>171</v>
      </c>
      <c r="K3542" s="30" t="s">
        <v>23</v>
      </c>
      <c r="L3542" s="31" t="str">
        <f>IFERROR(__xludf.DUMMYFUNCTION("IF(OR(E3542="""",K3542=""""),"""",IFERROR(IF(K3542="""","""",query('tbl user'!$A$2:$D10975,""SELECT A WHERE D = '""&amp;K3542&amp;""'"")),""USER TIDAK DIKETAHUI""))"),"#REF!")</f>
        <v>#REF!</v>
      </c>
    </row>
    <row r="3543">
      <c r="A3543" s="21">
        <f t="shared" si="1"/>
        <v>0</v>
      </c>
      <c r="B3543" s="32" t="s">
        <v>172</v>
      </c>
      <c r="C3543" s="23" t="s">
        <v>173</v>
      </c>
      <c r="D3543" s="23" t="s">
        <v>58</v>
      </c>
      <c r="E3543" s="24">
        <v>45449.0</v>
      </c>
      <c r="F3543" s="25">
        <v>0.20555555555555555</v>
      </c>
      <c r="G3543" s="25">
        <v>0.5791666666666667</v>
      </c>
      <c r="H3543" s="27">
        <f t="shared" si="2"/>
        <v>0.3736111111</v>
      </c>
      <c r="I3543" s="28">
        <v>2.0</v>
      </c>
      <c r="J3543" s="29" t="s">
        <v>174</v>
      </c>
      <c r="K3543" s="30" t="s">
        <v>23</v>
      </c>
      <c r="L3543" s="31" t="str">
        <f>IFERROR(__xludf.DUMMYFUNCTION("IF(OR(E3543="""",K3543=""""),"""",IFERROR(IF(K3543="""","""",query('tbl user'!$A$2:$D10975,""SELECT A WHERE D = '""&amp;K3543&amp;""'"")),""USER TIDAK DIKETAHUI""))"),"#REF!")</f>
        <v>#REF!</v>
      </c>
    </row>
    <row r="3544">
      <c r="A3544" s="21">
        <f t="shared" si="1"/>
        <v>0</v>
      </c>
      <c r="B3544" s="32" t="s">
        <v>175</v>
      </c>
      <c r="C3544" s="23" t="s">
        <v>176</v>
      </c>
      <c r="D3544" s="23" t="s">
        <v>58</v>
      </c>
      <c r="E3544" s="24">
        <v>45449.0</v>
      </c>
      <c r="F3544" s="25">
        <v>0.23402777777777778</v>
      </c>
      <c r="G3544" s="25">
        <v>0.5909722222222222</v>
      </c>
      <c r="H3544" s="27">
        <f t="shared" si="2"/>
        <v>0.3569444444</v>
      </c>
      <c r="I3544" s="28">
        <v>2.0</v>
      </c>
      <c r="J3544" s="29" t="s">
        <v>177</v>
      </c>
      <c r="K3544" s="30" t="s">
        <v>23</v>
      </c>
      <c r="L3544" s="31" t="str">
        <f>IFERROR(__xludf.DUMMYFUNCTION("IF(OR(E3544="""",K3544=""""),"""",IFERROR(IF(K3544="""","""",query('tbl user'!$A$2:$D10975,""SELECT A WHERE D = '""&amp;K3544&amp;""'"")),""USER TIDAK DIKETAHUI""))"),"#REF!")</f>
        <v>#REF!</v>
      </c>
    </row>
    <row r="3545">
      <c r="A3545" s="21">
        <f t="shared" si="1"/>
        <v>0</v>
      </c>
      <c r="B3545" s="32" t="s">
        <v>178</v>
      </c>
      <c r="C3545" s="23" t="s">
        <v>82</v>
      </c>
      <c r="D3545" s="23" t="s">
        <v>58</v>
      </c>
      <c r="E3545" s="24">
        <v>45449.0</v>
      </c>
      <c r="F3545" s="25">
        <v>0.28125</v>
      </c>
      <c r="G3545" s="25">
        <v>0.5951388888888889</v>
      </c>
      <c r="H3545" s="27">
        <f t="shared" si="2"/>
        <v>0.3138888889</v>
      </c>
      <c r="I3545" s="28">
        <v>2.0</v>
      </c>
      <c r="J3545" s="29" t="s">
        <v>1581</v>
      </c>
      <c r="K3545" s="30" t="s">
        <v>23</v>
      </c>
      <c r="L3545" s="31" t="str">
        <f>IFERROR(__xludf.DUMMYFUNCTION("IF(OR(E3545="""",K3545=""""),"""",IFERROR(IF(K3545="""","""",query('tbl user'!$A$2:$D10975,""SELECT A WHERE D = '""&amp;K3545&amp;""'"")),""USER TIDAK DIKETAHUI""))"),"#REF!")</f>
        <v>#REF!</v>
      </c>
    </row>
    <row r="3546">
      <c r="A3546" s="21">
        <f t="shared" si="1"/>
        <v>0</v>
      </c>
      <c r="B3546" s="32" t="s">
        <v>180</v>
      </c>
      <c r="C3546" s="23" t="s">
        <v>181</v>
      </c>
      <c r="D3546" s="23" t="s">
        <v>58</v>
      </c>
      <c r="E3546" s="24">
        <v>45449.0</v>
      </c>
      <c r="F3546" s="25">
        <v>0.21875</v>
      </c>
      <c r="G3546" s="25">
        <v>0.6763888888888889</v>
      </c>
      <c r="H3546" s="27">
        <f t="shared" si="2"/>
        <v>0.4576388889</v>
      </c>
      <c r="I3546" s="28">
        <v>4.0</v>
      </c>
      <c r="J3546" s="29" t="s">
        <v>55</v>
      </c>
      <c r="K3546" s="30" t="s">
        <v>23</v>
      </c>
      <c r="L3546" s="31" t="str">
        <f>IFERROR(__xludf.DUMMYFUNCTION("IF(OR(E3546="""",K3546=""""),"""",IFERROR(IF(K3546="""","""",query('tbl user'!$A$2:$D10975,""SELECT A WHERE D = '""&amp;K3546&amp;""'"")),""USER TIDAK DIKETAHUI""))"),"#REF!")</f>
        <v>#REF!</v>
      </c>
    </row>
    <row r="3547">
      <c r="A3547" s="21">
        <f t="shared" si="1"/>
        <v>0</v>
      </c>
      <c r="B3547" s="32" t="s">
        <v>182</v>
      </c>
      <c r="C3547" s="23" t="s">
        <v>183</v>
      </c>
      <c r="D3547" s="23" t="s">
        <v>58</v>
      </c>
      <c r="E3547" s="24">
        <v>45449.0</v>
      </c>
      <c r="F3547" s="25">
        <v>0.26805555555555555</v>
      </c>
      <c r="G3547" s="25">
        <v>0.7319444444444444</v>
      </c>
      <c r="H3547" s="27">
        <f t="shared" si="2"/>
        <v>0.4638888889</v>
      </c>
      <c r="I3547" s="28">
        <v>4.0</v>
      </c>
      <c r="J3547" s="29" t="s">
        <v>55</v>
      </c>
      <c r="K3547" s="30" t="s">
        <v>23</v>
      </c>
      <c r="L3547" s="31" t="str">
        <f>IFERROR(__xludf.DUMMYFUNCTION("IF(OR(E3547="""",K3547=""""),"""",IFERROR(IF(K3547="""","""",query('tbl user'!$A$2:$D10975,""SELECT A WHERE D = '""&amp;K3547&amp;""'"")),""USER TIDAK DIKETAHUI""))"),"#REF!")</f>
        <v>#REF!</v>
      </c>
    </row>
    <row r="3548">
      <c r="A3548" s="21">
        <f t="shared" si="1"/>
        <v>0</v>
      </c>
      <c r="B3548" s="32" t="s">
        <v>184</v>
      </c>
      <c r="C3548" s="23" t="s">
        <v>185</v>
      </c>
      <c r="D3548" s="23" t="s">
        <v>58</v>
      </c>
      <c r="E3548" s="24">
        <v>45449.0</v>
      </c>
      <c r="F3548" s="25">
        <v>0.2881944444444444</v>
      </c>
      <c r="G3548" s="25">
        <v>0.6555555555555556</v>
      </c>
      <c r="H3548" s="27">
        <f t="shared" si="2"/>
        <v>0.3673611111</v>
      </c>
      <c r="I3548" s="28">
        <v>3.0</v>
      </c>
      <c r="J3548" s="29" t="s">
        <v>186</v>
      </c>
      <c r="K3548" s="30" t="s">
        <v>23</v>
      </c>
      <c r="L3548" s="31" t="str">
        <f>IFERROR(__xludf.DUMMYFUNCTION("IF(OR(E3548="""",K3548=""""),"""",IFERROR(IF(K3548="""","""",query('tbl user'!$A$2:$D10975,""SELECT A WHERE D = '""&amp;K3548&amp;""'"")),""USER TIDAK DIKETAHUI""))"),"#REF!")</f>
        <v>#REF!</v>
      </c>
    </row>
    <row r="3549">
      <c r="A3549" s="21">
        <f t="shared" si="1"/>
        <v>0</v>
      </c>
      <c r="B3549" s="32" t="s">
        <v>187</v>
      </c>
      <c r="C3549" s="23" t="s">
        <v>188</v>
      </c>
      <c r="D3549" s="23" t="s">
        <v>58</v>
      </c>
      <c r="E3549" s="24">
        <v>45449.0</v>
      </c>
      <c r="F3549" s="25">
        <v>0.2361111111111111</v>
      </c>
      <c r="G3549" s="25">
        <v>0.6986111111111111</v>
      </c>
      <c r="H3549" s="27">
        <f t="shared" si="2"/>
        <v>0.4625</v>
      </c>
      <c r="I3549" s="28">
        <v>4.0</v>
      </c>
      <c r="J3549" s="29" t="s">
        <v>55</v>
      </c>
      <c r="K3549" s="30" t="s">
        <v>23</v>
      </c>
      <c r="L3549" s="31" t="str">
        <f>IFERROR(__xludf.DUMMYFUNCTION("IF(OR(E3549="""",K3549=""""),"""",IFERROR(IF(K3549="""","""",query('tbl user'!$A$2:$D10975,""SELECT A WHERE D = '""&amp;K3549&amp;""'"")),""USER TIDAK DIKETAHUI""))"),"#REF!")</f>
        <v>#REF!</v>
      </c>
    </row>
    <row r="3550">
      <c r="A3550" s="21">
        <f t="shared" si="1"/>
        <v>0</v>
      </c>
      <c r="B3550" s="32" t="s">
        <v>189</v>
      </c>
      <c r="C3550" s="23" t="s">
        <v>190</v>
      </c>
      <c r="D3550" s="23" t="s">
        <v>58</v>
      </c>
      <c r="E3550" s="24">
        <v>45449.0</v>
      </c>
      <c r="F3550" s="25">
        <v>0.25416666666666665</v>
      </c>
      <c r="G3550" s="25">
        <v>0.7208333333333333</v>
      </c>
      <c r="H3550" s="27">
        <f t="shared" si="2"/>
        <v>0.4666666667</v>
      </c>
      <c r="I3550" s="28">
        <v>4.0</v>
      </c>
      <c r="J3550" s="29" t="s">
        <v>55</v>
      </c>
      <c r="K3550" s="30" t="s">
        <v>23</v>
      </c>
      <c r="L3550" s="31" t="str">
        <f>IFERROR(__xludf.DUMMYFUNCTION("IF(OR(E3550="""",K3550=""""),"""",IFERROR(IF(K3550="""","""",query('tbl user'!$A$2:$D10975,""SELECT A WHERE D = '""&amp;K3550&amp;""'"")),""USER TIDAK DIKETAHUI""))"),"#REF!")</f>
        <v>#REF!</v>
      </c>
    </row>
    <row r="3551">
      <c r="A3551" s="21">
        <f t="shared" si="1"/>
        <v>0</v>
      </c>
      <c r="B3551" s="32" t="s">
        <v>191</v>
      </c>
      <c r="C3551" s="23" t="s">
        <v>192</v>
      </c>
      <c r="D3551" s="23" t="s">
        <v>58</v>
      </c>
      <c r="E3551" s="24">
        <v>45449.0</v>
      </c>
      <c r="F3551" s="25">
        <v>0.2673611111111111</v>
      </c>
      <c r="G3551" s="25">
        <v>0.5104166666666666</v>
      </c>
      <c r="H3551" s="27">
        <f t="shared" si="2"/>
        <v>0.2430555556</v>
      </c>
      <c r="I3551" s="28">
        <v>2.0</v>
      </c>
      <c r="J3551" s="29" t="s">
        <v>1582</v>
      </c>
      <c r="K3551" s="30" t="s">
        <v>23</v>
      </c>
      <c r="L3551" s="31" t="str">
        <f>IFERROR(__xludf.DUMMYFUNCTION("IF(OR(E3551="""",K3551=""""),"""",IFERROR(IF(K3551="""","""",query('tbl user'!$A$2:$D10975,""SELECT A WHERE D = '""&amp;K3551&amp;""'"")),""USER TIDAK DIKETAHUI""))"),"#REF!")</f>
        <v>#REF!</v>
      </c>
    </row>
    <row r="3552">
      <c r="A3552" s="21">
        <f t="shared" si="1"/>
        <v>0</v>
      </c>
      <c r="B3552" s="32" t="s">
        <v>194</v>
      </c>
      <c r="C3552" s="23" t="s">
        <v>195</v>
      </c>
      <c r="D3552" s="23" t="s">
        <v>58</v>
      </c>
      <c r="E3552" s="24">
        <v>45449.0</v>
      </c>
      <c r="F3552" s="25">
        <v>0.21944444444444444</v>
      </c>
      <c r="G3552" s="25">
        <v>0.4638888888888889</v>
      </c>
      <c r="H3552" s="27">
        <f t="shared" si="2"/>
        <v>0.2444444444</v>
      </c>
      <c r="I3552" s="28">
        <v>2.0</v>
      </c>
      <c r="J3552" s="29" t="s">
        <v>1583</v>
      </c>
      <c r="K3552" s="30" t="s">
        <v>23</v>
      </c>
      <c r="L3552" s="31" t="str">
        <f>IFERROR(__xludf.DUMMYFUNCTION("IF(OR(E3552="""",K3552=""""),"""",IFERROR(IF(K3552="""","""",query('tbl user'!$A$2:$D10975,""SELECT A WHERE D = '""&amp;K3552&amp;""'"")),""USER TIDAK DIKETAHUI""))"),"#REF!")</f>
        <v>#REF!</v>
      </c>
    </row>
    <row r="3553">
      <c r="A3553" s="21">
        <f t="shared" si="1"/>
        <v>0</v>
      </c>
      <c r="B3553" s="32" t="s">
        <v>197</v>
      </c>
      <c r="C3553" s="23" t="s">
        <v>198</v>
      </c>
      <c r="D3553" s="23" t="s">
        <v>58</v>
      </c>
      <c r="E3553" s="24">
        <v>45449.0</v>
      </c>
      <c r="F3553" s="25">
        <v>0.2013888888888889</v>
      </c>
      <c r="G3553" s="25">
        <v>0.5777777777777777</v>
      </c>
      <c r="H3553" s="27">
        <f t="shared" si="2"/>
        <v>0.3763888889</v>
      </c>
      <c r="I3553" s="28">
        <v>3.0</v>
      </c>
      <c r="J3553" s="29" t="s">
        <v>1584</v>
      </c>
      <c r="K3553" s="30" t="s">
        <v>23</v>
      </c>
      <c r="L3553" s="31" t="str">
        <f>IFERROR(__xludf.DUMMYFUNCTION("IF(OR(E3553="""",K3553=""""),"""",IFERROR(IF(K3553="""","""",query('tbl user'!$A$2:$D10975,""SELECT A WHERE D = '""&amp;K3553&amp;""'"")),""USER TIDAK DIKETAHUI""))"),"#REF!")</f>
        <v>#REF!</v>
      </c>
    </row>
    <row r="3554">
      <c r="A3554" s="21">
        <f t="shared" si="1"/>
        <v>0</v>
      </c>
      <c r="B3554" s="32" t="s">
        <v>200</v>
      </c>
      <c r="C3554" s="23" t="s">
        <v>201</v>
      </c>
      <c r="D3554" s="23" t="s">
        <v>58</v>
      </c>
      <c r="E3554" s="24">
        <v>45449.0</v>
      </c>
      <c r="F3554" s="25">
        <v>0.2</v>
      </c>
      <c r="G3554" s="25">
        <v>0.6826388888888889</v>
      </c>
      <c r="H3554" s="27">
        <f t="shared" si="2"/>
        <v>0.4826388889</v>
      </c>
      <c r="I3554" s="28">
        <v>3.0</v>
      </c>
      <c r="J3554" s="29" t="s">
        <v>171</v>
      </c>
      <c r="K3554" s="30" t="s">
        <v>23</v>
      </c>
      <c r="L3554" s="31" t="str">
        <f>IFERROR(__xludf.DUMMYFUNCTION("IF(OR(E3554="""",K3554=""""),"""",IFERROR(IF(K3554="""","""",query('tbl user'!$A$2:$D10975,""SELECT A WHERE D = '""&amp;K3554&amp;""'"")),""USER TIDAK DIKETAHUI""))"),"#REF!")</f>
        <v>#REF!</v>
      </c>
    </row>
    <row r="3555">
      <c r="A3555" s="21">
        <f t="shared" si="1"/>
        <v>0</v>
      </c>
      <c r="B3555" s="32" t="s">
        <v>104</v>
      </c>
      <c r="C3555" s="23" t="s">
        <v>105</v>
      </c>
      <c r="D3555" s="23" t="s">
        <v>58</v>
      </c>
      <c r="E3555" s="24">
        <v>45449.0</v>
      </c>
      <c r="F3555" s="25">
        <v>0.25069444444444444</v>
      </c>
      <c r="G3555" s="25">
        <v>0.6902777777777778</v>
      </c>
      <c r="H3555" s="27">
        <f t="shared" si="2"/>
        <v>0.4395833333</v>
      </c>
      <c r="I3555" s="28">
        <v>3.0</v>
      </c>
      <c r="J3555" s="29" t="s">
        <v>171</v>
      </c>
      <c r="K3555" s="30" t="s">
        <v>23</v>
      </c>
      <c r="L3555" s="31" t="str">
        <f>IFERROR(__xludf.DUMMYFUNCTION("IF(OR(E3555="""",K3555=""""),"""",IFERROR(IF(K3555="""","""",query('tbl user'!$A$2:$D10975,""SELECT A WHERE D = '""&amp;K3555&amp;""'"")),""USER TIDAK DIKETAHUI""))"),"#REF!")</f>
        <v>#REF!</v>
      </c>
    </row>
    <row r="3556">
      <c r="A3556" s="21">
        <f t="shared" si="1"/>
        <v>0</v>
      </c>
      <c r="B3556" s="32" t="s">
        <v>202</v>
      </c>
      <c r="C3556" s="23" t="s">
        <v>203</v>
      </c>
      <c r="D3556" s="23" t="s">
        <v>58</v>
      </c>
      <c r="E3556" s="24">
        <v>45449.0</v>
      </c>
      <c r="F3556" s="25">
        <v>0.25277777777777777</v>
      </c>
      <c r="G3556" s="25">
        <v>0.6055555555555555</v>
      </c>
      <c r="H3556" s="27">
        <f t="shared" si="2"/>
        <v>0.3527777778</v>
      </c>
      <c r="I3556" s="28">
        <v>3.0</v>
      </c>
      <c r="J3556" s="29" t="s">
        <v>1585</v>
      </c>
      <c r="K3556" s="30" t="s">
        <v>23</v>
      </c>
      <c r="L3556" s="31" t="str">
        <f>IFERROR(__xludf.DUMMYFUNCTION("IF(OR(E3556="""",K3556=""""),"""",IFERROR(IF(K3556="""","""",query('tbl user'!$A$2:$D10975,""SELECT A WHERE D = '""&amp;K3556&amp;""'"")),""USER TIDAK DIKETAHUI""))"),"#REF!")</f>
        <v>#REF!</v>
      </c>
    </row>
    <row r="3557">
      <c r="A3557" s="21">
        <f t="shared" si="1"/>
        <v>0</v>
      </c>
      <c r="B3557" s="32" t="s">
        <v>205</v>
      </c>
      <c r="C3557" s="23" t="s">
        <v>206</v>
      </c>
      <c r="D3557" s="23" t="s">
        <v>58</v>
      </c>
      <c r="E3557" s="24">
        <v>45449.0</v>
      </c>
      <c r="F3557" s="25">
        <v>0.2986111111111111</v>
      </c>
      <c r="G3557" s="25">
        <v>0.6493055555555556</v>
      </c>
      <c r="H3557" s="27">
        <f t="shared" si="2"/>
        <v>0.3506944444</v>
      </c>
      <c r="I3557" s="28">
        <v>2.0</v>
      </c>
      <c r="J3557" s="29" t="s">
        <v>1586</v>
      </c>
      <c r="K3557" s="30" t="s">
        <v>23</v>
      </c>
      <c r="L3557" s="31" t="str">
        <f>IFERROR(__xludf.DUMMYFUNCTION("IF(OR(E3557="""",K3557=""""),"""",IFERROR(IF(K3557="""","""",query('tbl user'!$A$2:$D10975,""SELECT A WHERE D = '""&amp;K3557&amp;""'"")),""USER TIDAK DIKETAHUI""))"),"#REF!")</f>
        <v>#REF!</v>
      </c>
    </row>
    <row r="3558">
      <c r="A3558" s="21">
        <f t="shared" si="1"/>
        <v>0</v>
      </c>
      <c r="B3558" s="32" t="s">
        <v>95</v>
      </c>
      <c r="C3558" s="23" t="s">
        <v>208</v>
      </c>
      <c r="D3558" s="23" t="s">
        <v>58</v>
      </c>
      <c r="E3558" s="24">
        <v>45449.0</v>
      </c>
      <c r="F3558" s="25">
        <v>0.2548611111111111</v>
      </c>
      <c r="G3558" s="25">
        <v>0.7069444444444445</v>
      </c>
      <c r="H3558" s="27">
        <f t="shared" si="2"/>
        <v>0.4520833333</v>
      </c>
      <c r="I3558" s="28">
        <v>4.0</v>
      </c>
      <c r="J3558" s="29" t="s">
        <v>55</v>
      </c>
      <c r="K3558" s="30" t="s">
        <v>23</v>
      </c>
      <c r="L3558" s="31" t="str">
        <f>IFERROR(__xludf.DUMMYFUNCTION("IF(OR(E3558="""",K3558=""""),"""",IFERROR(IF(K3558="""","""",query('tbl user'!$A$2:$D10975,""SELECT A WHERE D = '""&amp;K3558&amp;""'"")),""USER TIDAK DIKETAHUI""))"),"#REF!")</f>
        <v>#REF!</v>
      </c>
    </row>
    <row r="3559">
      <c r="A3559" s="21">
        <f t="shared" si="1"/>
        <v>0</v>
      </c>
      <c r="B3559" s="32" t="s">
        <v>209</v>
      </c>
      <c r="C3559" s="23" t="s">
        <v>85</v>
      </c>
      <c r="D3559" s="23" t="s">
        <v>58</v>
      </c>
      <c r="E3559" s="24">
        <v>45449.0</v>
      </c>
      <c r="F3559" s="25">
        <v>0.2708333333333333</v>
      </c>
      <c r="G3559" s="25">
        <v>0.5798611111111112</v>
      </c>
      <c r="H3559" s="27">
        <f t="shared" si="2"/>
        <v>0.3090277778</v>
      </c>
      <c r="I3559" s="28">
        <v>2.0</v>
      </c>
      <c r="J3559" s="29" t="s">
        <v>210</v>
      </c>
      <c r="K3559" s="30" t="s">
        <v>23</v>
      </c>
      <c r="L3559" s="31" t="str">
        <f>IFERROR(__xludf.DUMMYFUNCTION("IF(OR(E3559="""",K3559=""""),"""",IFERROR(IF(K3559="""","""",query('tbl user'!$A$2:$D10975,""SELECT A WHERE D = '""&amp;K3559&amp;""'"")),""USER TIDAK DIKETAHUI""))"),"#REF!")</f>
        <v>#REF!</v>
      </c>
    </row>
    <row r="3560">
      <c r="A3560" s="21">
        <f t="shared" si="1"/>
        <v>0</v>
      </c>
      <c r="B3560" s="32" t="s">
        <v>238</v>
      </c>
      <c r="C3560" s="23" t="s">
        <v>239</v>
      </c>
      <c r="D3560" s="23" t="s">
        <v>21</v>
      </c>
      <c r="E3560" s="24">
        <v>45449.0</v>
      </c>
      <c r="F3560" s="25">
        <v>0.29097222222222224</v>
      </c>
      <c r="G3560" s="25">
        <v>0.7319444444444444</v>
      </c>
      <c r="H3560" s="27">
        <f t="shared" si="2"/>
        <v>0.4409722222</v>
      </c>
      <c r="I3560" s="28">
        <v>3.0</v>
      </c>
      <c r="J3560" s="29" t="s">
        <v>55</v>
      </c>
      <c r="K3560" s="30" t="s">
        <v>23</v>
      </c>
      <c r="L3560" s="31" t="str">
        <f>IFERROR(__xludf.DUMMYFUNCTION("IF(OR(E3560="""",K3560=""""),"""",IFERROR(IF(K3560="""","""",query('tbl user'!$A$2:$D10975,""SELECT A WHERE D = '""&amp;K3560&amp;""'"")),""USER TIDAK DIKETAHUI""))"),"#REF!")</f>
        <v>#REF!</v>
      </c>
    </row>
    <row r="3561">
      <c r="A3561" s="21">
        <f t="shared" si="1"/>
        <v>0</v>
      </c>
      <c r="B3561" s="32" t="s">
        <v>37</v>
      </c>
      <c r="C3561" s="23" t="s">
        <v>38</v>
      </c>
      <c r="D3561" s="23" t="s">
        <v>21</v>
      </c>
      <c r="E3561" s="24">
        <v>45449.0</v>
      </c>
      <c r="F3561" s="25">
        <v>0.2659722222222222</v>
      </c>
      <c r="G3561" s="25">
        <v>0.6833333333333333</v>
      </c>
      <c r="H3561" s="27">
        <f t="shared" si="2"/>
        <v>0.4173611111</v>
      </c>
      <c r="I3561" s="28">
        <v>3.0</v>
      </c>
      <c r="J3561" s="29" t="s">
        <v>55</v>
      </c>
      <c r="K3561" s="30" t="s">
        <v>23</v>
      </c>
      <c r="L3561" s="31" t="str">
        <f>IFERROR(__xludf.DUMMYFUNCTION("IF(OR(E3561="""",K3561=""""),"""",IFERROR(IF(K3561="""","""",query('tbl user'!$A$2:$D10975,""SELECT A WHERE D = '""&amp;K3561&amp;""'"")),""USER TIDAK DIKETAHUI""))"),"#REF!")</f>
        <v>#REF!</v>
      </c>
    </row>
    <row r="3562">
      <c r="A3562" s="21">
        <f t="shared" si="1"/>
        <v>0</v>
      </c>
      <c r="B3562" s="32" t="s">
        <v>289</v>
      </c>
      <c r="C3562" s="23" t="s">
        <v>290</v>
      </c>
      <c r="D3562" s="23" t="s">
        <v>21</v>
      </c>
      <c r="E3562" s="24">
        <v>45449.0</v>
      </c>
      <c r="F3562" s="25">
        <v>0.28958333333333336</v>
      </c>
      <c r="G3562" s="25">
        <v>0.7368055555555556</v>
      </c>
      <c r="H3562" s="27">
        <f t="shared" si="2"/>
        <v>0.4472222222</v>
      </c>
      <c r="I3562" s="28">
        <v>3.0</v>
      </c>
      <c r="J3562" s="29" t="s">
        <v>55</v>
      </c>
      <c r="K3562" s="30" t="s">
        <v>23</v>
      </c>
      <c r="L3562" s="31" t="str">
        <f>IFERROR(__xludf.DUMMYFUNCTION("IF(OR(E3562="""",K3562=""""),"""",IFERROR(IF(K3562="""","""",query('tbl user'!$A$2:$D10975,""SELECT A WHERE D = '""&amp;K3562&amp;""'"")),""USER TIDAK DIKETAHUI""))"),"#REF!")</f>
        <v>#REF!</v>
      </c>
    </row>
    <row r="3563">
      <c r="A3563" s="21">
        <f t="shared" si="1"/>
        <v>0</v>
      </c>
      <c r="B3563" s="32" t="s">
        <v>24</v>
      </c>
      <c r="C3563" s="23" t="s">
        <v>25</v>
      </c>
      <c r="D3563" s="23" t="s">
        <v>21</v>
      </c>
      <c r="E3563" s="24">
        <v>45449.0</v>
      </c>
      <c r="F3563" s="25">
        <v>0.2423611111111111</v>
      </c>
      <c r="G3563" s="25">
        <v>0.43194444444444446</v>
      </c>
      <c r="H3563" s="27">
        <f t="shared" si="2"/>
        <v>0.1895833333</v>
      </c>
      <c r="I3563" s="28">
        <v>1.0</v>
      </c>
      <c r="J3563" s="29" t="s">
        <v>1587</v>
      </c>
      <c r="K3563" s="30" t="s">
        <v>23</v>
      </c>
      <c r="L3563" s="31" t="str">
        <f>IFERROR(__xludf.DUMMYFUNCTION("IF(OR(E3563="""",K3563=""""),"""",IFERROR(IF(K3563="""","""",query('tbl user'!$A$2:$D10975,""SELECT A WHERE D = '""&amp;K3563&amp;""'"")),""USER TIDAK DIKETAHUI""))"),"#REF!")</f>
        <v>#REF!</v>
      </c>
    </row>
    <row r="3564">
      <c r="A3564" s="21">
        <f t="shared" si="1"/>
        <v>0</v>
      </c>
      <c r="B3564" s="32" t="s">
        <v>305</v>
      </c>
      <c r="C3564" s="23" t="s">
        <v>251</v>
      </c>
      <c r="D3564" s="23" t="s">
        <v>21</v>
      </c>
      <c r="E3564" s="24">
        <v>45449.0</v>
      </c>
      <c r="F3564" s="25">
        <v>0.2048611111111111</v>
      </c>
      <c r="G3564" s="25">
        <v>0.6222222222222222</v>
      </c>
      <c r="H3564" s="27">
        <f t="shared" si="2"/>
        <v>0.4173611111</v>
      </c>
      <c r="I3564" s="28">
        <v>3.0</v>
      </c>
      <c r="J3564" s="29" t="s">
        <v>55</v>
      </c>
      <c r="K3564" s="30" t="s">
        <v>23</v>
      </c>
      <c r="L3564" s="31" t="str">
        <f>IFERROR(__xludf.DUMMYFUNCTION("IF(OR(E3564="""",K3564=""""),"""",IFERROR(IF(K3564="""","""",query('tbl user'!$A$2:$D10975,""SELECT A WHERE D = '""&amp;K3564&amp;""'"")),""USER TIDAK DIKETAHUI""))"),"#REF!")</f>
        <v>#REF!</v>
      </c>
    </row>
    <row r="3565">
      <c r="A3565" s="21">
        <f t="shared" si="1"/>
        <v>0</v>
      </c>
      <c r="B3565" s="32" t="s">
        <v>43</v>
      </c>
      <c r="C3565" s="23" t="s">
        <v>44</v>
      </c>
      <c r="D3565" s="23" t="s">
        <v>21</v>
      </c>
      <c r="E3565" s="24">
        <v>45449.0</v>
      </c>
      <c r="F3565" s="25">
        <v>0.28888888888888886</v>
      </c>
      <c r="G3565" s="25">
        <v>0.7388888888888889</v>
      </c>
      <c r="H3565" s="27">
        <f t="shared" si="2"/>
        <v>0.45</v>
      </c>
      <c r="I3565" s="28">
        <v>3.0</v>
      </c>
      <c r="J3565" s="29" t="s">
        <v>55</v>
      </c>
      <c r="K3565" s="30" t="s">
        <v>23</v>
      </c>
      <c r="L3565" s="31" t="str">
        <f>IFERROR(__xludf.DUMMYFUNCTION("IF(OR(E3565="""",K3565=""""),"""",IFERROR(IF(K3565="""","""",query('tbl user'!$A$2:$D10975,""SELECT A WHERE D = '""&amp;K3565&amp;""'"")),""USER TIDAK DIKETAHUI""))"),"#REF!")</f>
        <v>#REF!</v>
      </c>
    </row>
    <row r="3566">
      <c r="A3566" s="21">
        <f t="shared" si="1"/>
        <v>0</v>
      </c>
      <c r="B3566" s="32" t="s">
        <v>101</v>
      </c>
      <c r="C3566" s="23" t="s">
        <v>102</v>
      </c>
      <c r="D3566" s="23" t="s">
        <v>21</v>
      </c>
      <c r="E3566" s="24">
        <v>45449.0</v>
      </c>
      <c r="F3566" s="25">
        <v>0.5118055555555555</v>
      </c>
      <c r="G3566" s="25">
        <v>0.5666666666666667</v>
      </c>
      <c r="H3566" s="27">
        <f t="shared" si="2"/>
        <v>0.05486111111</v>
      </c>
      <c r="I3566" s="28">
        <v>1.0</v>
      </c>
      <c r="J3566" s="29" t="s">
        <v>1588</v>
      </c>
      <c r="K3566" s="30" t="s">
        <v>23</v>
      </c>
      <c r="L3566" s="31" t="str">
        <f>IFERROR(__xludf.DUMMYFUNCTION("IF(OR(E3566="""",K3566=""""),"""",IFERROR(IF(K3566="""","""",query('tbl user'!$A$2:$D10975,""SELECT A WHERE D = '""&amp;K3566&amp;""'"")),""USER TIDAK DIKETAHUI""))"),"#REF!")</f>
        <v>#REF!</v>
      </c>
    </row>
    <row r="3567">
      <c r="A3567" s="21">
        <f t="shared" si="1"/>
        <v>0</v>
      </c>
      <c r="B3567" s="32" t="s">
        <v>662</v>
      </c>
      <c r="C3567" s="23" t="s">
        <v>234</v>
      </c>
      <c r="D3567" s="23" t="s">
        <v>21</v>
      </c>
      <c r="E3567" s="24">
        <v>45449.0</v>
      </c>
      <c r="F3567" s="25">
        <v>0.2777777777777778</v>
      </c>
      <c r="G3567" s="25">
        <v>0.6847222222222222</v>
      </c>
      <c r="H3567" s="27">
        <f t="shared" si="2"/>
        <v>0.4069444444</v>
      </c>
      <c r="I3567" s="28">
        <v>3.0</v>
      </c>
      <c r="J3567" s="29" t="s">
        <v>55</v>
      </c>
      <c r="K3567" s="30" t="s">
        <v>23</v>
      </c>
      <c r="L3567" s="31" t="str">
        <f>IFERROR(__xludf.DUMMYFUNCTION("IF(OR(E3567="""",K3567=""""),"""",IFERROR(IF(K3567="""","""",query('tbl user'!$A$2:$D10975,""SELECT A WHERE D = '""&amp;K3567&amp;""'"")),""USER TIDAK DIKETAHUI""))"),"#REF!")</f>
        <v>#REF!</v>
      </c>
    </row>
    <row r="3568">
      <c r="A3568" s="21">
        <f t="shared" si="1"/>
        <v>0</v>
      </c>
      <c r="B3568" s="32" t="s">
        <v>255</v>
      </c>
      <c r="C3568" s="23" t="s">
        <v>256</v>
      </c>
      <c r="D3568" s="23" t="s">
        <v>21</v>
      </c>
      <c r="E3568" s="24">
        <v>45449.0</v>
      </c>
      <c r="F3568" s="25">
        <v>0.20208333333333334</v>
      </c>
      <c r="G3568" s="25">
        <v>0.6375</v>
      </c>
      <c r="H3568" s="27">
        <f t="shared" si="2"/>
        <v>0.4354166667</v>
      </c>
      <c r="I3568" s="28">
        <v>3.0</v>
      </c>
      <c r="J3568" s="29" t="s">
        <v>55</v>
      </c>
      <c r="K3568" s="30" t="s">
        <v>23</v>
      </c>
      <c r="L3568" s="31" t="str">
        <f>IFERROR(__xludf.DUMMYFUNCTION("IF(OR(E3568="""",K3568=""""),"""",IFERROR(IF(K3568="""","""",query('tbl user'!$A$2:$D10975,""SELECT A WHERE D = '""&amp;K3568&amp;""'"")),""USER TIDAK DIKETAHUI""))"),"#REF!")</f>
        <v>#REF!</v>
      </c>
    </row>
    <row r="3569">
      <c r="A3569" s="21">
        <f t="shared" si="1"/>
        <v>0</v>
      </c>
      <c r="B3569" s="32" t="s">
        <v>593</v>
      </c>
      <c r="C3569" s="23" t="s">
        <v>236</v>
      </c>
      <c r="D3569" s="23" t="s">
        <v>21</v>
      </c>
      <c r="E3569" s="24">
        <v>45449.0</v>
      </c>
      <c r="F3569" s="25">
        <v>0.2326388888888889</v>
      </c>
      <c r="G3569" s="25">
        <v>0.4166666666666667</v>
      </c>
      <c r="H3569" s="27">
        <f t="shared" si="2"/>
        <v>0.1840277778</v>
      </c>
      <c r="I3569" s="28">
        <v>1.0</v>
      </c>
      <c r="J3569" s="29" t="s">
        <v>1589</v>
      </c>
      <c r="K3569" s="30" t="s">
        <v>23</v>
      </c>
      <c r="L3569" s="31" t="str">
        <f>IFERROR(__xludf.DUMMYFUNCTION("IF(OR(E3569="""",K3569=""""),"""",IFERROR(IF(K3569="""","""",query('tbl user'!$A$2:$D10975,""SELECT A WHERE D = '""&amp;K3569&amp;""'"")),""USER TIDAK DIKETAHUI""))"),"#REF!")</f>
        <v>#REF!</v>
      </c>
    </row>
    <row r="3570">
      <c r="A3570" s="21">
        <f t="shared" si="1"/>
        <v>0</v>
      </c>
      <c r="B3570" s="32" t="s">
        <v>286</v>
      </c>
      <c r="C3570" s="23" t="s">
        <v>287</v>
      </c>
      <c r="D3570" s="23" t="s">
        <v>21</v>
      </c>
      <c r="E3570" s="24">
        <v>45449.0</v>
      </c>
      <c r="F3570" s="25">
        <v>0.29097222222222224</v>
      </c>
      <c r="G3570" s="25">
        <v>0.6652777777777777</v>
      </c>
      <c r="H3570" s="27">
        <f t="shared" si="2"/>
        <v>0.3743055556</v>
      </c>
      <c r="I3570" s="28">
        <v>2.0</v>
      </c>
      <c r="J3570" s="29" t="s">
        <v>1590</v>
      </c>
      <c r="K3570" s="30" t="s">
        <v>23</v>
      </c>
      <c r="L3570" s="31" t="str">
        <f>IFERROR(__xludf.DUMMYFUNCTION("IF(OR(E3570="""",K3570=""""),"""",IFERROR(IF(K3570="""","""",query('tbl user'!$A$2:$D10975,""SELECT A WHERE D = '""&amp;K3570&amp;""'"")),""USER TIDAK DIKETAHUI""))"),"#REF!")</f>
        <v>#REF!</v>
      </c>
    </row>
    <row r="3571">
      <c r="A3571" s="21">
        <f t="shared" si="1"/>
        <v>0</v>
      </c>
      <c r="B3571" s="32" t="s">
        <v>225</v>
      </c>
      <c r="C3571" s="23" t="s">
        <v>339</v>
      </c>
      <c r="D3571" s="23" t="s">
        <v>21</v>
      </c>
      <c r="E3571" s="24">
        <v>45449.0</v>
      </c>
      <c r="F3571" s="25">
        <v>0.2881944444444444</v>
      </c>
      <c r="G3571" s="25">
        <v>0.6138888888888889</v>
      </c>
      <c r="H3571" s="27">
        <f t="shared" si="2"/>
        <v>0.3256944444</v>
      </c>
      <c r="I3571" s="28">
        <v>2.0</v>
      </c>
      <c r="J3571" s="29" t="s">
        <v>1591</v>
      </c>
      <c r="K3571" s="30" t="s">
        <v>23</v>
      </c>
      <c r="L3571" s="31" t="str">
        <f>IFERROR(__xludf.DUMMYFUNCTION("IF(OR(E3571="""",K3571=""""),"""",IFERROR(IF(K3571="""","""",query('tbl user'!$A$2:$D10975,""SELECT A WHERE D = '""&amp;K3571&amp;""'"")),""USER TIDAK DIKETAHUI""))"),"#REF!")</f>
        <v>#REF!</v>
      </c>
    </row>
    <row r="3572">
      <c r="A3572" s="21">
        <f t="shared" si="1"/>
        <v>0</v>
      </c>
      <c r="B3572" s="32" t="s">
        <v>333</v>
      </c>
      <c r="C3572" s="23" t="s">
        <v>334</v>
      </c>
      <c r="D3572" s="23" t="s">
        <v>21</v>
      </c>
      <c r="E3572" s="24">
        <v>45449.0</v>
      </c>
      <c r="F3572" s="25">
        <v>0.24444444444444444</v>
      </c>
      <c r="G3572" s="25">
        <v>0.6708333333333333</v>
      </c>
      <c r="H3572" s="27">
        <f t="shared" si="2"/>
        <v>0.4263888889</v>
      </c>
      <c r="I3572" s="28">
        <v>3.0</v>
      </c>
      <c r="J3572" s="29" t="s">
        <v>55</v>
      </c>
      <c r="K3572" s="30" t="s">
        <v>23</v>
      </c>
      <c r="L3572" s="31" t="str">
        <f>IFERROR(__xludf.DUMMYFUNCTION("IF(OR(E3572="""",K3572=""""),"""",IFERROR(IF(K3572="""","""",query('tbl user'!$A$2:$D10975,""SELECT A WHERE D = '""&amp;K3572&amp;""'"")),""USER TIDAK DIKETAHUI""))"),"#REF!")</f>
        <v>#REF!</v>
      </c>
    </row>
    <row r="3573">
      <c r="A3573" s="21">
        <f t="shared" si="1"/>
        <v>0</v>
      </c>
      <c r="B3573" s="32" t="s">
        <v>258</v>
      </c>
      <c r="C3573" s="23" t="s">
        <v>259</v>
      </c>
      <c r="D3573" s="23" t="s">
        <v>21</v>
      </c>
      <c r="E3573" s="24">
        <v>45449.0</v>
      </c>
      <c r="F3573" s="25">
        <v>0.275</v>
      </c>
      <c r="G3573" s="25">
        <v>0.46805555555555556</v>
      </c>
      <c r="H3573" s="27">
        <f t="shared" si="2"/>
        <v>0.1930555556</v>
      </c>
      <c r="I3573" s="28">
        <v>1.0</v>
      </c>
      <c r="J3573" s="29" t="s">
        <v>1592</v>
      </c>
      <c r="K3573" s="30" t="s">
        <v>23</v>
      </c>
      <c r="L3573" s="31" t="str">
        <f>IFERROR(__xludf.DUMMYFUNCTION("IF(OR(E3573="""",K3573=""""),"""",IFERROR(IF(K3573="""","""",query('tbl user'!$A$2:$D10975,""SELECT A WHERE D = '""&amp;K3573&amp;""'"")),""USER TIDAK DIKETAHUI""))"),"#REF!")</f>
        <v>#REF!</v>
      </c>
    </row>
    <row r="3574">
      <c r="A3574" s="21">
        <f t="shared" si="1"/>
        <v>0</v>
      </c>
      <c r="B3574" s="32" t="s">
        <v>335</v>
      </c>
      <c r="C3574" s="23" t="s">
        <v>336</v>
      </c>
      <c r="D3574" s="23" t="s">
        <v>21</v>
      </c>
      <c r="E3574" s="24">
        <v>45449.0</v>
      </c>
      <c r="F3574" s="25">
        <v>0.28194444444444444</v>
      </c>
      <c r="G3574" s="25">
        <v>0.7069444444444445</v>
      </c>
      <c r="H3574" s="27">
        <f t="shared" si="2"/>
        <v>0.425</v>
      </c>
      <c r="I3574" s="28">
        <v>3.0</v>
      </c>
      <c r="J3574" s="29" t="s">
        <v>55</v>
      </c>
      <c r="K3574" s="30" t="s">
        <v>23</v>
      </c>
      <c r="L3574" s="31" t="str">
        <f>IFERROR(__xludf.DUMMYFUNCTION("IF(OR(E3574="""",K3574=""""),"""",IFERROR(IF(K3574="""","""",query('tbl user'!$A$2:$D10975,""SELECT A WHERE D = '""&amp;K3574&amp;""'"")),""USER TIDAK DIKETAHUI""))"),"#REF!")</f>
        <v>#REF!</v>
      </c>
    </row>
    <row r="3575">
      <c r="A3575" s="21">
        <f t="shared" si="1"/>
        <v>0</v>
      </c>
      <c r="B3575" s="32" t="s">
        <v>716</v>
      </c>
      <c r="C3575" s="23" t="s">
        <v>316</v>
      </c>
      <c r="D3575" s="23" t="s">
        <v>21</v>
      </c>
      <c r="E3575" s="24">
        <v>45449.0</v>
      </c>
      <c r="F3575" s="25">
        <v>0.2388888888888889</v>
      </c>
      <c r="G3575" s="25">
        <v>0.6597222222222222</v>
      </c>
      <c r="H3575" s="27">
        <f t="shared" si="2"/>
        <v>0.4208333333</v>
      </c>
      <c r="I3575" s="28">
        <v>3.0</v>
      </c>
      <c r="J3575" s="29" t="s">
        <v>55</v>
      </c>
      <c r="K3575" s="30" t="s">
        <v>23</v>
      </c>
      <c r="L3575" s="31" t="str">
        <f>IFERROR(__xludf.DUMMYFUNCTION("IF(OR(E3575="""",K3575=""""),"""",IFERROR(IF(K3575="""","""",query('tbl user'!$A$2:$D10975,""SELECT A WHERE D = '""&amp;K3575&amp;""'"")),""USER TIDAK DIKETAHUI""))"),"#REF!")</f>
        <v>#REF!</v>
      </c>
    </row>
    <row r="3576">
      <c r="A3576" s="21">
        <f t="shared" si="1"/>
        <v>0</v>
      </c>
      <c r="B3576" s="32" t="s">
        <v>219</v>
      </c>
      <c r="C3576" s="23" t="s">
        <v>340</v>
      </c>
      <c r="D3576" s="23" t="s">
        <v>21</v>
      </c>
      <c r="E3576" s="24">
        <v>45449.0</v>
      </c>
      <c r="F3576" s="25">
        <v>0.24027777777777778</v>
      </c>
      <c r="G3576" s="25">
        <v>0.5819444444444445</v>
      </c>
      <c r="H3576" s="27">
        <f t="shared" si="2"/>
        <v>0.3416666667</v>
      </c>
      <c r="I3576" s="28">
        <v>2.0</v>
      </c>
      <c r="J3576" s="29" t="s">
        <v>1593</v>
      </c>
      <c r="K3576" s="30" t="s">
        <v>23</v>
      </c>
      <c r="L3576" s="31" t="str">
        <f>IFERROR(__xludf.DUMMYFUNCTION("IF(OR(E3576="""",K3576=""""),"""",IFERROR(IF(K3576="""","""",query('tbl user'!$A$2:$D10975,""SELECT A WHERE D = '""&amp;K3576&amp;""'"")),""USER TIDAK DIKETAHUI""))"),"#REF!")</f>
        <v>#REF!</v>
      </c>
    </row>
    <row r="3577">
      <c r="A3577" s="21">
        <f t="shared" si="1"/>
        <v>0</v>
      </c>
      <c r="B3577" s="32" t="s">
        <v>87</v>
      </c>
      <c r="C3577" s="23" t="s">
        <v>88</v>
      </c>
      <c r="D3577" s="23" t="s">
        <v>21</v>
      </c>
      <c r="E3577" s="24">
        <v>45449.0</v>
      </c>
      <c r="F3577" s="25">
        <v>0.26875</v>
      </c>
      <c r="G3577" s="25">
        <v>0.4618055555555556</v>
      </c>
      <c r="H3577" s="27">
        <f t="shared" si="2"/>
        <v>0.1930555556</v>
      </c>
      <c r="I3577" s="28">
        <v>1.0</v>
      </c>
      <c r="J3577" s="29" t="s">
        <v>1594</v>
      </c>
      <c r="K3577" s="30" t="s">
        <v>23</v>
      </c>
      <c r="L3577" s="31" t="str">
        <f>IFERROR(__xludf.DUMMYFUNCTION("IF(OR(E3577="""",K3577=""""),"""",IFERROR(IF(K3577="""","""",query('tbl user'!$A$2:$D10975,""SELECT A WHERE D = '""&amp;K3577&amp;""'"")),""USER TIDAK DIKETAHUI""))"),"#REF!")</f>
        <v>#REF!</v>
      </c>
    </row>
    <row r="3578">
      <c r="A3578" s="21">
        <f t="shared" si="1"/>
        <v>0</v>
      </c>
      <c r="B3578" s="32" t="s">
        <v>53</v>
      </c>
      <c r="C3578" s="23" t="s">
        <v>54</v>
      </c>
      <c r="D3578" s="23" t="s">
        <v>21</v>
      </c>
      <c r="E3578" s="24">
        <v>45449.0</v>
      </c>
      <c r="F3578" s="25">
        <v>0.23958333333333334</v>
      </c>
      <c r="G3578" s="25">
        <v>0.6625</v>
      </c>
      <c r="H3578" s="27">
        <f t="shared" si="2"/>
        <v>0.4229166667</v>
      </c>
      <c r="I3578" s="28">
        <v>3.0</v>
      </c>
      <c r="J3578" s="29" t="s">
        <v>55</v>
      </c>
      <c r="K3578" s="30" t="s">
        <v>23</v>
      </c>
      <c r="L3578" s="31" t="str">
        <f>IFERROR(__xludf.DUMMYFUNCTION("IF(OR(E3578="""",K3578=""""),"""",IFERROR(IF(K3578="""","""",query('tbl user'!$A$2:$D10975,""SELECT A WHERE D = '""&amp;K3578&amp;""'"")),""USER TIDAK DIKETAHUI""))"),"#REF!")</f>
        <v>#REF!</v>
      </c>
    </row>
    <row r="3579">
      <c r="A3579" s="21">
        <f t="shared" si="1"/>
        <v>0</v>
      </c>
      <c r="B3579" s="32" t="s">
        <v>319</v>
      </c>
      <c r="C3579" s="23" t="s">
        <v>320</v>
      </c>
      <c r="D3579" s="23" t="s">
        <v>21</v>
      </c>
      <c r="E3579" s="24">
        <v>45449.0</v>
      </c>
      <c r="F3579" s="25">
        <v>0.2298611111111111</v>
      </c>
      <c r="G3579" s="25">
        <v>0.5243055555555556</v>
      </c>
      <c r="H3579" s="27">
        <f t="shared" si="2"/>
        <v>0.2944444444</v>
      </c>
      <c r="I3579" s="28">
        <v>2.0</v>
      </c>
      <c r="J3579" s="29" t="s">
        <v>1595</v>
      </c>
      <c r="K3579" s="30" t="s">
        <v>23</v>
      </c>
      <c r="L3579" s="31" t="str">
        <f>IFERROR(__xludf.DUMMYFUNCTION("IF(OR(E3579="""",K3579=""""),"""",IFERROR(IF(K3579="""","""",query('tbl user'!$A$2:$D10975,""SELECT A WHERE D = '""&amp;K3579&amp;""'"")),""USER TIDAK DIKETAHUI""))"),"#REF!")</f>
        <v>#REF!</v>
      </c>
    </row>
    <row r="3580">
      <c r="A3580" s="21">
        <f t="shared" si="1"/>
        <v>0</v>
      </c>
      <c r="B3580" s="32" t="s">
        <v>325</v>
      </c>
      <c r="C3580" s="23" t="s">
        <v>326</v>
      </c>
      <c r="D3580" s="23" t="s">
        <v>21</v>
      </c>
      <c r="E3580" s="24">
        <v>45449.0</v>
      </c>
      <c r="F3580" s="25">
        <v>0.25833333333333336</v>
      </c>
      <c r="G3580" s="25">
        <v>0.44375</v>
      </c>
      <c r="H3580" s="27">
        <f t="shared" si="2"/>
        <v>0.1854166667</v>
      </c>
      <c r="I3580" s="28">
        <v>1.0</v>
      </c>
      <c r="J3580" s="29" t="s">
        <v>1596</v>
      </c>
      <c r="K3580" s="30" t="s">
        <v>23</v>
      </c>
      <c r="L3580" s="31" t="str">
        <f>IFERROR(__xludf.DUMMYFUNCTION("IF(OR(E3580="""",K3580=""""),"""",IFERROR(IF(K3580="""","""",query('tbl user'!$A$2:$D10975,""SELECT A WHERE D = '""&amp;K3580&amp;""'"")),""USER TIDAK DIKETAHUI""))"),"#REF!")</f>
        <v>#REF!</v>
      </c>
    </row>
    <row r="3581">
      <c r="A3581" s="21">
        <f t="shared" si="1"/>
        <v>0</v>
      </c>
      <c r="B3581" s="32" t="s">
        <v>577</v>
      </c>
      <c r="C3581" s="23" t="s">
        <v>330</v>
      </c>
      <c r="D3581" s="23" t="s">
        <v>21</v>
      </c>
      <c r="E3581" s="24">
        <v>45449.0</v>
      </c>
      <c r="F3581" s="25">
        <v>0.25416666666666665</v>
      </c>
      <c r="G3581" s="25">
        <v>0.675</v>
      </c>
      <c r="H3581" s="27">
        <f t="shared" si="2"/>
        <v>0.4208333333</v>
      </c>
      <c r="I3581" s="28">
        <v>3.0</v>
      </c>
      <c r="J3581" s="29" t="s">
        <v>55</v>
      </c>
      <c r="K3581" s="30" t="s">
        <v>23</v>
      </c>
      <c r="L3581" s="31" t="str">
        <f>IFERROR(__xludf.DUMMYFUNCTION("IF(OR(E3581="""",K3581=""""),"""",IFERROR(IF(K3581="""","""",query('tbl user'!$A$2:$D10975,""SELECT A WHERE D = '""&amp;K3581&amp;""'"")),""USER TIDAK DIKETAHUI""))"),"#REF!")</f>
        <v>#REF!</v>
      </c>
    </row>
    <row r="3582">
      <c r="A3582" s="21">
        <f t="shared" si="1"/>
        <v>0</v>
      </c>
      <c r="B3582" s="32" t="s">
        <v>337</v>
      </c>
      <c r="C3582" s="23" t="s">
        <v>338</v>
      </c>
      <c r="D3582" s="23" t="s">
        <v>21</v>
      </c>
      <c r="E3582" s="24">
        <v>45449.0</v>
      </c>
      <c r="F3582" s="25">
        <v>0.2638888888888889</v>
      </c>
      <c r="G3582" s="25">
        <v>0.5763888888888888</v>
      </c>
      <c r="H3582" s="27">
        <f t="shared" si="2"/>
        <v>0.3125</v>
      </c>
      <c r="I3582" s="28">
        <v>2.0</v>
      </c>
      <c r="J3582" s="29" t="s">
        <v>1597</v>
      </c>
      <c r="K3582" s="30" t="s">
        <v>23</v>
      </c>
      <c r="L3582" s="31" t="str">
        <f>IFERROR(__xludf.DUMMYFUNCTION("IF(OR(E3582="""",K3582=""""),"""",IFERROR(IF(K3582="""","""",query('tbl user'!$A$2:$D10975,""SELECT A WHERE D = '""&amp;K3582&amp;""'"")),""USER TIDAK DIKETAHUI""))"),"#REF!")</f>
        <v>#REF!</v>
      </c>
    </row>
    <row r="3583">
      <c r="A3583" s="21">
        <f t="shared" si="1"/>
        <v>0</v>
      </c>
      <c r="B3583" s="32" t="s">
        <v>601</v>
      </c>
      <c r="C3583" s="23" t="s">
        <v>323</v>
      </c>
      <c r="D3583" s="23" t="s">
        <v>21</v>
      </c>
      <c r="E3583" s="24">
        <v>45449.0</v>
      </c>
      <c r="F3583" s="25">
        <v>0.23541666666666666</v>
      </c>
      <c r="G3583" s="25">
        <v>0.7145833333333333</v>
      </c>
      <c r="H3583" s="27">
        <f t="shared" si="2"/>
        <v>0.4791666667</v>
      </c>
      <c r="I3583" s="28">
        <v>3.0</v>
      </c>
      <c r="J3583" s="29" t="s">
        <v>55</v>
      </c>
      <c r="K3583" s="30" t="s">
        <v>23</v>
      </c>
      <c r="L3583" s="31" t="str">
        <f>IFERROR(__xludf.DUMMYFUNCTION("IF(OR(E3583="""",K3583=""""),"""",IFERROR(IF(K3583="""","""",query('tbl user'!$A$2:$D10975,""SELECT A WHERE D = '""&amp;K3583&amp;""'"")),""USER TIDAK DIKETAHUI""))"),"#REF!")</f>
        <v>#REF!</v>
      </c>
    </row>
    <row r="3584">
      <c r="A3584" s="21">
        <f t="shared" si="1"/>
        <v>0</v>
      </c>
      <c r="B3584" s="32" t="s">
        <v>260</v>
      </c>
      <c r="C3584" s="23" t="s">
        <v>261</v>
      </c>
      <c r="D3584" s="23" t="s">
        <v>21</v>
      </c>
      <c r="E3584" s="24">
        <v>45449.0</v>
      </c>
      <c r="F3584" s="25">
        <v>0.22569444444444445</v>
      </c>
      <c r="G3584" s="25">
        <v>0.5055555555555555</v>
      </c>
      <c r="H3584" s="27">
        <f t="shared" si="2"/>
        <v>0.2798611111</v>
      </c>
      <c r="I3584" s="28">
        <v>2.0</v>
      </c>
      <c r="J3584" s="29" t="s">
        <v>1598</v>
      </c>
      <c r="K3584" s="30" t="s">
        <v>23</v>
      </c>
      <c r="L3584" s="31" t="str">
        <f>IFERROR(__xludf.DUMMYFUNCTION("IF(OR(E3584="""",K3584=""""),"""",IFERROR(IF(K3584="""","""",query('tbl user'!$A$2:$D10975,""SELECT A WHERE D = '""&amp;K3584&amp;""'"")),""USER TIDAK DIKETAHUI""))"),"#REF!")</f>
        <v>#REF!</v>
      </c>
    </row>
    <row r="3585">
      <c r="A3585" s="21">
        <f t="shared" si="1"/>
        <v>0</v>
      </c>
      <c r="B3585" s="32" t="s">
        <v>246</v>
      </c>
      <c r="C3585" s="23" t="s">
        <v>1556</v>
      </c>
      <c r="D3585" s="23" t="s">
        <v>21</v>
      </c>
      <c r="E3585" s="24">
        <v>45449.0</v>
      </c>
      <c r="F3585" s="25">
        <v>0.3125</v>
      </c>
      <c r="G3585" s="25">
        <v>0.6173611111111111</v>
      </c>
      <c r="H3585" s="27">
        <f t="shared" si="2"/>
        <v>0.3048611111</v>
      </c>
      <c r="I3585" s="28">
        <v>2.0</v>
      </c>
      <c r="J3585" s="29" t="s">
        <v>1599</v>
      </c>
      <c r="K3585" s="30" t="s">
        <v>23</v>
      </c>
      <c r="L3585" s="31" t="str">
        <f>IFERROR(__xludf.DUMMYFUNCTION("IF(OR(E3585="""",K3585=""""),"""",IFERROR(IF(K3585="""","""",query('tbl user'!$A$2:$D10975,""SELECT A WHERE D = '""&amp;K3585&amp;""'"")),""USER TIDAK DIKETAHUI""))"),"#REF!")</f>
        <v>#REF!</v>
      </c>
    </row>
    <row r="3586">
      <c r="A3586" s="21">
        <f t="shared" si="1"/>
        <v>0</v>
      </c>
      <c r="B3586" s="32" t="s">
        <v>110</v>
      </c>
      <c r="C3586" s="23" t="s">
        <v>111</v>
      </c>
      <c r="D3586" s="23" t="s">
        <v>32</v>
      </c>
      <c r="E3586" s="24">
        <v>45449.0</v>
      </c>
      <c r="F3586" s="25">
        <v>0.26805555555555555</v>
      </c>
      <c r="G3586" s="25">
        <v>0.7076388888888889</v>
      </c>
      <c r="H3586" s="27">
        <f t="shared" si="2"/>
        <v>0.4395833333</v>
      </c>
      <c r="I3586" s="28">
        <v>4.0</v>
      </c>
      <c r="J3586" s="29" t="s">
        <v>55</v>
      </c>
      <c r="K3586" s="30" t="s">
        <v>23</v>
      </c>
      <c r="L3586" s="31" t="str">
        <f>IFERROR(__xludf.DUMMYFUNCTION("IF(OR(E3586="""",K3586=""""),"""",IFERROR(IF(K3586="""","""",query('tbl user'!$A$2:$D10975,""SELECT A WHERE D = '""&amp;K3586&amp;""'"")),""USER TIDAK DIKETAHUI""))"),"#REF!")</f>
        <v>#REF!</v>
      </c>
    </row>
    <row r="3587">
      <c r="A3587" s="21">
        <f t="shared" si="1"/>
        <v>0</v>
      </c>
      <c r="B3587" s="32" t="s">
        <v>113</v>
      </c>
      <c r="C3587" s="23" t="s">
        <v>114</v>
      </c>
      <c r="D3587" s="23" t="s">
        <v>32</v>
      </c>
      <c r="E3587" s="24">
        <v>45449.0</v>
      </c>
      <c r="F3587" s="25">
        <v>0.23958333333333334</v>
      </c>
      <c r="G3587" s="25">
        <v>0.7215277777777778</v>
      </c>
      <c r="H3587" s="27">
        <f t="shared" si="2"/>
        <v>0.4819444444</v>
      </c>
      <c r="I3587" s="28">
        <v>5.0</v>
      </c>
      <c r="J3587" s="29" t="s">
        <v>55</v>
      </c>
      <c r="K3587" s="30" t="s">
        <v>23</v>
      </c>
      <c r="L3587" s="31" t="str">
        <f>IFERROR(__xludf.DUMMYFUNCTION("IF(OR(E3587="""",K3587=""""),"""",IFERROR(IF(K3587="""","""",query('tbl user'!$A$2:$D10975,""SELECT A WHERE D = '""&amp;K3587&amp;""'"")),""USER TIDAK DIKETAHUI""))"),"#REF!")</f>
        <v>#REF!</v>
      </c>
    </row>
    <row r="3588">
      <c r="A3588" s="21">
        <f t="shared" si="1"/>
        <v>0</v>
      </c>
      <c r="B3588" s="32" t="s">
        <v>115</v>
      </c>
      <c r="C3588" s="23" t="s">
        <v>116</v>
      </c>
      <c r="D3588" s="23" t="s">
        <v>32</v>
      </c>
      <c r="E3588" s="24">
        <v>45449.0</v>
      </c>
      <c r="F3588" s="25">
        <v>0.2701388888888889</v>
      </c>
      <c r="G3588" s="25">
        <v>0.7</v>
      </c>
      <c r="H3588" s="27">
        <f t="shared" si="2"/>
        <v>0.4298611111</v>
      </c>
      <c r="I3588" s="28">
        <v>4.0</v>
      </c>
      <c r="J3588" s="29" t="s">
        <v>55</v>
      </c>
      <c r="K3588" s="30" t="s">
        <v>23</v>
      </c>
      <c r="L3588" s="31" t="str">
        <f>IFERROR(__xludf.DUMMYFUNCTION("IF(OR(E3588="""",K3588=""""),"""",IFERROR(IF(K3588="""","""",query('tbl user'!$A$2:$D10975,""SELECT A WHERE D = '""&amp;K3588&amp;""'"")),""USER TIDAK DIKETAHUI""))"),"#REF!")</f>
        <v>#REF!</v>
      </c>
    </row>
    <row r="3589">
      <c r="A3589" s="21">
        <f t="shared" si="1"/>
        <v>0</v>
      </c>
      <c r="B3589" s="32" t="s">
        <v>46</v>
      </c>
      <c r="C3589" s="23" t="s">
        <v>47</v>
      </c>
      <c r="D3589" s="23" t="s">
        <v>32</v>
      </c>
      <c r="E3589" s="24">
        <v>45449.0</v>
      </c>
      <c r="F3589" s="25">
        <v>0.2722222222222222</v>
      </c>
      <c r="G3589" s="25">
        <v>0.6722222222222223</v>
      </c>
      <c r="H3589" s="27">
        <f t="shared" si="2"/>
        <v>0.4</v>
      </c>
      <c r="I3589" s="28">
        <v>3.0</v>
      </c>
      <c r="J3589" s="29" t="s">
        <v>117</v>
      </c>
      <c r="K3589" s="30" t="s">
        <v>23</v>
      </c>
      <c r="L3589" s="31" t="str">
        <f>IFERROR(__xludf.DUMMYFUNCTION("IF(OR(E3589="""",K3589=""""),"""",IFERROR(IF(K3589="""","""",query('tbl user'!$A$2:$D10975,""SELECT A WHERE D = '""&amp;K3589&amp;""'"")),""USER TIDAK DIKETAHUI""))"),"#REF!")</f>
        <v>#REF!</v>
      </c>
    </row>
    <row r="3590">
      <c r="A3590" s="21">
        <f t="shared" si="1"/>
        <v>0</v>
      </c>
      <c r="B3590" s="32" t="s">
        <v>118</v>
      </c>
      <c r="C3590" s="23" t="s">
        <v>119</v>
      </c>
      <c r="D3590" s="23" t="s">
        <v>32</v>
      </c>
      <c r="E3590" s="24">
        <v>45449.0</v>
      </c>
      <c r="F3590" s="25">
        <v>0.22916666666666666</v>
      </c>
      <c r="G3590" s="25">
        <v>0.6729166666666667</v>
      </c>
      <c r="H3590" s="27">
        <f t="shared" si="2"/>
        <v>0.44375</v>
      </c>
      <c r="I3590" s="28">
        <v>4.0</v>
      </c>
      <c r="J3590" s="29" t="s">
        <v>55</v>
      </c>
      <c r="K3590" s="30" t="s">
        <v>23</v>
      </c>
      <c r="L3590" s="31" t="str">
        <f>IFERROR(__xludf.DUMMYFUNCTION("IF(OR(E3590="""",K3590=""""),"""",IFERROR(IF(K3590="""","""",query('tbl user'!$A$2:$D10975,""SELECT A WHERE D = '""&amp;K3590&amp;""'"")),""USER TIDAK DIKETAHUI""))"),"#REF!")</f>
        <v>#REF!</v>
      </c>
    </row>
    <row r="3591">
      <c r="A3591" s="21">
        <f t="shared" si="1"/>
        <v>0</v>
      </c>
      <c r="B3591" s="32" t="s">
        <v>120</v>
      </c>
      <c r="C3591" s="23" t="s">
        <v>121</v>
      </c>
      <c r="D3591" s="23" t="s">
        <v>32</v>
      </c>
      <c r="E3591" s="24">
        <v>45449.0</v>
      </c>
      <c r="F3591" s="25">
        <v>0.26875</v>
      </c>
      <c r="G3591" s="25">
        <v>0.65</v>
      </c>
      <c r="H3591" s="27">
        <f t="shared" si="2"/>
        <v>0.38125</v>
      </c>
      <c r="I3591" s="28">
        <v>3.0</v>
      </c>
      <c r="J3591" s="29" t="s">
        <v>1600</v>
      </c>
      <c r="K3591" s="30" t="s">
        <v>23</v>
      </c>
      <c r="L3591" s="31" t="str">
        <f>IFERROR(__xludf.DUMMYFUNCTION("IF(OR(E3591="""",K3591=""""),"""",IFERROR(IF(K3591="""","""",query('tbl user'!$A$2:$D10975,""SELECT A WHERE D = '""&amp;K3591&amp;""'"")),""USER TIDAK DIKETAHUI""))"),"#REF!")</f>
        <v>#REF!</v>
      </c>
    </row>
    <row r="3592">
      <c r="A3592" s="21">
        <f t="shared" si="1"/>
        <v>0</v>
      </c>
      <c r="B3592" s="32" t="s">
        <v>123</v>
      </c>
      <c r="C3592" s="23" t="s">
        <v>124</v>
      </c>
      <c r="D3592" s="23" t="s">
        <v>32</v>
      </c>
      <c r="E3592" s="24">
        <v>45449.0</v>
      </c>
      <c r="F3592" s="25">
        <v>0.25555555555555554</v>
      </c>
      <c r="G3592" s="25">
        <v>0.7256944444444444</v>
      </c>
      <c r="H3592" s="27">
        <f t="shared" si="2"/>
        <v>0.4701388889</v>
      </c>
      <c r="I3592" s="28">
        <v>4.0</v>
      </c>
      <c r="J3592" s="29" t="s">
        <v>55</v>
      </c>
      <c r="K3592" s="30" t="s">
        <v>23</v>
      </c>
      <c r="L3592" s="31" t="str">
        <f>IFERROR(__xludf.DUMMYFUNCTION("IF(OR(E3592="""",K3592=""""),"""",IFERROR(IF(K3592="""","""",query('tbl user'!$A$2:$D10975,""SELECT A WHERE D = '""&amp;K3592&amp;""'"")),""USER TIDAK DIKETAHUI""))"),"#REF!")</f>
        <v>#REF!</v>
      </c>
    </row>
    <row r="3593">
      <c r="A3593" s="21">
        <f t="shared" si="1"/>
        <v>0</v>
      </c>
      <c r="B3593" s="32" t="s">
        <v>125</v>
      </c>
      <c r="C3593" s="23" t="s">
        <v>126</v>
      </c>
      <c r="D3593" s="23" t="s">
        <v>32</v>
      </c>
      <c r="E3593" s="24">
        <v>45449.0</v>
      </c>
      <c r="F3593" s="25">
        <v>0.27569444444444446</v>
      </c>
      <c r="G3593" s="25">
        <v>0.7270833333333333</v>
      </c>
      <c r="H3593" s="27">
        <f t="shared" si="2"/>
        <v>0.4513888889</v>
      </c>
      <c r="I3593" s="28">
        <v>4.0</v>
      </c>
      <c r="J3593" s="29" t="s">
        <v>55</v>
      </c>
      <c r="K3593" s="30" t="s">
        <v>23</v>
      </c>
      <c r="L3593" s="31" t="str">
        <f>IFERROR(__xludf.DUMMYFUNCTION("IF(OR(E3593="""",K3593=""""),"""",IFERROR(IF(K3593="""","""",query('tbl user'!$A$2:$D10975,""SELECT A WHERE D = '""&amp;K3593&amp;""'"")),""USER TIDAK DIKETAHUI""))"),"#REF!")</f>
        <v>#REF!</v>
      </c>
    </row>
    <row r="3594">
      <c r="A3594" s="21">
        <f t="shared" si="1"/>
        <v>0</v>
      </c>
      <c r="B3594" s="32" t="s">
        <v>127</v>
      </c>
      <c r="C3594" s="23" t="s">
        <v>128</v>
      </c>
      <c r="D3594" s="23" t="s">
        <v>32</v>
      </c>
      <c r="E3594" s="24">
        <v>45449.0</v>
      </c>
      <c r="F3594" s="25">
        <v>0.28680555555555554</v>
      </c>
      <c r="G3594" s="25">
        <v>0.42083333333333334</v>
      </c>
      <c r="H3594" s="27">
        <f t="shared" si="2"/>
        <v>0.1340277778</v>
      </c>
      <c r="I3594" s="28">
        <v>1.0</v>
      </c>
      <c r="J3594" s="29" t="s">
        <v>129</v>
      </c>
      <c r="K3594" s="30" t="s">
        <v>23</v>
      </c>
      <c r="L3594" s="31" t="str">
        <f>IFERROR(__xludf.DUMMYFUNCTION("IF(OR(E3594="""",K3594=""""),"""",IFERROR(IF(K3594="""","""",query('tbl user'!$A$2:$D10975,""SELECT A WHERE D = '""&amp;K3594&amp;""'"")),""USER TIDAK DIKETAHUI""))"),"#REF!")</f>
        <v>#REF!</v>
      </c>
    </row>
    <row r="3595">
      <c r="A3595" s="21">
        <f t="shared" si="1"/>
        <v>0</v>
      </c>
      <c r="B3595" s="32" t="s">
        <v>72</v>
      </c>
      <c r="C3595" s="23" t="s">
        <v>73</v>
      </c>
      <c r="D3595" s="23" t="s">
        <v>32</v>
      </c>
      <c r="E3595" s="24">
        <v>45449.0</v>
      </c>
      <c r="F3595" s="25">
        <v>0.2326388888888889</v>
      </c>
      <c r="G3595" s="25">
        <v>0.6548611111111111</v>
      </c>
      <c r="H3595" s="27">
        <f t="shared" si="2"/>
        <v>0.4222222222</v>
      </c>
      <c r="I3595" s="28">
        <v>2.0</v>
      </c>
      <c r="J3595" s="29" t="s">
        <v>1601</v>
      </c>
      <c r="K3595" s="30" t="s">
        <v>23</v>
      </c>
      <c r="L3595" s="31" t="str">
        <f>IFERROR(__xludf.DUMMYFUNCTION("IF(OR(E3595="""",K3595=""""),"""",IFERROR(IF(K3595="""","""",query('tbl user'!$A$2:$D10975,""SELECT A WHERE D = '""&amp;K3595&amp;""'"")),""USER TIDAK DIKETAHUI""))"),"#REF!")</f>
        <v>#REF!</v>
      </c>
    </row>
    <row r="3596">
      <c r="A3596" s="21">
        <f t="shared" si="1"/>
        <v>0</v>
      </c>
      <c r="B3596" s="32" t="s">
        <v>131</v>
      </c>
      <c r="C3596" s="23" t="s">
        <v>132</v>
      </c>
      <c r="D3596" s="23" t="s">
        <v>32</v>
      </c>
      <c r="E3596" s="24">
        <v>45449.0</v>
      </c>
      <c r="F3596" s="25">
        <v>0.24027777777777778</v>
      </c>
      <c r="G3596" s="25">
        <v>0.6881944444444444</v>
      </c>
      <c r="H3596" s="27">
        <f t="shared" si="2"/>
        <v>0.4479166667</v>
      </c>
      <c r="I3596" s="28">
        <v>4.0</v>
      </c>
      <c r="J3596" s="29" t="s">
        <v>55</v>
      </c>
      <c r="K3596" s="30" t="s">
        <v>23</v>
      </c>
      <c r="L3596" s="31" t="str">
        <f>IFERROR(__xludf.DUMMYFUNCTION("IF(OR(E3596="""",K3596=""""),"""",IFERROR(IF(K3596="""","""",query('tbl user'!$A$2:$D10975,""SELECT A WHERE D = '""&amp;K3596&amp;""'"")),""USER TIDAK DIKETAHUI""))"),"#REF!")</f>
        <v>#REF!</v>
      </c>
    </row>
    <row r="3597">
      <c r="A3597" s="21">
        <f t="shared" si="1"/>
        <v>0</v>
      </c>
      <c r="B3597" s="32" t="s">
        <v>133</v>
      </c>
      <c r="C3597" s="23" t="s">
        <v>134</v>
      </c>
      <c r="D3597" s="23" t="s">
        <v>32</v>
      </c>
      <c r="E3597" s="24">
        <v>45449.0</v>
      </c>
      <c r="F3597" s="25">
        <v>0.2222222222222222</v>
      </c>
      <c r="G3597" s="25">
        <v>0.6493055555555556</v>
      </c>
      <c r="H3597" s="27">
        <f t="shared" si="2"/>
        <v>0.4270833333</v>
      </c>
      <c r="I3597" s="28">
        <v>4.0</v>
      </c>
      <c r="J3597" s="29" t="s">
        <v>55</v>
      </c>
      <c r="K3597" s="30" t="s">
        <v>23</v>
      </c>
      <c r="L3597" s="31" t="str">
        <f>IFERROR(__xludf.DUMMYFUNCTION("IF(OR(E3597="""",K3597=""""),"""",IFERROR(IF(K3597="""","""",query('tbl user'!$A$2:$D10975,""SELECT A WHERE D = '""&amp;K3597&amp;""'"")),""USER TIDAK DIKETAHUI""))"),"#REF!")</f>
        <v>#REF!</v>
      </c>
    </row>
    <row r="3598">
      <c r="A3598" s="21">
        <f t="shared" si="1"/>
        <v>0</v>
      </c>
      <c r="B3598" s="32" t="s">
        <v>135</v>
      </c>
      <c r="C3598" s="23" t="s">
        <v>136</v>
      </c>
      <c r="D3598" s="23" t="s">
        <v>32</v>
      </c>
      <c r="E3598" s="24">
        <v>45449.0</v>
      </c>
      <c r="F3598" s="25">
        <v>0.27361111111111114</v>
      </c>
      <c r="G3598" s="25">
        <v>0.7277777777777777</v>
      </c>
      <c r="H3598" s="27">
        <f t="shared" si="2"/>
        <v>0.4541666667</v>
      </c>
      <c r="I3598" s="28">
        <v>4.0</v>
      </c>
      <c r="J3598" s="29" t="s">
        <v>55</v>
      </c>
      <c r="K3598" s="30" t="s">
        <v>23</v>
      </c>
      <c r="L3598" s="31" t="str">
        <f>IFERROR(__xludf.DUMMYFUNCTION("IF(OR(E3598="""",K3598=""""),"""",IFERROR(IF(K3598="""","""",query('tbl user'!$A$2:$D10975,""SELECT A WHERE D = '""&amp;K3598&amp;""'"")),""USER TIDAK DIKETAHUI""))"),"#REF!")</f>
        <v>#REF!</v>
      </c>
    </row>
    <row r="3599">
      <c r="A3599" s="21">
        <f t="shared" si="1"/>
        <v>0</v>
      </c>
      <c r="B3599" s="32" t="s">
        <v>30</v>
      </c>
      <c r="C3599" s="23" t="s">
        <v>31</v>
      </c>
      <c r="D3599" s="23" t="s">
        <v>32</v>
      </c>
      <c r="E3599" s="24">
        <v>45449.0</v>
      </c>
      <c r="F3599" s="25">
        <v>0.2152777777777778</v>
      </c>
      <c r="G3599" s="25">
        <v>0.7201388888888889</v>
      </c>
      <c r="H3599" s="27">
        <f t="shared" si="2"/>
        <v>0.5048611111</v>
      </c>
      <c r="I3599" s="28">
        <v>5.0</v>
      </c>
      <c r="J3599" s="29" t="s">
        <v>55</v>
      </c>
      <c r="K3599" s="30" t="s">
        <v>23</v>
      </c>
      <c r="L3599" s="31" t="str">
        <f>IFERROR(__xludf.DUMMYFUNCTION("IF(OR(E3599="""",K3599=""""),"""",IFERROR(IF(K3599="""","""",query('tbl user'!$A$2:$D10975,""SELECT A WHERE D = '""&amp;K3599&amp;""'"")),""USER TIDAK DIKETAHUI""))"),"#REF!")</f>
        <v>#REF!</v>
      </c>
    </row>
    <row r="3600">
      <c r="A3600" s="21">
        <f t="shared" si="1"/>
        <v>0</v>
      </c>
      <c r="B3600" s="32" t="s">
        <v>40</v>
      </c>
      <c r="C3600" s="23" t="s">
        <v>41</v>
      </c>
      <c r="D3600" s="23" t="s">
        <v>32</v>
      </c>
      <c r="E3600" s="24">
        <v>45449.0</v>
      </c>
      <c r="F3600" s="25">
        <v>0.2625</v>
      </c>
      <c r="G3600" s="25">
        <v>0.6979166666666666</v>
      </c>
      <c r="H3600" s="27">
        <f t="shared" si="2"/>
        <v>0.4354166667</v>
      </c>
      <c r="I3600" s="28">
        <v>4.0</v>
      </c>
      <c r="J3600" s="29" t="s">
        <v>55</v>
      </c>
      <c r="K3600" s="30" t="s">
        <v>23</v>
      </c>
      <c r="L3600" s="31" t="str">
        <f>IFERROR(__xludf.DUMMYFUNCTION("IF(OR(E3600="""",K3600=""""),"""",IFERROR(IF(K3600="""","""",query('tbl user'!$A$2:$D10975,""SELECT A WHERE D = '""&amp;K3600&amp;""'"")),""USER TIDAK DIKETAHUI""))"),"#REF!")</f>
        <v>#REF!</v>
      </c>
    </row>
    <row r="3601">
      <c r="A3601" s="21">
        <f t="shared" si="1"/>
        <v>0</v>
      </c>
      <c r="B3601" s="32" t="s">
        <v>137</v>
      </c>
      <c r="C3601" s="23" t="s">
        <v>138</v>
      </c>
      <c r="D3601" s="23" t="s">
        <v>32</v>
      </c>
      <c r="E3601" s="24">
        <v>45449.0</v>
      </c>
      <c r="F3601" s="25">
        <v>0.24375</v>
      </c>
      <c r="G3601" s="25">
        <v>0.6409722222222223</v>
      </c>
      <c r="H3601" s="27">
        <f t="shared" si="2"/>
        <v>0.3972222222</v>
      </c>
      <c r="I3601" s="28">
        <v>4.0</v>
      </c>
      <c r="J3601" s="29" t="s">
        <v>55</v>
      </c>
      <c r="K3601" s="30" t="s">
        <v>23</v>
      </c>
      <c r="L3601" s="31" t="str">
        <f>IFERROR(__xludf.DUMMYFUNCTION("IF(OR(E3601="""",K3601=""""),"""",IFERROR(IF(K3601="""","""",query('tbl user'!$A$2:$D10975,""SELECT A WHERE D = '""&amp;K3601&amp;""'"")),""USER TIDAK DIKETAHUI""))"),"#REF!")</f>
        <v>#REF!</v>
      </c>
    </row>
    <row r="3602">
      <c r="A3602" s="21">
        <f t="shared" si="1"/>
        <v>0</v>
      </c>
      <c r="B3602" s="32" t="s">
        <v>139</v>
      </c>
      <c r="C3602" s="23" t="s">
        <v>96</v>
      </c>
      <c r="D3602" s="23" t="s">
        <v>32</v>
      </c>
      <c r="E3602" s="24">
        <v>45449.0</v>
      </c>
      <c r="F3602" s="25">
        <v>0.4048611111111111</v>
      </c>
      <c r="G3602" s="25">
        <v>0.7597222222222222</v>
      </c>
      <c r="H3602" s="27">
        <f t="shared" si="2"/>
        <v>0.3548611111</v>
      </c>
      <c r="I3602" s="28">
        <v>2.0</v>
      </c>
      <c r="J3602" s="29" t="s">
        <v>140</v>
      </c>
      <c r="K3602" s="30" t="s">
        <v>23</v>
      </c>
      <c r="L3602" s="31" t="str">
        <f>IFERROR(__xludf.DUMMYFUNCTION("IF(OR(E3602="""",K3602=""""),"""",IFERROR(IF(K3602="""","""",query('tbl user'!$A$2:$D10975,""SELECT A WHERE D = '""&amp;K3602&amp;""'"")),""USER TIDAK DIKETAHUI""))"),"#REF!")</f>
        <v>#REF!</v>
      </c>
    </row>
    <row r="3603">
      <c r="A3603" s="21">
        <f t="shared" si="1"/>
        <v>0</v>
      </c>
      <c r="B3603" s="32" t="s">
        <v>141</v>
      </c>
      <c r="C3603" s="23" t="s">
        <v>142</v>
      </c>
      <c r="D3603" s="23" t="s">
        <v>32</v>
      </c>
      <c r="E3603" s="24">
        <v>45449.0</v>
      </c>
      <c r="F3603" s="25">
        <v>0.2673611111111111</v>
      </c>
      <c r="G3603" s="25">
        <v>0.6125</v>
      </c>
      <c r="H3603" s="27">
        <f t="shared" si="2"/>
        <v>0.3451388889</v>
      </c>
      <c r="I3603" s="28">
        <v>3.0</v>
      </c>
      <c r="J3603" s="29" t="s">
        <v>1602</v>
      </c>
      <c r="K3603" s="30" t="s">
        <v>23</v>
      </c>
      <c r="L3603" s="31" t="str">
        <f>IFERROR(__xludf.DUMMYFUNCTION("IF(OR(E3603="""",K3603=""""),"""",IFERROR(IF(K3603="""","""",query('tbl user'!$A$2:$D10975,""SELECT A WHERE D = '""&amp;K3603&amp;""'"")),""USER TIDAK DIKETAHUI""))"),"#REF!")</f>
        <v>#REF!</v>
      </c>
    </row>
    <row r="3604">
      <c r="A3604" s="21">
        <f t="shared" si="1"/>
        <v>0</v>
      </c>
      <c r="B3604" s="32" t="s">
        <v>78</v>
      </c>
      <c r="C3604" s="23" t="s">
        <v>79</v>
      </c>
      <c r="D3604" s="23" t="s">
        <v>32</v>
      </c>
      <c r="E3604" s="24">
        <v>45449.0</v>
      </c>
      <c r="F3604" s="25">
        <v>0.2375</v>
      </c>
      <c r="G3604" s="25">
        <v>0.7694444444444445</v>
      </c>
      <c r="H3604" s="27">
        <f t="shared" si="2"/>
        <v>0.5319444444</v>
      </c>
      <c r="I3604" s="28">
        <v>4.0</v>
      </c>
      <c r="J3604" s="29" t="s">
        <v>55</v>
      </c>
      <c r="K3604" s="30" t="s">
        <v>23</v>
      </c>
      <c r="L3604" s="31" t="str">
        <f>IFERROR(__xludf.DUMMYFUNCTION("IF(OR(E3604="""",K3604=""""),"""",IFERROR(IF(K3604="""","""",query('tbl user'!$A$2:$D10975,""SELECT A WHERE D = '""&amp;K3604&amp;""'"")),""USER TIDAK DIKETAHUI""))"),"#REF!")</f>
        <v>#REF!</v>
      </c>
    </row>
    <row r="3605">
      <c r="A3605" s="21">
        <f t="shared" si="1"/>
        <v>0</v>
      </c>
      <c r="B3605" s="32" t="s">
        <v>144</v>
      </c>
      <c r="C3605" s="23" t="s">
        <v>145</v>
      </c>
      <c r="D3605" s="23" t="s">
        <v>32</v>
      </c>
      <c r="E3605" s="24">
        <v>45449.0</v>
      </c>
      <c r="F3605" s="25">
        <v>0.27569444444444446</v>
      </c>
      <c r="G3605" s="25">
        <v>0.7097222222222223</v>
      </c>
      <c r="H3605" s="27">
        <f t="shared" si="2"/>
        <v>0.4340277778</v>
      </c>
      <c r="I3605" s="28">
        <v>4.0</v>
      </c>
      <c r="J3605" s="29" t="s">
        <v>55</v>
      </c>
      <c r="K3605" s="30" t="s">
        <v>23</v>
      </c>
      <c r="L3605" s="31" t="str">
        <f>IFERROR(__xludf.DUMMYFUNCTION("IF(OR(E3605="""",K3605=""""),"""",IFERROR(IF(K3605="""","""",query('tbl user'!$A$2:$D10975,""SELECT A WHERE D = '""&amp;K3605&amp;""'"")),""USER TIDAK DIKETAHUI""))"),"#REF!")</f>
        <v>#REF!</v>
      </c>
    </row>
    <row r="3606">
      <c r="A3606" s="21">
        <f t="shared" si="1"/>
        <v>0</v>
      </c>
      <c r="B3606" s="32" t="s">
        <v>146</v>
      </c>
      <c r="C3606" s="23" t="s">
        <v>147</v>
      </c>
      <c r="D3606" s="23" t="s">
        <v>32</v>
      </c>
      <c r="E3606" s="24">
        <v>45449.0</v>
      </c>
      <c r="F3606" s="25">
        <v>0.2777777777777778</v>
      </c>
      <c r="G3606" s="25">
        <v>0.6930555555555555</v>
      </c>
      <c r="H3606" s="27">
        <f t="shared" si="2"/>
        <v>0.4152777778</v>
      </c>
      <c r="I3606" s="28">
        <v>3.0</v>
      </c>
      <c r="J3606" s="29" t="s">
        <v>148</v>
      </c>
      <c r="K3606" s="30" t="s">
        <v>23</v>
      </c>
      <c r="L3606" s="31" t="str">
        <f>IFERROR(__xludf.DUMMYFUNCTION("IF(OR(E3606="""",K3606=""""),"""",IFERROR(IF(K3606="""","""",query('tbl user'!$A$2:$D10975,""SELECT A WHERE D = '""&amp;K3606&amp;""'"")),""USER TIDAK DIKETAHUI""))"),"#REF!")</f>
        <v>#REF!</v>
      </c>
    </row>
    <row r="3607">
      <c r="A3607" s="21">
        <f t="shared" si="1"/>
        <v>0</v>
      </c>
      <c r="B3607" s="32" t="s">
        <v>149</v>
      </c>
      <c r="C3607" s="23" t="s">
        <v>150</v>
      </c>
      <c r="D3607" s="23" t="s">
        <v>32</v>
      </c>
      <c r="E3607" s="24">
        <v>45449.0</v>
      </c>
      <c r="F3607" s="25">
        <v>0.2423611111111111</v>
      </c>
      <c r="G3607" s="25">
        <v>0.6875</v>
      </c>
      <c r="H3607" s="27">
        <f t="shared" si="2"/>
        <v>0.4451388889</v>
      </c>
      <c r="I3607" s="28">
        <v>4.0</v>
      </c>
      <c r="J3607" s="29" t="s">
        <v>55</v>
      </c>
      <c r="K3607" s="30" t="s">
        <v>23</v>
      </c>
      <c r="L3607" s="31" t="str">
        <f>IFERROR(__xludf.DUMMYFUNCTION("IF(OR(E3607="""",K3607=""""),"""",IFERROR(IF(K3607="""","""",query('tbl user'!$A$2:$D10975,""SELECT A WHERE D = '""&amp;K3607&amp;""'"")),""USER TIDAK DIKETAHUI""))"),"#REF!")</f>
        <v>#REF!</v>
      </c>
    </row>
    <row r="3608">
      <c r="A3608" s="21">
        <f t="shared" si="1"/>
        <v>0</v>
      </c>
      <c r="B3608" s="32" t="s">
        <v>151</v>
      </c>
      <c r="C3608" s="23" t="s">
        <v>152</v>
      </c>
      <c r="D3608" s="23" t="s">
        <v>32</v>
      </c>
      <c r="E3608" s="24">
        <v>45449.0</v>
      </c>
      <c r="F3608" s="25">
        <v>0.2611111111111111</v>
      </c>
      <c r="G3608" s="25">
        <v>0.6763888888888889</v>
      </c>
      <c r="H3608" s="27">
        <f t="shared" si="2"/>
        <v>0.4152777778</v>
      </c>
      <c r="I3608" s="28">
        <v>4.0</v>
      </c>
      <c r="J3608" s="29" t="s">
        <v>55</v>
      </c>
      <c r="K3608" s="30" t="s">
        <v>23</v>
      </c>
      <c r="L3608" s="31" t="str">
        <f>IFERROR(__xludf.DUMMYFUNCTION("IF(OR(E3608="""",K3608=""""),"""",IFERROR(IF(K3608="""","""",query('tbl user'!$A$2:$D10975,""SELECT A WHERE D = '""&amp;K3608&amp;""'"")),""USER TIDAK DIKETAHUI""))"),"#REF!")</f>
        <v>#REF!</v>
      </c>
    </row>
    <row r="3609">
      <c r="A3609" s="21">
        <f t="shared" si="1"/>
        <v>0</v>
      </c>
      <c r="B3609" s="32" t="s">
        <v>214</v>
      </c>
      <c r="C3609" s="23" t="s">
        <v>170</v>
      </c>
      <c r="D3609" s="23" t="s">
        <v>58</v>
      </c>
      <c r="E3609" s="24">
        <v>45450.0</v>
      </c>
      <c r="F3609" s="25">
        <v>0.2902777777777778</v>
      </c>
      <c r="G3609" s="25">
        <v>0.6270833333333333</v>
      </c>
      <c r="H3609" s="27">
        <f t="shared" si="2"/>
        <v>0.3368055556</v>
      </c>
      <c r="I3609" s="28">
        <v>2.0</v>
      </c>
      <c r="J3609" s="29" t="s">
        <v>1603</v>
      </c>
      <c r="K3609" s="30" t="s">
        <v>23</v>
      </c>
      <c r="L3609" s="31" t="str">
        <f>IFERROR(__xludf.DUMMYFUNCTION("IF(OR(E3609="""",K3609=""""),"""",IFERROR(IF(K3609="""","""",query('tbl user'!$A$2:$D10975,""SELECT A WHERE D = '""&amp;K3609&amp;""'"")),""USER TIDAK DIKETAHUI""))"),"#REF!")</f>
        <v>#REF!</v>
      </c>
    </row>
    <row r="3610">
      <c r="A3610" s="21">
        <f t="shared" si="1"/>
        <v>0</v>
      </c>
      <c r="B3610" s="32" t="s">
        <v>92</v>
      </c>
      <c r="C3610" s="23" t="s">
        <v>93</v>
      </c>
      <c r="D3610" s="23" t="s">
        <v>58</v>
      </c>
      <c r="E3610" s="24">
        <v>45450.0</v>
      </c>
      <c r="F3610" s="25">
        <v>0.2659722222222222</v>
      </c>
      <c r="G3610" s="25">
        <v>0.6527777777777778</v>
      </c>
      <c r="H3610" s="27">
        <f t="shared" si="2"/>
        <v>0.3868055556</v>
      </c>
      <c r="I3610" s="28">
        <v>2.0</v>
      </c>
      <c r="J3610" s="29" t="s">
        <v>1604</v>
      </c>
      <c r="K3610" s="30" t="s">
        <v>23</v>
      </c>
      <c r="L3610" s="31" t="str">
        <f>IFERROR(__xludf.DUMMYFUNCTION("IF(OR(E3610="""",K3610=""""),"""",IFERROR(IF(K3610="""","""",query('tbl user'!$A$2:$D10975,""SELECT A WHERE D = '""&amp;K3610&amp;""'"")),""USER TIDAK DIKETAHUI""))"),"#REF!")</f>
        <v>#REF!</v>
      </c>
    </row>
    <row r="3611">
      <c r="A3611" s="21">
        <f t="shared" si="1"/>
        <v>0</v>
      </c>
      <c r="B3611" s="32" t="s">
        <v>184</v>
      </c>
      <c r="C3611" s="23" t="s">
        <v>185</v>
      </c>
      <c r="D3611" s="23" t="s">
        <v>58</v>
      </c>
      <c r="E3611" s="24">
        <v>45450.0</v>
      </c>
      <c r="F3611" s="25">
        <v>0.24930555555555556</v>
      </c>
      <c r="G3611" s="25">
        <v>0.59375</v>
      </c>
      <c r="H3611" s="27">
        <f t="shared" si="2"/>
        <v>0.3444444444</v>
      </c>
      <c r="I3611" s="28">
        <v>2.0</v>
      </c>
      <c r="J3611" s="29" t="s">
        <v>1605</v>
      </c>
      <c r="K3611" s="30" t="s">
        <v>23</v>
      </c>
      <c r="L3611" s="31" t="str">
        <f>IFERROR(__xludf.DUMMYFUNCTION("IF(OR(E3611="""",K3611=""""),"""",IFERROR(IF(K3611="""","""",query('tbl user'!$A$2:$D10975,""SELECT A WHERE D = '""&amp;K3611&amp;""'"")),""USER TIDAK DIKETAHUI""))"),"#REF!")</f>
        <v>#REF!</v>
      </c>
    </row>
    <row r="3612">
      <c r="A3612" s="21">
        <f t="shared" si="1"/>
        <v>0</v>
      </c>
      <c r="B3612" s="32" t="s">
        <v>202</v>
      </c>
      <c r="C3612" s="23" t="s">
        <v>203</v>
      </c>
      <c r="D3612" s="23" t="s">
        <v>58</v>
      </c>
      <c r="E3612" s="24">
        <v>45450.0</v>
      </c>
      <c r="F3612" s="25">
        <v>0.25555555555555554</v>
      </c>
      <c r="G3612" s="25">
        <v>0.6243055555555556</v>
      </c>
      <c r="H3612" s="27">
        <f t="shared" si="2"/>
        <v>0.36875</v>
      </c>
      <c r="I3612" s="28">
        <v>2.0</v>
      </c>
      <c r="J3612" s="29" t="s">
        <v>1606</v>
      </c>
      <c r="K3612" s="30" t="s">
        <v>23</v>
      </c>
      <c r="L3612" s="31" t="str">
        <f>IFERROR(__xludf.DUMMYFUNCTION("IF(OR(E3612="""",K3612=""""),"""",IFERROR(IF(K3612="""","""",query('tbl user'!$A$2:$D10975,""SELECT A WHERE D = '""&amp;K3612&amp;""'"")),""USER TIDAK DIKETAHUI""))"),"#REF!")</f>
        <v>#REF!</v>
      </c>
    </row>
    <row r="3613">
      <c r="A3613" s="21">
        <f t="shared" si="1"/>
        <v>0</v>
      </c>
      <c r="B3613" s="32" t="s">
        <v>209</v>
      </c>
      <c r="C3613" s="23" t="s">
        <v>85</v>
      </c>
      <c r="D3613" s="23" t="s">
        <v>58</v>
      </c>
      <c r="E3613" s="24">
        <v>45450.0</v>
      </c>
      <c r="F3613" s="25">
        <v>0.2708333333333333</v>
      </c>
      <c r="G3613" s="25">
        <v>0.5930555555555556</v>
      </c>
      <c r="H3613" s="27">
        <f t="shared" si="2"/>
        <v>0.3222222222</v>
      </c>
      <c r="I3613" s="28">
        <v>2.0</v>
      </c>
      <c r="J3613" s="29" t="s">
        <v>1607</v>
      </c>
      <c r="K3613" s="30" t="s">
        <v>23</v>
      </c>
      <c r="L3613" s="31" t="str">
        <f>IFERROR(__xludf.DUMMYFUNCTION("IF(OR(E3613="""",K3613=""""),"""",IFERROR(IF(K3613="""","""",query('tbl user'!$A$2:$D10975,""SELECT A WHERE D = '""&amp;K3613&amp;""'"")),""USER TIDAK DIKETAHUI""))"),"#REF!")</f>
        <v>#REF!</v>
      </c>
    </row>
    <row r="3614">
      <c r="A3614" s="21">
        <f t="shared" si="1"/>
        <v>0</v>
      </c>
      <c r="B3614" s="32" t="s">
        <v>67</v>
      </c>
      <c r="C3614" s="23" t="s">
        <v>68</v>
      </c>
      <c r="D3614" s="23" t="s">
        <v>58</v>
      </c>
      <c r="E3614" s="24">
        <v>45450.0</v>
      </c>
      <c r="F3614" s="25">
        <v>0.27847222222222223</v>
      </c>
      <c r="G3614" s="25">
        <v>0.6881944444444444</v>
      </c>
      <c r="H3614" s="27">
        <f t="shared" si="2"/>
        <v>0.4097222222</v>
      </c>
      <c r="I3614" s="28">
        <v>3.0</v>
      </c>
      <c r="J3614" s="29" t="s">
        <v>1608</v>
      </c>
      <c r="K3614" s="30" t="s">
        <v>23</v>
      </c>
      <c r="L3614" s="31" t="str">
        <f>IFERROR(__xludf.DUMMYFUNCTION("IF(OR(E3614="""",K3614=""""),"""",IFERROR(IF(K3614="""","""",query('tbl user'!$A$2:$D10975,""SELECT A WHERE D = '""&amp;K3614&amp;""'"")),""USER TIDAK DIKETAHUI""))"),"#REF!")</f>
        <v>#REF!</v>
      </c>
    </row>
    <row r="3615">
      <c r="A3615" s="21">
        <f t="shared" si="1"/>
        <v>0</v>
      </c>
      <c r="B3615" s="32" t="s">
        <v>153</v>
      </c>
      <c r="C3615" s="23" t="s">
        <v>154</v>
      </c>
      <c r="D3615" s="23" t="s">
        <v>58</v>
      </c>
      <c r="E3615" s="24">
        <v>45450.0</v>
      </c>
      <c r="F3615" s="25">
        <v>0.24027777777777778</v>
      </c>
      <c r="G3615" s="25">
        <v>0.7152777777777778</v>
      </c>
      <c r="H3615" s="27">
        <f t="shared" si="2"/>
        <v>0.475</v>
      </c>
      <c r="I3615" s="28">
        <v>3.0</v>
      </c>
      <c r="J3615" s="29" t="s">
        <v>894</v>
      </c>
      <c r="K3615" s="30" t="s">
        <v>23</v>
      </c>
      <c r="L3615" s="31" t="str">
        <f>IFERROR(__xludf.DUMMYFUNCTION("IF(OR(E3615="""",K3615=""""),"""",IFERROR(IF(K3615="""","""",query('tbl user'!$A$2:$D10975,""SELECT A WHERE D = '""&amp;K3615&amp;""'"")),""USER TIDAK DIKETAHUI""))"),"#REF!")</f>
        <v>#REF!</v>
      </c>
    </row>
    <row r="3616">
      <c r="A3616" s="21">
        <f t="shared" si="1"/>
        <v>0</v>
      </c>
      <c r="B3616" s="32" t="s">
        <v>156</v>
      </c>
      <c r="C3616" s="23" t="s">
        <v>157</v>
      </c>
      <c r="D3616" s="23" t="s">
        <v>58</v>
      </c>
      <c r="E3616" s="24">
        <v>45450.0</v>
      </c>
      <c r="F3616" s="25">
        <v>0.26180555555555557</v>
      </c>
      <c r="G3616" s="25">
        <v>0.6666666666666666</v>
      </c>
      <c r="H3616" s="27">
        <f t="shared" si="2"/>
        <v>0.4048611111</v>
      </c>
      <c r="I3616" s="28">
        <v>3.0</v>
      </c>
      <c r="J3616" s="29" t="s">
        <v>894</v>
      </c>
      <c r="K3616" s="30" t="s">
        <v>23</v>
      </c>
      <c r="L3616" s="31" t="str">
        <f>IFERROR(__xludf.DUMMYFUNCTION("IF(OR(E3616="""",K3616=""""),"""",IFERROR(IF(K3616="""","""",query('tbl user'!$A$2:$D10975,""SELECT A WHERE D = '""&amp;K3616&amp;""'"")),""USER TIDAK DIKETAHUI""))"),"#REF!")</f>
        <v>#REF!</v>
      </c>
    </row>
    <row r="3617">
      <c r="A3617" s="21">
        <f t="shared" si="1"/>
        <v>0</v>
      </c>
      <c r="B3617" s="32" t="s">
        <v>333</v>
      </c>
      <c r="C3617" s="23" t="s">
        <v>165</v>
      </c>
      <c r="D3617" s="23" t="s">
        <v>58</v>
      </c>
      <c r="E3617" s="24">
        <v>45450.0</v>
      </c>
      <c r="F3617" s="25">
        <v>0.26458333333333334</v>
      </c>
      <c r="G3617" s="25">
        <v>0.6888888888888889</v>
      </c>
      <c r="H3617" s="27">
        <f t="shared" si="2"/>
        <v>0.4243055556</v>
      </c>
      <c r="I3617" s="28">
        <v>3.0</v>
      </c>
      <c r="J3617" s="29" t="s">
        <v>1609</v>
      </c>
      <c r="K3617" s="30" t="s">
        <v>23</v>
      </c>
      <c r="L3617" s="31" t="str">
        <f>IFERROR(__xludf.DUMMYFUNCTION("IF(OR(E3617="""",K3617=""""),"""",IFERROR(IF(K3617="""","""",query('tbl user'!$A$2:$D10975,""SELECT A WHERE D = '""&amp;K3617&amp;""'"")),""USER TIDAK DIKETAHUI""))"),"#REF!")</f>
        <v>#REF!</v>
      </c>
    </row>
    <row r="3618">
      <c r="A3618" s="21">
        <f t="shared" si="1"/>
        <v>0</v>
      </c>
      <c r="B3618" s="32" t="s">
        <v>167</v>
      </c>
      <c r="C3618" s="23" t="s">
        <v>168</v>
      </c>
      <c r="D3618" s="23" t="s">
        <v>58</v>
      </c>
      <c r="E3618" s="24">
        <v>45450.0</v>
      </c>
      <c r="F3618" s="25">
        <v>0.2881944444444444</v>
      </c>
      <c r="G3618" s="25">
        <v>0.6777777777777778</v>
      </c>
      <c r="H3618" s="27">
        <f t="shared" si="2"/>
        <v>0.3895833333</v>
      </c>
      <c r="I3618" s="28">
        <v>3.0</v>
      </c>
      <c r="J3618" s="29" t="s">
        <v>894</v>
      </c>
      <c r="K3618" s="30" t="s">
        <v>23</v>
      </c>
      <c r="L3618" s="31" t="str">
        <f>IFERROR(__xludf.DUMMYFUNCTION("IF(OR(E3618="""",K3618=""""),"""",IFERROR(IF(K3618="""","""",query('tbl user'!$A$2:$D10975,""SELECT A WHERE D = '""&amp;K3618&amp;""'"")),""USER TIDAK DIKETAHUI""))"),"#REF!")</f>
        <v>#REF!</v>
      </c>
    </row>
    <row r="3619">
      <c r="A3619" s="21">
        <f t="shared" si="1"/>
        <v>0</v>
      </c>
      <c r="B3619" s="32" t="s">
        <v>175</v>
      </c>
      <c r="C3619" s="23" t="s">
        <v>176</v>
      </c>
      <c r="D3619" s="23" t="s">
        <v>58</v>
      </c>
      <c r="E3619" s="24">
        <v>45450.0</v>
      </c>
      <c r="F3619" s="25">
        <v>0.28055555555555556</v>
      </c>
      <c r="G3619" s="25">
        <v>0.7090277777777778</v>
      </c>
      <c r="H3619" s="27">
        <f t="shared" si="2"/>
        <v>0.4284722222</v>
      </c>
      <c r="I3619" s="28">
        <v>3.0</v>
      </c>
      <c r="J3619" s="29" t="s">
        <v>1610</v>
      </c>
      <c r="K3619" s="30" t="s">
        <v>23</v>
      </c>
      <c r="L3619" s="31" t="str">
        <f>IFERROR(__xludf.DUMMYFUNCTION("IF(OR(E3619="""",K3619=""""),"""",IFERROR(IF(K3619="""","""",query('tbl user'!$A$2:$D10975,""SELECT A WHERE D = '""&amp;K3619&amp;""'"")),""USER TIDAK DIKETAHUI""))"),"#REF!")</f>
        <v>#REF!</v>
      </c>
    </row>
    <row r="3620">
      <c r="A3620" s="21">
        <f t="shared" si="1"/>
        <v>0</v>
      </c>
      <c r="B3620" s="32" t="s">
        <v>159</v>
      </c>
      <c r="C3620" s="23" t="s">
        <v>57</v>
      </c>
      <c r="D3620" s="23" t="s">
        <v>58</v>
      </c>
      <c r="E3620" s="24">
        <v>45450.0</v>
      </c>
      <c r="F3620" s="25">
        <v>0.2881944444444444</v>
      </c>
      <c r="G3620" s="25">
        <v>0.7381944444444445</v>
      </c>
      <c r="H3620" s="27">
        <f t="shared" si="2"/>
        <v>0.45</v>
      </c>
      <c r="I3620" s="28">
        <v>3.0</v>
      </c>
      <c r="J3620" s="29" t="s">
        <v>894</v>
      </c>
      <c r="K3620" s="30" t="s">
        <v>23</v>
      </c>
      <c r="L3620" s="31" t="str">
        <f>IFERROR(__xludf.DUMMYFUNCTION("IF(OR(E3620="""",K3620=""""),"""",IFERROR(IF(K3620="""","""",query('tbl user'!$A$2:$D10975,""SELECT A WHERE D = '""&amp;K3620&amp;""'"")),""USER TIDAK DIKETAHUI""))"),"#REF!")</f>
        <v>#REF!</v>
      </c>
    </row>
    <row r="3621">
      <c r="A3621" s="21">
        <f t="shared" si="1"/>
        <v>0</v>
      </c>
      <c r="B3621" s="32" t="s">
        <v>187</v>
      </c>
      <c r="C3621" s="23" t="s">
        <v>188</v>
      </c>
      <c r="D3621" s="23" t="s">
        <v>58</v>
      </c>
      <c r="E3621" s="24">
        <v>45450.0</v>
      </c>
      <c r="F3621" s="25">
        <v>0.23541666666666666</v>
      </c>
      <c r="G3621" s="25">
        <v>0.6576388888888889</v>
      </c>
      <c r="H3621" s="27">
        <f t="shared" si="2"/>
        <v>0.4222222222</v>
      </c>
      <c r="I3621" s="28">
        <v>3.0</v>
      </c>
      <c r="J3621" s="29" t="s">
        <v>1611</v>
      </c>
      <c r="K3621" s="30" t="s">
        <v>23</v>
      </c>
      <c r="L3621" s="31" t="str">
        <f>IFERROR(__xludf.DUMMYFUNCTION("IF(OR(E3621="""",K3621=""""),"""",IFERROR(IF(K3621="""","""",query('tbl user'!$A$2:$D10975,""SELECT A WHERE D = '""&amp;K3621&amp;""'"")),""USER TIDAK DIKETAHUI""))"),"#REF!")</f>
        <v>#REF!</v>
      </c>
    </row>
    <row r="3622">
      <c r="A3622" s="21">
        <f t="shared" si="1"/>
        <v>0</v>
      </c>
      <c r="B3622" s="32" t="s">
        <v>189</v>
      </c>
      <c r="C3622" s="23" t="s">
        <v>190</v>
      </c>
      <c r="D3622" s="23" t="s">
        <v>58</v>
      </c>
      <c r="E3622" s="24">
        <v>45450.0</v>
      </c>
      <c r="F3622" s="25">
        <v>0.2916666666666667</v>
      </c>
      <c r="G3622" s="25">
        <v>0.68125</v>
      </c>
      <c r="H3622" s="27">
        <f t="shared" si="2"/>
        <v>0.3895833333</v>
      </c>
      <c r="I3622" s="28">
        <v>3.0</v>
      </c>
      <c r="J3622" s="29" t="s">
        <v>1349</v>
      </c>
      <c r="K3622" s="30" t="s">
        <v>23</v>
      </c>
      <c r="L3622" s="31" t="str">
        <f>IFERROR(__xludf.DUMMYFUNCTION("IF(OR(E3622="""",K3622=""""),"""",IFERROR(IF(K3622="""","""",query('tbl user'!$A$2:$D10975,""SELECT A WHERE D = '""&amp;K3622&amp;""'"")),""USER TIDAK DIKETAHUI""))"),"#REF!")</f>
        <v>#REF!</v>
      </c>
    </row>
    <row r="3623">
      <c r="A3623" s="21">
        <f t="shared" si="1"/>
        <v>0</v>
      </c>
      <c r="B3623" s="32" t="s">
        <v>191</v>
      </c>
      <c r="C3623" s="23" t="s">
        <v>192</v>
      </c>
      <c r="D3623" s="23" t="s">
        <v>58</v>
      </c>
      <c r="E3623" s="24">
        <v>45450.0</v>
      </c>
      <c r="F3623" s="25">
        <v>0.2534722222222222</v>
      </c>
      <c r="G3623" s="25">
        <v>0.6944444444444444</v>
      </c>
      <c r="H3623" s="27">
        <f t="shared" si="2"/>
        <v>0.4409722222</v>
      </c>
      <c r="I3623" s="28">
        <v>3.0</v>
      </c>
      <c r="J3623" s="29" t="s">
        <v>894</v>
      </c>
      <c r="K3623" s="30" t="s">
        <v>23</v>
      </c>
      <c r="L3623" s="31" t="str">
        <f>IFERROR(__xludf.DUMMYFUNCTION("IF(OR(E3623="""",K3623=""""),"""",IFERROR(IF(K3623="""","""",query('tbl user'!$A$2:$D10975,""SELECT A WHERE D = '""&amp;K3623&amp;""'"")),""USER TIDAK DIKETAHUI""))"),"#REF!")</f>
        <v>#REF!</v>
      </c>
    </row>
    <row r="3624">
      <c r="A3624" s="21">
        <f t="shared" si="1"/>
        <v>0</v>
      </c>
      <c r="B3624" s="32" t="s">
        <v>104</v>
      </c>
      <c r="C3624" s="23" t="s">
        <v>105</v>
      </c>
      <c r="D3624" s="23" t="s">
        <v>58</v>
      </c>
      <c r="E3624" s="24">
        <v>45450.0</v>
      </c>
      <c r="F3624" s="25">
        <v>0.24097222222222223</v>
      </c>
      <c r="G3624" s="25">
        <v>0.7361111111111112</v>
      </c>
      <c r="H3624" s="27">
        <f t="shared" si="2"/>
        <v>0.4951388889</v>
      </c>
      <c r="I3624" s="28">
        <v>3.0</v>
      </c>
      <c r="J3624" s="29" t="s">
        <v>673</v>
      </c>
      <c r="K3624" s="30" t="s">
        <v>23</v>
      </c>
      <c r="L3624" s="31" t="str">
        <f>IFERROR(__xludf.DUMMYFUNCTION("IF(OR(E3624="""",K3624=""""),"""",IFERROR(IF(K3624="""","""",query('tbl user'!$A$2:$D10975,""SELECT A WHERE D = '""&amp;K3624&amp;""'"")),""USER TIDAK DIKETAHUI""))"),"#REF!")</f>
        <v>#REF!</v>
      </c>
    </row>
    <row r="3625">
      <c r="A3625" s="21">
        <f t="shared" si="1"/>
        <v>0</v>
      </c>
      <c r="B3625" s="32" t="s">
        <v>205</v>
      </c>
      <c r="C3625" s="23" t="s">
        <v>206</v>
      </c>
      <c r="D3625" s="23" t="s">
        <v>58</v>
      </c>
      <c r="E3625" s="24">
        <v>45450.0</v>
      </c>
      <c r="F3625" s="25">
        <v>0.22847222222222222</v>
      </c>
      <c r="G3625" s="25">
        <v>0.6729166666666667</v>
      </c>
      <c r="H3625" s="27">
        <f t="shared" si="2"/>
        <v>0.4444444444</v>
      </c>
      <c r="I3625" s="28">
        <v>3.0</v>
      </c>
      <c r="J3625" s="29" t="s">
        <v>894</v>
      </c>
      <c r="K3625" s="30" t="s">
        <v>23</v>
      </c>
      <c r="L3625" s="31" t="str">
        <f>IFERROR(__xludf.DUMMYFUNCTION("IF(OR(E3625="""",K3625=""""),"""",IFERROR(IF(K3625="""","""",query('tbl user'!$A$2:$D10975,""SELECT A WHERE D = '""&amp;K3625&amp;""'"")),""USER TIDAK DIKETAHUI""))"),"#REF!")</f>
        <v>#REF!</v>
      </c>
    </row>
    <row r="3626">
      <c r="A3626" s="21">
        <f t="shared" si="1"/>
        <v>0</v>
      </c>
      <c r="B3626" s="32" t="s">
        <v>95</v>
      </c>
      <c r="C3626" s="23" t="s">
        <v>208</v>
      </c>
      <c r="D3626" s="23" t="s">
        <v>58</v>
      </c>
      <c r="E3626" s="24">
        <v>45450.0</v>
      </c>
      <c r="F3626" s="25">
        <v>0.23125</v>
      </c>
      <c r="G3626" s="25">
        <v>0.6840277777777778</v>
      </c>
      <c r="H3626" s="27">
        <f t="shared" si="2"/>
        <v>0.4527777778</v>
      </c>
      <c r="I3626" s="28">
        <v>3.0</v>
      </c>
      <c r="J3626" s="29" t="s">
        <v>1612</v>
      </c>
      <c r="K3626" s="30" t="s">
        <v>23</v>
      </c>
      <c r="L3626" s="31" t="str">
        <f>IFERROR(__xludf.DUMMYFUNCTION("IF(OR(E3626="""",K3626=""""),"""",IFERROR(IF(K3626="""","""",query('tbl user'!$A$2:$D10975,""SELECT A WHERE D = '""&amp;K3626&amp;""'"")),""USER TIDAK DIKETAHUI""))"),"#REF!")</f>
        <v>#REF!</v>
      </c>
    </row>
    <row r="3627">
      <c r="A3627" s="21">
        <f t="shared" si="1"/>
        <v>0</v>
      </c>
      <c r="B3627" s="32" t="s">
        <v>172</v>
      </c>
      <c r="C3627" s="23" t="s">
        <v>173</v>
      </c>
      <c r="D3627" s="23" t="s">
        <v>58</v>
      </c>
      <c r="E3627" s="24">
        <v>45450.0</v>
      </c>
      <c r="F3627" s="25">
        <v>0.20694444444444443</v>
      </c>
      <c r="G3627" s="25">
        <v>0.6895833333333333</v>
      </c>
      <c r="H3627" s="27">
        <f t="shared" si="2"/>
        <v>0.4826388889</v>
      </c>
      <c r="I3627" s="28">
        <v>4.0</v>
      </c>
      <c r="J3627" s="29" t="s">
        <v>55</v>
      </c>
      <c r="K3627" s="30" t="s">
        <v>23</v>
      </c>
      <c r="L3627" s="31" t="str">
        <f>IFERROR(__xludf.DUMMYFUNCTION("IF(OR(E3627="""",K3627=""""),"""",IFERROR(IF(K3627="""","""",query('tbl user'!$A$2:$D10975,""SELECT A WHERE D = '""&amp;K3627&amp;""'"")),""USER TIDAK DIKETAHUI""))"),"#REF!")</f>
        <v>#REF!</v>
      </c>
    </row>
    <row r="3628">
      <c r="A3628" s="21">
        <f t="shared" si="1"/>
        <v>0</v>
      </c>
      <c r="B3628" s="32" t="s">
        <v>180</v>
      </c>
      <c r="C3628" s="23" t="s">
        <v>181</v>
      </c>
      <c r="D3628" s="23" t="s">
        <v>58</v>
      </c>
      <c r="E3628" s="24">
        <v>45450.0</v>
      </c>
      <c r="F3628" s="25">
        <v>0.22569444444444445</v>
      </c>
      <c r="G3628" s="25">
        <v>0.7277777777777777</v>
      </c>
      <c r="H3628" s="27">
        <f t="shared" si="2"/>
        <v>0.5020833333</v>
      </c>
      <c r="I3628" s="28">
        <v>4.0</v>
      </c>
      <c r="J3628" s="29" t="s">
        <v>55</v>
      </c>
      <c r="K3628" s="30" t="s">
        <v>23</v>
      </c>
      <c r="L3628" s="31" t="str">
        <f>IFERROR(__xludf.DUMMYFUNCTION("IF(OR(E3628="""",K3628=""""),"""",IFERROR(IF(K3628="""","""",query('tbl user'!$A$2:$D10975,""SELECT A WHERE D = '""&amp;K3628&amp;""'"")),""USER TIDAK DIKETAHUI""))"),"#REF!")</f>
        <v>#REF!</v>
      </c>
    </row>
    <row r="3629">
      <c r="A3629" s="21">
        <f t="shared" si="1"/>
        <v>0</v>
      </c>
      <c r="B3629" s="32" t="s">
        <v>182</v>
      </c>
      <c r="C3629" s="23" t="s">
        <v>183</v>
      </c>
      <c r="D3629" s="23" t="s">
        <v>58</v>
      </c>
      <c r="E3629" s="24">
        <v>45450.0</v>
      </c>
      <c r="F3629" s="25">
        <v>0.20625</v>
      </c>
      <c r="G3629" s="25">
        <v>0.69375</v>
      </c>
      <c r="H3629" s="27">
        <f t="shared" si="2"/>
        <v>0.4875</v>
      </c>
      <c r="I3629" s="28">
        <v>4.0</v>
      </c>
      <c r="J3629" s="29" t="s">
        <v>55</v>
      </c>
      <c r="K3629" s="30" t="s">
        <v>23</v>
      </c>
      <c r="L3629" s="31" t="str">
        <f>IFERROR(__xludf.DUMMYFUNCTION("IF(OR(E3629="""",K3629=""""),"""",IFERROR(IF(K3629="""","""",query('tbl user'!$A$2:$D10975,""SELECT A WHERE D = '""&amp;K3629&amp;""'"")),""USER TIDAK DIKETAHUI""))"),"#REF!")</f>
        <v>#REF!</v>
      </c>
    </row>
    <row r="3630">
      <c r="A3630" s="21">
        <f t="shared" si="1"/>
        <v>0</v>
      </c>
      <c r="B3630" s="32" t="s">
        <v>194</v>
      </c>
      <c r="C3630" s="23" t="s">
        <v>195</v>
      </c>
      <c r="D3630" s="23" t="s">
        <v>58</v>
      </c>
      <c r="E3630" s="24">
        <v>45450.0</v>
      </c>
      <c r="F3630" s="25">
        <v>0.22777777777777777</v>
      </c>
      <c r="G3630" s="25">
        <v>0.7222222222222222</v>
      </c>
      <c r="H3630" s="27">
        <f t="shared" si="2"/>
        <v>0.4944444444</v>
      </c>
      <c r="I3630" s="28">
        <v>4.0</v>
      </c>
      <c r="J3630" s="29" t="s">
        <v>55</v>
      </c>
      <c r="K3630" s="30" t="s">
        <v>23</v>
      </c>
      <c r="L3630" s="31" t="str">
        <f>IFERROR(__xludf.DUMMYFUNCTION("IF(OR(E3630="""",K3630=""""),"""",IFERROR(IF(K3630="""","""",query('tbl user'!$A$2:$D10975,""SELECT A WHERE D = '""&amp;K3630&amp;""'"")),""USER TIDAK DIKETAHUI""))"),"#REF!")</f>
        <v>#REF!</v>
      </c>
    </row>
    <row r="3631">
      <c r="A3631" s="21">
        <f t="shared" si="1"/>
        <v>0</v>
      </c>
      <c r="B3631" s="32" t="s">
        <v>197</v>
      </c>
      <c r="C3631" s="23" t="s">
        <v>198</v>
      </c>
      <c r="D3631" s="23" t="s">
        <v>58</v>
      </c>
      <c r="E3631" s="24">
        <v>45450.0</v>
      </c>
      <c r="F3631" s="25">
        <v>0.2222222222222222</v>
      </c>
      <c r="G3631" s="25">
        <v>0.6618055555555555</v>
      </c>
      <c r="H3631" s="27">
        <f t="shared" si="2"/>
        <v>0.4395833333</v>
      </c>
      <c r="I3631" s="28">
        <v>4.0</v>
      </c>
      <c r="J3631" s="29" t="s">
        <v>55</v>
      </c>
      <c r="K3631" s="30" t="s">
        <v>23</v>
      </c>
      <c r="L3631" s="31" t="str">
        <f>IFERROR(__xludf.DUMMYFUNCTION("IF(OR(E3631="""",K3631=""""),"""",IFERROR(IF(K3631="""","""",query('tbl user'!$A$2:$D10975,""SELECT A WHERE D = '""&amp;K3631&amp;""'"")),""USER TIDAK DIKETAHUI""))"),"#REF!")</f>
        <v>#REF!</v>
      </c>
    </row>
    <row r="3632">
      <c r="A3632" s="21">
        <f t="shared" si="1"/>
        <v>0</v>
      </c>
      <c r="B3632" s="32" t="s">
        <v>200</v>
      </c>
      <c r="C3632" s="23" t="s">
        <v>201</v>
      </c>
      <c r="D3632" s="23" t="s">
        <v>58</v>
      </c>
      <c r="E3632" s="24">
        <v>45450.0</v>
      </c>
      <c r="F3632" s="25">
        <v>0.2048611111111111</v>
      </c>
      <c r="G3632" s="25">
        <v>0.7020833333333333</v>
      </c>
      <c r="H3632" s="27">
        <f t="shared" si="2"/>
        <v>0.4972222222</v>
      </c>
      <c r="I3632" s="28">
        <v>4.0</v>
      </c>
      <c r="J3632" s="29" t="s">
        <v>55</v>
      </c>
      <c r="K3632" s="30" t="s">
        <v>23</v>
      </c>
      <c r="L3632" s="31" t="str">
        <f>IFERROR(__xludf.DUMMYFUNCTION("IF(OR(E3632="""",K3632=""""),"""",IFERROR(IF(K3632="""","""",query('tbl user'!$A$2:$D10975,""SELECT A WHERE D = '""&amp;K3632&amp;""'"")),""USER TIDAK DIKETAHUI""))"),"#REF!")</f>
        <v>#REF!</v>
      </c>
    </row>
    <row r="3633">
      <c r="A3633" s="21">
        <f t="shared" si="1"/>
        <v>0</v>
      </c>
      <c r="B3633" s="32" t="s">
        <v>98</v>
      </c>
      <c r="C3633" s="23" t="s">
        <v>99</v>
      </c>
      <c r="D3633" s="23" t="s">
        <v>21</v>
      </c>
      <c r="E3633" s="24">
        <v>45450.0</v>
      </c>
      <c r="F3633" s="25">
        <v>0.28888888888888886</v>
      </c>
      <c r="G3633" s="25">
        <v>0.6215277777777778</v>
      </c>
      <c r="H3633" s="27">
        <f t="shared" si="2"/>
        <v>0.3326388889</v>
      </c>
      <c r="I3633" s="28">
        <v>1.0</v>
      </c>
      <c r="J3633" s="29" t="s">
        <v>1613</v>
      </c>
      <c r="K3633" s="30" t="s">
        <v>23</v>
      </c>
      <c r="L3633" s="31" t="str">
        <f>IFERROR(__xludf.DUMMYFUNCTION("IF(OR(E3633="""",K3633=""""),"""",IFERROR(IF(K3633="""","""",query('tbl user'!$A$2:$D10975,""SELECT A WHERE D = '""&amp;K3633&amp;""'"")),""USER TIDAK DIKETAHUI""))"),"#REF!")</f>
        <v>#REF!</v>
      </c>
    </row>
    <row r="3634">
      <c r="A3634" s="21">
        <f t="shared" si="1"/>
        <v>0</v>
      </c>
      <c r="B3634" s="32" t="s">
        <v>281</v>
      </c>
      <c r="C3634" s="23" t="s">
        <v>282</v>
      </c>
      <c r="D3634" s="23" t="s">
        <v>21</v>
      </c>
      <c r="E3634" s="24">
        <v>45450.0</v>
      </c>
      <c r="F3634" s="25">
        <v>0.28958333333333336</v>
      </c>
      <c r="G3634" s="25">
        <v>0.6493055555555556</v>
      </c>
      <c r="H3634" s="27">
        <f t="shared" si="2"/>
        <v>0.3597222222</v>
      </c>
      <c r="I3634" s="28">
        <v>1.0</v>
      </c>
      <c r="J3634" s="29" t="s">
        <v>894</v>
      </c>
      <c r="K3634" s="30" t="s">
        <v>23</v>
      </c>
      <c r="L3634" s="31" t="str">
        <f>IFERROR(__xludf.DUMMYFUNCTION("IF(OR(E3634="""",K3634=""""),"""",IFERROR(IF(K3634="""","""",query('tbl user'!$A$2:$D10975,""SELECT A WHERE D = '""&amp;K3634&amp;""'"")),""USER TIDAK DIKETAHUI""))"),"#REF!")</f>
        <v>#REF!</v>
      </c>
    </row>
    <row r="3635">
      <c r="A3635" s="21">
        <f t="shared" si="1"/>
        <v>0</v>
      </c>
      <c r="B3635" s="32" t="s">
        <v>289</v>
      </c>
      <c r="C3635" s="23" t="s">
        <v>290</v>
      </c>
      <c r="D3635" s="23" t="s">
        <v>21</v>
      </c>
      <c r="E3635" s="24">
        <v>45450.0</v>
      </c>
      <c r="F3635" s="25">
        <v>0.4131944444444444</v>
      </c>
      <c r="G3635" s="25">
        <v>0.6930555555555555</v>
      </c>
      <c r="H3635" s="27">
        <f t="shared" si="2"/>
        <v>0.2798611111</v>
      </c>
      <c r="I3635" s="28">
        <v>1.0</v>
      </c>
      <c r="J3635" s="29" t="s">
        <v>894</v>
      </c>
      <c r="K3635" s="30" t="s">
        <v>23</v>
      </c>
      <c r="L3635" s="31" t="str">
        <f>IFERROR(__xludf.DUMMYFUNCTION("IF(OR(E3635="""",K3635=""""),"""",IFERROR(IF(K3635="""","""",query('tbl user'!$A$2:$D10975,""SELECT A WHERE D = '""&amp;K3635&amp;""'"")),""USER TIDAK DIKETAHUI""))"),"#REF!")</f>
        <v>#REF!</v>
      </c>
    </row>
    <row r="3636">
      <c r="A3636" s="21">
        <f t="shared" si="1"/>
        <v>0</v>
      </c>
      <c r="B3636" s="32" t="s">
        <v>43</v>
      </c>
      <c r="C3636" s="23" t="s">
        <v>44</v>
      </c>
      <c r="D3636" s="23" t="s">
        <v>21</v>
      </c>
      <c r="E3636" s="24">
        <v>45450.0</v>
      </c>
      <c r="F3636" s="25">
        <v>0.29097222222222224</v>
      </c>
      <c r="G3636" s="25">
        <v>0.7145833333333333</v>
      </c>
      <c r="H3636" s="27">
        <f t="shared" si="2"/>
        <v>0.4236111111</v>
      </c>
      <c r="I3636" s="28">
        <v>1.0</v>
      </c>
      <c r="J3636" s="29" t="s">
        <v>894</v>
      </c>
      <c r="K3636" s="30" t="s">
        <v>23</v>
      </c>
      <c r="L3636" s="31" t="str">
        <f>IFERROR(__xludf.DUMMYFUNCTION("IF(OR(E3636="""",K3636=""""),"""",IFERROR(IF(K3636="""","""",query('tbl user'!$A$2:$D10975,""SELECT A WHERE D = '""&amp;K3636&amp;""'"")),""USER TIDAK DIKETAHUI""))"),"#REF!")</f>
        <v>#REF!</v>
      </c>
    </row>
    <row r="3637">
      <c r="A3637" s="21">
        <f t="shared" si="1"/>
        <v>0</v>
      </c>
      <c r="B3637" s="32" t="s">
        <v>231</v>
      </c>
      <c r="C3637" s="23" t="s">
        <v>232</v>
      </c>
      <c r="D3637" s="23" t="s">
        <v>21</v>
      </c>
      <c r="E3637" s="24">
        <v>45450.0</v>
      </c>
      <c r="F3637" s="25">
        <v>0.27569444444444446</v>
      </c>
      <c r="G3637" s="25">
        <v>0.6458333333333334</v>
      </c>
      <c r="H3637" s="27">
        <f t="shared" si="2"/>
        <v>0.3701388889</v>
      </c>
      <c r="I3637" s="28">
        <v>1.0</v>
      </c>
      <c r="J3637" s="29" t="s">
        <v>894</v>
      </c>
      <c r="K3637" s="30" t="s">
        <v>23</v>
      </c>
      <c r="L3637" s="31" t="str">
        <f>IFERROR(__xludf.DUMMYFUNCTION("IF(OR(E3637="""",K3637=""""),"""",IFERROR(IF(K3637="""","""",query('tbl user'!$A$2:$D10975,""SELECT A WHERE D = '""&amp;K3637&amp;""'"")),""USER TIDAK DIKETAHUI""))"),"#REF!")</f>
        <v>#REF!</v>
      </c>
    </row>
    <row r="3638">
      <c r="A3638" s="21">
        <f t="shared" si="1"/>
        <v>0</v>
      </c>
      <c r="B3638" s="32" t="s">
        <v>225</v>
      </c>
      <c r="C3638" s="23" t="s">
        <v>339</v>
      </c>
      <c r="D3638" s="23" t="s">
        <v>21</v>
      </c>
      <c r="E3638" s="24">
        <v>45450.0</v>
      </c>
      <c r="F3638" s="25">
        <v>0.23055555555555557</v>
      </c>
      <c r="G3638" s="25">
        <v>0.40069444444444446</v>
      </c>
      <c r="H3638" s="27">
        <f t="shared" si="2"/>
        <v>0.1701388889</v>
      </c>
      <c r="I3638" s="28">
        <v>1.0</v>
      </c>
      <c r="J3638" s="29" t="s">
        <v>1303</v>
      </c>
      <c r="K3638" s="30" t="s">
        <v>23</v>
      </c>
      <c r="L3638" s="31" t="str">
        <f>IFERROR(__xludf.DUMMYFUNCTION("IF(OR(E3638="""",K3638=""""),"""",IFERROR(IF(K3638="""","""",query('tbl user'!$A$2:$D10975,""SELECT A WHERE D = '""&amp;K3638&amp;""'"")),""USER TIDAK DIKETAHUI""))"),"#REF!")</f>
        <v>#REF!</v>
      </c>
    </row>
    <row r="3639">
      <c r="A3639" s="21">
        <f t="shared" si="1"/>
        <v>0</v>
      </c>
      <c r="B3639" s="32" t="s">
        <v>328</v>
      </c>
      <c r="C3639" s="23" t="s">
        <v>329</v>
      </c>
      <c r="D3639" s="23" t="s">
        <v>21</v>
      </c>
      <c r="E3639" s="24">
        <v>45450.0</v>
      </c>
      <c r="F3639" s="25">
        <v>0.28125</v>
      </c>
      <c r="G3639" s="25">
        <v>0.6048611111111111</v>
      </c>
      <c r="H3639" s="27">
        <f t="shared" si="2"/>
        <v>0.3236111111</v>
      </c>
      <c r="I3639" s="28">
        <v>1.0</v>
      </c>
      <c r="J3639" s="29" t="s">
        <v>1614</v>
      </c>
      <c r="K3639" s="30" t="s">
        <v>23</v>
      </c>
      <c r="L3639" s="31" t="str">
        <f>IFERROR(__xludf.DUMMYFUNCTION("IF(OR(E3639="""",K3639=""""),"""",IFERROR(IF(K3639="""","""",query('tbl user'!$A$2:$D10975,""SELECT A WHERE D = '""&amp;K3639&amp;""'"")),""USER TIDAK DIKETAHUI""))"),"#REF!")</f>
        <v>#REF!</v>
      </c>
    </row>
    <row r="3640">
      <c r="A3640" s="21">
        <f t="shared" si="1"/>
        <v>0</v>
      </c>
      <c r="B3640" s="32" t="s">
        <v>593</v>
      </c>
      <c r="C3640" s="23" t="s">
        <v>1556</v>
      </c>
      <c r="D3640" s="23" t="s">
        <v>21</v>
      </c>
      <c r="E3640" s="24">
        <v>45450.0</v>
      </c>
      <c r="F3640" s="25">
        <v>0.2861111111111111</v>
      </c>
      <c r="G3640" s="25">
        <v>0.6951388888888889</v>
      </c>
      <c r="H3640" s="27">
        <f t="shared" si="2"/>
        <v>0.4090277778</v>
      </c>
      <c r="I3640" s="28">
        <v>1.0</v>
      </c>
      <c r="J3640" s="29" t="s">
        <v>1599</v>
      </c>
      <c r="K3640" s="30" t="s">
        <v>23</v>
      </c>
      <c r="L3640" s="31" t="str">
        <f>IFERROR(__xludf.DUMMYFUNCTION("IF(OR(E3640="""",K3640=""""),"""",IFERROR(IF(K3640="""","""",query('tbl user'!$A$2:$D10975,""SELECT A WHERE D = '""&amp;K3640&amp;""'"")),""USER TIDAK DIKETAHUI""))"),"#REF!")</f>
        <v>#REF!</v>
      </c>
    </row>
    <row r="3641">
      <c r="A3641" s="21">
        <f t="shared" si="1"/>
        <v>0</v>
      </c>
      <c r="B3641" s="32" t="s">
        <v>34</v>
      </c>
      <c r="C3641" s="23" t="s">
        <v>35</v>
      </c>
      <c r="D3641" s="23" t="s">
        <v>21</v>
      </c>
      <c r="E3641" s="24">
        <v>45450.0</v>
      </c>
      <c r="F3641" s="25">
        <v>0.2701388888888889</v>
      </c>
      <c r="G3641" s="25">
        <v>0.7055555555555556</v>
      </c>
      <c r="H3641" s="27">
        <f t="shared" si="2"/>
        <v>0.4354166667</v>
      </c>
      <c r="I3641" s="28">
        <v>2.0</v>
      </c>
      <c r="J3641" s="29" t="s">
        <v>894</v>
      </c>
      <c r="K3641" s="30" t="s">
        <v>23</v>
      </c>
      <c r="L3641" s="31" t="str">
        <f>IFERROR(__xludf.DUMMYFUNCTION("IF(OR(E3641="""",K3641=""""),"""",IFERROR(IF(K3641="""","""",query('tbl user'!$A$2:$D10975,""SELECT A WHERE D = '""&amp;K3641&amp;""'"")),""USER TIDAK DIKETAHUI""))"),"#REF!")</f>
        <v>#REF!</v>
      </c>
    </row>
    <row r="3642">
      <c r="A3642" s="21">
        <f t="shared" si="1"/>
        <v>0</v>
      </c>
      <c r="B3642" s="32" t="s">
        <v>238</v>
      </c>
      <c r="C3642" s="23" t="s">
        <v>239</v>
      </c>
      <c r="D3642" s="23" t="s">
        <v>21</v>
      </c>
      <c r="E3642" s="24">
        <v>45450.0</v>
      </c>
      <c r="F3642" s="25">
        <v>0.29097222222222224</v>
      </c>
      <c r="G3642" s="25">
        <v>0.73125</v>
      </c>
      <c r="H3642" s="27">
        <f t="shared" si="2"/>
        <v>0.4402777778</v>
      </c>
      <c r="I3642" s="28">
        <v>2.0</v>
      </c>
      <c r="J3642" s="29" t="s">
        <v>894</v>
      </c>
      <c r="K3642" s="30" t="s">
        <v>23</v>
      </c>
      <c r="L3642" s="31" t="str">
        <f>IFERROR(__xludf.DUMMYFUNCTION("IF(OR(E3642="""",K3642=""""),"""",IFERROR(IF(K3642="""","""",query('tbl user'!$A$2:$D10975,""SELECT A WHERE D = '""&amp;K3642&amp;""'"")),""USER TIDAK DIKETAHUI""))"),"#REF!")</f>
        <v>#REF!</v>
      </c>
    </row>
    <row r="3643">
      <c r="A3643" s="21">
        <f t="shared" si="1"/>
        <v>0</v>
      </c>
      <c r="B3643" s="32" t="s">
        <v>37</v>
      </c>
      <c r="C3643" s="23" t="s">
        <v>38</v>
      </c>
      <c r="D3643" s="23" t="s">
        <v>21</v>
      </c>
      <c r="E3643" s="24">
        <v>45450.0</v>
      </c>
      <c r="F3643" s="25">
        <v>0.2673611111111111</v>
      </c>
      <c r="G3643" s="25">
        <v>0.6993055555555555</v>
      </c>
      <c r="H3643" s="27">
        <f t="shared" si="2"/>
        <v>0.4319444444</v>
      </c>
      <c r="I3643" s="28">
        <v>2.0</v>
      </c>
      <c r="J3643" s="29" t="s">
        <v>894</v>
      </c>
      <c r="K3643" s="30" t="s">
        <v>23</v>
      </c>
      <c r="L3643" s="31" t="str">
        <f>IFERROR(__xludf.DUMMYFUNCTION("IF(OR(E3643="""",K3643=""""),"""",IFERROR(IF(K3643="""","""",query('tbl user'!$A$2:$D10975,""SELECT A WHERE D = '""&amp;K3643&amp;""'"")),""USER TIDAK DIKETAHUI""))"),"#REF!")</f>
        <v>#REF!</v>
      </c>
    </row>
    <row r="3644">
      <c r="A3644" s="21">
        <f t="shared" si="1"/>
        <v>0</v>
      </c>
      <c r="B3644" s="32" t="s">
        <v>81</v>
      </c>
      <c r="C3644" s="23" t="s">
        <v>62</v>
      </c>
      <c r="D3644" s="23" t="s">
        <v>21</v>
      </c>
      <c r="E3644" s="24">
        <v>45450.0</v>
      </c>
      <c r="F3644" s="25">
        <v>0.24444444444444444</v>
      </c>
      <c r="G3644" s="25">
        <v>0.7395833333333334</v>
      </c>
      <c r="H3644" s="27">
        <f t="shared" si="2"/>
        <v>0.4951388889</v>
      </c>
      <c r="I3644" s="28">
        <v>2.0</v>
      </c>
      <c r="J3644" s="29" t="s">
        <v>1615</v>
      </c>
      <c r="K3644" s="30" t="s">
        <v>23</v>
      </c>
      <c r="L3644" s="31" t="str">
        <f>IFERROR(__xludf.DUMMYFUNCTION("IF(OR(E3644="""",K3644=""""),"""",IFERROR(IF(K3644="""","""",query('tbl user'!$A$2:$D10975,""SELECT A WHERE D = '""&amp;K3644&amp;""'"")),""USER TIDAK DIKETAHUI""))"),"#REF!")</f>
        <v>#REF!</v>
      </c>
    </row>
    <row r="3645">
      <c r="A3645" s="21">
        <f t="shared" si="1"/>
        <v>0</v>
      </c>
      <c r="B3645" s="32" t="s">
        <v>64</v>
      </c>
      <c r="C3645" s="23" t="s">
        <v>65</v>
      </c>
      <c r="D3645" s="23" t="s">
        <v>21</v>
      </c>
      <c r="E3645" s="24">
        <v>45450.0</v>
      </c>
      <c r="F3645" s="25">
        <v>0.28888888888888886</v>
      </c>
      <c r="G3645" s="25">
        <v>0.7097222222222223</v>
      </c>
      <c r="H3645" s="27">
        <f t="shared" si="2"/>
        <v>0.4208333333</v>
      </c>
      <c r="I3645" s="28">
        <v>2.0</v>
      </c>
      <c r="J3645" s="29" t="s">
        <v>894</v>
      </c>
      <c r="K3645" s="30" t="s">
        <v>23</v>
      </c>
      <c r="L3645" s="31" t="str">
        <f>IFERROR(__xludf.DUMMYFUNCTION("IF(OR(E3645="""",K3645=""""),"""",IFERROR(IF(K3645="""","""",query('tbl user'!$A$2:$D10975,""SELECT A WHERE D = '""&amp;K3645&amp;""'"")),""USER TIDAK DIKETAHUI""))"),"#REF!")</f>
        <v>#REF!</v>
      </c>
    </row>
    <row r="3646">
      <c r="A3646" s="21">
        <f t="shared" si="1"/>
        <v>0</v>
      </c>
      <c r="B3646" s="32" t="s">
        <v>284</v>
      </c>
      <c r="C3646" s="23" t="s">
        <v>285</v>
      </c>
      <c r="D3646" s="23" t="s">
        <v>21</v>
      </c>
      <c r="E3646" s="24">
        <v>45450.0</v>
      </c>
      <c r="F3646" s="25">
        <v>0.22291666666666668</v>
      </c>
      <c r="G3646" s="25">
        <v>0.6847222222222222</v>
      </c>
      <c r="H3646" s="27">
        <f t="shared" si="2"/>
        <v>0.4618055556</v>
      </c>
      <c r="I3646" s="28">
        <v>2.0</v>
      </c>
      <c r="J3646" s="29" t="s">
        <v>1616</v>
      </c>
      <c r="K3646" s="30" t="s">
        <v>23</v>
      </c>
      <c r="L3646" s="31" t="str">
        <f>IFERROR(__xludf.DUMMYFUNCTION("IF(OR(E3646="""",K3646=""""),"""",IFERROR(IF(K3646="""","""",query('tbl user'!$A$2:$D10975,""SELECT A WHERE D = '""&amp;K3646&amp;""'"")),""USER TIDAK DIKETAHUI""))"),"#REF!")</f>
        <v>#REF!</v>
      </c>
    </row>
    <row r="3647">
      <c r="A3647" s="21">
        <f t="shared" si="1"/>
        <v>0</v>
      </c>
      <c r="B3647" s="32" t="s">
        <v>255</v>
      </c>
      <c r="C3647" s="23" t="s">
        <v>256</v>
      </c>
      <c r="D3647" s="23" t="s">
        <v>21</v>
      </c>
      <c r="E3647" s="24">
        <v>45450.0</v>
      </c>
      <c r="F3647" s="25">
        <v>0.22847222222222222</v>
      </c>
      <c r="G3647" s="25">
        <v>0.7236111111111111</v>
      </c>
      <c r="H3647" s="27">
        <f t="shared" si="2"/>
        <v>0.4951388889</v>
      </c>
      <c r="I3647" s="28">
        <v>2.0</v>
      </c>
      <c r="J3647" s="29" t="s">
        <v>1617</v>
      </c>
      <c r="K3647" s="30" t="s">
        <v>23</v>
      </c>
      <c r="L3647" s="31" t="str">
        <f>IFERROR(__xludf.DUMMYFUNCTION("IF(OR(E3647="""",K3647=""""),"""",IFERROR(IF(K3647="""","""",query('tbl user'!$A$2:$D10975,""SELECT A WHERE D = '""&amp;K3647&amp;""'"")),""USER TIDAK DIKETAHUI""))"),"#REF!")</f>
        <v>#REF!</v>
      </c>
    </row>
    <row r="3648">
      <c r="A3648" s="21">
        <f t="shared" si="1"/>
        <v>0</v>
      </c>
      <c r="B3648" s="32" t="s">
        <v>335</v>
      </c>
      <c r="C3648" s="23" t="s">
        <v>336</v>
      </c>
      <c r="D3648" s="23" t="s">
        <v>21</v>
      </c>
      <c r="E3648" s="24">
        <v>45450.0</v>
      </c>
      <c r="F3648" s="25">
        <v>0.2701388888888889</v>
      </c>
      <c r="G3648" s="25">
        <v>0.7222222222222222</v>
      </c>
      <c r="H3648" s="27">
        <f t="shared" si="2"/>
        <v>0.4520833333</v>
      </c>
      <c r="I3648" s="28">
        <v>2.0</v>
      </c>
      <c r="J3648" s="29" t="s">
        <v>1618</v>
      </c>
      <c r="K3648" s="30" t="s">
        <v>23</v>
      </c>
      <c r="L3648" s="31" t="str">
        <f>IFERROR(__xludf.DUMMYFUNCTION("IF(OR(E3648="""",K3648=""""),"""",IFERROR(IF(K3648="""","""",query('tbl user'!$A$2:$D10975,""SELECT A WHERE D = '""&amp;K3648&amp;""'"")),""USER TIDAK DIKETAHUI""))"),"#REF!")</f>
        <v>#REF!</v>
      </c>
    </row>
    <row r="3649">
      <c r="A3649" s="21">
        <f t="shared" si="1"/>
        <v>0</v>
      </c>
      <c r="B3649" s="32" t="s">
        <v>716</v>
      </c>
      <c r="C3649" s="23" t="s">
        <v>316</v>
      </c>
      <c r="D3649" s="23" t="s">
        <v>21</v>
      </c>
      <c r="E3649" s="24">
        <v>45450.0</v>
      </c>
      <c r="F3649" s="25">
        <v>0.2298611111111111</v>
      </c>
      <c r="G3649" s="25">
        <v>0.6722222222222223</v>
      </c>
      <c r="H3649" s="27">
        <f t="shared" si="2"/>
        <v>0.4423611111</v>
      </c>
      <c r="I3649" s="28">
        <v>2.0</v>
      </c>
      <c r="J3649" s="29" t="s">
        <v>894</v>
      </c>
      <c r="K3649" s="30" t="s">
        <v>23</v>
      </c>
      <c r="L3649" s="31" t="str">
        <f>IFERROR(__xludf.DUMMYFUNCTION("IF(OR(E3649="""",K3649=""""),"""",IFERROR(IF(K3649="""","""",query('tbl user'!$A$2:$D10975,""SELECT A WHERE D = '""&amp;K3649&amp;""'"")),""USER TIDAK DIKETAHUI""))"),"#REF!")</f>
        <v>#REF!</v>
      </c>
    </row>
    <row r="3650">
      <c r="A3650" s="21">
        <f t="shared" si="1"/>
        <v>0</v>
      </c>
      <c r="B3650" s="32" t="s">
        <v>219</v>
      </c>
      <c r="C3650" s="23" t="s">
        <v>340</v>
      </c>
      <c r="D3650" s="23" t="s">
        <v>21</v>
      </c>
      <c r="E3650" s="24">
        <v>45450.0</v>
      </c>
      <c r="F3650" s="25">
        <v>0.25833333333333336</v>
      </c>
      <c r="G3650" s="25">
        <v>0.6861111111111111</v>
      </c>
      <c r="H3650" s="27">
        <f t="shared" si="2"/>
        <v>0.4277777778</v>
      </c>
      <c r="I3650" s="28">
        <v>2.0</v>
      </c>
      <c r="J3650" s="29" t="s">
        <v>894</v>
      </c>
      <c r="K3650" s="30" t="s">
        <v>23</v>
      </c>
      <c r="L3650" s="31" t="str">
        <f>IFERROR(__xludf.DUMMYFUNCTION("IF(OR(E3650="""",K3650=""""),"""",IFERROR(IF(K3650="""","""",query('tbl user'!$A$2:$D10975,""SELECT A WHERE D = '""&amp;K3650&amp;""'"")),""USER TIDAK DIKETAHUI""))"),"#REF!")</f>
        <v>#REF!</v>
      </c>
    </row>
    <row r="3651">
      <c r="A3651" s="21">
        <f t="shared" si="1"/>
        <v>0</v>
      </c>
      <c r="B3651" s="32" t="s">
        <v>53</v>
      </c>
      <c r="C3651" s="23" t="s">
        <v>54</v>
      </c>
      <c r="D3651" s="23" t="s">
        <v>21</v>
      </c>
      <c r="E3651" s="24">
        <v>45450.0</v>
      </c>
      <c r="F3651" s="25">
        <v>0.2520833333333333</v>
      </c>
      <c r="G3651" s="25">
        <v>0.6826388888888889</v>
      </c>
      <c r="H3651" s="27">
        <f t="shared" si="2"/>
        <v>0.4305555556</v>
      </c>
      <c r="I3651" s="28">
        <v>2.0</v>
      </c>
      <c r="J3651" s="29" t="s">
        <v>894</v>
      </c>
      <c r="K3651" s="30" t="s">
        <v>23</v>
      </c>
      <c r="L3651" s="31" t="str">
        <f>IFERROR(__xludf.DUMMYFUNCTION("IF(OR(E3651="""",K3651=""""),"""",IFERROR(IF(K3651="""","""",query('tbl user'!$A$2:$D10975,""SELECT A WHERE D = '""&amp;K3651&amp;""'"")),""USER TIDAK DIKETAHUI""))"),"#REF!")</f>
        <v>#REF!</v>
      </c>
    </row>
    <row r="3652">
      <c r="A3652" s="21">
        <f t="shared" si="1"/>
        <v>0</v>
      </c>
      <c r="B3652" s="32" t="s">
        <v>319</v>
      </c>
      <c r="C3652" s="23" t="s">
        <v>320</v>
      </c>
      <c r="D3652" s="23" t="s">
        <v>21</v>
      </c>
      <c r="E3652" s="24">
        <v>45450.0</v>
      </c>
      <c r="F3652" s="25">
        <v>0.22430555555555556</v>
      </c>
      <c r="G3652" s="25">
        <v>0.6625</v>
      </c>
      <c r="H3652" s="27">
        <f t="shared" si="2"/>
        <v>0.4381944444</v>
      </c>
      <c r="I3652" s="28">
        <v>2.0</v>
      </c>
      <c r="J3652" s="29" t="s">
        <v>1619</v>
      </c>
      <c r="K3652" s="30" t="s">
        <v>23</v>
      </c>
      <c r="L3652" s="31" t="str">
        <f>IFERROR(__xludf.DUMMYFUNCTION("IF(OR(E3652="""",K3652=""""),"""",IFERROR(IF(K3652="""","""",query('tbl user'!$A$2:$D10975,""SELECT A WHERE D = '""&amp;K3652&amp;""'"")),""USER TIDAK DIKETAHUI""))"),"#REF!")</f>
        <v>#REF!</v>
      </c>
    </row>
    <row r="3653">
      <c r="A3653" s="21">
        <f t="shared" si="1"/>
        <v>0</v>
      </c>
      <c r="B3653" s="32" t="s">
        <v>325</v>
      </c>
      <c r="C3653" s="23" t="s">
        <v>326</v>
      </c>
      <c r="D3653" s="23" t="s">
        <v>21</v>
      </c>
      <c r="E3653" s="24">
        <v>45450.0</v>
      </c>
      <c r="F3653" s="25">
        <v>0.21458333333333332</v>
      </c>
      <c r="G3653" s="25">
        <v>0.6465277777777778</v>
      </c>
      <c r="H3653" s="27">
        <f t="shared" si="2"/>
        <v>0.4319444444</v>
      </c>
      <c r="I3653" s="28">
        <v>2.0</v>
      </c>
      <c r="J3653" s="29" t="s">
        <v>894</v>
      </c>
      <c r="K3653" s="30" t="s">
        <v>23</v>
      </c>
      <c r="L3653" s="31" t="str">
        <f>IFERROR(__xludf.DUMMYFUNCTION("IF(OR(E3653="""",K3653=""""),"""",IFERROR(IF(K3653="""","""",query('tbl user'!$A$2:$D10975,""SELECT A WHERE D = '""&amp;K3653&amp;""'"")),""USER TIDAK DIKETAHUI""))"),"#REF!")</f>
        <v>#REF!</v>
      </c>
    </row>
    <row r="3654">
      <c r="A3654" s="21">
        <f t="shared" si="1"/>
        <v>0</v>
      </c>
      <c r="B3654" s="32" t="s">
        <v>577</v>
      </c>
      <c r="C3654" s="23" t="s">
        <v>330</v>
      </c>
      <c r="D3654" s="23" t="s">
        <v>21</v>
      </c>
      <c r="E3654" s="24">
        <v>45450.0</v>
      </c>
      <c r="F3654" s="25">
        <v>0.2923611111111111</v>
      </c>
      <c r="G3654" s="25">
        <v>0.6458333333333334</v>
      </c>
      <c r="H3654" s="27">
        <f t="shared" si="2"/>
        <v>0.3534722222</v>
      </c>
      <c r="I3654" s="28">
        <v>2.0</v>
      </c>
      <c r="J3654" s="29" t="s">
        <v>894</v>
      </c>
      <c r="K3654" s="30" t="s">
        <v>23</v>
      </c>
      <c r="L3654" s="31" t="str">
        <f>IFERROR(__xludf.DUMMYFUNCTION("IF(OR(E3654="""",K3654=""""),"""",IFERROR(IF(K3654="""","""",query('tbl user'!$A$2:$D10975,""SELECT A WHERE D = '""&amp;K3654&amp;""'"")),""USER TIDAK DIKETAHUI""))"),"#REF!")</f>
        <v>#REF!</v>
      </c>
    </row>
    <row r="3655">
      <c r="A3655" s="21">
        <f t="shared" si="1"/>
        <v>0</v>
      </c>
      <c r="B3655" s="32" t="s">
        <v>337</v>
      </c>
      <c r="C3655" s="23" t="s">
        <v>338</v>
      </c>
      <c r="D3655" s="23" t="s">
        <v>21</v>
      </c>
      <c r="E3655" s="24">
        <v>45450.0</v>
      </c>
      <c r="F3655" s="25">
        <v>0.21597222222222223</v>
      </c>
      <c r="G3655" s="25">
        <v>0.6527777777777778</v>
      </c>
      <c r="H3655" s="27">
        <f t="shared" si="2"/>
        <v>0.4368055556</v>
      </c>
      <c r="I3655" s="28">
        <v>2.0</v>
      </c>
      <c r="J3655" s="29" t="s">
        <v>1620</v>
      </c>
      <c r="K3655" s="30" t="s">
        <v>23</v>
      </c>
      <c r="L3655" s="31" t="str">
        <f>IFERROR(__xludf.DUMMYFUNCTION("IF(OR(E3655="""",K3655=""""),"""",IFERROR(IF(K3655="""","""",query('tbl user'!$A$2:$D10975,""SELECT A WHERE D = '""&amp;K3655&amp;""'"")),""USER TIDAK DIKETAHUI""))"),"#REF!")</f>
        <v>#REF!</v>
      </c>
    </row>
    <row r="3656">
      <c r="A3656" s="21">
        <f t="shared" si="1"/>
        <v>0</v>
      </c>
      <c r="B3656" s="32" t="s">
        <v>601</v>
      </c>
      <c r="C3656" s="23" t="s">
        <v>323</v>
      </c>
      <c r="D3656" s="23" t="s">
        <v>21</v>
      </c>
      <c r="E3656" s="24">
        <v>45450.0</v>
      </c>
      <c r="F3656" s="25">
        <v>0.2701388888888889</v>
      </c>
      <c r="G3656" s="25">
        <v>0.7118055555555556</v>
      </c>
      <c r="H3656" s="27">
        <f t="shared" si="2"/>
        <v>0.4416666667</v>
      </c>
      <c r="I3656" s="28">
        <v>2.0</v>
      </c>
      <c r="J3656" s="29" t="s">
        <v>894</v>
      </c>
      <c r="K3656" s="30" t="s">
        <v>23</v>
      </c>
      <c r="L3656" s="31" t="str">
        <f>IFERROR(__xludf.DUMMYFUNCTION("IF(OR(E3656="""",K3656=""""),"""",IFERROR(IF(K3656="""","""",query('tbl user'!$A$2:$D10975,""SELECT A WHERE D = '""&amp;K3656&amp;""'"")),""USER TIDAK DIKETAHUI""))"),"#REF!")</f>
        <v>#REF!</v>
      </c>
    </row>
    <row r="3657">
      <c r="A3657" s="21">
        <f t="shared" si="1"/>
        <v>0</v>
      </c>
      <c r="B3657" s="32" t="s">
        <v>110</v>
      </c>
      <c r="C3657" s="23" t="s">
        <v>111</v>
      </c>
      <c r="D3657" s="23" t="s">
        <v>58</v>
      </c>
      <c r="E3657" s="24">
        <v>45450.0</v>
      </c>
      <c r="F3657" s="25">
        <v>0.28055555555555556</v>
      </c>
      <c r="G3657" s="25">
        <v>0.45069444444444445</v>
      </c>
      <c r="H3657" s="27">
        <f t="shared" si="2"/>
        <v>0.1701388889</v>
      </c>
      <c r="I3657" s="28">
        <v>1.0</v>
      </c>
      <c r="J3657" s="29" t="s">
        <v>1621</v>
      </c>
      <c r="K3657" s="30" t="s">
        <v>23</v>
      </c>
      <c r="L3657" s="31" t="str">
        <f>IFERROR(__xludf.DUMMYFUNCTION("IF(OR(E3657="""",K3657=""""),"""",IFERROR(IF(K3657="""","""",query('tbl user'!$A$2:$D10975,""SELECT A WHERE D = '""&amp;K3657&amp;""'"")),""USER TIDAK DIKETAHUI""))"),"#REF!")</f>
        <v>#REF!</v>
      </c>
    </row>
    <row r="3658">
      <c r="A3658" s="21">
        <f t="shared" si="1"/>
        <v>0</v>
      </c>
      <c r="B3658" s="32" t="s">
        <v>113</v>
      </c>
      <c r="C3658" s="23" t="s">
        <v>114</v>
      </c>
      <c r="D3658" s="23" t="s">
        <v>58</v>
      </c>
      <c r="E3658" s="24">
        <v>45450.0</v>
      </c>
      <c r="F3658" s="25">
        <v>0.21319444444444444</v>
      </c>
      <c r="G3658" s="25">
        <v>0.38333333333333336</v>
      </c>
      <c r="H3658" s="27">
        <f t="shared" si="2"/>
        <v>0.1701388889</v>
      </c>
      <c r="I3658" s="28">
        <v>1.0</v>
      </c>
      <c r="J3658" s="29" t="s">
        <v>1622</v>
      </c>
      <c r="K3658" s="30" t="s">
        <v>23</v>
      </c>
      <c r="L3658" s="31" t="str">
        <f>IFERROR(__xludf.DUMMYFUNCTION("IF(OR(E3658="""",K3658=""""),"""",IFERROR(IF(K3658="""","""",query('tbl user'!$A$2:$D10975,""SELECT A WHERE D = '""&amp;K3658&amp;""'"")),""USER TIDAK DIKETAHUI""))"),"#REF!")</f>
        <v>#REF!</v>
      </c>
    </row>
    <row r="3659">
      <c r="A3659" s="21">
        <f t="shared" si="1"/>
        <v>0</v>
      </c>
      <c r="B3659" s="32" t="s">
        <v>75</v>
      </c>
      <c r="C3659" s="23" t="s">
        <v>76</v>
      </c>
      <c r="D3659" s="23" t="s">
        <v>58</v>
      </c>
      <c r="E3659" s="24">
        <v>45450.0</v>
      </c>
      <c r="F3659" s="25">
        <v>0.2916666666666667</v>
      </c>
      <c r="G3659" s="25">
        <v>0.46041666666666664</v>
      </c>
      <c r="H3659" s="27">
        <f t="shared" si="2"/>
        <v>0.16875</v>
      </c>
      <c r="I3659" s="28">
        <v>1.0</v>
      </c>
      <c r="J3659" s="29" t="s">
        <v>1623</v>
      </c>
      <c r="K3659" s="30" t="s">
        <v>23</v>
      </c>
      <c r="L3659" s="31" t="str">
        <f>IFERROR(__xludf.DUMMYFUNCTION("IF(OR(E3659="""",K3659=""""),"""",IFERROR(IF(K3659="""","""",query('tbl user'!$A$2:$D10975,""SELECT A WHERE D = '""&amp;K3659&amp;""'"")),""USER TIDAK DIKETAHUI""))"),"#REF!")</f>
        <v>#REF!</v>
      </c>
    </row>
    <row r="3660">
      <c r="A3660" s="21">
        <f t="shared" si="1"/>
        <v>0</v>
      </c>
      <c r="B3660" s="32" t="s">
        <v>151</v>
      </c>
      <c r="C3660" s="23" t="s">
        <v>152</v>
      </c>
      <c r="D3660" s="23" t="s">
        <v>58</v>
      </c>
      <c r="E3660" s="24">
        <v>45450.0</v>
      </c>
      <c r="F3660" s="25">
        <v>0.27847222222222223</v>
      </c>
      <c r="G3660" s="25">
        <v>0.5520833333333334</v>
      </c>
      <c r="H3660" s="27">
        <f t="shared" si="2"/>
        <v>0.2736111111</v>
      </c>
      <c r="I3660" s="28">
        <v>1.0</v>
      </c>
      <c r="J3660" s="29" t="s">
        <v>1624</v>
      </c>
      <c r="K3660" s="30" t="s">
        <v>23</v>
      </c>
      <c r="L3660" s="31" t="str">
        <f>IFERROR(__xludf.DUMMYFUNCTION("IF(OR(E3660="""",K3660=""""),"""",IFERROR(IF(K3660="""","""",query('tbl user'!$A$2:$D10975,""SELECT A WHERE D = '""&amp;K3660&amp;""'"")),""USER TIDAK DIKETAHUI""))"),"#REF!")</f>
        <v>#REF!</v>
      </c>
    </row>
    <row r="3661">
      <c r="A3661" s="21">
        <f t="shared" si="1"/>
        <v>0</v>
      </c>
      <c r="B3661" s="32" t="s">
        <v>30</v>
      </c>
      <c r="C3661" s="23" t="s">
        <v>31</v>
      </c>
      <c r="D3661" s="23" t="s">
        <v>58</v>
      </c>
      <c r="E3661" s="24">
        <v>45450.0</v>
      </c>
      <c r="F3661" s="25">
        <v>0.46875</v>
      </c>
      <c r="G3661" s="25">
        <v>0.7215277777777778</v>
      </c>
      <c r="H3661" s="27">
        <f t="shared" si="2"/>
        <v>0.2527777778</v>
      </c>
      <c r="I3661" s="28">
        <v>2.0</v>
      </c>
      <c r="J3661" s="29" t="s">
        <v>1625</v>
      </c>
      <c r="K3661" s="30" t="s">
        <v>23</v>
      </c>
      <c r="L3661" s="31" t="str">
        <f>IFERROR(__xludf.DUMMYFUNCTION("IF(OR(E3661="""",K3661=""""),"""",IFERROR(IF(K3661="""","""",query('tbl user'!$A$2:$D10975,""SELECT A WHERE D = '""&amp;K3661&amp;""'"")),""USER TIDAK DIKETAHUI""))"),"#REF!")</f>
        <v>#REF!</v>
      </c>
    </row>
    <row r="3662">
      <c r="A3662" s="21">
        <f t="shared" si="1"/>
        <v>0</v>
      </c>
      <c r="B3662" s="32" t="s">
        <v>40</v>
      </c>
      <c r="C3662" s="23" t="s">
        <v>41</v>
      </c>
      <c r="D3662" s="23" t="s">
        <v>58</v>
      </c>
      <c r="E3662" s="24">
        <v>45450.0</v>
      </c>
      <c r="F3662" s="25">
        <v>0.29097222222222224</v>
      </c>
      <c r="G3662" s="25">
        <v>0.6222222222222222</v>
      </c>
      <c r="H3662" s="27">
        <f t="shared" si="2"/>
        <v>0.33125</v>
      </c>
      <c r="I3662" s="28">
        <v>2.0</v>
      </c>
      <c r="J3662" s="29" t="s">
        <v>295</v>
      </c>
      <c r="K3662" s="30" t="s">
        <v>23</v>
      </c>
      <c r="L3662" s="31" t="str">
        <f>IFERROR(__xludf.DUMMYFUNCTION("IF(OR(E3662="""",K3662=""""),"""",IFERROR(IF(K3662="""","""",query('tbl user'!$A$2:$D10975,""SELECT A WHERE D = '""&amp;K3662&amp;""'"")),""USER TIDAK DIKETAHUI""))"),"#REF!")</f>
        <v>#REF!</v>
      </c>
    </row>
    <row r="3663">
      <c r="A3663" s="21">
        <f t="shared" si="1"/>
        <v>0</v>
      </c>
      <c r="B3663" s="32" t="s">
        <v>279</v>
      </c>
      <c r="C3663" s="23" t="s">
        <v>280</v>
      </c>
      <c r="D3663" s="23" t="s">
        <v>58</v>
      </c>
      <c r="E3663" s="24">
        <v>45450.0</v>
      </c>
      <c r="F3663" s="25">
        <v>0.2743055555555556</v>
      </c>
      <c r="G3663" s="25">
        <v>0.625</v>
      </c>
      <c r="H3663" s="27">
        <f t="shared" si="2"/>
        <v>0.3506944444</v>
      </c>
      <c r="I3663" s="28">
        <v>2.0</v>
      </c>
      <c r="J3663" s="29" t="s">
        <v>566</v>
      </c>
      <c r="K3663" s="30" t="s">
        <v>23</v>
      </c>
      <c r="L3663" s="31" t="str">
        <f>IFERROR(__xludf.DUMMYFUNCTION("IF(OR(E3663="""",K3663=""""),"""",IFERROR(IF(K3663="""","""",query('tbl user'!$A$2:$D10975,""SELECT A WHERE D = '""&amp;K3663&amp;""'"")),""USER TIDAK DIKETAHUI""))"),"#REF!")</f>
        <v>#REF!</v>
      </c>
    </row>
    <row r="3664">
      <c r="A3664" s="21">
        <f t="shared" si="1"/>
        <v>0</v>
      </c>
      <c r="B3664" s="32" t="s">
        <v>146</v>
      </c>
      <c r="C3664" s="23" t="s">
        <v>147</v>
      </c>
      <c r="D3664" s="23" t="s">
        <v>58</v>
      </c>
      <c r="E3664" s="24">
        <v>45450.0</v>
      </c>
      <c r="F3664" s="25">
        <v>0.2722222222222222</v>
      </c>
      <c r="G3664" s="25">
        <v>0.7034722222222223</v>
      </c>
      <c r="H3664" s="27">
        <f t="shared" si="2"/>
        <v>0.43125</v>
      </c>
      <c r="I3664" s="28">
        <v>2.0</v>
      </c>
      <c r="J3664" s="29" t="s">
        <v>1626</v>
      </c>
      <c r="K3664" s="30" t="s">
        <v>23</v>
      </c>
      <c r="L3664" s="31" t="str">
        <f>IFERROR(__xludf.DUMMYFUNCTION("IF(OR(E3664="""",K3664=""""),"""",IFERROR(IF(K3664="""","""",query('tbl user'!$A$2:$D10975,""SELECT A WHERE D = '""&amp;K3664&amp;""'"")),""USER TIDAK DIKETAHUI""))"),"#REF!")</f>
        <v>#REF!</v>
      </c>
    </row>
    <row r="3665">
      <c r="A3665" s="21">
        <f t="shared" si="1"/>
        <v>0</v>
      </c>
      <c r="B3665" s="32" t="s">
        <v>412</v>
      </c>
      <c r="C3665" s="23" t="s">
        <v>413</v>
      </c>
      <c r="D3665" s="23" t="s">
        <v>58</v>
      </c>
      <c r="E3665" s="24">
        <v>45450.0</v>
      </c>
      <c r="F3665" s="25">
        <v>0.2881944444444444</v>
      </c>
      <c r="G3665" s="25">
        <v>0.7284722222222222</v>
      </c>
      <c r="H3665" s="27">
        <f t="shared" si="2"/>
        <v>0.4402777778</v>
      </c>
      <c r="I3665" s="28">
        <v>3.0</v>
      </c>
      <c r="J3665" s="29" t="s">
        <v>894</v>
      </c>
      <c r="K3665" s="30" t="s">
        <v>23</v>
      </c>
      <c r="L3665" s="31" t="str">
        <f>IFERROR(__xludf.DUMMYFUNCTION("IF(OR(E3665="""",K3665=""""),"""",IFERROR(IF(K3665="""","""",query('tbl user'!$A$2:$D10975,""SELECT A WHERE D = '""&amp;K3665&amp;""'"")),""USER TIDAK DIKETAHUI""))"),"#REF!")</f>
        <v>#REF!</v>
      </c>
    </row>
    <row r="3666">
      <c r="A3666" s="21">
        <f t="shared" si="1"/>
        <v>0</v>
      </c>
      <c r="B3666" s="32" t="s">
        <v>115</v>
      </c>
      <c r="C3666" s="23" t="s">
        <v>116</v>
      </c>
      <c r="D3666" s="23" t="s">
        <v>58</v>
      </c>
      <c r="E3666" s="24">
        <v>45450.0</v>
      </c>
      <c r="F3666" s="25">
        <v>0.27569444444444446</v>
      </c>
      <c r="G3666" s="25">
        <v>0.7388888888888889</v>
      </c>
      <c r="H3666" s="27">
        <f t="shared" si="2"/>
        <v>0.4631944444</v>
      </c>
      <c r="I3666" s="28">
        <v>3.0</v>
      </c>
      <c r="J3666" s="29" t="s">
        <v>1627</v>
      </c>
      <c r="K3666" s="30" t="s">
        <v>23</v>
      </c>
      <c r="L3666" s="31" t="str">
        <f>IFERROR(__xludf.DUMMYFUNCTION("IF(OR(E3666="""",K3666=""""),"""",IFERROR(IF(K3666="""","""",query('tbl user'!$A$2:$D10975,""SELECT A WHERE D = '""&amp;K3666&amp;""'"")),""USER TIDAK DIKETAHUI""))"),"#REF!")</f>
        <v>#REF!</v>
      </c>
    </row>
    <row r="3667">
      <c r="A3667" s="21">
        <f t="shared" si="1"/>
        <v>0</v>
      </c>
      <c r="B3667" s="32" t="s">
        <v>123</v>
      </c>
      <c r="C3667" s="23" t="s">
        <v>124</v>
      </c>
      <c r="D3667" s="23" t="s">
        <v>58</v>
      </c>
      <c r="E3667" s="24">
        <v>45450.0</v>
      </c>
      <c r="F3667" s="25">
        <v>0.25833333333333336</v>
      </c>
      <c r="G3667" s="25">
        <v>0.6611111111111111</v>
      </c>
      <c r="H3667" s="27">
        <f t="shared" si="2"/>
        <v>0.4027777778</v>
      </c>
      <c r="I3667" s="28">
        <v>3.0</v>
      </c>
      <c r="J3667" s="29" t="s">
        <v>1628</v>
      </c>
      <c r="K3667" s="30" t="s">
        <v>23</v>
      </c>
      <c r="L3667" s="31" t="str">
        <f>IFERROR(__xludf.DUMMYFUNCTION("IF(OR(E3667="""",K3667=""""),"""",IFERROR(IF(K3667="""","""",query('tbl user'!$A$2:$D10975,""SELECT A WHERE D = '""&amp;K3667&amp;""'"")),""USER TIDAK DIKETAHUI""))"),"#REF!")</f>
        <v>#REF!</v>
      </c>
    </row>
    <row r="3668">
      <c r="A3668" s="21">
        <f t="shared" si="1"/>
        <v>0</v>
      </c>
      <c r="B3668" s="32" t="s">
        <v>135</v>
      </c>
      <c r="C3668" s="23" t="s">
        <v>136</v>
      </c>
      <c r="D3668" s="23" t="s">
        <v>58</v>
      </c>
      <c r="E3668" s="24">
        <v>45450.0</v>
      </c>
      <c r="F3668" s="25">
        <v>0.28125</v>
      </c>
      <c r="G3668" s="25">
        <v>0.7027777777777777</v>
      </c>
      <c r="H3668" s="27">
        <f t="shared" si="2"/>
        <v>0.4215277778</v>
      </c>
      <c r="I3668" s="28">
        <v>3.0</v>
      </c>
      <c r="J3668" s="29" t="s">
        <v>894</v>
      </c>
      <c r="K3668" s="30" t="s">
        <v>23</v>
      </c>
      <c r="L3668" s="31" t="str">
        <f>IFERROR(__xludf.DUMMYFUNCTION("IF(OR(E3668="""",K3668=""""),"""",IFERROR(IF(K3668="""","""",query('tbl user'!$A$2:$D10975,""SELECT A WHERE D = '""&amp;K3668&amp;""'"")),""USER TIDAK DIKETAHUI""))"),"#REF!")</f>
        <v>#REF!</v>
      </c>
    </row>
    <row r="3669">
      <c r="A3669" s="21">
        <f t="shared" si="1"/>
        <v>0</v>
      </c>
      <c r="B3669" s="32" t="s">
        <v>269</v>
      </c>
      <c r="C3669" s="23" t="s">
        <v>270</v>
      </c>
      <c r="D3669" s="23" t="s">
        <v>58</v>
      </c>
      <c r="E3669" s="24">
        <v>45450.0</v>
      </c>
      <c r="F3669" s="25">
        <v>0.27152777777777776</v>
      </c>
      <c r="G3669" s="25">
        <v>0.65625</v>
      </c>
      <c r="H3669" s="27">
        <f t="shared" si="2"/>
        <v>0.3847222222</v>
      </c>
      <c r="I3669" s="28">
        <v>3.0</v>
      </c>
      <c r="J3669" s="29" t="s">
        <v>894</v>
      </c>
      <c r="K3669" s="30" t="s">
        <v>23</v>
      </c>
      <c r="L3669" s="31" t="str">
        <f>IFERROR(__xludf.DUMMYFUNCTION("IF(OR(E3669="""",K3669=""""),"""",IFERROR(IF(K3669="""","""",query('tbl user'!$A$2:$D10975,""SELECT A WHERE D = '""&amp;K3669&amp;""'"")),""USER TIDAK DIKETAHUI""))"),"#REF!")</f>
        <v>#REF!</v>
      </c>
    </row>
    <row r="3670">
      <c r="A3670" s="21">
        <f t="shared" si="1"/>
        <v>0</v>
      </c>
      <c r="B3670" s="32" t="s">
        <v>141</v>
      </c>
      <c r="C3670" s="23" t="s">
        <v>142</v>
      </c>
      <c r="D3670" s="23" t="s">
        <v>58</v>
      </c>
      <c r="E3670" s="24">
        <v>45450.0</v>
      </c>
      <c r="F3670" s="25">
        <v>0.28194444444444444</v>
      </c>
      <c r="G3670" s="25">
        <v>0.7166666666666667</v>
      </c>
      <c r="H3670" s="27">
        <f t="shared" si="2"/>
        <v>0.4347222222</v>
      </c>
      <c r="I3670" s="28">
        <v>3.0</v>
      </c>
      <c r="J3670" s="29" t="s">
        <v>894</v>
      </c>
      <c r="K3670" s="30" t="s">
        <v>23</v>
      </c>
      <c r="L3670" s="31" t="str">
        <f>IFERROR(__xludf.DUMMYFUNCTION("IF(OR(E3670="""",K3670=""""),"""",IFERROR(IF(K3670="""","""",query('tbl user'!$A$2:$D10975,""SELECT A WHERE D = '""&amp;K3670&amp;""'"")),""USER TIDAK DIKETAHUI""))"),"#REF!")</f>
        <v>#REF!</v>
      </c>
    </row>
    <row r="3671">
      <c r="A3671" s="21">
        <f t="shared" si="1"/>
        <v>0</v>
      </c>
      <c r="B3671" s="32" t="s">
        <v>149</v>
      </c>
      <c r="C3671" s="23" t="s">
        <v>150</v>
      </c>
      <c r="D3671" s="23" t="s">
        <v>58</v>
      </c>
      <c r="E3671" s="24">
        <v>45450.0</v>
      </c>
      <c r="F3671" s="25">
        <v>0.25555555555555554</v>
      </c>
      <c r="G3671" s="25">
        <v>0.7326388888888888</v>
      </c>
      <c r="H3671" s="27">
        <f t="shared" si="2"/>
        <v>0.4770833333</v>
      </c>
      <c r="I3671" s="28">
        <v>3.0</v>
      </c>
      <c r="J3671" s="29" t="s">
        <v>1629</v>
      </c>
      <c r="K3671" s="30" t="s">
        <v>23</v>
      </c>
      <c r="L3671" s="31" t="str">
        <f>IFERROR(__xludf.DUMMYFUNCTION("IF(OR(E3671="""",K3671=""""),"""",IFERROR(IF(K3671="""","""",query('tbl user'!$A$2:$D10975,""SELECT A WHERE D = '""&amp;K3671&amp;""'"")),""USER TIDAK DIKETAHUI""))"),"#REF!")</f>
        <v>#REF!</v>
      </c>
    </row>
    <row r="3672">
      <c r="A3672" s="21">
        <f t="shared" si="1"/>
        <v>0</v>
      </c>
      <c r="B3672" s="32" t="s">
        <v>250</v>
      </c>
      <c r="C3672" s="23" t="s">
        <v>315</v>
      </c>
      <c r="D3672" s="23" t="s">
        <v>58</v>
      </c>
      <c r="E3672" s="24">
        <v>45450.0</v>
      </c>
      <c r="F3672" s="25">
        <v>0.25</v>
      </c>
      <c r="G3672" s="25">
        <v>0.7777777777777778</v>
      </c>
      <c r="H3672" s="27">
        <f t="shared" si="2"/>
        <v>0.5277777778</v>
      </c>
      <c r="I3672" s="28">
        <v>4.0</v>
      </c>
      <c r="J3672" s="29" t="s">
        <v>55</v>
      </c>
      <c r="K3672" s="30" t="s">
        <v>23</v>
      </c>
      <c r="L3672" s="31" t="str">
        <f>IFERROR(__xludf.DUMMYFUNCTION("IF(OR(E3672="""",K3672=""""),"""",IFERROR(IF(K3672="""","""",query('tbl user'!$A$2:$D10975,""SELECT A WHERE D = '""&amp;K3672&amp;""'"")),""USER TIDAK DIKETAHUI""))"),"#REF!")</f>
        <v>#REF!</v>
      </c>
    </row>
    <row r="3673">
      <c r="A3673" s="21">
        <f t="shared" si="1"/>
        <v>0</v>
      </c>
      <c r="B3673" s="32" t="s">
        <v>46</v>
      </c>
      <c r="C3673" s="23" t="s">
        <v>47</v>
      </c>
      <c r="D3673" s="23" t="s">
        <v>58</v>
      </c>
      <c r="E3673" s="24">
        <v>45450.0</v>
      </c>
      <c r="F3673" s="25">
        <v>0.24305555555555555</v>
      </c>
      <c r="G3673" s="25">
        <v>0.7291666666666666</v>
      </c>
      <c r="H3673" s="27">
        <f t="shared" si="2"/>
        <v>0.4861111111</v>
      </c>
      <c r="I3673" s="28">
        <v>4.0</v>
      </c>
      <c r="J3673" s="29" t="s">
        <v>55</v>
      </c>
      <c r="K3673" s="30" t="s">
        <v>23</v>
      </c>
      <c r="L3673" s="31" t="str">
        <f>IFERROR(__xludf.DUMMYFUNCTION("IF(OR(E3673="""",K3673=""""),"""",IFERROR(IF(K3673="""","""",query('tbl user'!$A$2:$D10975,""SELECT A WHERE D = '""&amp;K3673&amp;""'"")),""USER TIDAK DIKETAHUI""))"),"#REF!")</f>
        <v>#REF!</v>
      </c>
    </row>
    <row r="3674">
      <c r="A3674" s="21">
        <f t="shared" si="1"/>
        <v>0</v>
      </c>
      <c r="B3674" s="32" t="s">
        <v>118</v>
      </c>
      <c r="C3674" s="23" t="s">
        <v>119</v>
      </c>
      <c r="D3674" s="23" t="s">
        <v>58</v>
      </c>
      <c r="E3674" s="24">
        <v>45450.0</v>
      </c>
      <c r="F3674" s="25">
        <v>0.2152777777777778</v>
      </c>
      <c r="G3674" s="25">
        <v>0.7416666666666667</v>
      </c>
      <c r="H3674" s="27">
        <f t="shared" si="2"/>
        <v>0.5263888889</v>
      </c>
      <c r="I3674" s="28">
        <v>4.0</v>
      </c>
      <c r="J3674" s="29" t="s">
        <v>55</v>
      </c>
      <c r="K3674" s="30" t="s">
        <v>23</v>
      </c>
      <c r="L3674" s="31" t="str">
        <f>IFERROR(__xludf.DUMMYFUNCTION("IF(OR(E3674="""",K3674=""""),"""",IFERROR(IF(K3674="""","""",query('tbl user'!$A$2:$D10975,""SELECT A WHERE D = '""&amp;K3674&amp;""'"")),""USER TIDAK DIKETAHUI""))"),"#REF!")</f>
        <v>#REF!</v>
      </c>
    </row>
    <row r="3675">
      <c r="A3675" s="21">
        <f t="shared" si="1"/>
        <v>0</v>
      </c>
      <c r="B3675" s="32" t="s">
        <v>120</v>
      </c>
      <c r="C3675" s="23" t="s">
        <v>121</v>
      </c>
      <c r="D3675" s="23" t="s">
        <v>58</v>
      </c>
      <c r="E3675" s="24">
        <v>45450.0</v>
      </c>
      <c r="F3675" s="25">
        <v>0.25069444444444444</v>
      </c>
      <c r="G3675" s="25">
        <v>0.7402777777777778</v>
      </c>
      <c r="H3675" s="27">
        <f t="shared" si="2"/>
        <v>0.4895833333</v>
      </c>
      <c r="I3675" s="28">
        <v>4.0</v>
      </c>
      <c r="J3675" s="29" t="s">
        <v>55</v>
      </c>
      <c r="K3675" s="30" t="s">
        <v>23</v>
      </c>
      <c r="L3675" s="31" t="str">
        <f>IFERROR(__xludf.DUMMYFUNCTION("IF(OR(E3675="""",K3675=""""),"""",IFERROR(IF(K3675="""","""",query('tbl user'!$A$2:$D10975,""SELECT A WHERE D = '""&amp;K3675&amp;""'"")),""USER TIDAK DIKETAHUI""))"),"#REF!")</f>
        <v>#REF!</v>
      </c>
    </row>
    <row r="3676">
      <c r="A3676" s="21">
        <f t="shared" si="1"/>
        <v>0</v>
      </c>
      <c r="B3676" s="32" t="s">
        <v>263</v>
      </c>
      <c r="C3676" s="23" t="s">
        <v>264</v>
      </c>
      <c r="D3676" s="23" t="s">
        <v>58</v>
      </c>
      <c r="E3676" s="24">
        <v>45450.0</v>
      </c>
      <c r="F3676" s="25">
        <v>0.2326388888888889</v>
      </c>
      <c r="G3676" s="25">
        <v>0.7090277777777778</v>
      </c>
      <c r="H3676" s="27">
        <f t="shared" si="2"/>
        <v>0.4763888889</v>
      </c>
      <c r="I3676" s="28">
        <v>4.0</v>
      </c>
      <c r="J3676" s="29" t="s">
        <v>55</v>
      </c>
      <c r="K3676" s="30" t="s">
        <v>23</v>
      </c>
      <c r="L3676" s="31" t="str">
        <f>IFERROR(__xludf.DUMMYFUNCTION("IF(OR(E3676="""",K3676=""""),"""",IFERROR(IF(K3676="""","""",query('tbl user'!$A$2:$D10975,""SELECT A WHERE D = '""&amp;K3676&amp;""'"")),""USER TIDAK DIKETAHUI""))"),"#REF!")</f>
        <v>#REF!</v>
      </c>
    </row>
    <row r="3677">
      <c r="A3677" s="21">
        <f t="shared" si="1"/>
        <v>0</v>
      </c>
      <c r="B3677" s="32" t="s">
        <v>125</v>
      </c>
      <c r="C3677" s="23" t="s">
        <v>126</v>
      </c>
      <c r="D3677" s="23" t="s">
        <v>58</v>
      </c>
      <c r="E3677" s="24">
        <v>45450.0</v>
      </c>
      <c r="F3677" s="25">
        <v>0.2875</v>
      </c>
      <c r="G3677" s="25">
        <v>0.6527777777777778</v>
      </c>
      <c r="H3677" s="27">
        <f t="shared" si="2"/>
        <v>0.3652777778</v>
      </c>
      <c r="I3677" s="28">
        <v>4.0</v>
      </c>
      <c r="J3677" s="29" t="s">
        <v>55</v>
      </c>
      <c r="K3677" s="30" t="s">
        <v>23</v>
      </c>
      <c r="L3677" s="31" t="str">
        <f>IFERROR(__xludf.DUMMYFUNCTION("IF(OR(E3677="""",K3677=""""),"""",IFERROR(IF(K3677="""","""",query('tbl user'!$A$2:$D10975,""SELECT A WHERE D = '""&amp;K3677&amp;""'"")),""USER TIDAK DIKETAHUI""))"),"#REF!")</f>
        <v>#REF!</v>
      </c>
    </row>
    <row r="3678">
      <c r="A3678" s="21">
        <f t="shared" si="1"/>
        <v>0</v>
      </c>
      <c r="B3678" s="32" t="s">
        <v>139</v>
      </c>
      <c r="C3678" s="23" t="s">
        <v>96</v>
      </c>
      <c r="D3678" s="23" t="s">
        <v>58</v>
      </c>
      <c r="E3678" s="24">
        <v>45450.0</v>
      </c>
      <c r="F3678" s="25">
        <v>0.2743055555555556</v>
      </c>
      <c r="G3678" s="25">
        <v>0.7277777777777777</v>
      </c>
      <c r="H3678" s="27">
        <f t="shared" si="2"/>
        <v>0.4534722222</v>
      </c>
      <c r="I3678" s="28">
        <v>4.0</v>
      </c>
      <c r="J3678" s="29" t="s">
        <v>55</v>
      </c>
      <c r="K3678" s="30" t="s">
        <v>23</v>
      </c>
      <c r="L3678" s="31" t="str">
        <f>IFERROR(__xludf.DUMMYFUNCTION("IF(OR(E3678="""",K3678=""""),"""",IFERROR(IF(K3678="""","""",query('tbl user'!$A$2:$D10975,""SELECT A WHERE D = '""&amp;K3678&amp;""'"")),""USER TIDAK DIKETAHUI""))"),"#REF!")</f>
        <v>#REF!</v>
      </c>
    </row>
    <row r="3679">
      <c r="A3679" s="21">
        <f t="shared" si="1"/>
        <v>0</v>
      </c>
      <c r="B3679" s="32" t="s">
        <v>267</v>
      </c>
      <c r="C3679" s="23" t="s">
        <v>268</v>
      </c>
      <c r="D3679" s="23" t="s">
        <v>58</v>
      </c>
      <c r="E3679" s="24">
        <v>45450.0</v>
      </c>
      <c r="F3679" s="25">
        <v>0.2652777777777778</v>
      </c>
      <c r="G3679" s="25">
        <v>0.7145833333333333</v>
      </c>
      <c r="H3679" s="27">
        <f t="shared" si="2"/>
        <v>0.4493055556</v>
      </c>
      <c r="I3679" s="28">
        <v>4.0</v>
      </c>
      <c r="J3679" s="29" t="s">
        <v>55</v>
      </c>
      <c r="K3679" s="30" t="s">
        <v>23</v>
      </c>
      <c r="L3679" s="31" t="str">
        <f>IFERROR(__xludf.DUMMYFUNCTION("IF(OR(E3679="""",K3679=""""),"""",IFERROR(IF(K3679="""","""",query('tbl user'!$A$2:$D10975,""SELECT A WHERE D = '""&amp;K3679&amp;""'"")),""USER TIDAK DIKETAHUI""))"),"#REF!")</f>
        <v>#REF!</v>
      </c>
    </row>
    <row r="3680">
      <c r="A3680" s="21">
        <f t="shared" si="1"/>
        <v>0</v>
      </c>
      <c r="B3680" s="32" t="s">
        <v>312</v>
      </c>
      <c r="C3680" s="23" t="s">
        <v>313</v>
      </c>
      <c r="D3680" s="23" t="s">
        <v>58</v>
      </c>
      <c r="E3680" s="24">
        <v>45450.0</v>
      </c>
      <c r="F3680" s="25">
        <v>0.24097222222222223</v>
      </c>
      <c r="G3680" s="25">
        <v>0.7173611111111111</v>
      </c>
      <c r="H3680" s="27">
        <f t="shared" si="2"/>
        <v>0.4763888889</v>
      </c>
      <c r="I3680" s="28">
        <v>4.0</v>
      </c>
      <c r="J3680" s="29" t="s">
        <v>55</v>
      </c>
      <c r="K3680" s="30" t="s">
        <v>23</v>
      </c>
      <c r="L3680" s="31" t="str">
        <f>IFERROR(__xludf.DUMMYFUNCTION("IF(OR(E3680="""",K3680=""""),"""",IFERROR(IF(K3680="""","""",query('tbl user'!$A$2:$D10975,""SELECT A WHERE D = '""&amp;K3680&amp;""'"")),""USER TIDAK DIKETAHUI""))"),"#REF!")</f>
        <v>#REF!</v>
      </c>
    </row>
    <row r="3681">
      <c r="A3681" s="21">
        <f t="shared" si="1"/>
        <v>0</v>
      </c>
      <c r="B3681" s="32" t="s">
        <v>144</v>
      </c>
      <c r="C3681" s="23" t="s">
        <v>145</v>
      </c>
      <c r="D3681" s="23" t="s">
        <v>58</v>
      </c>
      <c r="E3681" s="24">
        <v>45450.0</v>
      </c>
      <c r="F3681" s="25">
        <v>0.2701388888888889</v>
      </c>
      <c r="G3681" s="25">
        <v>0.7444444444444445</v>
      </c>
      <c r="H3681" s="27">
        <f t="shared" si="2"/>
        <v>0.4743055556</v>
      </c>
      <c r="I3681" s="28">
        <v>4.0</v>
      </c>
      <c r="J3681" s="29" t="s">
        <v>55</v>
      </c>
      <c r="K3681" s="30" t="s">
        <v>23</v>
      </c>
      <c r="L3681" s="31" t="str">
        <f>IFERROR(__xludf.DUMMYFUNCTION("IF(OR(E3681="""",K3681=""""),"""",IFERROR(IF(K3681="""","""",query('tbl user'!$A$2:$D10975,""SELECT A WHERE D = '""&amp;K3681&amp;""'"")),""USER TIDAK DIKETAHUI""))"),"#REF!")</f>
        <v>#REF!</v>
      </c>
    </row>
    <row r="3682">
      <c r="A3682" s="21">
        <f t="shared" si="1"/>
        <v>0</v>
      </c>
      <c r="B3682" s="32" t="s">
        <v>67</v>
      </c>
      <c r="C3682" s="23" t="s">
        <v>68</v>
      </c>
      <c r="D3682" s="23" t="s">
        <v>58</v>
      </c>
      <c r="E3682" s="24">
        <v>45451.0</v>
      </c>
      <c r="F3682" s="25">
        <v>0.2763888888888889</v>
      </c>
      <c r="G3682" s="25">
        <v>0.44583333333333336</v>
      </c>
      <c r="H3682" s="27">
        <f t="shared" si="2"/>
        <v>0.1694444444</v>
      </c>
      <c r="I3682" s="28">
        <v>1.0</v>
      </c>
      <c r="J3682" s="29" t="s">
        <v>1630</v>
      </c>
      <c r="K3682" s="30" t="s">
        <v>23</v>
      </c>
      <c r="L3682" s="31" t="str">
        <f>IFERROR(__xludf.DUMMYFUNCTION("IF(OR(E3682="""",K3682=""""),"""",IFERROR(IF(K3682="""","""",query('tbl user'!$A$2:$D10975,""SELECT A WHERE D = '""&amp;K3682&amp;""'"")),""USER TIDAK DIKETAHUI""))"),"#REF!")</f>
        <v>#REF!</v>
      </c>
    </row>
    <row r="3683">
      <c r="A3683" s="21">
        <f t="shared" si="1"/>
        <v>0</v>
      </c>
      <c r="B3683" s="32" t="s">
        <v>153</v>
      </c>
      <c r="C3683" s="23" t="s">
        <v>154</v>
      </c>
      <c r="D3683" s="23" t="s">
        <v>58</v>
      </c>
      <c r="E3683" s="24">
        <v>45451.0</v>
      </c>
      <c r="F3683" s="25">
        <v>0.23125</v>
      </c>
      <c r="G3683" s="25">
        <v>0.7131944444444445</v>
      </c>
      <c r="H3683" s="27">
        <f t="shared" si="2"/>
        <v>0.4819444444</v>
      </c>
      <c r="I3683" s="28">
        <v>4.0</v>
      </c>
      <c r="J3683" s="29" t="s">
        <v>55</v>
      </c>
      <c r="K3683" s="30" t="s">
        <v>23</v>
      </c>
      <c r="L3683" s="31" t="str">
        <f>IFERROR(__xludf.DUMMYFUNCTION("IF(OR(E3683="""",K3683=""""),"""",IFERROR(IF(K3683="""","""",query('tbl user'!$A$2:$D10975,""SELECT A WHERE D = '""&amp;K3683&amp;""'"")),""USER TIDAK DIKETAHUI""))"),"#REF!")</f>
        <v>#REF!</v>
      </c>
    </row>
    <row r="3684">
      <c r="A3684" s="21">
        <f t="shared" si="1"/>
        <v>0</v>
      </c>
      <c r="B3684" s="32" t="s">
        <v>156</v>
      </c>
      <c r="C3684" s="23" t="s">
        <v>157</v>
      </c>
      <c r="D3684" s="23" t="s">
        <v>58</v>
      </c>
      <c r="E3684" s="24">
        <v>45451.0</v>
      </c>
      <c r="F3684" s="25">
        <v>0.2638888888888889</v>
      </c>
      <c r="G3684" s="25">
        <v>0.6527777777777778</v>
      </c>
      <c r="H3684" s="27">
        <f t="shared" si="2"/>
        <v>0.3888888889</v>
      </c>
      <c r="I3684" s="28">
        <v>3.0</v>
      </c>
      <c r="J3684" s="29" t="s">
        <v>1631</v>
      </c>
      <c r="K3684" s="30" t="s">
        <v>23</v>
      </c>
      <c r="L3684" s="31" t="str">
        <f>IFERROR(__xludf.DUMMYFUNCTION("IF(OR(E3684="""",K3684=""""),"""",IFERROR(IF(K3684="""","""",query('tbl user'!$A$2:$D10975,""SELECT A WHERE D = '""&amp;K3684&amp;""'"")),""USER TIDAK DIKETAHUI""))"),"#REF!")</f>
        <v>#REF!</v>
      </c>
    </row>
    <row r="3685">
      <c r="A3685" s="21">
        <f t="shared" si="1"/>
        <v>0</v>
      </c>
      <c r="B3685" s="32" t="s">
        <v>253</v>
      </c>
      <c r="C3685" s="23" t="s">
        <v>163</v>
      </c>
      <c r="D3685" s="23" t="s">
        <v>58</v>
      </c>
      <c r="E3685" s="24">
        <v>45451.0</v>
      </c>
      <c r="F3685" s="25">
        <v>0.29097222222222224</v>
      </c>
      <c r="G3685" s="25">
        <v>0.5902777777777778</v>
      </c>
      <c r="H3685" s="27">
        <f t="shared" si="2"/>
        <v>0.2993055556</v>
      </c>
      <c r="I3685" s="28">
        <v>2.0</v>
      </c>
      <c r="J3685" s="29" t="s">
        <v>1001</v>
      </c>
      <c r="K3685" s="30" t="s">
        <v>23</v>
      </c>
      <c r="L3685" s="31" t="str">
        <f>IFERROR(__xludf.DUMMYFUNCTION("IF(OR(E3685="""",K3685=""""),"""",IFERROR(IF(K3685="""","""",query('tbl user'!$A$2:$D10975,""SELECT A WHERE D = '""&amp;K3685&amp;""'"")),""USER TIDAK DIKETAHUI""))"),"#REF!")</f>
        <v>#REF!</v>
      </c>
    </row>
    <row r="3686">
      <c r="A3686" s="21">
        <f t="shared" si="1"/>
        <v>0</v>
      </c>
      <c r="B3686" s="32" t="s">
        <v>101</v>
      </c>
      <c r="C3686" s="23" t="s">
        <v>211</v>
      </c>
      <c r="D3686" s="23" t="s">
        <v>58</v>
      </c>
      <c r="E3686" s="24">
        <v>45451.0</v>
      </c>
      <c r="F3686" s="25">
        <v>0.2902777777777778</v>
      </c>
      <c r="G3686" s="25">
        <v>0.7</v>
      </c>
      <c r="H3686" s="27">
        <f t="shared" si="2"/>
        <v>0.4097222222</v>
      </c>
      <c r="I3686" s="28">
        <v>3.0</v>
      </c>
      <c r="J3686" s="29" t="s">
        <v>1632</v>
      </c>
      <c r="K3686" s="30" t="s">
        <v>23</v>
      </c>
      <c r="L3686" s="31" t="str">
        <f>IFERROR(__xludf.DUMMYFUNCTION("IF(OR(E3686="""",K3686=""""),"""",IFERROR(IF(K3686="""","""",query('tbl user'!$A$2:$D10975,""SELECT A WHERE D = '""&amp;K3686&amp;""'"")),""USER TIDAK DIKETAHUI""))"),"#REF!")</f>
        <v>#REF!</v>
      </c>
    </row>
    <row r="3687">
      <c r="A3687" s="21">
        <f t="shared" si="1"/>
        <v>0</v>
      </c>
      <c r="B3687" s="32" t="s">
        <v>260</v>
      </c>
      <c r="C3687" s="23" t="s">
        <v>165</v>
      </c>
      <c r="D3687" s="23" t="s">
        <v>58</v>
      </c>
      <c r="E3687" s="24">
        <v>45451.0</v>
      </c>
      <c r="F3687" s="25">
        <v>0.2708333333333333</v>
      </c>
      <c r="G3687" s="25">
        <v>0.6569444444444444</v>
      </c>
      <c r="H3687" s="27">
        <f t="shared" si="2"/>
        <v>0.3861111111</v>
      </c>
      <c r="I3687" s="28">
        <v>3.0</v>
      </c>
      <c r="J3687" s="29" t="s">
        <v>1633</v>
      </c>
      <c r="K3687" s="30" t="s">
        <v>23</v>
      </c>
      <c r="L3687" s="31" t="str">
        <f>IFERROR(__xludf.DUMMYFUNCTION("IF(OR(E3687="""",K3687=""""),"""",IFERROR(IF(K3687="""","""",query('tbl user'!$A$2:$D10975,""SELECT A WHERE D = '""&amp;K3687&amp;""'"")),""USER TIDAK DIKETAHUI""))"),"#REF!")</f>
        <v>#REF!</v>
      </c>
    </row>
    <row r="3688">
      <c r="A3688" s="21">
        <f t="shared" si="1"/>
        <v>0</v>
      </c>
      <c r="B3688" s="32" t="s">
        <v>167</v>
      </c>
      <c r="C3688" s="23" t="s">
        <v>168</v>
      </c>
      <c r="D3688" s="23" t="s">
        <v>58</v>
      </c>
      <c r="E3688" s="24">
        <v>45451.0</v>
      </c>
      <c r="F3688" s="25">
        <v>0.29097222222222224</v>
      </c>
      <c r="G3688" s="25">
        <v>0.7104166666666667</v>
      </c>
      <c r="H3688" s="27">
        <f t="shared" si="2"/>
        <v>0.4194444444</v>
      </c>
      <c r="I3688" s="28">
        <v>3.0</v>
      </c>
      <c r="J3688" s="29" t="s">
        <v>1634</v>
      </c>
      <c r="K3688" s="30" t="s">
        <v>23</v>
      </c>
      <c r="L3688" s="31" t="str">
        <f>IFERROR(__xludf.DUMMYFUNCTION("IF(OR(E3688="""",K3688=""""),"""",IFERROR(IF(K3688="""","""",query('tbl user'!$A$2:$D10975,""SELECT A WHERE D = '""&amp;K3688&amp;""'"")),""USER TIDAK DIKETAHUI""))"),"#REF!")</f>
        <v>#REF!</v>
      </c>
    </row>
    <row r="3689">
      <c r="A3689" s="21">
        <f t="shared" si="1"/>
        <v>0</v>
      </c>
      <c r="B3689" s="32" t="s">
        <v>214</v>
      </c>
      <c r="C3689" s="23" t="s">
        <v>170</v>
      </c>
      <c r="D3689" s="23" t="s">
        <v>58</v>
      </c>
      <c r="E3689" s="24">
        <v>45451.0</v>
      </c>
      <c r="F3689" s="25">
        <v>0.28958333333333336</v>
      </c>
      <c r="G3689" s="25">
        <v>0.6923611111111111</v>
      </c>
      <c r="H3689" s="27">
        <f t="shared" si="2"/>
        <v>0.4027777778</v>
      </c>
      <c r="I3689" s="28">
        <v>3.0</v>
      </c>
      <c r="J3689" s="29" t="s">
        <v>1635</v>
      </c>
      <c r="K3689" s="30" t="s">
        <v>23</v>
      </c>
      <c r="L3689" s="31" t="str">
        <f>IFERROR(__xludf.DUMMYFUNCTION("IF(OR(E3689="""",K3689=""""),"""",IFERROR(IF(K3689="""","""",query('tbl user'!$A$2:$D10975,""SELECT A WHERE D = '""&amp;K3689&amp;""'"")),""USER TIDAK DIKETAHUI""))"),"#REF!")</f>
        <v>#REF!</v>
      </c>
    </row>
    <row r="3690">
      <c r="A3690" s="21">
        <f t="shared" si="1"/>
        <v>0</v>
      </c>
      <c r="B3690" s="32" t="s">
        <v>92</v>
      </c>
      <c r="C3690" s="23" t="s">
        <v>93</v>
      </c>
      <c r="D3690" s="23" t="s">
        <v>58</v>
      </c>
      <c r="E3690" s="24">
        <v>45451.0</v>
      </c>
      <c r="F3690" s="25">
        <v>0.2590277777777778</v>
      </c>
      <c r="G3690" s="25">
        <v>0.3798611111111111</v>
      </c>
      <c r="H3690" s="27">
        <f t="shared" si="2"/>
        <v>0.1208333333</v>
      </c>
      <c r="I3690" s="28">
        <v>1.0</v>
      </c>
      <c r="J3690" s="29" t="s">
        <v>1636</v>
      </c>
      <c r="K3690" s="30" t="s">
        <v>23</v>
      </c>
      <c r="L3690" s="31" t="str">
        <f>IFERROR(__xludf.DUMMYFUNCTION("IF(OR(E3690="""",K3690=""""),"""",IFERROR(IF(K3690="""","""",query('tbl user'!$A$2:$D10975,""SELECT A WHERE D = '""&amp;K3690&amp;""'"")),""USER TIDAK DIKETAHUI""))"),"#REF!")</f>
        <v>#REF!</v>
      </c>
    </row>
    <row r="3691">
      <c r="A3691" s="21">
        <f t="shared" si="1"/>
        <v>0</v>
      </c>
      <c r="B3691" s="32" t="s">
        <v>172</v>
      </c>
      <c r="C3691" s="23" t="s">
        <v>173</v>
      </c>
      <c r="D3691" s="23" t="s">
        <v>58</v>
      </c>
      <c r="E3691" s="24">
        <v>45451.0</v>
      </c>
      <c r="F3691" s="25">
        <v>0.20902777777777778</v>
      </c>
      <c r="G3691" s="25">
        <v>0.5069444444444444</v>
      </c>
      <c r="H3691" s="27">
        <f t="shared" si="2"/>
        <v>0.2979166667</v>
      </c>
      <c r="I3691" s="28">
        <v>2.0</v>
      </c>
      <c r="J3691" s="29" t="s">
        <v>1637</v>
      </c>
      <c r="K3691" s="30" t="s">
        <v>23</v>
      </c>
      <c r="L3691" s="31" t="str">
        <f>IFERROR(__xludf.DUMMYFUNCTION("IF(OR(E3691="""",K3691=""""),"""",IFERROR(IF(K3691="""","""",query('tbl user'!$A$2:$D10975,""SELECT A WHERE D = '""&amp;K3691&amp;""'"")),""USER TIDAK DIKETAHUI""))"),"#REF!")</f>
        <v>#REF!</v>
      </c>
    </row>
    <row r="3692">
      <c r="A3692" s="21">
        <f t="shared" si="1"/>
        <v>0</v>
      </c>
      <c r="B3692" s="32" t="s">
        <v>175</v>
      </c>
      <c r="C3692" s="23" t="s">
        <v>176</v>
      </c>
      <c r="D3692" s="23" t="s">
        <v>58</v>
      </c>
      <c r="E3692" s="24">
        <v>45451.0</v>
      </c>
      <c r="F3692" s="25">
        <v>0.25277777777777777</v>
      </c>
      <c r="G3692" s="25">
        <v>0.6555555555555556</v>
      </c>
      <c r="H3692" s="27">
        <f t="shared" si="2"/>
        <v>0.4027777778</v>
      </c>
      <c r="I3692" s="28">
        <v>3.0</v>
      </c>
      <c r="J3692" s="29" t="s">
        <v>1638</v>
      </c>
      <c r="K3692" s="30" t="s">
        <v>23</v>
      </c>
      <c r="L3692" s="31" t="str">
        <f>IFERROR(__xludf.DUMMYFUNCTION("IF(OR(E3692="""",K3692=""""),"""",IFERROR(IF(K3692="""","""",query('tbl user'!$A$2:$D10975,""SELECT A WHERE D = '""&amp;K3692&amp;""'"")),""USER TIDAK DIKETAHUI""))"),"#REF!")</f>
        <v>#REF!</v>
      </c>
    </row>
    <row r="3693">
      <c r="A3693" s="21">
        <f t="shared" si="1"/>
        <v>0</v>
      </c>
      <c r="B3693" s="32" t="s">
        <v>159</v>
      </c>
      <c r="C3693" s="23" t="s">
        <v>57</v>
      </c>
      <c r="D3693" s="23" t="s">
        <v>58</v>
      </c>
      <c r="E3693" s="24">
        <v>45451.0</v>
      </c>
      <c r="F3693" s="25">
        <v>0.26875</v>
      </c>
      <c r="G3693" s="33">
        <v>0.7104166666666667</v>
      </c>
      <c r="H3693" s="27">
        <f t="shared" si="2"/>
        <v>0.4416666667</v>
      </c>
      <c r="I3693" s="28">
        <v>3.0</v>
      </c>
      <c r="J3693" s="29" t="s">
        <v>1632</v>
      </c>
      <c r="K3693" s="30" t="s">
        <v>23</v>
      </c>
      <c r="L3693" s="31" t="str">
        <f>IFERROR(__xludf.DUMMYFUNCTION("IF(OR(E3693="""",K3693=""""),"""",IFERROR(IF(K3693="""","""",query('tbl user'!$A$2:$D10975,""SELECT A WHERE D = '""&amp;K3693&amp;""'"")),""USER TIDAK DIKETAHUI""))"),"#REF!")</f>
        <v>#REF!</v>
      </c>
    </row>
    <row r="3694">
      <c r="A3694" s="21">
        <f t="shared" si="1"/>
        <v>0</v>
      </c>
      <c r="B3694" s="32" t="s">
        <v>180</v>
      </c>
      <c r="C3694" s="23" t="s">
        <v>181</v>
      </c>
      <c r="D3694" s="23" t="s">
        <v>58</v>
      </c>
      <c r="E3694" s="24">
        <v>45451.0</v>
      </c>
      <c r="F3694" s="25">
        <v>0.22708333333333333</v>
      </c>
      <c r="G3694" s="25">
        <v>0.6944444444444444</v>
      </c>
      <c r="H3694" s="27">
        <f t="shared" si="2"/>
        <v>0.4673611111</v>
      </c>
      <c r="I3694" s="28">
        <v>4.0</v>
      </c>
      <c r="J3694" s="29" t="s">
        <v>55</v>
      </c>
      <c r="K3694" s="30" t="s">
        <v>23</v>
      </c>
      <c r="L3694" s="31" t="str">
        <f>IFERROR(__xludf.DUMMYFUNCTION("IF(OR(E3694="""",K3694=""""),"""",IFERROR(IF(K3694="""","""",query('tbl user'!$A$2:$D10975,""SELECT A WHERE D = '""&amp;K3694&amp;""'"")),""USER TIDAK DIKETAHUI""))"),"#REF!")</f>
        <v>#REF!</v>
      </c>
    </row>
    <row r="3695">
      <c r="A3695" s="21">
        <f t="shared" si="1"/>
        <v>0</v>
      </c>
      <c r="B3695" s="32" t="s">
        <v>182</v>
      </c>
      <c r="C3695" s="23" t="s">
        <v>183</v>
      </c>
      <c r="D3695" s="23" t="s">
        <v>58</v>
      </c>
      <c r="E3695" s="24">
        <v>45451.0</v>
      </c>
      <c r="F3695" s="25">
        <v>0.22152777777777777</v>
      </c>
      <c r="G3695" s="25">
        <v>0.45625</v>
      </c>
      <c r="H3695" s="27">
        <f t="shared" si="2"/>
        <v>0.2347222222</v>
      </c>
      <c r="I3695" s="28">
        <v>2.0</v>
      </c>
      <c r="J3695" s="29" t="s">
        <v>1639</v>
      </c>
      <c r="K3695" s="30" t="s">
        <v>23</v>
      </c>
      <c r="L3695" s="31" t="str">
        <f>IFERROR(__xludf.DUMMYFUNCTION("IF(OR(E3695="""",K3695=""""),"""",IFERROR(IF(K3695="""","""",query('tbl user'!$A$2:$D10975,""SELECT A WHERE D = '""&amp;K3695&amp;""'"")),""USER TIDAK DIKETAHUI""))"),"#REF!")</f>
        <v>#REF!</v>
      </c>
    </row>
    <row r="3696">
      <c r="A3696" s="21">
        <f t="shared" si="1"/>
        <v>0</v>
      </c>
      <c r="B3696" s="32" t="s">
        <v>184</v>
      </c>
      <c r="C3696" s="23" t="s">
        <v>185</v>
      </c>
      <c r="D3696" s="23" t="s">
        <v>58</v>
      </c>
      <c r="E3696" s="24">
        <v>45451.0</v>
      </c>
      <c r="F3696" s="25">
        <v>0.2361111111111111</v>
      </c>
      <c r="G3696" s="25">
        <v>0.6506944444444445</v>
      </c>
      <c r="H3696" s="27">
        <f t="shared" si="2"/>
        <v>0.4145833333</v>
      </c>
      <c r="I3696" s="28">
        <v>3.0</v>
      </c>
      <c r="J3696" s="29" t="s">
        <v>1632</v>
      </c>
      <c r="K3696" s="30" t="s">
        <v>23</v>
      </c>
      <c r="L3696" s="31" t="str">
        <f>IFERROR(__xludf.DUMMYFUNCTION("IF(OR(E3696="""",K3696=""""),"""",IFERROR(IF(K3696="""","""",query('tbl user'!$A$2:$D10975,""SELECT A WHERE D = '""&amp;K3696&amp;""'"")),""USER TIDAK DIKETAHUI""))"),"#REF!")</f>
        <v>#REF!</v>
      </c>
    </row>
    <row r="3697">
      <c r="A3697" s="21">
        <f t="shared" si="1"/>
        <v>0</v>
      </c>
      <c r="B3697" s="32" t="s">
        <v>187</v>
      </c>
      <c r="C3697" s="23" t="s">
        <v>188</v>
      </c>
      <c r="D3697" s="23" t="s">
        <v>58</v>
      </c>
      <c r="E3697" s="24">
        <v>45451.0</v>
      </c>
      <c r="F3697" s="25">
        <v>0.2298611111111111</v>
      </c>
      <c r="G3697" s="25">
        <v>0.7097222222222223</v>
      </c>
      <c r="H3697" s="27">
        <f t="shared" si="2"/>
        <v>0.4798611111</v>
      </c>
      <c r="I3697" s="28">
        <v>4.0</v>
      </c>
      <c r="J3697" s="29" t="s">
        <v>55</v>
      </c>
      <c r="K3697" s="30" t="s">
        <v>23</v>
      </c>
      <c r="L3697" s="31" t="str">
        <f>IFERROR(__xludf.DUMMYFUNCTION("IF(OR(E3697="""",K3697=""""),"""",IFERROR(IF(K3697="""","""",query('tbl user'!$A$2:$D10975,""SELECT A WHERE D = '""&amp;K3697&amp;""'"")),""USER TIDAK DIKETAHUI""))"),"#REF!")</f>
        <v>#REF!</v>
      </c>
    </row>
    <row r="3698">
      <c r="A3698" s="21">
        <f t="shared" si="1"/>
        <v>0</v>
      </c>
      <c r="B3698" s="32" t="s">
        <v>189</v>
      </c>
      <c r="C3698" s="23" t="s">
        <v>190</v>
      </c>
      <c r="D3698" s="23" t="s">
        <v>58</v>
      </c>
      <c r="E3698" s="24">
        <v>45451.0</v>
      </c>
      <c r="F3698" s="25">
        <v>0.27152777777777776</v>
      </c>
      <c r="G3698" s="25">
        <v>0.6541666666666667</v>
      </c>
      <c r="H3698" s="27">
        <f t="shared" si="2"/>
        <v>0.3826388889</v>
      </c>
      <c r="I3698" s="28">
        <v>3.0</v>
      </c>
      <c r="J3698" s="29" t="s">
        <v>1632</v>
      </c>
      <c r="K3698" s="30" t="s">
        <v>23</v>
      </c>
      <c r="L3698" s="31" t="str">
        <f>IFERROR(__xludf.DUMMYFUNCTION("IF(OR(E3698="""",K3698=""""),"""",IFERROR(IF(K3698="""","""",query('tbl user'!$A$2:$D10975,""SELECT A WHERE D = '""&amp;K3698&amp;""'"")),""USER TIDAK DIKETAHUI""))"),"#REF!")</f>
        <v>#REF!</v>
      </c>
    </row>
    <row r="3699">
      <c r="A3699" s="21">
        <f t="shared" si="1"/>
        <v>0</v>
      </c>
      <c r="B3699" s="32" t="s">
        <v>191</v>
      </c>
      <c r="C3699" s="23" t="s">
        <v>192</v>
      </c>
      <c r="D3699" s="23" t="s">
        <v>58</v>
      </c>
      <c r="E3699" s="24">
        <v>45451.0</v>
      </c>
      <c r="F3699" s="25">
        <v>0.23472222222222222</v>
      </c>
      <c r="G3699" s="25">
        <v>0.69375</v>
      </c>
      <c r="H3699" s="27">
        <f t="shared" si="2"/>
        <v>0.4590277778</v>
      </c>
      <c r="I3699" s="28">
        <v>4.0</v>
      </c>
      <c r="J3699" s="29" t="s">
        <v>55</v>
      </c>
      <c r="K3699" s="30" t="s">
        <v>23</v>
      </c>
      <c r="L3699" s="31" t="str">
        <f>IFERROR(__xludf.DUMMYFUNCTION("IF(OR(E3699="""",K3699=""""),"""",IFERROR(IF(K3699="""","""",query('tbl user'!$A$2:$D10975,""SELECT A WHERE D = '""&amp;K3699&amp;""'"")),""USER TIDAK DIKETAHUI""))"),"#REF!")</f>
        <v>#REF!</v>
      </c>
    </row>
    <row r="3700">
      <c r="A3700" s="21">
        <f t="shared" si="1"/>
        <v>0</v>
      </c>
      <c r="B3700" s="32" t="s">
        <v>194</v>
      </c>
      <c r="C3700" s="23" t="s">
        <v>195</v>
      </c>
      <c r="D3700" s="23" t="s">
        <v>58</v>
      </c>
      <c r="E3700" s="24">
        <v>45451.0</v>
      </c>
      <c r="F3700" s="25">
        <v>0.225</v>
      </c>
      <c r="G3700" s="25">
        <v>0.6854166666666667</v>
      </c>
      <c r="H3700" s="27">
        <f t="shared" si="2"/>
        <v>0.4604166667</v>
      </c>
      <c r="I3700" s="28">
        <v>4.0</v>
      </c>
      <c r="J3700" s="29" t="s">
        <v>55</v>
      </c>
      <c r="K3700" s="30" t="s">
        <v>23</v>
      </c>
      <c r="L3700" s="31" t="str">
        <f>IFERROR(__xludf.DUMMYFUNCTION("IF(OR(E3700="""",K3700=""""),"""",IFERROR(IF(K3700="""","""",query('tbl user'!$A$2:$D10975,""SELECT A WHERE D = '""&amp;K3700&amp;""'"")),""USER TIDAK DIKETAHUI""))"),"#REF!")</f>
        <v>#REF!</v>
      </c>
    </row>
    <row r="3701">
      <c r="A3701" s="21">
        <f t="shared" si="1"/>
        <v>0</v>
      </c>
      <c r="B3701" s="32" t="s">
        <v>197</v>
      </c>
      <c r="C3701" s="23" t="s">
        <v>198</v>
      </c>
      <c r="D3701" s="23" t="s">
        <v>58</v>
      </c>
      <c r="E3701" s="24">
        <v>45451.0</v>
      </c>
      <c r="F3701" s="25">
        <v>0.2048611111111111</v>
      </c>
      <c r="G3701" s="25">
        <v>0.4409722222222222</v>
      </c>
      <c r="H3701" s="27">
        <f t="shared" si="2"/>
        <v>0.2361111111</v>
      </c>
      <c r="I3701" s="28">
        <v>2.0</v>
      </c>
      <c r="J3701" s="29" t="s">
        <v>1640</v>
      </c>
      <c r="K3701" s="30" t="s">
        <v>23</v>
      </c>
      <c r="L3701" s="31" t="str">
        <f>IFERROR(__xludf.DUMMYFUNCTION("IF(OR(E3701="""",K3701=""""),"""",IFERROR(IF(K3701="""","""",query('tbl user'!$A$2:$D10975,""SELECT A WHERE D = '""&amp;K3701&amp;""'"")),""USER TIDAK DIKETAHUI""))"),"#REF!")</f>
        <v>#REF!</v>
      </c>
    </row>
    <row r="3702">
      <c r="A3702" s="21">
        <f t="shared" si="1"/>
        <v>0</v>
      </c>
      <c r="B3702" s="32" t="s">
        <v>200</v>
      </c>
      <c r="C3702" s="23" t="s">
        <v>201</v>
      </c>
      <c r="D3702" s="23" t="s">
        <v>58</v>
      </c>
      <c r="E3702" s="24">
        <v>45451.0</v>
      </c>
      <c r="F3702" s="25">
        <v>0.20555555555555555</v>
      </c>
      <c r="G3702" s="25">
        <v>0.70625</v>
      </c>
      <c r="H3702" s="27">
        <f t="shared" si="2"/>
        <v>0.5006944444</v>
      </c>
      <c r="I3702" s="28">
        <v>4.0</v>
      </c>
      <c r="J3702" s="29" t="s">
        <v>55</v>
      </c>
      <c r="K3702" s="30" t="s">
        <v>23</v>
      </c>
      <c r="L3702" s="31" t="str">
        <f>IFERROR(__xludf.DUMMYFUNCTION("IF(OR(E3702="""",K3702=""""),"""",IFERROR(IF(K3702="""","""",query('tbl user'!$A$2:$D10975,""SELECT A WHERE D = '""&amp;K3702&amp;""'"")),""USER TIDAK DIKETAHUI""))"),"#REF!")</f>
        <v>#REF!</v>
      </c>
    </row>
    <row r="3703">
      <c r="A3703" s="21">
        <f t="shared" si="1"/>
        <v>0</v>
      </c>
      <c r="B3703" s="32" t="s">
        <v>202</v>
      </c>
      <c r="C3703" s="23" t="s">
        <v>203</v>
      </c>
      <c r="D3703" s="23" t="s">
        <v>58</v>
      </c>
      <c r="E3703" s="24">
        <v>45451.0</v>
      </c>
      <c r="F3703" s="25">
        <v>0.24097222222222223</v>
      </c>
      <c r="G3703" s="25">
        <v>0.6631944444444444</v>
      </c>
      <c r="H3703" s="27">
        <f t="shared" si="2"/>
        <v>0.4222222222</v>
      </c>
      <c r="I3703" s="28">
        <v>3.0</v>
      </c>
      <c r="J3703" s="29" t="s">
        <v>1632</v>
      </c>
      <c r="K3703" s="30" t="s">
        <v>23</v>
      </c>
      <c r="L3703" s="31" t="str">
        <f>IFERROR(__xludf.DUMMYFUNCTION("IF(OR(E3703="""",K3703=""""),"""",IFERROR(IF(K3703="""","""",query('tbl user'!$A$2:$D10975,""SELECT A WHERE D = '""&amp;K3703&amp;""'"")),""USER TIDAK DIKETAHUI""))"),"#REF!")</f>
        <v>#REF!</v>
      </c>
    </row>
    <row r="3704">
      <c r="A3704" s="21">
        <f t="shared" si="1"/>
        <v>0</v>
      </c>
      <c r="B3704" s="32" t="s">
        <v>205</v>
      </c>
      <c r="C3704" s="23" t="s">
        <v>206</v>
      </c>
      <c r="D3704" s="23" t="s">
        <v>58</v>
      </c>
      <c r="E3704" s="24">
        <v>45451.0</v>
      </c>
      <c r="F3704" s="25">
        <v>0.24930555555555556</v>
      </c>
      <c r="G3704" s="25">
        <v>0.6666666666666666</v>
      </c>
      <c r="H3704" s="27">
        <f t="shared" si="2"/>
        <v>0.4173611111</v>
      </c>
      <c r="I3704" s="28">
        <v>3.0</v>
      </c>
      <c r="J3704" s="29" t="s">
        <v>1632</v>
      </c>
      <c r="K3704" s="30" t="s">
        <v>23</v>
      </c>
      <c r="L3704" s="31" t="str">
        <f>IFERROR(__xludf.DUMMYFUNCTION("IF(OR(E3704="""",K3704=""""),"""",IFERROR(IF(K3704="""","""",query('tbl user'!$A$2:$D10975,""SELECT A WHERE D = '""&amp;K3704&amp;""'"")),""USER TIDAK DIKETAHUI""))"),"#REF!")</f>
        <v>#REF!</v>
      </c>
    </row>
    <row r="3705">
      <c r="A3705" s="21">
        <f t="shared" si="1"/>
        <v>0</v>
      </c>
      <c r="B3705" s="32" t="s">
        <v>95</v>
      </c>
      <c r="C3705" s="23" t="s">
        <v>208</v>
      </c>
      <c r="D3705" s="23" t="s">
        <v>58</v>
      </c>
      <c r="E3705" s="24">
        <v>45451.0</v>
      </c>
      <c r="F3705" s="25">
        <v>0.23541666666666666</v>
      </c>
      <c r="G3705" s="25">
        <v>0.7069444444444445</v>
      </c>
      <c r="H3705" s="27">
        <f t="shared" si="2"/>
        <v>0.4715277778</v>
      </c>
      <c r="I3705" s="28">
        <v>4.0</v>
      </c>
      <c r="J3705" s="29" t="s">
        <v>55</v>
      </c>
      <c r="K3705" s="30" t="s">
        <v>23</v>
      </c>
      <c r="L3705" s="31" t="str">
        <f>IFERROR(__xludf.DUMMYFUNCTION("IF(OR(E3705="""",K3705=""""),"""",IFERROR(IF(K3705="""","""",query('tbl user'!$A$2:$D10975,""SELECT A WHERE D = '""&amp;K3705&amp;""'"")),""USER TIDAK DIKETAHUI""))"),"#REF!")</f>
        <v>#REF!</v>
      </c>
    </row>
    <row r="3706">
      <c r="A3706" s="21">
        <f t="shared" si="1"/>
        <v>0</v>
      </c>
      <c r="B3706" s="32" t="s">
        <v>209</v>
      </c>
      <c r="C3706" s="23" t="s">
        <v>85</v>
      </c>
      <c r="D3706" s="23" t="s">
        <v>58</v>
      </c>
      <c r="E3706" s="24">
        <v>45451.0</v>
      </c>
      <c r="F3706" s="25">
        <v>0.2673611111111111</v>
      </c>
      <c r="G3706" s="25">
        <v>0.6875</v>
      </c>
      <c r="H3706" s="27">
        <f t="shared" si="2"/>
        <v>0.4201388889</v>
      </c>
      <c r="I3706" s="28">
        <v>3.0</v>
      </c>
      <c r="J3706" s="29" t="s">
        <v>1632</v>
      </c>
      <c r="K3706" s="30" t="s">
        <v>23</v>
      </c>
      <c r="L3706" s="31" t="str">
        <f>IFERROR(__xludf.DUMMYFUNCTION("IF(OR(E3706="""",K3706=""""),"""",IFERROR(IF(K3706="""","""",query('tbl user'!$A$2:$D10975,""SELECT A WHERE D = '""&amp;K3706&amp;""'"")),""USER TIDAK DIKETAHUI""))"),"#REF!")</f>
        <v>#REF!</v>
      </c>
    </row>
    <row r="3707">
      <c r="A3707" s="21">
        <f t="shared" si="1"/>
        <v>0</v>
      </c>
      <c r="B3707" s="32" t="s">
        <v>34</v>
      </c>
      <c r="C3707" s="23" t="s">
        <v>35</v>
      </c>
      <c r="D3707" s="23" t="s">
        <v>21</v>
      </c>
      <c r="E3707" s="24">
        <v>45451.0</v>
      </c>
      <c r="F3707" s="25">
        <v>0.2916666666666667</v>
      </c>
      <c r="G3707" s="25">
        <v>0.5756944444444444</v>
      </c>
      <c r="H3707" s="27">
        <f t="shared" si="2"/>
        <v>0.2840277778</v>
      </c>
      <c r="I3707" s="28">
        <v>1.0</v>
      </c>
      <c r="J3707" s="29" t="s">
        <v>1641</v>
      </c>
      <c r="K3707" s="30" t="s">
        <v>23</v>
      </c>
      <c r="L3707" s="31" t="str">
        <f>IFERROR(__xludf.DUMMYFUNCTION("IF(OR(E3707="""",K3707=""""),"""",IFERROR(IF(K3707="""","""",query('tbl user'!$A$2:$D10975,""SELECT A WHERE D = '""&amp;K3707&amp;""'"")),""USER TIDAK DIKETAHUI""))"),"#REF!")</f>
        <v>#REF!</v>
      </c>
    </row>
    <row r="3708">
      <c r="A3708" s="21">
        <f t="shared" si="1"/>
        <v>0</v>
      </c>
      <c r="B3708" s="32" t="s">
        <v>281</v>
      </c>
      <c r="C3708" s="23" t="s">
        <v>282</v>
      </c>
      <c r="D3708" s="23" t="s">
        <v>21</v>
      </c>
      <c r="E3708" s="24">
        <v>45451.0</v>
      </c>
      <c r="F3708" s="25">
        <v>0.2847222222222222</v>
      </c>
      <c r="G3708" s="25">
        <v>0.5534722222222223</v>
      </c>
      <c r="H3708" s="27">
        <f t="shared" si="2"/>
        <v>0.26875</v>
      </c>
      <c r="I3708" s="28">
        <v>1.0</v>
      </c>
      <c r="J3708" s="29" t="s">
        <v>1642</v>
      </c>
      <c r="K3708" s="30" t="s">
        <v>23</v>
      </c>
      <c r="L3708" s="31" t="str">
        <f>IFERROR(__xludf.DUMMYFUNCTION("IF(OR(E3708="""",K3708=""""),"""",IFERROR(IF(K3708="""","""",query('tbl user'!$A$2:$D10975,""SELECT A WHERE D = '""&amp;K3708&amp;""'"")),""USER TIDAK DIKETAHUI""))"),"#REF!")</f>
        <v>#REF!</v>
      </c>
    </row>
    <row r="3709">
      <c r="A3709" s="21">
        <f t="shared" si="1"/>
        <v>0</v>
      </c>
      <c r="B3709" s="32" t="s">
        <v>64</v>
      </c>
      <c r="C3709" s="23" t="s">
        <v>65</v>
      </c>
      <c r="D3709" s="23" t="s">
        <v>21</v>
      </c>
      <c r="E3709" s="24">
        <v>45451.0</v>
      </c>
      <c r="F3709" s="25">
        <v>0.2604166666666667</v>
      </c>
      <c r="G3709" s="25">
        <v>0.4756944444444444</v>
      </c>
      <c r="H3709" s="27">
        <f t="shared" si="2"/>
        <v>0.2152777778</v>
      </c>
      <c r="I3709" s="28">
        <v>1.0</v>
      </c>
      <c r="J3709" s="29" t="s">
        <v>1643</v>
      </c>
      <c r="K3709" s="30" t="s">
        <v>23</v>
      </c>
      <c r="L3709" s="31" t="str">
        <f>IFERROR(__xludf.DUMMYFUNCTION("IF(OR(E3709="""",K3709=""""),"""",IFERROR(IF(K3709="""","""",query('tbl user'!$A$2:$D10975,""SELECT A WHERE D = '""&amp;K3709&amp;""'"")),""USER TIDAK DIKETAHUI""))"),"#REF!")</f>
        <v>#REF!</v>
      </c>
    </row>
    <row r="3710">
      <c r="A3710" s="21">
        <f t="shared" si="1"/>
        <v>0</v>
      </c>
      <c r="B3710" s="32" t="s">
        <v>24</v>
      </c>
      <c r="C3710" s="23" t="s">
        <v>25</v>
      </c>
      <c r="D3710" s="23" t="s">
        <v>21</v>
      </c>
      <c r="E3710" s="24">
        <v>45451.0</v>
      </c>
      <c r="F3710" s="25">
        <v>0.2701388888888889</v>
      </c>
      <c r="G3710" s="25">
        <v>0.5083333333333333</v>
      </c>
      <c r="H3710" s="27">
        <f t="shared" si="2"/>
        <v>0.2381944444</v>
      </c>
      <c r="I3710" s="28">
        <v>1.0</v>
      </c>
      <c r="J3710" s="29" t="s">
        <v>1644</v>
      </c>
      <c r="K3710" s="30" t="s">
        <v>23</v>
      </c>
      <c r="L3710" s="31" t="str">
        <f>IFERROR(__xludf.DUMMYFUNCTION("IF(OR(E3710="""",K3710=""""),"""",IFERROR(IF(K3710="""","""",query('tbl user'!$A$2:$D10975,""SELECT A WHERE D = '""&amp;K3710&amp;""'"")),""USER TIDAK DIKETAHUI""))"),"#REF!")</f>
        <v>#REF!</v>
      </c>
    </row>
    <row r="3711">
      <c r="A3711" s="21">
        <f t="shared" si="1"/>
        <v>0</v>
      </c>
      <c r="B3711" s="32" t="s">
        <v>231</v>
      </c>
      <c r="C3711" s="23" t="s">
        <v>232</v>
      </c>
      <c r="D3711" s="23" t="s">
        <v>21</v>
      </c>
      <c r="E3711" s="24">
        <v>45451.0</v>
      </c>
      <c r="F3711" s="25">
        <v>0.25277777777777777</v>
      </c>
      <c r="G3711" s="25">
        <v>0.5104166666666666</v>
      </c>
      <c r="H3711" s="27">
        <f t="shared" si="2"/>
        <v>0.2576388889</v>
      </c>
      <c r="I3711" s="28">
        <v>1.0</v>
      </c>
      <c r="J3711" s="29" t="s">
        <v>1645</v>
      </c>
      <c r="K3711" s="30" t="s">
        <v>23</v>
      </c>
      <c r="L3711" s="31" t="str">
        <f>IFERROR(__xludf.DUMMYFUNCTION("IF(OR(E3711="""",K3711=""""),"""",IFERROR(IF(K3711="""","""",query('tbl user'!$A$2:$D10975,""SELECT A WHERE D = '""&amp;K3711&amp;""'"")),""USER TIDAK DIKETAHUI""))"),"#REF!")</f>
        <v>#REF!</v>
      </c>
    </row>
    <row r="3712">
      <c r="A3712" s="21">
        <f t="shared" si="1"/>
        <v>0</v>
      </c>
      <c r="B3712" s="32" t="s">
        <v>289</v>
      </c>
      <c r="C3712" s="23" t="s">
        <v>234</v>
      </c>
      <c r="D3712" s="23" t="s">
        <v>21</v>
      </c>
      <c r="E3712" s="24">
        <v>45451.0</v>
      </c>
      <c r="F3712" s="25">
        <v>0.2986111111111111</v>
      </c>
      <c r="G3712" s="25">
        <v>0.6951388888888889</v>
      </c>
      <c r="H3712" s="27">
        <f t="shared" si="2"/>
        <v>0.3965277778</v>
      </c>
      <c r="I3712" s="28">
        <v>1.0</v>
      </c>
      <c r="J3712" s="29" t="s">
        <v>1646</v>
      </c>
      <c r="K3712" s="30" t="s">
        <v>23</v>
      </c>
      <c r="L3712" s="31" t="str">
        <f>IFERROR(__xludf.DUMMYFUNCTION("IF(OR(E3712="""",K3712=""""),"""",IFERROR(IF(K3712="""","""",query('tbl user'!$A$2:$D10975,""SELECT A WHERE D = '""&amp;K3712&amp;""'"")),""USER TIDAK DIKETAHUI""))"),"#REF!")</f>
        <v>#REF!</v>
      </c>
    </row>
    <row r="3713">
      <c r="A3713" s="21">
        <f t="shared" si="1"/>
        <v>0</v>
      </c>
      <c r="B3713" s="32" t="s">
        <v>286</v>
      </c>
      <c r="C3713" s="23" t="s">
        <v>287</v>
      </c>
      <c r="D3713" s="23" t="s">
        <v>21</v>
      </c>
      <c r="E3713" s="24">
        <v>45451.0</v>
      </c>
      <c r="F3713" s="25">
        <v>0.29097222222222224</v>
      </c>
      <c r="G3713" s="25">
        <v>0.5777777777777777</v>
      </c>
      <c r="H3713" s="27">
        <f t="shared" si="2"/>
        <v>0.2868055556</v>
      </c>
      <c r="I3713" s="28">
        <v>1.0</v>
      </c>
      <c r="J3713" s="29" t="s">
        <v>1647</v>
      </c>
      <c r="K3713" s="30" t="s">
        <v>23</v>
      </c>
      <c r="L3713" s="31" t="str">
        <f>IFERROR(__xludf.DUMMYFUNCTION("IF(OR(E3713="""",K3713=""""),"""",IFERROR(IF(K3713="""","""",query('tbl user'!$A$2:$D10975,""SELECT A WHERE D = '""&amp;K3713&amp;""'"")),""USER TIDAK DIKETAHUI""))"),"#REF!")</f>
        <v>#REF!</v>
      </c>
    </row>
    <row r="3714">
      <c r="A3714" s="21">
        <f t="shared" si="1"/>
        <v>0</v>
      </c>
      <c r="B3714" s="32" t="s">
        <v>258</v>
      </c>
      <c r="C3714" s="23" t="s">
        <v>332</v>
      </c>
      <c r="D3714" s="23" t="s">
        <v>21</v>
      </c>
      <c r="E3714" s="24">
        <v>45451.0</v>
      </c>
      <c r="F3714" s="25">
        <v>0.3298611111111111</v>
      </c>
      <c r="G3714" s="25">
        <v>0.6076388888888888</v>
      </c>
      <c r="H3714" s="27">
        <f t="shared" si="2"/>
        <v>0.2777777778</v>
      </c>
      <c r="I3714" s="28">
        <v>1.0</v>
      </c>
      <c r="J3714" s="29" t="s">
        <v>666</v>
      </c>
      <c r="K3714" s="30" t="s">
        <v>23</v>
      </c>
      <c r="L3714" s="31" t="str">
        <f>IFERROR(__xludf.DUMMYFUNCTION("IF(OR(E3714="""",K3714=""""),"""",IFERROR(IF(K3714="""","""",query('tbl user'!$A$2:$D10975,""SELECT A WHERE D = '""&amp;K3714&amp;""'"")),""USER TIDAK DIKETAHUI""))"),"#REF!")</f>
        <v>#REF!</v>
      </c>
    </row>
    <row r="3715">
      <c r="A3715" s="21">
        <f t="shared" si="1"/>
        <v>0</v>
      </c>
      <c r="B3715" s="32" t="s">
        <v>335</v>
      </c>
      <c r="C3715" s="23" t="s">
        <v>336</v>
      </c>
      <c r="D3715" s="23" t="s">
        <v>21</v>
      </c>
      <c r="E3715" s="24">
        <v>45451.0</v>
      </c>
      <c r="F3715" s="25">
        <v>0.29097222222222224</v>
      </c>
      <c r="G3715" s="25">
        <v>0.5770833333333333</v>
      </c>
      <c r="H3715" s="27">
        <f t="shared" si="2"/>
        <v>0.2861111111</v>
      </c>
      <c r="I3715" s="28">
        <v>1.0</v>
      </c>
      <c r="J3715" s="29" t="s">
        <v>1648</v>
      </c>
      <c r="K3715" s="30" t="s">
        <v>23</v>
      </c>
      <c r="L3715" s="31" t="str">
        <f>IFERROR(__xludf.DUMMYFUNCTION("IF(OR(E3715="""",K3715=""""),"""",IFERROR(IF(K3715="""","""",query('tbl user'!$A$2:$D10975,""SELECT A WHERE D = '""&amp;K3715&amp;""'"")),""USER TIDAK DIKETAHUI""))"),"#REF!")</f>
        <v>#REF!</v>
      </c>
    </row>
    <row r="3716">
      <c r="A3716" s="21">
        <f t="shared" si="1"/>
        <v>0</v>
      </c>
      <c r="B3716" s="32" t="s">
        <v>328</v>
      </c>
      <c r="C3716" s="23" t="s">
        <v>329</v>
      </c>
      <c r="D3716" s="23" t="s">
        <v>21</v>
      </c>
      <c r="E3716" s="24">
        <v>45451.0</v>
      </c>
      <c r="F3716" s="25">
        <v>0.28402777777777777</v>
      </c>
      <c r="G3716" s="25">
        <v>0.4951388888888889</v>
      </c>
      <c r="H3716" s="27">
        <f t="shared" si="2"/>
        <v>0.2111111111</v>
      </c>
      <c r="I3716" s="28">
        <v>1.0</v>
      </c>
      <c r="J3716" s="29" t="s">
        <v>299</v>
      </c>
      <c r="K3716" s="30" t="s">
        <v>23</v>
      </c>
      <c r="L3716" s="31" t="str">
        <f>IFERROR(__xludf.DUMMYFUNCTION("IF(OR(E3716="""",K3716=""""),"""",IFERROR(IF(K3716="""","""",query('tbl user'!$A$2:$D10975,""SELECT A WHERE D = '""&amp;K3716&amp;""'"")),""USER TIDAK DIKETAHUI""))"),"#REF!")</f>
        <v>#REF!</v>
      </c>
    </row>
    <row r="3717">
      <c r="A3717" s="21">
        <f t="shared" si="1"/>
        <v>0</v>
      </c>
      <c r="B3717" s="32" t="s">
        <v>53</v>
      </c>
      <c r="C3717" s="23" t="s">
        <v>54</v>
      </c>
      <c r="D3717" s="23" t="s">
        <v>21</v>
      </c>
      <c r="E3717" s="24">
        <v>45451.0</v>
      </c>
      <c r="F3717" s="25">
        <v>0.24027777777777778</v>
      </c>
      <c r="G3717" s="25">
        <v>0.4048611111111111</v>
      </c>
      <c r="H3717" s="27">
        <f t="shared" si="2"/>
        <v>0.1645833333</v>
      </c>
      <c r="I3717" s="28">
        <v>1.0</v>
      </c>
      <c r="J3717" s="29" t="s">
        <v>1649</v>
      </c>
      <c r="K3717" s="30" t="s">
        <v>23</v>
      </c>
      <c r="L3717" s="31" t="str">
        <f>IFERROR(__xludf.DUMMYFUNCTION("IF(OR(E3717="""",K3717=""""),"""",IFERROR(IF(K3717="""","""",query('tbl user'!$A$2:$D10975,""SELECT A WHERE D = '""&amp;K3717&amp;""'"")),""USER TIDAK DIKETAHUI""))"),"#REF!")</f>
        <v>#REF!</v>
      </c>
    </row>
    <row r="3718">
      <c r="A3718" s="21">
        <f t="shared" si="1"/>
        <v>0</v>
      </c>
      <c r="B3718" s="32" t="s">
        <v>577</v>
      </c>
      <c r="C3718" s="23" t="s">
        <v>330</v>
      </c>
      <c r="D3718" s="23" t="s">
        <v>21</v>
      </c>
      <c r="E3718" s="24">
        <v>45451.0</v>
      </c>
      <c r="F3718" s="25">
        <v>0.25416666666666665</v>
      </c>
      <c r="G3718" s="25">
        <v>0.46319444444444446</v>
      </c>
      <c r="H3718" s="27">
        <f t="shared" si="2"/>
        <v>0.2090277778</v>
      </c>
      <c r="I3718" s="28">
        <v>1.0</v>
      </c>
      <c r="J3718" s="29" t="s">
        <v>1650</v>
      </c>
      <c r="K3718" s="30" t="s">
        <v>23</v>
      </c>
      <c r="L3718" s="31" t="str">
        <f>IFERROR(__xludf.DUMMYFUNCTION("IF(OR(E3718="""",K3718=""""),"""",IFERROR(IF(K3718="""","""",query('tbl user'!$A$2:$D10975,""SELECT A WHERE D = '""&amp;K3718&amp;""'"")),""USER TIDAK DIKETAHUI""))"),"#REF!")</f>
        <v>#REF!</v>
      </c>
    </row>
    <row r="3719">
      <c r="A3719" s="21">
        <f t="shared" si="1"/>
        <v>0</v>
      </c>
      <c r="B3719" s="32" t="s">
        <v>337</v>
      </c>
      <c r="C3719" s="23" t="s">
        <v>338</v>
      </c>
      <c r="D3719" s="23" t="s">
        <v>21</v>
      </c>
      <c r="E3719" s="24">
        <v>45451.0</v>
      </c>
      <c r="F3719" s="25">
        <v>0.26180555555555557</v>
      </c>
      <c r="G3719" s="25">
        <v>0.4909722222222222</v>
      </c>
      <c r="H3719" s="27">
        <f t="shared" si="2"/>
        <v>0.2291666667</v>
      </c>
      <c r="I3719" s="28">
        <v>1.0</v>
      </c>
      <c r="J3719" s="29" t="s">
        <v>1651</v>
      </c>
      <c r="K3719" s="30" t="s">
        <v>23</v>
      </c>
      <c r="L3719" s="31" t="str">
        <f>IFERROR(__xludf.DUMMYFUNCTION("IF(OR(E3719="""",K3719=""""),"""",IFERROR(IF(K3719="""","""",query('tbl user'!$A$2:$D10975,""SELECT A WHERE D = '""&amp;K3719&amp;""'"")),""USER TIDAK DIKETAHUI""))"),"#REF!")</f>
        <v>#REF!</v>
      </c>
    </row>
    <row r="3720">
      <c r="A3720" s="21">
        <f t="shared" si="1"/>
        <v>0</v>
      </c>
      <c r="B3720" s="32" t="s">
        <v>601</v>
      </c>
      <c r="C3720" s="23" t="s">
        <v>323</v>
      </c>
      <c r="D3720" s="23" t="s">
        <v>21</v>
      </c>
      <c r="E3720" s="24">
        <v>45451.0</v>
      </c>
      <c r="F3720" s="25">
        <v>0.24791666666666667</v>
      </c>
      <c r="G3720" s="25">
        <v>0.4513888888888889</v>
      </c>
      <c r="H3720" s="27">
        <f t="shared" si="2"/>
        <v>0.2034722222</v>
      </c>
      <c r="I3720" s="28">
        <v>1.0</v>
      </c>
      <c r="J3720" s="29" t="s">
        <v>1652</v>
      </c>
      <c r="K3720" s="30" t="s">
        <v>23</v>
      </c>
      <c r="L3720" s="31" t="str">
        <f>IFERROR(__xludf.DUMMYFUNCTION("IF(OR(E3720="""",K3720=""""),"""",IFERROR(IF(K3720="""","""",query('tbl user'!$A$2:$D10975,""SELECT A WHERE D = '""&amp;K3720&amp;""'"")),""USER TIDAK DIKETAHUI""))"),"#REF!")</f>
        <v>#REF!</v>
      </c>
    </row>
    <row r="3721">
      <c r="A3721" s="21">
        <f t="shared" si="1"/>
        <v>0</v>
      </c>
      <c r="B3721" s="32" t="s">
        <v>246</v>
      </c>
      <c r="C3721" s="23" t="s">
        <v>1556</v>
      </c>
      <c r="D3721" s="23" t="s">
        <v>21</v>
      </c>
      <c r="E3721" s="24">
        <v>45451.0</v>
      </c>
      <c r="F3721" s="25">
        <v>0.2833333333333333</v>
      </c>
      <c r="G3721" s="25">
        <v>0.5763888888888888</v>
      </c>
      <c r="H3721" s="27">
        <f t="shared" si="2"/>
        <v>0.2930555556</v>
      </c>
      <c r="I3721" s="28">
        <v>1.0</v>
      </c>
      <c r="J3721" s="29" t="s">
        <v>1653</v>
      </c>
      <c r="K3721" s="30" t="s">
        <v>23</v>
      </c>
      <c r="L3721" s="31" t="str">
        <f>IFERROR(__xludf.DUMMYFUNCTION("IF(OR(E3721="""",K3721=""""),"""",IFERROR(IF(K3721="""","""",query('tbl user'!$A$2:$D10975,""SELECT A WHERE D = '""&amp;K3721&amp;""'"")),""USER TIDAK DIKETAHUI""))"),"#REF!")</f>
        <v>#REF!</v>
      </c>
    </row>
    <row r="3722">
      <c r="A3722" s="21">
        <f t="shared" si="1"/>
        <v>0</v>
      </c>
      <c r="B3722" s="32" t="s">
        <v>238</v>
      </c>
      <c r="C3722" s="23" t="s">
        <v>239</v>
      </c>
      <c r="D3722" s="23" t="s">
        <v>21</v>
      </c>
      <c r="E3722" s="24">
        <v>45451.0</v>
      </c>
      <c r="F3722" s="25">
        <v>0.2902777777777778</v>
      </c>
      <c r="G3722" s="25">
        <v>0.7534722222222222</v>
      </c>
      <c r="H3722" s="27">
        <f t="shared" si="2"/>
        <v>0.4631944444</v>
      </c>
      <c r="I3722" s="28">
        <v>2.0</v>
      </c>
      <c r="J3722" s="29" t="s">
        <v>1654</v>
      </c>
      <c r="K3722" s="30" t="s">
        <v>23</v>
      </c>
      <c r="L3722" s="31" t="str">
        <f>IFERROR(__xludf.DUMMYFUNCTION("IF(OR(E3722="""",K3722=""""),"""",IFERROR(IF(K3722="""","""",query('tbl user'!$A$2:$D10975,""SELECT A WHERE D = '""&amp;K3722&amp;""'"")),""USER TIDAK DIKETAHUI""))"),"#REF!")</f>
        <v>#REF!</v>
      </c>
    </row>
    <row r="3723">
      <c r="A3723" s="21">
        <f t="shared" si="1"/>
        <v>0</v>
      </c>
      <c r="B3723" s="32" t="s">
        <v>37</v>
      </c>
      <c r="C3723" s="23" t="s">
        <v>38</v>
      </c>
      <c r="D3723" s="23" t="s">
        <v>21</v>
      </c>
      <c r="E3723" s="24">
        <v>45451.0</v>
      </c>
      <c r="F3723" s="25">
        <v>0.2777777777777778</v>
      </c>
      <c r="G3723" s="25">
        <v>0.7340277777777777</v>
      </c>
      <c r="H3723" s="27">
        <f t="shared" si="2"/>
        <v>0.45625</v>
      </c>
      <c r="I3723" s="28">
        <v>2.0</v>
      </c>
      <c r="J3723" s="29" t="s">
        <v>1655</v>
      </c>
      <c r="K3723" s="30" t="s">
        <v>23</v>
      </c>
      <c r="L3723" s="31" t="str">
        <f>IFERROR(__xludf.DUMMYFUNCTION("IF(OR(E3723="""",K3723=""""),"""",IFERROR(IF(K3723="""","""",query('tbl user'!$A$2:$D10975,""SELECT A WHERE D = '""&amp;K3723&amp;""'"")),""USER TIDAK DIKETAHUI""))"),"#REF!")</f>
        <v>#REF!</v>
      </c>
    </row>
    <row r="3724">
      <c r="A3724" s="21">
        <f t="shared" si="1"/>
        <v>0</v>
      </c>
      <c r="B3724" s="32" t="s">
        <v>98</v>
      </c>
      <c r="C3724" s="23" t="s">
        <v>99</v>
      </c>
      <c r="D3724" s="23" t="s">
        <v>21</v>
      </c>
      <c r="E3724" s="24">
        <v>45451.0</v>
      </c>
      <c r="F3724" s="25">
        <v>0.2902777777777778</v>
      </c>
      <c r="G3724" s="25">
        <v>0.7395833333333334</v>
      </c>
      <c r="H3724" s="27">
        <f t="shared" si="2"/>
        <v>0.4493055556</v>
      </c>
      <c r="I3724" s="28">
        <v>2.0</v>
      </c>
      <c r="J3724" s="29" t="s">
        <v>1524</v>
      </c>
      <c r="K3724" s="30" t="s">
        <v>23</v>
      </c>
      <c r="L3724" s="31" t="str">
        <f>IFERROR(__xludf.DUMMYFUNCTION("IF(OR(E3724="""",K3724=""""),"""",IFERROR(IF(K3724="""","""",query('tbl user'!$A$2:$D10975,""SELECT A WHERE D = '""&amp;K3724&amp;""'"")),""USER TIDAK DIKETAHUI""))"),"#REF!")</f>
        <v>#REF!</v>
      </c>
    </row>
    <row r="3725">
      <c r="A3725" s="21">
        <f t="shared" si="1"/>
        <v>0</v>
      </c>
      <c r="B3725" s="32" t="s">
        <v>81</v>
      </c>
      <c r="C3725" s="23" t="s">
        <v>62</v>
      </c>
      <c r="D3725" s="23" t="s">
        <v>21</v>
      </c>
      <c r="E3725" s="24">
        <v>45451.0</v>
      </c>
      <c r="F3725" s="25">
        <v>0.24166666666666667</v>
      </c>
      <c r="G3725" s="25">
        <v>0.7131944444444445</v>
      </c>
      <c r="H3725" s="27">
        <f t="shared" si="2"/>
        <v>0.4715277778</v>
      </c>
      <c r="I3725" s="28">
        <v>2.0</v>
      </c>
      <c r="J3725" s="29" t="s">
        <v>1524</v>
      </c>
      <c r="K3725" s="30" t="s">
        <v>23</v>
      </c>
      <c r="L3725" s="31" t="str">
        <f>IFERROR(__xludf.DUMMYFUNCTION("IF(OR(E3725="""",K3725=""""),"""",IFERROR(IF(K3725="""","""",query('tbl user'!$A$2:$D10975,""SELECT A WHERE D = '""&amp;K3725&amp;""'"")),""USER TIDAK DIKETAHUI""))"),"#REF!")</f>
        <v>#REF!</v>
      </c>
    </row>
    <row r="3726">
      <c r="A3726" s="21">
        <f t="shared" si="1"/>
        <v>0</v>
      </c>
      <c r="B3726" s="32" t="s">
        <v>51</v>
      </c>
      <c r="C3726" s="23" t="s">
        <v>27</v>
      </c>
      <c r="D3726" s="23" t="s">
        <v>21</v>
      </c>
      <c r="E3726" s="24">
        <v>45451.0</v>
      </c>
      <c r="F3726" s="25">
        <v>0.2423611111111111</v>
      </c>
      <c r="G3726" s="25">
        <v>0.6958333333333333</v>
      </c>
      <c r="H3726" s="27">
        <f t="shared" si="2"/>
        <v>0.4534722222</v>
      </c>
      <c r="I3726" s="28">
        <v>2.0</v>
      </c>
      <c r="J3726" s="29" t="s">
        <v>791</v>
      </c>
      <c r="K3726" s="30" t="s">
        <v>23</v>
      </c>
      <c r="L3726" s="31" t="str">
        <f>IFERROR(__xludf.DUMMYFUNCTION("IF(OR(E3726="""",K3726=""""),"""",IFERROR(IF(K3726="""","""",query('tbl user'!$A$2:$D10975,""SELECT A WHERE D = '""&amp;K3726&amp;""'"")),""USER TIDAK DIKETAHUI""))"),"#REF!")</f>
        <v>#REF!</v>
      </c>
    </row>
    <row r="3727">
      <c r="A3727" s="21">
        <f t="shared" si="1"/>
        <v>0</v>
      </c>
      <c r="B3727" s="32" t="s">
        <v>284</v>
      </c>
      <c r="C3727" s="23" t="s">
        <v>285</v>
      </c>
      <c r="D3727" s="23" t="s">
        <v>21</v>
      </c>
      <c r="E3727" s="24">
        <v>45451.0</v>
      </c>
      <c r="F3727" s="25">
        <v>0.28958333333333336</v>
      </c>
      <c r="G3727" s="25">
        <v>0.7354166666666667</v>
      </c>
      <c r="H3727" s="27">
        <f t="shared" si="2"/>
        <v>0.4458333333</v>
      </c>
      <c r="I3727" s="28">
        <v>2.0</v>
      </c>
      <c r="J3727" s="29" t="s">
        <v>1524</v>
      </c>
      <c r="K3727" s="30" t="s">
        <v>23</v>
      </c>
      <c r="L3727" s="31" t="str">
        <f>IFERROR(__xludf.DUMMYFUNCTION("IF(OR(E3727="""",K3727=""""),"""",IFERROR(IF(K3727="""","""",query('tbl user'!$A$2:$D10975,""SELECT A WHERE D = '""&amp;K3727&amp;""'"")),""USER TIDAK DIKETAHUI""))"),"#REF!")</f>
        <v>#REF!</v>
      </c>
    </row>
    <row r="3728">
      <c r="A3728" s="21">
        <f t="shared" si="1"/>
        <v>0</v>
      </c>
      <c r="B3728" s="32" t="s">
        <v>305</v>
      </c>
      <c r="C3728" s="23" t="s">
        <v>251</v>
      </c>
      <c r="D3728" s="23" t="s">
        <v>21</v>
      </c>
      <c r="E3728" s="24">
        <v>45451.0</v>
      </c>
      <c r="F3728" s="25">
        <v>0.20972222222222223</v>
      </c>
      <c r="G3728" s="25">
        <v>0.6680555555555555</v>
      </c>
      <c r="H3728" s="27">
        <f t="shared" si="2"/>
        <v>0.4583333333</v>
      </c>
      <c r="I3728" s="28">
        <v>2.0</v>
      </c>
      <c r="J3728" s="29" t="s">
        <v>1524</v>
      </c>
      <c r="K3728" s="30" t="s">
        <v>23</v>
      </c>
      <c r="L3728" s="31" t="str">
        <f>IFERROR(__xludf.DUMMYFUNCTION("IF(OR(E3728="""",K3728=""""),"""",IFERROR(IF(K3728="""","""",query('tbl user'!$A$2:$D10975,""SELECT A WHERE D = '""&amp;K3728&amp;""'"")),""USER TIDAK DIKETAHUI""))"),"#REF!")</f>
        <v>#REF!</v>
      </c>
    </row>
    <row r="3729">
      <c r="A3729" s="21">
        <f t="shared" si="1"/>
        <v>0</v>
      </c>
      <c r="B3729" s="32" t="s">
        <v>255</v>
      </c>
      <c r="C3729" s="23" t="s">
        <v>256</v>
      </c>
      <c r="D3729" s="23" t="s">
        <v>21</v>
      </c>
      <c r="E3729" s="24">
        <v>45451.0</v>
      </c>
      <c r="F3729" s="25">
        <v>0.23055555555555557</v>
      </c>
      <c r="G3729" s="25">
        <v>0.7118055555555556</v>
      </c>
      <c r="H3729" s="27">
        <f t="shared" si="2"/>
        <v>0.48125</v>
      </c>
      <c r="I3729" s="28">
        <v>2.0</v>
      </c>
      <c r="J3729" s="29" t="s">
        <v>1656</v>
      </c>
      <c r="K3729" s="30" t="s">
        <v>23</v>
      </c>
      <c r="L3729" s="31" t="str">
        <f>IFERROR(__xludf.DUMMYFUNCTION("IF(OR(E3729="""",K3729=""""),"""",IFERROR(IF(K3729="""","""",query('tbl user'!$A$2:$D10975,""SELECT A WHERE D = '""&amp;K3729&amp;""'"")),""USER TIDAK DIKETAHUI""))"),"#REF!")</f>
        <v>#REF!</v>
      </c>
    </row>
    <row r="3730">
      <c r="A3730" s="21">
        <f t="shared" si="1"/>
        <v>0</v>
      </c>
      <c r="B3730" s="32" t="s">
        <v>593</v>
      </c>
      <c r="C3730" s="23" t="s">
        <v>236</v>
      </c>
      <c r="D3730" s="23" t="s">
        <v>21</v>
      </c>
      <c r="E3730" s="24">
        <v>45451.0</v>
      </c>
      <c r="F3730" s="25">
        <v>0.21944444444444444</v>
      </c>
      <c r="G3730" s="25">
        <v>0.7104166666666667</v>
      </c>
      <c r="H3730" s="27">
        <f t="shared" si="2"/>
        <v>0.4909722222</v>
      </c>
      <c r="I3730" s="28">
        <v>2.0</v>
      </c>
      <c r="J3730" s="29" t="s">
        <v>1657</v>
      </c>
      <c r="K3730" s="30" t="s">
        <v>23</v>
      </c>
      <c r="L3730" s="31" t="str">
        <f>IFERROR(__xludf.DUMMYFUNCTION("IF(OR(E3730="""",K3730=""""),"""",IFERROR(IF(K3730="""","""",query('tbl user'!$A$2:$D10975,""SELECT A WHERE D = '""&amp;K3730&amp;""'"")),""USER TIDAK DIKETAHUI""))"),"#REF!")</f>
        <v>#REF!</v>
      </c>
    </row>
    <row r="3731">
      <c r="A3731" s="21">
        <f t="shared" si="1"/>
        <v>0</v>
      </c>
      <c r="B3731" s="32" t="s">
        <v>225</v>
      </c>
      <c r="C3731" s="23" t="s">
        <v>339</v>
      </c>
      <c r="D3731" s="23" t="s">
        <v>21</v>
      </c>
      <c r="E3731" s="24">
        <v>45451.0</v>
      </c>
      <c r="F3731" s="25">
        <v>0.24722222222222223</v>
      </c>
      <c r="G3731" s="25">
        <v>0.7111111111111111</v>
      </c>
      <c r="H3731" s="27">
        <f t="shared" si="2"/>
        <v>0.4638888889</v>
      </c>
      <c r="I3731" s="28">
        <v>2.0</v>
      </c>
      <c r="J3731" s="29" t="s">
        <v>1658</v>
      </c>
      <c r="K3731" s="30" t="s">
        <v>23</v>
      </c>
      <c r="L3731" s="31" t="str">
        <f>IFERROR(__xludf.DUMMYFUNCTION("IF(OR(E3731="""",K3731=""""),"""",IFERROR(IF(K3731="""","""",query('tbl user'!$A$2:$D10975,""SELECT A WHERE D = '""&amp;K3731&amp;""'"")),""USER TIDAK DIKETAHUI""))"),"#REF!")</f>
        <v>#REF!</v>
      </c>
    </row>
    <row r="3732">
      <c r="A3732" s="21">
        <f t="shared" si="1"/>
        <v>0</v>
      </c>
      <c r="B3732" s="32" t="s">
        <v>333</v>
      </c>
      <c r="C3732" s="23" t="s">
        <v>334</v>
      </c>
      <c r="D3732" s="23" t="s">
        <v>21</v>
      </c>
      <c r="E3732" s="24">
        <v>45451.0</v>
      </c>
      <c r="F3732" s="25">
        <v>0.24930555555555556</v>
      </c>
      <c r="G3732" s="25">
        <v>0.7222222222222222</v>
      </c>
      <c r="H3732" s="27">
        <f t="shared" si="2"/>
        <v>0.4729166667</v>
      </c>
      <c r="I3732" s="28">
        <v>2.0</v>
      </c>
      <c r="J3732" s="29" t="s">
        <v>1659</v>
      </c>
      <c r="K3732" s="30" t="s">
        <v>23</v>
      </c>
      <c r="L3732" s="31" t="str">
        <f>IFERROR(__xludf.DUMMYFUNCTION("IF(OR(E3732="""",K3732=""""),"""",IFERROR(IF(K3732="""","""",query('tbl user'!$A$2:$D10975,""SELECT A WHERE D = '""&amp;K3732&amp;""'"")),""USER TIDAK DIKETAHUI""))"),"#REF!")</f>
        <v>#REF!</v>
      </c>
    </row>
    <row r="3733">
      <c r="A3733" s="21">
        <f t="shared" si="1"/>
        <v>0</v>
      </c>
      <c r="B3733" s="32" t="s">
        <v>716</v>
      </c>
      <c r="C3733" s="23" t="s">
        <v>316</v>
      </c>
      <c r="D3733" s="23" t="s">
        <v>21</v>
      </c>
      <c r="E3733" s="24">
        <v>45451.0</v>
      </c>
      <c r="F3733" s="25">
        <v>0.21944444444444444</v>
      </c>
      <c r="G3733" s="25">
        <v>0.6736111111111112</v>
      </c>
      <c r="H3733" s="27">
        <f t="shared" si="2"/>
        <v>0.4541666667</v>
      </c>
      <c r="I3733" s="28">
        <v>2.0</v>
      </c>
      <c r="J3733" s="29" t="s">
        <v>1660</v>
      </c>
      <c r="K3733" s="30" t="s">
        <v>23</v>
      </c>
      <c r="L3733" s="31" t="str">
        <f>IFERROR(__xludf.DUMMYFUNCTION("IF(OR(E3733="""",K3733=""""),"""",IFERROR(IF(K3733="""","""",query('tbl user'!$A$2:$D10975,""SELECT A WHERE D = '""&amp;K3733&amp;""'"")),""USER TIDAK DIKETAHUI""))"),"#REF!")</f>
        <v>#REF!</v>
      </c>
    </row>
    <row r="3734">
      <c r="A3734" s="21">
        <f t="shared" si="1"/>
        <v>0</v>
      </c>
      <c r="B3734" s="32" t="s">
        <v>219</v>
      </c>
      <c r="C3734" s="23" t="s">
        <v>340</v>
      </c>
      <c r="D3734" s="23" t="s">
        <v>21</v>
      </c>
      <c r="E3734" s="24">
        <v>45451.0</v>
      </c>
      <c r="F3734" s="25">
        <v>0.24861111111111112</v>
      </c>
      <c r="G3734" s="25">
        <v>0.7152777777777778</v>
      </c>
      <c r="H3734" s="27">
        <f t="shared" si="2"/>
        <v>0.4666666667</v>
      </c>
      <c r="I3734" s="28">
        <v>2.0</v>
      </c>
      <c r="J3734" s="29" t="s">
        <v>1661</v>
      </c>
      <c r="K3734" s="30" t="s">
        <v>23</v>
      </c>
      <c r="L3734" s="31" t="str">
        <f>IFERROR(__xludf.DUMMYFUNCTION("IF(OR(E3734="""",K3734=""""),"""",IFERROR(IF(K3734="""","""",query('tbl user'!$A$2:$D10975,""SELECT A WHERE D = '""&amp;K3734&amp;""'"")),""USER TIDAK DIKETAHUI""))"),"#REF!")</f>
        <v>#REF!</v>
      </c>
    </row>
    <row r="3735">
      <c r="A3735" s="21">
        <f t="shared" si="1"/>
        <v>0</v>
      </c>
      <c r="B3735" s="32" t="s">
        <v>87</v>
      </c>
      <c r="C3735" s="23" t="s">
        <v>88</v>
      </c>
      <c r="D3735" s="23" t="s">
        <v>21</v>
      </c>
      <c r="E3735" s="24">
        <v>45451.0</v>
      </c>
      <c r="F3735" s="25">
        <v>0.26805555555555555</v>
      </c>
      <c r="G3735" s="25">
        <v>0.7201388888888889</v>
      </c>
      <c r="H3735" s="27">
        <f t="shared" si="2"/>
        <v>0.4520833333</v>
      </c>
      <c r="I3735" s="28">
        <v>2.0</v>
      </c>
      <c r="J3735" s="29" t="s">
        <v>1662</v>
      </c>
      <c r="K3735" s="30" t="s">
        <v>23</v>
      </c>
      <c r="L3735" s="31" t="str">
        <f>IFERROR(__xludf.DUMMYFUNCTION("IF(OR(E3735="""",K3735=""""),"""",IFERROR(IF(K3735="""","""",query('tbl user'!$A$2:$D10975,""SELECT A WHERE D = '""&amp;K3735&amp;""'"")),""USER TIDAK DIKETAHUI""))"),"#REF!")</f>
        <v>#REF!</v>
      </c>
    </row>
    <row r="3736">
      <c r="A3736" s="21">
        <f t="shared" si="1"/>
        <v>0</v>
      </c>
      <c r="B3736" s="32" t="s">
        <v>325</v>
      </c>
      <c r="C3736" s="23" t="s">
        <v>326</v>
      </c>
      <c r="D3736" s="23" t="s">
        <v>21</v>
      </c>
      <c r="E3736" s="24">
        <v>45451.0</v>
      </c>
      <c r="F3736" s="25">
        <v>0.21180555555555555</v>
      </c>
      <c r="G3736" s="25">
        <v>0.7430555555555556</v>
      </c>
      <c r="H3736" s="27">
        <f t="shared" si="2"/>
        <v>0.53125</v>
      </c>
      <c r="I3736" s="28">
        <v>3.0</v>
      </c>
      <c r="J3736" s="29" t="s">
        <v>1663</v>
      </c>
      <c r="K3736" s="30" t="s">
        <v>23</v>
      </c>
      <c r="L3736" s="31" t="str">
        <f>IFERROR(__xludf.DUMMYFUNCTION("IF(OR(E3736="""",K3736=""""),"""",IFERROR(IF(K3736="""","""",query('tbl user'!$A$2:$D10975,""SELECT A WHERE D = '""&amp;K3736&amp;""'"")),""USER TIDAK DIKETAHUI""))"),"#REF!")</f>
        <v>#REF!</v>
      </c>
    </row>
    <row r="3737">
      <c r="A3737" s="21">
        <f t="shared" si="1"/>
        <v>0</v>
      </c>
      <c r="B3737" s="32" t="s">
        <v>250</v>
      </c>
      <c r="C3737" s="23" t="s">
        <v>315</v>
      </c>
      <c r="D3737" s="23" t="s">
        <v>32</v>
      </c>
      <c r="E3737" s="24">
        <v>45451.0</v>
      </c>
      <c r="F3737" s="25">
        <v>0.26319444444444445</v>
      </c>
      <c r="G3737" s="25">
        <v>0.44375</v>
      </c>
      <c r="H3737" s="27">
        <f t="shared" si="2"/>
        <v>0.1805555556</v>
      </c>
      <c r="I3737" s="28">
        <v>1.0</v>
      </c>
      <c r="J3737" s="29" t="s">
        <v>1664</v>
      </c>
      <c r="K3737" s="30" t="s">
        <v>23</v>
      </c>
      <c r="L3737" s="31" t="str">
        <f>IFERROR(__xludf.DUMMYFUNCTION("IF(OR(E3737="""",K3737=""""),"""",IFERROR(IF(K3737="""","""",query('tbl user'!$A$2:$D10975,""SELECT A WHERE D = '""&amp;K3737&amp;""'"")),""USER TIDAK DIKETAHUI""))"),"#REF!")</f>
        <v>#REF!</v>
      </c>
    </row>
    <row r="3738">
      <c r="A3738" s="21">
        <f t="shared" si="1"/>
        <v>0</v>
      </c>
      <c r="B3738" s="32" t="s">
        <v>115</v>
      </c>
      <c r="C3738" s="23" t="s">
        <v>116</v>
      </c>
      <c r="D3738" s="23" t="s">
        <v>32</v>
      </c>
      <c r="E3738" s="24">
        <v>45451.0</v>
      </c>
      <c r="F3738" s="25">
        <v>0.28958333333333336</v>
      </c>
      <c r="G3738" s="25">
        <v>0.4395833333333333</v>
      </c>
      <c r="H3738" s="27">
        <f t="shared" si="2"/>
        <v>0.15</v>
      </c>
      <c r="I3738" s="28">
        <v>1.0</v>
      </c>
      <c r="J3738" s="29" t="s">
        <v>1665</v>
      </c>
      <c r="K3738" s="30" t="s">
        <v>23</v>
      </c>
      <c r="L3738" s="31" t="str">
        <f>IFERROR(__xludf.DUMMYFUNCTION("IF(OR(E3738="""",K3738=""""),"""",IFERROR(IF(K3738="""","""",query('tbl user'!$A$2:$D10975,""SELECT A WHERE D = '""&amp;K3738&amp;""'"")),""USER TIDAK DIKETAHUI""))"),"#REF!")</f>
        <v>#REF!</v>
      </c>
    </row>
    <row r="3739">
      <c r="A3739" s="21">
        <f t="shared" si="1"/>
        <v>0</v>
      </c>
      <c r="B3739" s="32" t="s">
        <v>30</v>
      </c>
      <c r="C3739" s="23" t="s">
        <v>31</v>
      </c>
      <c r="D3739" s="23" t="s">
        <v>32</v>
      </c>
      <c r="E3739" s="24">
        <v>45451.0</v>
      </c>
      <c r="F3739" s="25">
        <v>0.20694444444444443</v>
      </c>
      <c r="G3739" s="25">
        <v>0.37222222222222223</v>
      </c>
      <c r="H3739" s="27">
        <f t="shared" si="2"/>
        <v>0.1652777778</v>
      </c>
      <c r="I3739" s="28">
        <v>1.0</v>
      </c>
      <c r="J3739" s="29" t="s">
        <v>1666</v>
      </c>
      <c r="K3739" s="30" t="s">
        <v>23</v>
      </c>
      <c r="L3739" s="31" t="str">
        <f>IFERROR(__xludf.DUMMYFUNCTION("IF(OR(E3739="""",K3739=""""),"""",IFERROR(IF(K3739="""","""",query('tbl user'!$A$2:$D10975,""SELECT A WHERE D = '""&amp;K3739&amp;""'"")),""USER TIDAK DIKETAHUI""))"),"#REF!")</f>
        <v>#REF!</v>
      </c>
    </row>
    <row r="3740">
      <c r="A3740" s="21">
        <f t="shared" si="1"/>
        <v>0</v>
      </c>
      <c r="B3740" s="32" t="s">
        <v>412</v>
      </c>
      <c r="C3740" s="23" t="s">
        <v>413</v>
      </c>
      <c r="D3740" s="23" t="s">
        <v>32</v>
      </c>
      <c r="E3740" s="24">
        <v>45451.0</v>
      </c>
      <c r="F3740" s="25">
        <v>0.2902777777777778</v>
      </c>
      <c r="G3740" s="25">
        <v>0.7034722222222223</v>
      </c>
      <c r="H3740" s="27">
        <f t="shared" si="2"/>
        <v>0.4131944444</v>
      </c>
      <c r="I3740" s="28">
        <v>2.0</v>
      </c>
      <c r="J3740" s="29" t="s">
        <v>1667</v>
      </c>
      <c r="K3740" s="30" t="s">
        <v>23</v>
      </c>
      <c r="L3740" s="31" t="str">
        <f>IFERROR(__xludf.DUMMYFUNCTION("IF(OR(E3740="""",K3740=""""),"""",IFERROR(IF(K3740="""","""",query('tbl user'!$A$2:$D10975,""SELECT A WHERE D = '""&amp;K3740&amp;""'"")),""USER TIDAK DIKETAHUI""))"),"#REF!")</f>
        <v>#REF!</v>
      </c>
    </row>
    <row r="3741">
      <c r="A3741" s="21">
        <f t="shared" si="1"/>
        <v>0</v>
      </c>
      <c r="B3741" s="32" t="s">
        <v>46</v>
      </c>
      <c r="C3741" s="23" t="s">
        <v>47</v>
      </c>
      <c r="D3741" s="23" t="s">
        <v>32</v>
      </c>
      <c r="E3741" s="24">
        <v>45451.0</v>
      </c>
      <c r="F3741" s="25">
        <v>0.2743055555555556</v>
      </c>
      <c r="G3741" s="25">
        <v>0.5743055555555555</v>
      </c>
      <c r="H3741" s="27">
        <f t="shared" si="2"/>
        <v>0.3</v>
      </c>
      <c r="I3741" s="28">
        <v>2.0</v>
      </c>
      <c r="J3741" s="29" t="s">
        <v>1668</v>
      </c>
      <c r="K3741" s="30" t="s">
        <v>23</v>
      </c>
      <c r="L3741" s="31" t="str">
        <f>IFERROR(__xludf.DUMMYFUNCTION("IF(OR(E3741="""",K3741=""""),"""",IFERROR(IF(K3741="""","""",query('tbl user'!$A$2:$D10975,""SELECT A WHERE D = '""&amp;K3741&amp;""'"")),""USER TIDAK DIKETAHUI""))"),"#REF!")</f>
        <v>#REF!</v>
      </c>
    </row>
    <row r="3742">
      <c r="A3742" s="21">
        <f t="shared" si="1"/>
        <v>0</v>
      </c>
      <c r="B3742" s="32" t="s">
        <v>125</v>
      </c>
      <c r="C3742" s="23" t="s">
        <v>128</v>
      </c>
      <c r="D3742" s="23" t="s">
        <v>32</v>
      </c>
      <c r="E3742" s="24">
        <v>45451.0</v>
      </c>
      <c r="F3742" s="25">
        <v>0.2923611111111111</v>
      </c>
      <c r="G3742" s="25">
        <v>0.6458333333333334</v>
      </c>
      <c r="H3742" s="27">
        <f t="shared" si="2"/>
        <v>0.3534722222</v>
      </c>
      <c r="I3742" s="28">
        <v>2.0</v>
      </c>
      <c r="J3742" s="29" t="s">
        <v>1087</v>
      </c>
      <c r="K3742" s="30" t="s">
        <v>23</v>
      </c>
      <c r="L3742" s="31" t="str">
        <f>IFERROR(__xludf.DUMMYFUNCTION("IF(OR(E3742="""",K3742=""""),"""",IFERROR(IF(K3742="""","""",query('tbl user'!$A$2:$D10975,""SELECT A WHERE D = '""&amp;K3742&amp;""'"")),""USER TIDAK DIKETAHUI""))"),"#REF!")</f>
        <v>#REF!</v>
      </c>
    </row>
    <row r="3743">
      <c r="A3743" s="21">
        <f t="shared" si="1"/>
        <v>0</v>
      </c>
      <c r="B3743" s="32" t="s">
        <v>133</v>
      </c>
      <c r="C3743" s="23" t="s">
        <v>134</v>
      </c>
      <c r="D3743" s="23" t="s">
        <v>32</v>
      </c>
      <c r="E3743" s="24">
        <v>45451.0</v>
      </c>
      <c r="F3743" s="25">
        <v>0.23958333333333334</v>
      </c>
      <c r="G3743" s="25">
        <v>0.4701388888888889</v>
      </c>
      <c r="H3743" s="27">
        <f t="shared" si="2"/>
        <v>0.2305555556</v>
      </c>
      <c r="I3743" s="28">
        <v>2.0</v>
      </c>
      <c r="J3743" s="29" t="s">
        <v>223</v>
      </c>
      <c r="K3743" s="30" t="s">
        <v>23</v>
      </c>
      <c r="L3743" s="31" t="str">
        <f>IFERROR(__xludf.DUMMYFUNCTION("IF(OR(E3743="""",K3743=""""),"""",IFERROR(IF(K3743="""","""",query('tbl user'!$A$2:$D10975,""SELECT A WHERE D = '""&amp;K3743&amp;""'"")),""USER TIDAK DIKETAHUI""))"),"#REF!")</f>
        <v>#REF!</v>
      </c>
    </row>
    <row r="3744">
      <c r="A3744" s="21">
        <f t="shared" si="1"/>
        <v>0</v>
      </c>
      <c r="B3744" s="32" t="s">
        <v>269</v>
      </c>
      <c r="C3744" s="23" t="s">
        <v>270</v>
      </c>
      <c r="D3744" s="23" t="s">
        <v>32</v>
      </c>
      <c r="E3744" s="24">
        <v>45451.0</v>
      </c>
      <c r="F3744" s="25">
        <v>0.2673611111111111</v>
      </c>
      <c r="G3744" s="25">
        <v>0.6472222222222223</v>
      </c>
      <c r="H3744" s="27">
        <f t="shared" si="2"/>
        <v>0.3798611111</v>
      </c>
      <c r="I3744" s="28">
        <v>2.0</v>
      </c>
      <c r="J3744" s="29" t="s">
        <v>1349</v>
      </c>
      <c r="K3744" s="30" t="s">
        <v>23</v>
      </c>
      <c r="L3744" s="31" t="str">
        <f>IFERROR(__xludf.DUMMYFUNCTION("IF(OR(E3744="""",K3744=""""),"""",IFERROR(IF(K3744="""","""",query('tbl user'!$A$2:$D10975,""SELECT A WHERE D = '""&amp;K3744&amp;""'"")),""USER TIDAK DIKETAHUI""))"),"#REF!")</f>
        <v>#REF!</v>
      </c>
    </row>
    <row r="3745">
      <c r="A3745" s="21">
        <f t="shared" si="1"/>
        <v>0</v>
      </c>
      <c r="B3745" s="32" t="s">
        <v>72</v>
      </c>
      <c r="C3745" s="23" t="s">
        <v>73</v>
      </c>
      <c r="D3745" s="23" t="s">
        <v>32</v>
      </c>
      <c r="E3745" s="24">
        <v>45451.0</v>
      </c>
      <c r="F3745" s="25">
        <v>0.2701388888888889</v>
      </c>
      <c r="G3745" s="25">
        <v>0.7444444444444445</v>
      </c>
      <c r="H3745" s="27">
        <f t="shared" si="2"/>
        <v>0.4743055556</v>
      </c>
      <c r="I3745" s="28">
        <v>3.0</v>
      </c>
      <c r="J3745" s="29" t="s">
        <v>1669</v>
      </c>
      <c r="K3745" s="30" t="s">
        <v>23</v>
      </c>
      <c r="L3745" s="31" t="str">
        <f>IFERROR(__xludf.DUMMYFUNCTION("IF(OR(E3745="""",K3745=""""),"""",IFERROR(IF(K3745="""","""",query('tbl user'!$A$2:$D10975,""SELECT A WHERE D = '""&amp;K3745&amp;""'"")),""USER TIDAK DIKETAHUI""))"),"#REF!")</f>
        <v>#REF!</v>
      </c>
    </row>
    <row r="3746">
      <c r="A3746" s="21">
        <f t="shared" si="1"/>
        <v>0</v>
      </c>
      <c r="B3746" s="32" t="s">
        <v>135</v>
      </c>
      <c r="C3746" s="23" t="s">
        <v>136</v>
      </c>
      <c r="D3746" s="23" t="s">
        <v>32</v>
      </c>
      <c r="E3746" s="24">
        <v>45451.0</v>
      </c>
      <c r="F3746" s="25">
        <v>0.27152777777777776</v>
      </c>
      <c r="G3746" s="25">
        <v>0.6097222222222223</v>
      </c>
      <c r="H3746" s="27">
        <f t="shared" si="2"/>
        <v>0.3381944444</v>
      </c>
      <c r="I3746" s="28">
        <v>3.0</v>
      </c>
      <c r="J3746" s="29" t="s">
        <v>1670</v>
      </c>
      <c r="K3746" s="30" t="s">
        <v>23</v>
      </c>
      <c r="L3746" s="31" t="str">
        <f>IFERROR(__xludf.DUMMYFUNCTION("IF(OR(E3746="""",K3746=""""),"""",IFERROR(IF(K3746="""","""",query('tbl user'!$A$2:$D10975,""SELECT A WHERE D = '""&amp;K3746&amp;""'"")),""USER TIDAK DIKETAHUI""))"),"#REF!")</f>
        <v>#REF!</v>
      </c>
    </row>
    <row r="3747">
      <c r="A3747" s="21">
        <f t="shared" si="1"/>
        <v>0</v>
      </c>
      <c r="B3747" s="32" t="s">
        <v>277</v>
      </c>
      <c r="C3747" s="23" t="s">
        <v>138</v>
      </c>
      <c r="D3747" s="23" t="s">
        <v>32</v>
      </c>
      <c r="E3747" s="24">
        <v>45451.0</v>
      </c>
      <c r="F3747" s="25">
        <v>0.2916666666666667</v>
      </c>
      <c r="G3747" s="25">
        <v>0.6944444444444444</v>
      </c>
      <c r="H3747" s="27">
        <f t="shared" si="2"/>
        <v>0.4027777778</v>
      </c>
      <c r="I3747" s="28">
        <v>3.0</v>
      </c>
      <c r="J3747" s="29" t="s">
        <v>1671</v>
      </c>
      <c r="K3747" s="30" t="s">
        <v>23</v>
      </c>
      <c r="L3747" s="31" t="str">
        <f>IFERROR(__xludf.DUMMYFUNCTION("IF(OR(E3747="""",K3747=""""),"""",IFERROR(IF(K3747="""","""",query('tbl user'!$A$2:$D10975,""SELECT A WHERE D = '""&amp;K3747&amp;""'"")),""USER TIDAK DIKETAHUI""))"),"#REF!")</f>
        <v>#REF!</v>
      </c>
    </row>
    <row r="3748">
      <c r="A3748" s="21">
        <f t="shared" si="1"/>
        <v>0</v>
      </c>
      <c r="B3748" s="32" t="s">
        <v>312</v>
      </c>
      <c r="C3748" s="23" t="s">
        <v>313</v>
      </c>
      <c r="D3748" s="23" t="s">
        <v>32</v>
      </c>
      <c r="E3748" s="24">
        <v>45451.0</v>
      </c>
      <c r="F3748" s="25">
        <v>0.21666666666666667</v>
      </c>
      <c r="G3748" s="25">
        <v>0.5701388888888889</v>
      </c>
      <c r="H3748" s="27">
        <f t="shared" si="2"/>
        <v>0.3534722222</v>
      </c>
      <c r="I3748" s="28">
        <v>3.0</v>
      </c>
      <c r="J3748" s="29" t="s">
        <v>1672</v>
      </c>
      <c r="K3748" s="30" t="s">
        <v>23</v>
      </c>
      <c r="L3748" s="31" t="str">
        <f>IFERROR(__xludf.DUMMYFUNCTION("IF(OR(E3748="""",K3748=""""),"""",IFERROR(IF(K3748="""","""",query('tbl user'!$A$2:$D10975,""SELECT A WHERE D = '""&amp;K3748&amp;""'"")),""USER TIDAK DIKETAHUI""))"),"#REF!")</f>
        <v>#REF!</v>
      </c>
    </row>
    <row r="3749">
      <c r="A3749" s="21">
        <f t="shared" si="1"/>
        <v>0</v>
      </c>
      <c r="B3749" s="32" t="s">
        <v>113</v>
      </c>
      <c r="C3749" s="23" t="s">
        <v>114</v>
      </c>
      <c r="D3749" s="23" t="s">
        <v>32</v>
      </c>
      <c r="E3749" s="24">
        <v>45451.0</v>
      </c>
      <c r="F3749" s="25">
        <v>0.2076388888888889</v>
      </c>
      <c r="G3749" s="25">
        <v>0.7215277777777778</v>
      </c>
      <c r="H3749" s="27">
        <f t="shared" si="2"/>
        <v>0.5138888889</v>
      </c>
      <c r="I3749" s="28">
        <v>4.0</v>
      </c>
      <c r="J3749" s="29" t="s">
        <v>55</v>
      </c>
      <c r="K3749" s="30" t="s">
        <v>23</v>
      </c>
      <c r="L3749" s="31" t="str">
        <f>IFERROR(__xludf.DUMMYFUNCTION("IF(OR(E3749="""",K3749=""""),"""",IFERROR(IF(K3749="""","""",query('tbl user'!$A$2:$D10975,""SELECT A WHERE D = '""&amp;K3749&amp;""'"")),""USER TIDAK DIKETAHUI""))"),"#REF!")</f>
        <v>#REF!</v>
      </c>
    </row>
    <row r="3750">
      <c r="A3750" s="21">
        <f t="shared" si="1"/>
        <v>0</v>
      </c>
      <c r="B3750" s="32" t="s">
        <v>131</v>
      </c>
      <c r="C3750" s="23" t="s">
        <v>132</v>
      </c>
      <c r="D3750" s="23" t="s">
        <v>32</v>
      </c>
      <c r="E3750" s="24">
        <v>45451.0</v>
      </c>
      <c r="F3750" s="25">
        <v>0.25833333333333336</v>
      </c>
      <c r="G3750" s="25">
        <v>0.7034722222222223</v>
      </c>
      <c r="H3750" s="27">
        <f t="shared" si="2"/>
        <v>0.4451388889</v>
      </c>
      <c r="I3750" s="28">
        <v>4.0</v>
      </c>
      <c r="J3750" s="29" t="s">
        <v>55</v>
      </c>
      <c r="K3750" s="30" t="s">
        <v>23</v>
      </c>
      <c r="L3750" s="31" t="str">
        <f>IFERROR(__xludf.DUMMYFUNCTION("IF(OR(E3750="""",K3750=""""),"""",IFERROR(IF(K3750="""","""",query('tbl user'!$A$2:$D10975,""SELECT A WHERE D = '""&amp;K3750&amp;""'"")),""USER TIDAK DIKETAHUI""))"),"#REF!")</f>
        <v>#REF!</v>
      </c>
    </row>
    <row r="3751">
      <c r="A3751" s="21">
        <f t="shared" si="1"/>
        <v>0</v>
      </c>
      <c r="B3751" s="32" t="s">
        <v>40</v>
      </c>
      <c r="C3751" s="23" t="s">
        <v>41</v>
      </c>
      <c r="D3751" s="23" t="s">
        <v>32</v>
      </c>
      <c r="E3751" s="24">
        <v>45451.0</v>
      </c>
      <c r="F3751" s="25">
        <v>0.2513888888888889</v>
      </c>
      <c r="G3751" s="25">
        <v>0.6881944444444444</v>
      </c>
      <c r="H3751" s="27">
        <f t="shared" si="2"/>
        <v>0.4368055556</v>
      </c>
      <c r="I3751" s="28">
        <v>4.0</v>
      </c>
      <c r="J3751" s="29" t="s">
        <v>55</v>
      </c>
      <c r="K3751" s="30" t="s">
        <v>23</v>
      </c>
      <c r="L3751" s="31" t="str">
        <f>IFERROR(__xludf.DUMMYFUNCTION("IF(OR(E3751="""",K3751=""""),"""",IFERROR(IF(K3751="""","""",query('tbl user'!$A$2:$D10975,""SELECT A WHERE D = '""&amp;K3751&amp;""'"")),""USER TIDAK DIKETAHUI""))"),"#REF!")</f>
        <v>#REF!</v>
      </c>
    </row>
    <row r="3752">
      <c r="A3752" s="21">
        <f t="shared" si="1"/>
        <v>0</v>
      </c>
      <c r="B3752" s="32" t="s">
        <v>139</v>
      </c>
      <c r="C3752" s="23" t="s">
        <v>96</v>
      </c>
      <c r="D3752" s="23" t="s">
        <v>32</v>
      </c>
      <c r="E3752" s="24">
        <v>45451.0</v>
      </c>
      <c r="F3752" s="25">
        <v>0.2298611111111111</v>
      </c>
      <c r="G3752" s="25">
        <v>0.6708333333333333</v>
      </c>
      <c r="H3752" s="27">
        <f t="shared" si="2"/>
        <v>0.4409722222</v>
      </c>
      <c r="I3752" s="28">
        <v>4.0</v>
      </c>
      <c r="J3752" s="29" t="s">
        <v>55</v>
      </c>
      <c r="K3752" s="30" t="s">
        <v>23</v>
      </c>
      <c r="L3752" s="31" t="str">
        <f>IFERROR(__xludf.DUMMYFUNCTION("IF(OR(E3752="""",K3752=""""),"""",IFERROR(IF(K3752="""","""",query('tbl user'!$A$2:$D10975,""SELECT A WHERE D = '""&amp;K3752&amp;""'"")),""USER TIDAK DIKETAHUI""))"),"#REF!")</f>
        <v>#REF!</v>
      </c>
    </row>
    <row r="3753">
      <c r="A3753" s="21">
        <f t="shared" si="1"/>
        <v>0</v>
      </c>
      <c r="B3753" s="32" t="s">
        <v>279</v>
      </c>
      <c r="C3753" s="23" t="s">
        <v>280</v>
      </c>
      <c r="D3753" s="23" t="s">
        <v>32</v>
      </c>
      <c r="E3753" s="24">
        <v>45451.0</v>
      </c>
      <c r="F3753" s="25">
        <v>0.2590277777777778</v>
      </c>
      <c r="G3753" s="25">
        <v>0.6833333333333333</v>
      </c>
      <c r="H3753" s="27">
        <f t="shared" si="2"/>
        <v>0.4243055556</v>
      </c>
      <c r="I3753" s="28">
        <v>4.0</v>
      </c>
      <c r="J3753" s="29" t="s">
        <v>55</v>
      </c>
      <c r="K3753" s="30" t="s">
        <v>23</v>
      </c>
      <c r="L3753" s="31" t="str">
        <f>IFERROR(__xludf.DUMMYFUNCTION("IF(OR(E3753="""",K3753=""""),"""",IFERROR(IF(K3753="""","""",query('tbl user'!$A$2:$D10975,""SELECT A WHERE D = '""&amp;K3753&amp;""'"")),""USER TIDAK DIKETAHUI""))"),"#REF!")</f>
        <v>#REF!</v>
      </c>
    </row>
    <row r="3754">
      <c r="A3754" s="21">
        <f t="shared" si="1"/>
        <v>0</v>
      </c>
      <c r="B3754" s="32" t="s">
        <v>141</v>
      </c>
      <c r="C3754" s="23" t="s">
        <v>142</v>
      </c>
      <c r="D3754" s="23" t="s">
        <v>32</v>
      </c>
      <c r="E3754" s="24">
        <v>45451.0</v>
      </c>
      <c r="F3754" s="25">
        <v>0.27569444444444446</v>
      </c>
      <c r="G3754" s="33">
        <v>0.6840277777777778</v>
      </c>
      <c r="H3754" s="27">
        <f t="shared" si="2"/>
        <v>0.4083333333</v>
      </c>
      <c r="I3754" s="28">
        <v>4.0</v>
      </c>
      <c r="J3754" s="29" t="s">
        <v>55</v>
      </c>
      <c r="K3754" s="30" t="s">
        <v>23</v>
      </c>
      <c r="L3754" s="31" t="str">
        <f>IFERROR(__xludf.DUMMYFUNCTION("IF(OR(E3754="""",K3754=""""),"""",IFERROR(IF(K3754="""","""",query('tbl user'!$A$2:$D10975,""SELECT A WHERE D = '""&amp;K3754&amp;""'"")),""USER TIDAK DIKETAHUI""))"),"#REF!")</f>
        <v>#REF!</v>
      </c>
    </row>
    <row r="3755">
      <c r="A3755" s="21">
        <f t="shared" si="1"/>
        <v>0</v>
      </c>
      <c r="B3755" s="32" t="s">
        <v>78</v>
      </c>
      <c r="C3755" s="23" t="s">
        <v>79</v>
      </c>
      <c r="D3755" s="23" t="s">
        <v>32</v>
      </c>
      <c r="E3755" s="24">
        <v>45451.0</v>
      </c>
      <c r="F3755" s="25">
        <v>0.2361111111111111</v>
      </c>
      <c r="G3755" s="25">
        <v>0.6583333333333333</v>
      </c>
      <c r="H3755" s="27">
        <f t="shared" si="2"/>
        <v>0.4222222222</v>
      </c>
      <c r="I3755" s="28">
        <v>4.0</v>
      </c>
      <c r="J3755" s="29" t="s">
        <v>55</v>
      </c>
      <c r="K3755" s="30" t="s">
        <v>23</v>
      </c>
      <c r="L3755" s="31" t="str">
        <f>IFERROR(__xludf.DUMMYFUNCTION("IF(OR(E3755="""",K3755=""""),"""",IFERROR(IF(K3755="""","""",query('tbl user'!$A$2:$D10975,""SELECT A WHERE D = '""&amp;K3755&amp;""'"")),""USER TIDAK DIKETAHUI""))"),"#REF!")</f>
        <v>#REF!</v>
      </c>
    </row>
    <row r="3756">
      <c r="A3756" s="21">
        <f t="shared" si="1"/>
        <v>0</v>
      </c>
      <c r="B3756" s="32" t="s">
        <v>144</v>
      </c>
      <c r="C3756" s="23" t="s">
        <v>145</v>
      </c>
      <c r="D3756" s="23" t="s">
        <v>32</v>
      </c>
      <c r="E3756" s="24">
        <v>45451.0</v>
      </c>
      <c r="F3756" s="25">
        <v>0.28888888888888886</v>
      </c>
      <c r="G3756" s="25">
        <v>0.7368055555555556</v>
      </c>
      <c r="H3756" s="27">
        <f t="shared" si="2"/>
        <v>0.4479166667</v>
      </c>
      <c r="I3756" s="28">
        <v>4.0</v>
      </c>
      <c r="J3756" s="29" t="s">
        <v>55</v>
      </c>
      <c r="K3756" s="30" t="s">
        <v>23</v>
      </c>
      <c r="L3756" s="31" t="str">
        <f>IFERROR(__xludf.DUMMYFUNCTION("IF(OR(E3756="""",K3756=""""),"""",IFERROR(IF(K3756="""","""",query('tbl user'!$A$2:$D10975,""SELECT A WHERE D = '""&amp;K3756&amp;""'"")),""USER TIDAK DIKETAHUI""))"),"#REF!")</f>
        <v>#REF!</v>
      </c>
    </row>
    <row r="3757">
      <c r="A3757" s="21">
        <f t="shared" si="1"/>
        <v>0</v>
      </c>
      <c r="B3757" s="32" t="s">
        <v>146</v>
      </c>
      <c r="C3757" s="23" t="s">
        <v>147</v>
      </c>
      <c r="D3757" s="23" t="s">
        <v>32</v>
      </c>
      <c r="E3757" s="24">
        <v>45451.0</v>
      </c>
      <c r="F3757" s="25">
        <v>0.2826388888888889</v>
      </c>
      <c r="G3757" s="25">
        <v>0.7006944444444444</v>
      </c>
      <c r="H3757" s="27">
        <f t="shared" si="2"/>
        <v>0.4180555556</v>
      </c>
      <c r="I3757" s="28">
        <v>4.0</v>
      </c>
      <c r="J3757" s="29" t="s">
        <v>55</v>
      </c>
      <c r="K3757" s="30" t="s">
        <v>23</v>
      </c>
      <c r="L3757" s="31" t="str">
        <f>IFERROR(__xludf.DUMMYFUNCTION("IF(OR(E3757="""",K3757=""""),"""",IFERROR(IF(K3757="""","""",query('tbl user'!$A$2:$D10975,""SELECT A WHERE D = '""&amp;K3757&amp;""'"")),""USER TIDAK DIKETAHUI""))"),"#REF!")</f>
        <v>#REF!</v>
      </c>
    </row>
    <row r="3758">
      <c r="A3758" s="21">
        <f t="shared" si="1"/>
        <v>0</v>
      </c>
      <c r="B3758" s="32" t="s">
        <v>149</v>
      </c>
      <c r="C3758" s="23" t="s">
        <v>150</v>
      </c>
      <c r="D3758" s="23" t="s">
        <v>32</v>
      </c>
      <c r="E3758" s="24">
        <v>45451.0</v>
      </c>
      <c r="F3758" s="25">
        <v>0.23055555555555557</v>
      </c>
      <c r="G3758" s="25">
        <v>0.6701388888888888</v>
      </c>
      <c r="H3758" s="27">
        <f t="shared" si="2"/>
        <v>0.4395833333</v>
      </c>
      <c r="I3758" s="28">
        <v>4.0</v>
      </c>
      <c r="J3758" s="29" t="s">
        <v>55</v>
      </c>
      <c r="K3758" s="30" t="s">
        <v>23</v>
      </c>
      <c r="L3758" s="31" t="str">
        <f>IFERROR(__xludf.DUMMYFUNCTION("IF(OR(E3758="""",K3758=""""),"""",IFERROR(IF(K3758="""","""",query('tbl user'!$A$2:$D10975,""SELECT A WHERE D = '""&amp;K3758&amp;""'"")),""USER TIDAK DIKETAHUI""))"),"#REF!")</f>
        <v>#REF!</v>
      </c>
    </row>
    <row r="3759">
      <c r="A3759" s="21">
        <f t="shared" si="1"/>
        <v>0</v>
      </c>
      <c r="B3759" s="32" t="s">
        <v>151</v>
      </c>
      <c r="C3759" s="23" t="s">
        <v>152</v>
      </c>
      <c r="D3759" s="23" t="s">
        <v>32</v>
      </c>
      <c r="E3759" s="24">
        <v>45451.0</v>
      </c>
      <c r="F3759" s="25">
        <v>0.2611111111111111</v>
      </c>
      <c r="G3759" s="25">
        <v>0.6805555555555556</v>
      </c>
      <c r="H3759" s="27">
        <f t="shared" si="2"/>
        <v>0.4194444444</v>
      </c>
      <c r="I3759" s="28">
        <v>4.0</v>
      </c>
      <c r="J3759" s="29" t="s">
        <v>55</v>
      </c>
      <c r="K3759" s="30" t="s">
        <v>23</v>
      </c>
      <c r="L3759" s="31" t="str">
        <f>IFERROR(__xludf.DUMMYFUNCTION("IF(OR(E3759="""",K3759=""""),"""",IFERROR(IF(K3759="""","""",query('tbl user'!$A$2:$D10975,""SELECT A WHERE D = '""&amp;K3759&amp;""'"")),""USER TIDAK DIKETAHUI""))"),"#REF!")</f>
        <v>#REF!</v>
      </c>
    </row>
    <row r="3760">
      <c r="A3760" s="21" t="str">
        <f t="shared" si="1"/>
        <v/>
      </c>
      <c r="B3760" s="35"/>
      <c r="C3760" s="23" t="s">
        <v>154</v>
      </c>
      <c r="D3760" s="23" t="s">
        <v>58</v>
      </c>
      <c r="E3760" s="24">
        <v>45452.0</v>
      </c>
      <c r="F3760" s="25">
        <v>0.2520833333333333</v>
      </c>
      <c r="G3760" s="25">
        <v>0.6284722222222222</v>
      </c>
      <c r="H3760" s="27">
        <f t="shared" si="2"/>
        <v>0.3763888889</v>
      </c>
      <c r="I3760" s="28">
        <v>0.0</v>
      </c>
      <c r="J3760" s="29" t="s">
        <v>1673</v>
      </c>
      <c r="K3760" s="30" t="s">
        <v>23</v>
      </c>
      <c r="L3760" s="31" t="str">
        <f>IFERROR(__xludf.DUMMYFUNCTION("IF(OR(E3760="""",K3760=""""),"""",IFERROR(IF(K3760="""","""",query('tbl user'!$A$2:$D10975,""SELECT A WHERE D = '""&amp;K3760&amp;""'"")),""USER TIDAK DIKETAHUI""))"),"#REF!")</f>
        <v>#REF!</v>
      </c>
    </row>
    <row r="3761">
      <c r="A3761" s="21">
        <f t="shared" si="1"/>
        <v>0</v>
      </c>
      <c r="B3761" s="32" t="s">
        <v>167</v>
      </c>
      <c r="C3761" s="23" t="s">
        <v>168</v>
      </c>
      <c r="D3761" s="23" t="s">
        <v>58</v>
      </c>
      <c r="E3761" s="24">
        <v>45452.0</v>
      </c>
      <c r="F3761" s="25">
        <v>0.29583333333333334</v>
      </c>
      <c r="G3761" s="25">
        <v>0.4527777777777778</v>
      </c>
      <c r="H3761" s="27">
        <f t="shared" si="2"/>
        <v>0.1569444444</v>
      </c>
      <c r="I3761" s="28">
        <v>1.0</v>
      </c>
      <c r="J3761" s="29" t="s">
        <v>1674</v>
      </c>
      <c r="K3761" s="30" t="s">
        <v>23</v>
      </c>
      <c r="L3761" s="31" t="str">
        <f>IFERROR(__xludf.DUMMYFUNCTION("IF(OR(E3761="""",K3761=""""),"""",IFERROR(IF(K3761="""","""",query('tbl user'!$A$2:$D10975,""SELECT A WHERE D = '""&amp;K3761&amp;""'"")),""USER TIDAK DIKETAHUI""))"),"#REF!")</f>
        <v>#REF!</v>
      </c>
    </row>
    <row r="3762">
      <c r="A3762" s="21">
        <f t="shared" si="1"/>
        <v>0</v>
      </c>
      <c r="B3762" s="32" t="s">
        <v>162</v>
      </c>
      <c r="C3762" s="23" t="s">
        <v>185</v>
      </c>
      <c r="D3762" s="23" t="s">
        <v>58</v>
      </c>
      <c r="E3762" s="24">
        <v>45452.0</v>
      </c>
      <c r="F3762" s="25">
        <v>0.28958333333333336</v>
      </c>
      <c r="G3762" s="25">
        <v>0.44722222222222224</v>
      </c>
      <c r="H3762" s="27">
        <f t="shared" si="2"/>
        <v>0.1576388889</v>
      </c>
      <c r="I3762" s="28">
        <v>1.0</v>
      </c>
      <c r="J3762" s="29" t="s">
        <v>1675</v>
      </c>
      <c r="K3762" s="30" t="s">
        <v>23</v>
      </c>
      <c r="L3762" s="31" t="str">
        <f>IFERROR(__xludf.DUMMYFUNCTION("IF(OR(E3762="""",K3762=""""),"""",IFERROR(IF(K3762="""","""",query('tbl user'!$A$2:$D10975,""SELECT A WHERE D = '""&amp;K3762&amp;""'"")),""USER TIDAK DIKETAHUI""))"),"#REF!")</f>
        <v>#REF!</v>
      </c>
    </row>
    <row r="3763">
      <c r="A3763" s="21">
        <f t="shared" si="1"/>
        <v>0</v>
      </c>
      <c r="B3763" s="32" t="s">
        <v>202</v>
      </c>
      <c r="C3763" s="23" t="s">
        <v>203</v>
      </c>
      <c r="D3763" s="23" t="s">
        <v>58</v>
      </c>
      <c r="E3763" s="24">
        <v>45452.0</v>
      </c>
      <c r="F3763" s="25">
        <v>0.2388888888888889</v>
      </c>
      <c r="G3763" s="25">
        <v>0.5722222222222222</v>
      </c>
      <c r="H3763" s="27">
        <f t="shared" si="2"/>
        <v>0.3333333333</v>
      </c>
      <c r="I3763" s="28">
        <v>1.0</v>
      </c>
      <c r="J3763" s="29" t="s">
        <v>1676</v>
      </c>
      <c r="K3763" s="30" t="s">
        <v>23</v>
      </c>
      <c r="L3763" s="31" t="str">
        <f>IFERROR(__xludf.DUMMYFUNCTION("IF(OR(E3763="""",K3763=""""),"""",IFERROR(IF(K3763="""","""",query('tbl user'!$A$2:$D10975,""SELECT A WHERE D = '""&amp;K3763&amp;""'"")),""USER TIDAK DIKETAHUI""))"),"#REF!")</f>
        <v>#REF!</v>
      </c>
    </row>
    <row r="3764">
      <c r="A3764" s="21">
        <f t="shared" si="1"/>
        <v>0</v>
      </c>
      <c r="B3764" s="32" t="s">
        <v>253</v>
      </c>
      <c r="C3764" s="23" t="s">
        <v>163</v>
      </c>
      <c r="D3764" s="23" t="s">
        <v>58</v>
      </c>
      <c r="E3764" s="24">
        <v>45452.0</v>
      </c>
      <c r="F3764" s="25">
        <v>0.30069444444444443</v>
      </c>
      <c r="G3764" s="25">
        <v>0.6</v>
      </c>
      <c r="H3764" s="27">
        <f t="shared" si="2"/>
        <v>0.2993055556</v>
      </c>
      <c r="I3764" s="28">
        <v>2.0</v>
      </c>
      <c r="J3764" s="29" t="s">
        <v>1001</v>
      </c>
      <c r="K3764" s="30" t="s">
        <v>23</v>
      </c>
      <c r="L3764" s="31" t="str">
        <f>IFERROR(__xludf.DUMMYFUNCTION("IF(OR(E3764="""",K3764=""""),"""",IFERROR(IF(K3764="""","""",query('tbl user'!$A$2:$D10975,""SELECT A WHERE D = '""&amp;K3764&amp;""'"")),""USER TIDAK DIKETAHUI""))"),"#REF!")</f>
        <v>#REF!</v>
      </c>
    </row>
    <row r="3765">
      <c r="A3765" s="21">
        <f t="shared" si="1"/>
        <v>0</v>
      </c>
      <c r="B3765" s="32" t="s">
        <v>101</v>
      </c>
      <c r="C3765" s="23" t="s">
        <v>211</v>
      </c>
      <c r="D3765" s="23" t="s">
        <v>58</v>
      </c>
      <c r="E3765" s="24">
        <v>45452.0</v>
      </c>
      <c r="F3765" s="25">
        <v>0.29444444444444445</v>
      </c>
      <c r="G3765" s="25">
        <v>0.5770833333333333</v>
      </c>
      <c r="H3765" s="27">
        <f t="shared" si="2"/>
        <v>0.2826388889</v>
      </c>
      <c r="I3765" s="28">
        <v>2.0</v>
      </c>
      <c r="J3765" s="29" t="s">
        <v>1677</v>
      </c>
      <c r="K3765" s="30" t="s">
        <v>23</v>
      </c>
      <c r="L3765" s="31" t="str">
        <f>IFERROR(__xludf.DUMMYFUNCTION("IF(OR(E3765="""",K3765=""""),"""",IFERROR(IF(K3765="""","""",query('tbl user'!$A$2:$D10975,""SELECT A WHERE D = '""&amp;K3765&amp;""'"")),""USER TIDAK DIKETAHUI""))"),"#REF!")</f>
        <v>#REF!</v>
      </c>
    </row>
    <row r="3766">
      <c r="A3766" s="21">
        <f t="shared" si="1"/>
        <v>0</v>
      </c>
      <c r="B3766" s="32" t="s">
        <v>156</v>
      </c>
      <c r="C3766" s="23" t="s">
        <v>170</v>
      </c>
      <c r="D3766" s="23" t="s">
        <v>58</v>
      </c>
      <c r="E3766" s="24">
        <v>45452.0</v>
      </c>
      <c r="F3766" s="25">
        <v>0.28958333333333336</v>
      </c>
      <c r="G3766" s="25">
        <v>0.5777777777777777</v>
      </c>
      <c r="H3766" s="27">
        <f t="shared" si="2"/>
        <v>0.2881944444</v>
      </c>
      <c r="I3766" s="28">
        <v>2.0</v>
      </c>
      <c r="J3766" s="29" t="s">
        <v>171</v>
      </c>
      <c r="K3766" s="30" t="s">
        <v>23</v>
      </c>
      <c r="L3766" s="31" t="str">
        <f>IFERROR(__xludf.DUMMYFUNCTION("IF(OR(E3766="""",K3766=""""),"""",IFERROR(IF(K3766="""","""",query('tbl user'!$A$2:$D10975,""SELECT A WHERE D = '""&amp;K3766&amp;""'"")),""USER TIDAK DIKETAHUI""))"),"#REF!")</f>
        <v>#REF!</v>
      </c>
    </row>
    <row r="3767">
      <c r="A3767" s="21">
        <f t="shared" si="1"/>
        <v>0</v>
      </c>
      <c r="B3767" s="32" t="s">
        <v>593</v>
      </c>
      <c r="C3767" s="23" t="s">
        <v>93</v>
      </c>
      <c r="D3767" s="23" t="s">
        <v>58</v>
      </c>
      <c r="E3767" s="24">
        <v>45452.0</v>
      </c>
      <c r="F3767" s="25">
        <v>0.26458333333333334</v>
      </c>
      <c r="G3767" s="25">
        <v>0.5736111111111111</v>
      </c>
      <c r="H3767" s="27">
        <f t="shared" si="2"/>
        <v>0.3090277778</v>
      </c>
      <c r="I3767" s="28">
        <v>2.0</v>
      </c>
      <c r="J3767" s="29" t="s">
        <v>1678</v>
      </c>
      <c r="K3767" s="30" t="s">
        <v>23</v>
      </c>
      <c r="L3767" s="31" t="str">
        <f>IFERROR(__xludf.DUMMYFUNCTION("IF(OR(E3767="""",K3767=""""),"""",IFERROR(IF(K3767="""","""",query('tbl user'!$A$2:$D10975,""SELECT A WHERE D = '""&amp;K3767&amp;""'"")),""USER TIDAK DIKETAHUI""))"),"#REF!")</f>
        <v>#REF!</v>
      </c>
    </row>
    <row r="3768">
      <c r="A3768" s="21">
        <f t="shared" si="1"/>
        <v>0</v>
      </c>
      <c r="B3768" s="32" t="s">
        <v>178</v>
      </c>
      <c r="C3768" s="23" t="s">
        <v>82</v>
      </c>
      <c r="D3768" s="23" t="s">
        <v>58</v>
      </c>
      <c r="E3768" s="24">
        <v>45452.0</v>
      </c>
      <c r="F3768" s="25">
        <v>0.27152777777777776</v>
      </c>
      <c r="G3768" s="25">
        <v>0.5222222222222223</v>
      </c>
      <c r="H3768" s="27">
        <f t="shared" si="2"/>
        <v>0.2506944444</v>
      </c>
      <c r="I3768" s="28">
        <v>2.0</v>
      </c>
      <c r="J3768" s="29" t="s">
        <v>171</v>
      </c>
      <c r="K3768" s="30" t="s">
        <v>23</v>
      </c>
      <c r="L3768" s="31" t="str">
        <f>IFERROR(__xludf.DUMMYFUNCTION("IF(OR(E3768="""",K3768=""""),"""",IFERROR(IF(K3768="""","""",query('tbl user'!$A$2:$D10975,""SELECT A WHERE D = '""&amp;K3768&amp;""'"")),""USER TIDAK DIKETAHUI""))"),"#REF!")</f>
        <v>#REF!</v>
      </c>
    </row>
    <row r="3769">
      <c r="A3769" s="21">
        <f t="shared" si="1"/>
        <v>0</v>
      </c>
      <c r="B3769" s="32" t="s">
        <v>187</v>
      </c>
      <c r="C3769" s="23" t="s">
        <v>188</v>
      </c>
      <c r="D3769" s="23" t="s">
        <v>58</v>
      </c>
      <c r="E3769" s="24">
        <v>45452.0</v>
      </c>
      <c r="F3769" s="25">
        <v>0.21875</v>
      </c>
      <c r="G3769" s="25">
        <v>0.5090277777777777</v>
      </c>
      <c r="H3769" s="27">
        <f t="shared" si="2"/>
        <v>0.2902777778</v>
      </c>
      <c r="I3769" s="28">
        <v>2.0</v>
      </c>
      <c r="J3769" s="29" t="s">
        <v>1679</v>
      </c>
      <c r="K3769" s="30" t="s">
        <v>23</v>
      </c>
      <c r="L3769" s="31" t="str">
        <f>IFERROR(__xludf.DUMMYFUNCTION("IF(OR(E3769="""",K3769=""""),"""",IFERROR(IF(K3769="""","""",query('tbl user'!$A$2:$D10975,""SELECT A WHERE D = '""&amp;K3769&amp;""'"")),""USER TIDAK DIKETAHUI""))"),"#REF!")</f>
        <v>#REF!</v>
      </c>
    </row>
    <row r="3770">
      <c r="A3770" s="21">
        <f t="shared" si="1"/>
        <v>0</v>
      </c>
      <c r="B3770" s="32" t="s">
        <v>95</v>
      </c>
      <c r="C3770" s="23" t="s">
        <v>208</v>
      </c>
      <c r="D3770" s="23" t="s">
        <v>58</v>
      </c>
      <c r="E3770" s="24">
        <v>45452.0</v>
      </c>
      <c r="F3770" s="25">
        <v>0.2652777777777778</v>
      </c>
      <c r="G3770" s="25">
        <v>0.6131944444444445</v>
      </c>
      <c r="H3770" s="27">
        <f t="shared" si="2"/>
        <v>0.3479166667</v>
      </c>
      <c r="I3770" s="28">
        <v>2.0</v>
      </c>
      <c r="J3770" s="29" t="s">
        <v>1680</v>
      </c>
      <c r="K3770" s="30" t="s">
        <v>23</v>
      </c>
      <c r="L3770" s="31" t="str">
        <f>IFERROR(__xludf.DUMMYFUNCTION("IF(OR(E3770="""",K3770=""""),"""",IFERROR(IF(K3770="""","""",query('tbl user'!$A$2:$D10975,""SELECT A WHERE D = '""&amp;K3770&amp;""'"")),""USER TIDAK DIKETAHUI""))"),"#REF!")</f>
        <v>#REF!</v>
      </c>
    </row>
    <row r="3771">
      <c r="A3771" s="21">
        <f t="shared" si="1"/>
        <v>0</v>
      </c>
      <c r="B3771" s="32" t="s">
        <v>209</v>
      </c>
      <c r="C3771" s="23" t="s">
        <v>85</v>
      </c>
      <c r="D3771" s="23" t="s">
        <v>58</v>
      </c>
      <c r="E3771" s="24">
        <v>45452.0</v>
      </c>
      <c r="F3771" s="25">
        <v>0.28125</v>
      </c>
      <c r="G3771" s="25">
        <v>0.5638888888888889</v>
      </c>
      <c r="H3771" s="27">
        <f t="shared" si="2"/>
        <v>0.2826388889</v>
      </c>
      <c r="I3771" s="28">
        <v>2.0</v>
      </c>
      <c r="J3771" s="29" t="s">
        <v>171</v>
      </c>
      <c r="K3771" s="30" t="s">
        <v>23</v>
      </c>
      <c r="L3771" s="31" t="str">
        <f>IFERROR(__xludf.DUMMYFUNCTION("IF(OR(E3771="""",K3771=""""),"""",IFERROR(IF(K3771="""","""",query('tbl user'!$A$2:$D10975,""SELECT A WHERE D = '""&amp;K3771&amp;""'"")),""USER TIDAK DIKETAHUI""))"),"#REF!")</f>
        <v>#REF!</v>
      </c>
    </row>
    <row r="3772">
      <c r="A3772" s="21">
        <f t="shared" si="1"/>
        <v>0</v>
      </c>
      <c r="B3772" s="32" t="s">
        <v>67</v>
      </c>
      <c r="C3772" s="23" t="s">
        <v>68</v>
      </c>
      <c r="D3772" s="23" t="s">
        <v>58</v>
      </c>
      <c r="E3772" s="24">
        <v>45452.0</v>
      </c>
      <c r="F3772" s="25">
        <v>0.28055555555555556</v>
      </c>
      <c r="G3772" s="25">
        <v>0.6645833333333333</v>
      </c>
      <c r="H3772" s="27">
        <f t="shared" si="2"/>
        <v>0.3840277778</v>
      </c>
      <c r="I3772" s="28">
        <v>3.0</v>
      </c>
      <c r="J3772" s="29" t="s">
        <v>171</v>
      </c>
      <c r="K3772" s="30" t="s">
        <v>23</v>
      </c>
      <c r="L3772" s="31" t="str">
        <f>IFERROR(__xludf.DUMMYFUNCTION("IF(OR(E3772="""",K3772=""""),"""",IFERROR(IF(K3772="""","""",query('tbl user'!$A$2:$D10975,""SELECT A WHERE D = '""&amp;K3772&amp;""'"")),""USER TIDAK DIKETAHUI""))"),"#REF!")</f>
        <v>#REF!</v>
      </c>
    </row>
    <row r="3773">
      <c r="A3773" s="21">
        <f t="shared" si="1"/>
        <v>0</v>
      </c>
      <c r="B3773" s="32" t="s">
        <v>172</v>
      </c>
      <c r="C3773" s="23" t="s">
        <v>173</v>
      </c>
      <c r="D3773" s="23" t="s">
        <v>58</v>
      </c>
      <c r="E3773" s="24">
        <v>45452.0</v>
      </c>
      <c r="F3773" s="25">
        <v>0.22569444444444445</v>
      </c>
      <c r="G3773" s="25">
        <v>0.6006944444444444</v>
      </c>
      <c r="H3773" s="27">
        <f t="shared" si="2"/>
        <v>0.375</v>
      </c>
      <c r="I3773" s="28">
        <v>3.0</v>
      </c>
      <c r="J3773" s="29" t="s">
        <v>171</v>
      </c>
      <c r="K3773" s="30" t="s">
        <v>23</v>
      </c>
      <c r="L3773" s="31" t="str">
        <f>IFERROR(__xludf.DUMMYFUNCTION("IF(OR(E3773="""",K3773=""""),"""",IFERROR(IF(K3773="""","""",query('tbl user'!$A$2:$D10975,""SELECT A WHERE D = '""&amp;K3773&amp;""'"")),""USER TIDAK DIKETAHUI""))"),"#REF!")</f>
        <v>#REF!</v>
      </c>
    </row>
    <row r="3774">
      <c r="A3774" s="21">
        <f t="shared" si="1"/>
        <v>0</v>
      </c>
      <c r="B3774" s="32" t="s">
        <v>175</v>
      </c>
      <c r="C3774" s="23" t="s">
        <v>176</v>
      </c>
      <c r="D3774" s="23" t="s">
        <v>58</v>
      </c>
      <c r="E3774" s="24">
        <v>45452.0</v>
      </c>
      <c r="F3774" s="25">
        <v>0.2673611111111111</v>
      </c>
      <c r="G3774" s="25">
        <v>0.6361111111111111</v>
      </c>
      <c r="H3774" s="27">
        <f t="shared" si="2"/>
        <v>0.36875</v>
      </c>
      <c r="I3774" s="28">
        <v>3.0</v>
      </c>
      <c r="J3774" s="29" t="s">
        <v>1681</v>
      </c>
      <c r="K3774" s="30" t="s">
        <v>23</v>
      </c>
      <c r="L3774" s="31" t="str">
        <f>IFERROR(__xludf.DUMMYFUNCTION("IF(OR(E3774="""",K3774=""""),"""",IFERROR(IF(K3774="""","""",query('tbl user'!$A$2:$D10975,""SELECT A WHERE D = '""&amp;K3774&amp;""'"")),""USER TIDAK DIKETAHUI""))"),"#REF!")</f>
        <v>#REF!</v>
      </c>
    </row>
    <row r="3775">
      <c r="A3775" s="21">
        <f t="shared" si="1"/>
        <v>0</v>
      </c>
      <c r="B3775" s="32" t="s">
        <v>159</v>
      </c>
      <c r="C3775" s="23" t="s">
        <v>57</v>
      </c>
      <c r="D3775" s="23" t="s">
        <v>58</v>
      </c>
      <c r="E3775" s="24">
        <v>45452.0</v>
      </c>
      <c r="F3775" s="25">
        <v>0.26180555555555557</v>
      </c>
      <c r="G3775" s="25">
        <v>0.6277777777777778</v>
      </c>
      <c r="H3775" s="27">
        <f t="shared" si="2"/>
        <v>0.3659722222</v>
      </c>
      <c r="I3775" s="28">
        <v>3.0</v>
      </c>
      <c r="J3775" s="29" t="s">
        <v>171</v>
      </c>
      <c r="K3775" s="30" t="s">
        <v>23</v>
      </c>
      <c r="L3775" s="31" t="str">
        <f>IFERROR(__xludf.DUMMYFUNCTION("IF(OR(E3775="""",K3775=""""),"""",IFERROR(IF(K3775="""","""",query('tbl user'!$A$2:$D10975,""SELECT A WHERE D = '""&amp;K3775&amp;""'"")),""USER TIDAK DIKETAHUI""))"),"#REF!")</f>
        <v>#REF!</v>
      </c>
    </row>
    <row r="3776">
      <c r="A3776" s="21">
        <f t="shared" si="1"/>
        <v>0</v>
      </c>
      <c r="B3776" s="32" t="s">
        <v>180</v>
      </c>
      <c r="C3776" s="23" t="s">
        <v>181</v>
      </c>
      <c r="D3776" s="23" t="s">
        <v>58</v>
      </c>
      <c r="E3776" s="24">
        <v>45452.0</v>
      </c>
      <c r="F3776" s="25">
        <v>0.2569444444444444</v>
      </c>
      <c r="G3776" s="25">
        <v>0.5972222222222222</v>
      </c>
      <c r="H3776" s="27">
        <f t="shared" si="2"/>
        <v>0.3402777778</v>
      </c>
      <c r="I3776" s="28">
        <v>3.0</v>
      </c>
      <c r="J3776" s="29" t="s">
        <v>1682</v>
      </c>
      <c r="K3776" s="30" t="s">
        <v>23</v>
      </c>
      <c r="L3776" s="31" t="str">
        <f>IFERROR(__xludf.DUMMYFUNCTION("IF(OR(E3776="""",K3776=""""),"""",IFERROR(IF(K3776="""","""",query('tbl user'!$A$2:$D10975,""SELECT A WHERE D = '""&amp;K3776&amp;""'"")),""USER TIDAK DIKETAHUI""))"),"#REF!")</f>
        <v>#REF!</v>
      </c>
    </row>
    <row r="3777">
      <c r="A3777" s="21">
        <f t="shared" si="1"/>
        <v>0</v>
      </c>
      <c r="B3777" s="32" t="s">
        <v>189</v>
      </c>
      <c r="C3777" s="23" t="s">
        <v>190</v>
      </c>
      <c r="D3777" s="23" t="s">
        <v>58</v>
      </c>
      <c r="E3777" s="24">
        <v>45452.0</v>
      </c>
      <c r="F3777" s="25">
        <v>0.27291666666666664</v>
      </c>
      <c r="G3777" s="33">
        <v>0.6458333333333334</v>
      </c>
      <c r="H3777" s="27">
        <f t="shared" si="2"/>
        <v>0.3729166667</v>
      </c>
      <c r="I3777" s="28">
        <v>3.0</v>
      </c>
      <c r="J3777" s="29" t="s">
        <v>171</v>
      </c>
      <c r="K3777" s="30" t="s">
        <v>23</v>
      </c>
      <c r="L3777" s="31" t="str">
        <f>IFERROR(__xludf.DUMMYFUNCTION("IF(OR(E3777="""",K3777=""""),"""",IFERROR(IF(K3777="""","""",query('tbl user'!$A$2:$D10975,""SELECT A WHERE D = '""&amp;K3777&amp;""'"")),""USER TIDAK DIKETAHUI""))"),"#REF!")</f>
        <v>#REF!</v>
      </c>
    </row>
    <row r="3778">
      <c r="A3778" s="21">
        <f t="shared" si="1"/>
        <v>0</v>
      </c>
      <c r="B3778" s="32" t="s">
        <v>191</v>
      </c>
      <c r="C3778" s="23" t="s">
        <v>192</v>
      </c>
      <c r="D3778" s="23" t="s">
        <v>58</v>
      </c>
      <c r="E3778" s="24">
        <v>45452.0</v>
      </c>
      <c r="F3778" s="25">
        <v>0.2388888888888889</v>
      </c>
      <c r="G3778" s="25">
        <v>0.5847222222222223</v>
      </c>
      <c r="H3778" s="27">
        <f t="shared" si="2"/>
        <v>0.3458333333</v>
      </c>
      <c r="I3778" s="28">
        <v>3.0</v>
      </c>
      <c r="J3778" s="29" t="s">
        <v>1333</v>
      </c>
      <c r="K3778" s="30" t="s">
        <v>23</v>
      </c>
      <c r="L3778" s="31" t="str">
        <f>IFERROR(__xludf.DUMMYFUNCTION("IF(OR(E3778="""",K3778=""""),"""",IFERROR(IF(K3778="""","""",query('tbl user'!$A$2:$D10975,""SELECT A WHERE D = '""&amp;K3778&amp;""'"")),""USER TIDAK DIKETAHUI""))"),"#REF!")</f>
        <v>#REF!</v>
      </c>
    </row>
    <row r="3779">
      <c r="A3779" s="21">
        <f t="shared" si="1"/>
        <v>0</v>
      </c>
      <c r="B3779" s="32" t="s">
        <v>194</v>
      </c>
      <c r="C3779" s="23" t="s">
        <v>195</v>
      </c>
      <c r="D3779" s="23" t="s">
        <v>58</v>
      </c>
      <c r="E3779" s="24">
        <v>45452.0</v>
      </c>
      <c r="F3779" s="25">
        <v>0.22777777777777777</v>
      </c>
      <c r="G3779" s="25">
        <v>0.5875</v>
      </c>
      <c r="H3779" s="27">
        <f t="shared" si="2"/>
        <v>0.3597222222</v>
      </c>
      <c r="I3779" s="28">
        <v>3.0</v>
      </c>
      <c r="J3779" s="29" t="s">
        <v>1683</v>
      </c>
      <c r="K3779" s="30" t="s">
        <v>23</v>
      </c>
      <c r="L3779" s="31" t="str">
        <f>IFERROR(__xludf.DUMMYFUNCTION("IF(OR(E3779="""",K3779=""""),"""",IFERROR(IF(K3779="""","""",query('tbl user'!$A$2:$D10975,""SELECT A WHERE D = '""&amp;K3779&amp;""'"")),""USER TIDAK DIKETAHUI""))"),"#REF!")</f>
        <v>#REF!</v>
      </c>
    </row>
    <row r="3780">
      <c r="A3780" s="21">
        <f t="shared" si="1"/>
        <v>0</v>
      </c>
      <c r="B3780" s="32" t="s">
        <v>205</v>
      </c>
      <c r="C3780" s="23" t="s">
        <v>206</v>
      </c>
      <c r="D3780" s="23" t="s">
        <v>58</v>
      </c>
      <c r="E3780" s="24">
        <v>45452.0</v>
      </c>
      <c r="F3780" s="25">
        <v>0.25277777777777777</v>
      </c>
      <c r="G3780" s="25">
        <v>0.6305555555555555</v>
      </c>
      <c r="H3780" s="27">
        <f t="shared" si="2"/>
        <v>0.3777777778</v>
      </c>
      <c r="I3780" s="28">
        <v>3.0</v>
      </c>
      <c r="J3780" s="29" t="s">
        <v>171</v>
      </c>
      <c r="K3780" s="30" t="s">
        <v>23</v>
      </c>
      <c r="L3780" s="31" t="str">
        <f>IFERROR(__xludf.DUMMYFUNCTION("IF(OR(E3780="""",K3780=""""),"""",IFERROR(IF(K3780="""","""",query('tbl user'!$A$2:$D10975,""SELECT A WHERE D = '""&amp;K3780&amp;""'"")),""USER TIDAK DIKETAHUI""))"),"#REF!")</f>
        <v>#REF!</v>
      </c>
    </row>
    <row r="3781">
      <c r="A3781" s="21">
        <f t="shared" si="1"/>
        <v>0</v>
      </c>
      <c r="B3781" s="32" t="s">
        <v>182</v>
      </c>
      <c r="C3781" s="23" t="s">
        <v>183</v>
      </c>
      <c r="D3781" s="23" t="s">
        <v>58</v>
      </c>
      <c r="E3781" s="24">
        <v>45452.0</v>
      </c>
      <c r="F3781" s="25">
        <v>0.25</v>
      </c>
      <c r="G3781" s="25">
        <v>0.6784722222222223</v>
      </c>
      <c r="H3781" s="27">
        <f t="shared" si="2"/>
        <v>0.4284722222</v>
      </c>
      <c r="I3781" s="28">
        <v>4.0</v>
      </c>
      <c r="J3781" s="29" t="s">
        <v>55</v>
      </c>
      <c r="K3781" s="30" t="s">
        <v>23</v>
      </c>
      <c r="L3781" s="31" t="str">
        <f>IFERROR(__xludf.DUMMYFUNCTION("IF(OR(E3781="""",K3781=""""),"""",IFERROR(IF(K3781="""","""",query('tbl user'!$A$2:$D10975,""SELECT A WHERE D = '""&amp;K3781&amp;""'"")),""USER TIDAK DIKETAHUI""))"),"#REF!")</f>
        <v>#REF!</v>
      </c>
    </row>
    <row r="3782">
      <c r="A3782" s="21">
        <f t="shared" si="1"/>
        <v>0</v>
      </c>
      <c r="B3782" s="32" t="s">
        <v>197</v>
      </c>
      <c r="C3782" s="23" t="s">
        <v>198</v>
      </c>
      <c r="D3782" s="23" t="s">
        <v>58</v>
      </c>
      <c r="E3782" s="24">
        <v>45452.0</v>
      </c>
      <c r="F3782" s="25">
        <v>0.20277777777777778</v>
      </c>
      <c r="G3782" s="25">
        <v>0.6590277777777778</v>
      </c>
      <c r="H3782" s="27">
        <f t="shared" si="2"/>
        <v>0.45625</v>
      </c>
      <c r="I3782" s="28">
        <v>4.0</v>
      </c>
      <c r="J3782" s="29" t="s">
        <v>55</v>
      </c>
      <c r="K3782" s="30" t="s">
        <v>23</v>
      </c>
      <c r="L3782" s="31" t="str">
        <f>IFERROR(__xludf.DUMMYFUNCTION("IF(OR(E3782="""",K3782=""""),"""",IFERROR(IF(K3782="""","""",query('tbl user'!$A$2:$D10975,""SELECT A WHERE D = '""&amp;K3782&amp;""'"")),""USER TIDAK DIKETAHUI""))"),"#REF!")</f>
        <v>#REF!</v>
      </c>
    </row>
    <row r="3783">
      <c r="A3783" s="21">
        <f t="shared" si="1"/>
        <v>0</v>
      </c>
      <c r="B3783" s="32" t="s">
        <v>200</v>
      </c>
      <c r="C3783" s="23" t="s">
        <v>201</v>
      </c>
      <c r="D3783" s="23" t="s">
        <v>58</v>
      </c>
      <c r="E3783" s="24">
        <v>45452.0</v>
      </c>
      <c r="F3783" s="25">
        <v>0.2013888888888889</v>
      </c>
      <c r="G3783" s="25">
        <v>0.68125</v>
      </c>
      <c r="H3783" s="27">
        <f t="shared" si="2"/>
        <v>0.4798611111</v>
      </c>
      <c r="I3783" s="28">
        <v>4.0</v>
      </c>
      <c r="J3783" s="29" t="s">
        <v>55</v>
      </c>
      <c r="K3783" s="30" t="s">
        <v>23</v>
      </c>
      <c r="L3783" s="31" t="str">
        <f>IFERROR(__xludf.DUMMYFUNCTION("IF(OR(E3783="""",K3783=""""),"""",IFERROR(IF(K3783="""","""",query('tbl user'!$A$2:$D10975,""SELECT A WHERE D = '""&amp;K3783&amp;""'"")),""USER TIDAK DIKETAHUI""))"),"#REF!")</f>
        <v>#REF!</v>
      </c>
    </row>
    <row r="3784">
      <c r="A3784" s="21">
        <f t="shared" si="1"/>
        <v>0</v>
      </c>
      <c r="B3784" s="32" t="s">
        <v>51</v>
      </c>
      <c r="C3784" s="23" t="s">
        <v>27</v>
      </c>
      <c r="D3784" s="23" t="s">
        <v>21</v>
      </c>
      <c r="E3784" s="24">
        <v>45452.0</v>
      </c>
      <c r="F3784" s="25">
        <v>0.2513888888888889</v>
      </c>
      <c r="G3784" s="25">
        <v>0.45208333333333334</v>
      </c>
      <c r="H3784" s="27">
        <f t="shared" si="2"/>
        <v>0.2006944444</v>
      </c>
      <c r="I3784" s="28">
        <v>1.0</v>
      </c>
      <c r="J3784" s="29" t="s">
        <v>1684</v>
      </c>
      <c r="K3784" s="30" t="s">
        <v>23</v>
      </c>
      <c r="L3784" s="31" t="str">
        <f>IFERROR(__xludf.DUMMYFUNCTION("IF(OR(E3784="""",K3784=""""),"""",IFERROR(IF(K3784="""","""",query('tbl user'!$A$2:$D10975,""SELECT A WHERE D = '""&amp;K3784&amp;""'"")),""USER TIDAK DIKETAHUI""))"),"#REF!")</f>
        <v>#REF!</v>
      </c>
    </row>
    <row r="3785">
      <c r="A3785" s="21">
        <f t="shared" si="1"/>
        <v>0</v>
      </c>
      <c r="B3785" s="32" t="s">
        <v>335</v>
      </c>
      <c r="C3785" s="23" t="s">
        <v>336</v>
      </c>
      <c r="D3785" s="23" t="s">
        <v>21</v>
      </c>
      <c r="E3785" s="24">
        <v>45452.0</v>
      </c>
      <c r="F3785" s="25">
        <v>0.28958333333333336</v>
      </c>
      <c r="G3785" s="25">
        <v>0.48819444444444443</v>
      </c>
      <c r="H3785" s="27">
        <f t="shared" si="2"/>
        <v>0.1986111111</v>
      </c>
      <c r="I3785" s="28">
        <v>1.0</v>
      </c>
      <c r="J3785" s="29" t="s">
        <v>1685</v>
      </c>
      <c r="K3785" s="30" t="s">
        <v>23</v>
      </c>
      <c r="L3785" s="31" t="str">
        <f>IFERROR(__xludf.DUMMYFUNCTION("IF(OR(E3785="""",K3785=""""),"""",IFERROR(IF(K3785="""","""",query('tbl user'!$A$2:$D10975,""SELECT A WHERE D = '""&amp;K3785&amp;""'"")),""USER TIDAK DIKETAHUI""))"),"#REF!")</f>
        <v>#REF!</v>
      </c>
    </row>
    <row r="3786">
      <c r="A3786" s="21">
        <f t="shared" si="1"/>
        <v>0</v>
      </c>
      <c r="B3786" s="32" t="s">
        <v>53</v>
      </c>
      <c r="C3786" s="23" t="s">
        <v>54</v>
      </c>
      <c r="D3786" s="23" t="s">
        <v>21</v>
      </c>
      <c r="E3786" s="24">
        <v>45452.0</v>
      </c>
      <c r="F3786" s="25">
        <v>0.24444444444444444</v>
      </c>
      <c r="G3786" s="25">
        <v>0.4534722222222222</v>
      </c>
      <c r="H3786" s="27">
        <f t="shared" si="2"/>
        <v>0.2090277778</v>
      </c>
      <c r="I3786" s="28">
        <v>1.0</v>
      </c>
      <c r="J3786" s="29" t="s">
        <v>1686</v>
      </c>
      <c r="K3786" s="30" t="s">
        <v>23</v>
      </c>
      <c r="L3786" s="31" t="str">
        <f>IFERROR(__xludf.DUMMYFUNCTION("IF(OR(E3786="""",K3786=""""),"""",IFERROR(IF(K3786="""","""",query('tbl user'!$A$2:$D10975,""SELECT A WHERE D = '""&amp;K3786&amp;""'"")),""USER TIDAK DIKETAHUI""))"),"#REF!")</f>
        <v>#REF!</v>
      </c>
    </row>
    <row r="3787">
      <c r="A3787" s="21">
        <f t="shared" si="1"/>
        <v>0</v>
      </c>
      <c r="B3787" s="32" t="s">
        <v>577</v>
      </c>
      <c r="C3787" s="23" t="s">
        <v>330</v>
      </c>
      <c r="D3787" s="23" t="s">
        <v>21</v>
      </c>
      <c r="E3787" s="24">
        <v>45452.0</v>
      </c>
      <c r="F3787" s="25">
        <v>0.2534722222222222</v>
      </c>
      <c r="G3787" s="25">
        <v>0.45208333333333334</v>
      </c>
      <c r="H3787" s="27">
        <f t="shared" si="2"/>
        <v>0.1986111111</v>
      </c>
      <c r="I3787" s="28">
        <v>1.0</v>
      </c>
      <c r="J3787" s="29" t="s">
        <v>1687</v>
      </c>
      <c r="K3787" s="30" t="s">
        <v>23</v>
      </c>
      <c r="L3787" s="31" t="str">
        <f>IFERROR(__xludf.DUMMYFUNCTION("IF(OR(E3787="""",K3787=""""),"""",IFERROR(IF(K3787="""","""",query('tbl user'!$A$2:$D10975,""SELECT A WHERE D = '""&amp;K3787&amp;""'"")),""USER TIDAK DIKETAHUI""))"),"#REF!")</f>
        <v>#REF!</v>
      </c>
    </row>
    <row r="3788">
      <c r="A3788" s="21">
        <f t="shared" si="1"/>
        <v>0</v>
      </c>
      <c r="B3788" s="32" t="s">
        <v>98</v>
      </c>
      <c r="C3788" s="23" t="s">
        <v>99</v>
      </c>
      <c r="D3788" s="23" t="s">
        <v>21</v>
      </c>
      <c r="E3788" s="24">
        <v>45452.0</v>
      </c>
      <c r="F3788" s="25">
        <v>0.28194444444444444</v>
      </c>
      <c r="G3788" s="25">
        <v>0.5583333333333333</v>
      </c>
      <c r="H3788" s="27">
        <f t="shared" si="2"/>
        <v>0.2763888889</v>
      </c>
      <c r="I3788" s="28">
        <v>2.0</v>
      </c>
      <c r="J3788" s="29" t="s">
        <v>1688</v>
      </c>
      <c r="K3788" s="30" t="s">
        <v>23</v>
      </c>
      <c r="L3788" s="31" t="str">
        <f>IFERROR(__xludf.DUMMYFUNCTION("IF(OR(E3788="""",K3788=""""),"""",IFERROR(IF(K3788="""","""",query('tbl user'!$A$2:$D10975,""SELECT A WHERE D = '""&amp;K3788&amp;""'"")),""USER TIDAK DIKETAHUI""))"),"#REF!")</f>
        <v>#REF!</v>
      </c>
    </row>
    <row r="3789">
      <c r="A3789" s="21">
        <f t="shared" si="1"/>
        <v>0</v>
      </c>
      <c r="B3789" s="32" t="s">
        <v>81</v>
      </c>
      <c r="C3789" s="23" t="s">
        <v>62</v>
      </c>
      <c r="D3789" s="23" t="s">
        <v>21</v>
      </c>
      <c r="E3789" s="24">
        <v>45452.0</v>
      </c>
      <c r="F3789" s="25">
        <v>0.2375</v>
      </c>
      <c r="G3789" s="25">
        <v>0.5375</v>
      </c>
      <c r="H3789" s="27">
        <f t="shared" si="2"/>
        <v>0.3</v>
      </c>
      <c r="I3789" s="28">
        <v>2.0</v>
      </c>
      <c r="J3789" s="29" t="s">
        <v>1689</v>
      </c>
      <c r="K3789" s="30" t="s">
        <v>23</v>
      </c>
      <c r="L3789" s="31" t="str">
        <f>IFERROR(__xludf.DUMMYFUNCTION("IF(OR(E3789="""",K3789=""""),"""",IFERROR(IF(K3789="""","""",query('tbl user'!$A$2:$D10975,""SELECT A WHERE D = '""&amp;K3789&amp;""'"")),""USER TIDAK DIKETAHUI""))"),"#REF!")</f>
        <v>#REF!</v>
      </c>
    </row>
    <row r="3790">
      <c r="A3790" s="21">
        <f t="shared" si="1"/>
        <v>0</v>
      </c>
      <c r="B3790" s="32" t="s">
        <v>243</v>
      </c>
      <c r="C3790" s="23" t="s">
        <v>244</v>
      </c>
      <c r="D3790" s="23" t="s">
        <v>21</v>
      </c>
      <c r="E3790" s="24">
        <v>45452.0</v>
      </c>
      <c r="F3790" s="25">
        <v>0.3125</v>
      </c>
      <c r="G3790" s="25">
        <v>0.6527777777777778</v>
      </c>
      <c r="H3790" s="27">
        <f t="shared" si="2"/>
        <v>0.3402777778</v>
      </c>
      <c r="I3790" s="28">
        <v>2.0</v>
      </c>
      <c r="J3790" s="29" t="s">
        <v>1690</v>
      </c>
      <c r="K3790" s="30" t="s">
        <v>23</v>
      </c>
      <c r="L3790" s="31" t="str">
        <f>IFERROR(__xludf.DUMMYFUNCTION("IF(OR(E3790="""",K3790=""""),"""",IFERROR(IF(K3790="""","""",query('tbl user'!$A$2:$D10975,""SELECT A WHERE D = '""&amp;K3790&amp;""'"")),""USER TIDAK DIKETAHUI""))"),"#REF!")</f>
        <v>#REF!</v>
      </c>
    </row>
    <row r="3791">
      <c r="A3791" s="21">
        <f t="shared" si="1"/>
        <v>0</v>
      </c>
      <c r="B3791" s="32" t="s">
        <v>284</v>
      </c>
      <c r="C3791" s="23" t="s">
        <v>285</v>
      </c>
      <c r="D3791" s="23" t="s">
        <v>21</v>
      </c>
      <c r="E3791" s="24">
        <v>45452.0</v>
      </c>
      <c r="F3791" s="25">
        <v>0.24722222222222223</v>
      </c>
      <c r="G3791" s="25">
        <v>0.5659722222222222</v>
      </c>
      <c r="H3791" s="27">
        <f t="shared" si="2"/>
        <v>0.31875</v>
      </c>
      <c r="I3791" s="28">
        <v>2.0</v>
      </c>
      <c r="J3791" s="29" t="s">
        <v>1691</v>
      </c>
      <c r="K3791" s="30" t="s">
        <v>23</v>
      </c>
      <c r="L3791" s="31" t="str">
        <f>IFERROR(__xludf.DUMMYFUNCTION("IF(OR(E3791="""",K3791=""""),"""",IFERROR(IF(K3791="""","""",query('tbl user'!$A$2:$D10975,""SELECT A WHERE D = '""&amp;K3791&amp;""'"")),""USER TIDAK DIKETAHUI""))"),"#REF!")</f>
        <v>#REF!</v>
      </c>
    </row>
    <row r="3792">
      <c r="A3792" s="21">
        <f t="shared" si="1"/>
        <v>0</v>
      </c>
      <c r="B3792" s="32" t="s">
        <v>305</v>
      </c>
      <c r="C3792" s="23" t="s">
        <v>251</v>
      </c>
      <c r="D3792" s="23" t="s">
        <v>21</v>
      </c>
      <c r="E3792" s="24">
        <v>45452.0</v>
      </c>
      <c r="F3792" s="25">
        <v>0.2152777777777778</v>
      </c>
      <c r="G3792" s="25">
        <v>0.5118055555555555</v>
      </c>
      <c r="H3792" s="27">
        <f t="shared" si="2"/>
        <v>0.2965277778</v>
      </c>
      <c r="I3792" s="28">
        <v>2.0</v>
      </c>
      <c r="J3792" s="29" t="s">
        <v>1692</v>
      </c>
      <c r="K3792" s="30" t="s">
        <v>23</v>
      </c>
      <c r="L3792" s="31" t="str">
        <f>IFERROR(__xludf.DUMMYFUNCTION("IF(OR(E3792="""",K3792=""""),"""",IFERROR(IF(K3792="""","""",query('tbl user'!$A$2:$D10975,""SELECT A WHERE D = '""&amp;K3792&amp;""'"")),""USER TIDAK DIKETAHUI""))"),"#REF!")</f>
        <v>#REF!</v>
      </c>
    </row>
    <row r="3793">
      <c r="A3793" s="21">
        <f t="shared" si="1"/>
        <v>0</v>
      </c>
      <c r="B3793" s="32" t="s">
        <v>43</v>
      </c>
      <c r="C3793" s="23" t="s">
        <v>44</v>
      </c>
      <c r="D3793" s="23" t="s">
        <v>21</v>
      </c>
      <c r="E3793" s="24">
        <v>45452.0</v>
      </c>
      <c r="F3793" s="25">
        <v>0.2923611111111111</v>
      </c>
      <c r="G3793" s="25">
        <v>0.6333333333333333</v>
      </c>
      <c r="H3793" s="27">
        <f t="shared" si="2"/>
        <v>0.3409722222</v>
      </c>
      <c r="I3793" s="28">
        <v>2.0</v>
      </c>
      <c r="J3793" s="29" t="s">
        <v>1693</v>
      </c>
      <c r="K3793" s="30" t="s">
        <v>23</v>
      </c>
      <c r="L3793" s="31" t="str">
        <f>IFERROR(__xludf.DUMMYFUNCTION("IF(OR(E3793="""",K3793=""""),"""",IFERROR(IF(K3793="""","""",query('tbl user'!$A$2:$D10975,""SELECT A WHERE D = '""&amp;K3793&amp;""'"")),""USER TIDAK DIKETAHUI""))"),"#REF!")</f>
        <v>#REF!</v>
      </c>
    </row>
    <row r="3794">
      <c r="A3794" s="21">
        <f t="shared" si="1"/>
        <v>0</v>
      </c>
      <c r="B3794" s="32" t="s">
        <v>286</v>
      </c>
      <c r="C3794" s="23" t="s">
        <v>287</v>
      </c>
      <c r="D3794" s="23" t="s">
        <v>21</v>
      </c>
      <c r="E3794" s="24">
        <v>45452.0</v>
      </c>
      <c r="F3794" s="25">
        <v>0.2847222222222222</v>
      </c>
      <c r="G3794" s="25">
        <v>0.5888888888888889</v>
      </c>
      <c r="H3794" s="27">
        <f t="shared" si="2"/>
        <v>0.3041666667</v>
      </c>
      <c r="I3794" s="28">
        <v>2.0</v>
      </c>
      <c r="J3794" s="29" t="s">
        <v>1694</v>
      </c>
      <c r="K3794" s="30" t="s">
        <v>23</v>
      </c>
      <c r="L3794" s="31" t="str">
        <f>IFERROR(__xludf.DUMMYFUNCTION("IF(OR(E3794="""",K3794=""""),"""",IFERROR(IF(K3794="""","""",query('tbl user'!$A$2:$D10975,""SELECT A WHERE D = '""&amp;K3794&amp;""'"")),""USER TIDAK DIKETAHUI""))"),"#REF!")</f>
        <v>#REF!</v>
      </c>
    </row>
    <row r="3795">
      <c r="A3795" s="21">
        <f t="shared" si="1"/>
        <v>0</v>
      </c>
      <c r="B3795" s="32" t="s">
        <v>258</v>
      </c>
      <c r="C3795" s="23" t="s">
        <v>259</v>
      </c>
      <c r="D3795" s="23" t="s">
        <v>21</v>
      </c>
      <c r="E3795" s="24">
        <v>45452.0</v>
      </c>
      <c r="F3795" s="25">
        <v>0.2548611111111111</v>
      </c>
      <c r="G3795" s="25">
        <v>0.7013888888888888</v>
      </c>
      <c r="H3795" s="27">
        <f t="shared" si="2"/>
        <v>0.4465277778</v>
      </c>
      <c r="I3795" s="28">
        <v>2.0</v>
      </c>
      <c r="J3795" s="29" t="s">
        <v>1695</v>
      </c>
      <c r="K3795" s="30" t="s">
        <v>23</v>
      </c>
      <c r="L3795" s="31" t="str">
        <f>IFERROR(__xludf.DUMMYFUNCTION("IF(OR(E3795="""",K3795=""""),"""",IFERROR(IF(K3795="""","""",query('tbl user'!$A$2:$D10975,""SELECT A WHERE D = '""&amp;K3795&amp;""'"")),""USER TIDAK DIKETAHUI""))"),"#REF!")</f>
        <v>#REF!</v>
      </c>
    </row>
    <row r="3796">
      <c r="A3796" s="21">
        <f t="shared" si="1"/>
        <v>0</v>
      </c>
      <c r="B3796" s="32" t="s">
        <v>34</v>
      </c>
      <c r="C3796" s="23" t="s">
        <v>35</v>
      </c>
      <c r="D3796" s="23" t="s">
        <v>21</v>
      </c>
      <c r="E3796" s="24">
        <v>45452.0</v>
      </c>
      <c r="F3796" s="25">
        <v>0.2972222222222222</v>
      </c>
      <c r="G3796" s="25">
        <v>0.6854166666666667</v>
      </c>
      <c r="H3796" s="27">
        <f t="shared" si="2"/>
        <v>0.3881944444</v>
      </c>
      <c r="I3796" s="28">
        <v>3.0</v>
      </c>
      <c r="J3796" s="29" t="s">
        <v>1696</v>
      </c>
      <c r="K3796" s="30" t="s">
        <v>23</v>
      </c>
      <c r="L3796" s="31" t="str">
        <f>IFERROR(__xludf.DUMMYFUNCTION("IF(OR(E3796="""",K3796=""""),"""",IFERROR(IF(K3796="""","""",query('tbl user'!$A$2:$D10975,""SELECT A WHERE D = '""&amp;K3796&amp;""'"")),""USER TIDAK DIKETAHUI""))"),"#REF!")</f>
        <v>#REF!</v>
      </c>
    </row>
    <row r="3797">
      <c r="A3797" s="21">
        <f t="shared" si="1"/>
        <v>0</v>
      </c>
      <c r="B3797" s="32" t="s">
        <v>289</v>
      </c>
      <c r="C3797" s="23" t="s">
        <v>290</v>
      </c>
      <c r="D3797" s="23" t="s">
        <v>21</v>
      </c>
      <c r="E3797" s="24">
        <v>45452.0</v>
      </c>
      <c r="F3797" s="25">
        <v>0.2826388888888889</v>
      </c>
      <c r="G3797" s="25">
        <v>0.7152777777777778</v>
      </c>
      <c r="H3797" s="27">
        <f t="shared" si="2"/>
        <v>0.4326388889</v>
      </c>
      <c r="I3797" s="28">
        <v>3.0</v>
      </c>
      <c r="J3797" s="29" t="s">
        <v>1697</v>
      </c>
      <c r="K3797" s="30" t="s">
        <v>23</v>
      </c>
      <c r="L3797" s="31" t="str">
        <f>IFERROR(__xludf.DUMMYFUNCTION("IF(OR(E3797="""",K3797=""""),"""",IFERROR(IF(K3797="""","""",query('tbl user'!$A$2:$D10975,""SELECT A WHERE D = '""&amp;K3797&amp;""'"")),""USER TIDAK DIKETAHUI""))"),"#REF!")</f>
        <v>#REF!</v>
      </c>
    </row>
    <row r="3798">
      <c r="A3798" s="21">
        <f t="shared" si="1"/>
        <v>0</v>
      </c>
      <c r="B3798" s="32" t="s">
        <v>333</v>
      </c>
      <c r="C3798" s="23" t="s">
        <v>334</v>
      </c>
      <c r="D3798" s="23" t="s">
        <v>21</v>
      </c>
      <c r="E3798" s="24">
        <v>45452.0</v>
      </c>
      <c r="F3798" s="25">
        <v>0.2513888888888889</v>
      </c>
      <c r="G3798" s="25">
        <v>0.6583333333333333</v>
      </c>
      <c r="H3798" s="27">
        <f t="shared" si="2"/>
        <v>0.4069444444</v>
      </c>
      <c r="I3798" s="28">
        <v>3.0</v>
      </c>
      <c r="J3798" s="29" t="s">
        <v>171</v>
      </c>
      <c r="K3798" s="30" t="s">
        <v>23</v>
      </c>
      <c r="L3798" s="31" t="str">
        <f>IFERROR(__xludf.DUMMYFUNCTION("IF(OR(E3798="""",K3798=""""),"""",IFERROR(IF(K3798="""","""",query('tbl user'!$A$2:$D10975,""SELECT A WHERE D = '""&amp;K3798&amp;""'"")),""USER TIDAK DIKETAHUI""))"),"#REF!")</f>
        <v>#REF!</v>
      </c>
    </row>
    <row r="3799">
      <c r="A3799" s="21">
        <f t="shared" si="1"/>
        <v>0</v>
      </c>
      <c r="B3799" s="32" t="s">
        <v>87</v>
      </c>
      <c r="C3799" s="23" t="s">
        <v>88</v>
      </c>
      <c r="D3799" s="23" t="s">
        <v>21</v>
      </c>
      <c r="E3799" s="24">
        <v>45452.0</v>
      </c>
      <c r="F3799" s="25">
        <v>0.2847222222222222</v>
      </c>
      <c r="G3799" s="25">
        <v>0.6729166666666667</v>
      </c>
      <c r="H3799" s="27">
        <f t="shared" si="2"/>
        <v>0.3881944444</v>
      </c>
      <c r="I3799" s="28">
        <v>3.0</v>
      </c>
      <c r="J3799" s="29" t="s">
        <v>171</v>
      </c>
      <c r="K3799" s="30" t="s">
        <v>23</v>
      </c>
      <c r="L3799" s="31" t="str">
        <f>IFERROR(__xludf.DUMMYFUNCTION("IF(OR(E3799="""",K3799=""""),"""",IFERROR(IF(K3799="""","""",query('tbl user'!$A$2:$D10975,""SELECT A WHERE D = '""&amp;K3799&amp;""'"")),""USER TIDAK DIKETAHUI""))"),"#REF!")</f>
        <v>#REF!</v>
      </c>
    </row>
    <row r="3800">
      <c r="A3800" s="21">
        <f t="shared" si="1"/>
        <v>0</v>
      </c>
      <c r="B3800" s="32" t="s">
        <v>319</v>
      </c>
      <c r="C3800" s="23" t="s">
        <v>320</v>
      </c>
      <c r="D3800" s="23" t="s">
        <v>21</v>
      </c>
      <c r="E3800" s="24">
        <v>45452.0</v>
      </c>
      <c r="F3800" s="25">
        <v>0.2722222222222222</v>
      </c>
      <c r="G3800" s="25">
        <v>0.6694444444444444</v>
      </c>
      <c r="H3800" s="27">
        <f t="shared" si="2"/>
        <v>0.3972222222</v>
      </c>
      <c r="I3800" s="28">
        <v>3.0</v>
      </c>
      <c r="J3800" s="29" t="s">
        <v>171</v>
      </c>
      <c r="K3800" s="30" t="s">
        <v>23</v>
      </c>
      <c r="L3800" s="31" t="str">
        <f>IFERROR(__xludf.DUMMYFUNCTION("IF(OR(E3800="""",K3800=""""),"""",IFERROR(IF(K3800="""","""",query('tbl user'!$A$2:$D10975,""SELECT A WHERE D = '""&amp;K3800&amp;""'"")),""USER TIDAK DIKETAHUI""))"),"#REF!")</f>
        <v>#REF!</v>
      </c>
    </row>
    <row r="3801">
      <c r="A3801" s="21">
        <f t="shared" si="1"/>
        <v>0</v>
      </c>
      <c r="B3801" s="32" t="s">
        <v>325</v>
      </c>
      <c r="C3801" s="23" t="s">
        <v>326</v>
      </c>
      <c r="D3801" s="23" t="s">
        <v>21</v>
      </c>
      <c r="E3801" s="24">
        <v>45452.0</v>
      </c>
      <c r="F3801" s="25">
        <v>0.2111111111111111</v>
      </c>
      <c r="G3801" s="25">
        <v>0.6222222222222222</v>
      </c>
      <c r="H3801" s="27">
        <f t="shared" si="2"/>
        <v>0.4111111111</v>
      </c>
      <c r="I3801" s="28">
        <v>3.0</v>
      </c>
      <c r="J3801" s="29" t="s">
        <v>1698</v>
      </c>
      <c r="K3801" s="30" t="s">
        <v>23</v>
      </c>
      <c r="L3801" s="31" t="str">
        <f>IFERROR(__xludf.DUMMYFUNCTION("IF(OR(E3801="""",K3801=""""),"""",IFERROR(IF(K3801="""","""",query('tbl user'!$A$2:$D10975,""SELECT A WHERE D = '""&amp;K3801&amp;""'"")),""USER TIDAK DIKETAHUI""))"),"#REF!")</f>
        <v>#REF!</v>
      </c>
    </row>
    <row r="3802">
      <c r="A3802" s="21">
        <f t="shared" si="1"/>
        <v>0</v>
      </c>
      <c r="B3802" s="32" t="s">
        <v>337</v>
      </c>
      <c r="C3802" s="23" t="s">
        <v>338</v>
      </c>
      <c r="D3802" s="23" t="s">
        <v>21</v>
      </c>
      <c r="E3802" s="24">
        <v>45452.0</v>
      </c>
      <c r="F3802" s="25">
        <v>0.26666666666666666</v>
      </c>
      <c r="G3802" s="25">
        <v>0.6458333333333334</v>
      </c>
      <c r="H3802" s="27">
        <f t="shared" si="2"/>
        <v>0.3791666667</v>
      </c>
      <c r="I3802" s="28">
        <v>3.0</v>
      </c>
      <c r="J3802" s="29" t="s">
        <v>1699</v>
      </c>
      <c r="K3802" s="30" t="s">
        <v>23</v>
      </c>
      <c r="L3802" s="31" t="str">
        <f>IFERROR(__xludf.DUMMYFUNCTION("IF(OR(E3802="""",K3802=""""),"""",IFERROR(IF(K3802="""","""",query('tbl user'!$A$2:$D10975,""SELECT A WHERE D = '""&amp;K3802&amp;""'"")),""USER TIDAK DIKETAHUI""))"),"#REF!")</f>
        <v>#REF!</v>
      </c>
    </row>
    <row r="3803">
      <c r="A3803" s="21" t="str">
        <f t="shared" si="1"/>
        <v/>
      </c>
      <c r="B3803" s="35"/>
      <c r="C3803" s="23" t="s">
        <v>136</v>
      </c>
      <c r="D3803" s="23" t="s">
        <v>32</v>
      </c>
      <c r="E3803" s="24">
        <v>45452.0</v>
      </c>
      <c r="F3803" s="25">
        <v>0.34791666666666665</v>
      </c>
      <c r="G3803" s="25">
        <v>0.3680555555555556</v>
      </c>
      <c r="H3803" s="27">
        <f t="shared" si="2"/>
        <v>0.02013888889</v>
      </c>
      <c r="I3803" s="28">
        <v>0.0</v>
      </c>
      <c r="J3803" s="29" t="s">
        <v>1700</v>
      </c>
      <c r="K3803" s="30" t="s">
        <v>23</v>
      </c>
      <c r="L3803" s="31" t="str">
        <f>IFERROR(__xludf.DUMMYFUNCTION("IF(OR(E3803="""",K3803=""""),"""",IFERROR(IF(K3803="""","""",query('tbl user'!$A$2:$D10975,""SELECT A WHERE D = '""&amp;K3803&amp;""'"")),""USER TIDAK DIKETAHUI""))"),"#REF!")</f>
        <v>#REF!</v>
      </c>
    </row>
    <row r="3804">
      <c r="A3804" s="21">
        <f t="shared" si="1"/>
        <v>0</v>
      </c>
      <c r="B3804" s="32" t="s">
        <v>269</v>
      </c>
      <c r="C3804" s="23" t="s">
        <v>270</v>
      </c>
      <c r="D3804" s="23" t="s">
        <v>32</v>
      </c>
      <c r="E3804" s="24">
        <v>45452.0</v>
      </c>
      <c r="F3804" s="25">
        <v>0.2847222222222222</v>
      </c>
      <c r="G3804" s="25">
        <v>0.4513888888888889</v>
      </c>
      <c r="H3804" s="27">
        <f t="shared" si="2"/>
        <v>0.1666666667</v>
      </c>
      <c r="I3804" s="28">
        <v>1.0</v>
      </c>
      <c r="J3804" s="29" t="s">
        <v>1701</v>
      </c>
      <c r="K3804" s="30" t="s">
        <v>23</v>
      </c>
      <c r="L3804" s="31" t="str">
        <f>IFERROR(__xludf.DUMMYFUNCTION("IF(OR(E3804="""",K3804=""""),"""",IFERROR(IF(K3804="""","""",query('tbl user'!$A$2:$D10975,""SELECT A WHERE D = '""&amp;K3804&amp;""'"")),""USER TIDAK DIKETAHUI""))"),"#REF!")</f>
        <v>#REF!</v>
      </c>
    </row>
    <row r="3805">
      <c r="A3805" s="21">
        <f t="shared" si="1"/>
        <v>0</v>
      </c>
      <c r="B3805" s="32" t="s">
        <v>312</v>
      </c>
      <c r="C3805" s="23" t="s">
        <v>313</v>
      </c>
      <c r="D3805" s="23" t="s">
        <v>32</v>
      </c>
      <c r="E3805" s="24">
        <v>45452.0</v>
      </c>
      <c r="F3805" s="25">
        <v>0.29375</v>
      </c>
      <c r="G3805" s="25">
        <v>0.46875</v>
      </c>
      <c r="H3805" s="27">
        <f t="shared" si="2"/>
        <v>0.175</v>
      </c>
      <c r="I3805" s="28">
        <v>1.0</v>
      </c>
      <c r="J3805" s="29" t="s">
        <v>1702</v>
      </c>
      <c r="K3805" s="30" t="s">
        <v>23</v>
      </c>
      <c r="L3805" s="31" t="str">
        <f>IFERROR(__xludf.DUMMYFUNCTION("IF(OR(E3805="""",K3805=""""),"""",IFERROR(IF(K3805="""","""",query('tbl user'!$A$2:$D10975,""SELECT A WHERE D = '""&amp;K3805&amp;""'"")),""USER TIDAK DIKETAHUI""))"),"#REF!")</f>
        <v>#REF!</v>
      </c>
    </row>
    <row r="3806">
      <c r="A3806" s="21">
        <f t="shared" si="1"/>
        <v>0</v>
      </c>
      <c r="B3806" s="32" t="s">
        <v>141</v>
      </c>
      <c r="C3806" s="23" t="s">
        <v>142</v>
      </c>
      <c r="D3806" s="23" t="s">
        <v>32</v>
      </c>
      <c r="E3806" s="24">
        <v>45452.0</v>
      </c>
      <c r="F3806" s="25">
        <v>0.28958333333333336</v>
      </c>
      <c r="G3806" s="25">
        <v>0.5722222222222222</v>
      </c>
      <c r="H3806" s="27">
        <f t="shared" si="2"/>
        <v>0.2826388889</v>
      </c>
      <c r="I3806" s="28">
        <v>1.0</v>
      </c>
      <c r="J3806" s="29" t="s">
        <v>1703</v>
      </c>
      <c r="K3806" s="30" t="s">
        <v>23</v>
      </c>
      <c r="L3806" s="31" t="str">
        <f>IFERROR(__xludf.DUMMYFUNCTION("IF(OR(E3806="""",K3806=""""),"""",IFERROR(IF(K3806="""","""",query('tbl user'!$A$2:$D10975,""SELECT A WHERE D = '""&amp;K3806&amp;""'"")),""USER TIDAK DIKETAHUI""))"),"#REF!")</f>
        <v>#REF!</v>
      </c>
    </row>
    <row r="3807">
      <c r="A3807" s="21">
        <f t="shared" si="1"/>
        <v>0</v>
      </c>
      <c r="B3807" s="32" t="s">
        <v>149</v>
      </c>
      <c r="C3807" s="23" t="s">
        <v>150</v>
      </c>
      <c r="D3807" s="23" t="s">
        <v>32</v>
      </c>
      <c r="E3807" s="24">
        <v>45452.0</v>
      </c>
      <c r="F3807" s="25">
        <v>0.24791666666666667</v>
      </c>
      <c r="G3807" s="25">
        <v>0.5513888888888889</v>
      </c>
      <c r="H3807" s="27">
        <f t="shared" si="2"/>
        <v>0.3034722222</v>
      </c>
      <c r="I3807" s="28">
        <v>1.0</v>
      </c>
      <c r="J3807" s="29" t="s">
        <v>1704</v>
      </c>
      <c r="K3807" s="30" t="s">
        <v>23</v>
      </c>
      <c r="L3807" s="31" t="str">
        <f>IFERROR(__xludf.DUMMYFUNCTION("IF(OR(E3807="""",K3807=""""),"""",IFERROR(IF(K3807="""","""",query('tbl user'!$A$2:$D10975,""SELECT A WHERE D = '""&amp;K3807&amp;""'"")),""USER TIDAK DIKETAHUI""))"),"#REF!")</f>
        <v>#REF!</v>
      </c>
    </row>
    <row r="3808">
      <c r="A3808" s="21">
        <f t="shared" si="1"/>
        <v>0</v>
      </c>
      <c r="B3808" s="32" t="s">
        <v>75</v>
      </c>
      <c r="C3808" s="23" t="s">
        <v>76</v>
      </c>
      <c r="D3808" s="23" t="s">
        <v>32</v>
      </c>
      <c r="E3808" s="24">
        <v>45452.0</v>
      </c>
      <c r="F3808" s="25">
        <v>0.28055555555555556</v>
      </c>
      <c r="G3808" s="25">
        <v>0.4722222222222222</v>
      </c>
      <c r="H3808" s="27">
        <f t="shared" si="2"/>
        <v>0.1916666667</v>
      </c>
      <c r="I3808" s="28">
        <v>2.0</v>
      </c>
      <c r="J3808" s="29" t="s">
        <v>1705</v>
      </c>
      <c r="K3808" s="30" t="s">
        <v>23</v>
      </c>
      <c r="L3808" s="31" t="str">
        <f>IFERROR(__xludf.DUMMYFUNCTION("IF(OR(E3808="""",K3808=""""),"""",IFERROR(IF(K3808="""","""",query('tbl user'!$A$2:$D10975,""SELECT A WHERE D = '""&amp;K3808&amp;""'"")),""USER TIDAK DIKETAHUI""))"),"#REF!")</f>
        <v>#REF!</v>
      </c>
    </row>
    <row r="3809">
      <c r="A3809" s="21">
        <f t="shared" si="1"/>
        <v>0</v>
      </c>
      <c r="B3809" s="32" t="s">
        <v>30</v>
      </c>
      <c r="C3809" s="23" t="s">
        <v>31</v>
      </c>
      <c r="D3809" s="23" t="s">
        <v>32</v>
      </c>
      <c r="E3809" s="24">
        <v>45452.0</v>
      </c>
      <c r="F3809" s="25">
        <v>0.2326388888888889</v>
      </c>
      <c r="G3809" s="25">
        <v>0.7409722222222223</v>
      </c>
      <c r="H3809" s="27">
        <f t="shared" si="2"/>
        <v>0.5083333333</v>
      </c>
      <c r="I3809" s="28">
        <v>2.0</v>
      </c>
      <c r="J3809" s="29" t="s">
        <v>1706</v>
      </c>
      <c r="K3809" s="30" t="s">
        <v>23</v>
      </c>
      <c r="L3809" s="31" t="str">
        <f>IFERROR(__xludf.DUMMYFUNCTION("IF(OR(E3809="""",K3809=""""),"""",IFERROR(IF(K3809="""","""",query('tbl user'!$A$2:$D10975,""SELECT A WHERE D = '""&amp;K3809&amp;""'"")),""USER TIDAK DIKETAHUI""))"),"#REF!")</f>
        <v>#REF!</v>
      </c>
    </row>
    <row r="3810">
      <c r="A3810" s="21">
        <f t="shared" si="1"/>
        <v>0</v>
      </c>
      <c r="B3810" s="32" t="s">
        <v>40</v>
      </c>
      <c r="C3810" s="23" t="s">
        <v>41</v>
      </c>
      <c r="D3810" s="23" t="s">
        <v>32</v>
      </c>
      <c r="E3810" s="24">
        <v>45452.0</v>
      </c>
      <c r="F3810" s="25">
        <v>0.38958333333333334</v>
      </c>
      <c r="G3810" s="25">
        <v>0.7152777777777778</v>
      </c>
      <c r="H3810" s="27">
        <f t="shared" si="2"/>
        <v>0.3256944444</v>
      </c>
      <c r="I3810" s="28">
        <v>2.0</v>
      </c>
      <c r="J3810" s="29" t="s">
        <v>1293</v>
      </c>
      <c r="K3810" s="30" t="s">
        <v>23</v>
      </c>
      <c r="L3810" s="31" t="str">
        <f>IFERROR(__xludf.DUMMYFUNCTION("IF(OR(E3810="""",K3810=""""),"""",IFERROR(IF(K3810="""","""",query('tbl user'!$A$2:$D10975,""SELECT A WHERE D = '""&amp;K3810&amp;""'"")),""USER TIDAK DIKETAHUI""))"),"#REF!")</f>
        <v>#REF!</v>
      </c>
    </row>
    <row r="3811">
      <c r="A3811" s="21">
        <f t="shared" si="1"/>
        <v>0</v>
      </c>
      <c r="B3811" s="32" t="s">
        <v>274</v>
      </c>
      <c r="C3811" s="23" t="s">
        <v>138</v>
      </c>
      <c r="D3811" s="23" t="s">
        <v>32</v>
      </c>
      <c r="E3811" s="24">
        <v>45452.0</v>
      </c>
      <c r="F3811" s="25">
        <v>0.2986111111111111</v>
      </c>
      <c r="G3811" s="25">
        <v>0.60625</v>
      </c>
      <c r="H3811" s="27">
        <f t="shared" si="2"/>
        <v>0.3076388889</v>
      </c>
      <c r="I3811" s="28">
        <v>2.0</v>
      </c>
      <c r="J3811" s="29" t="s">
        <v>1707</v>
      </c>
      <c r="K3811" s="30" t="s">
        <v>23</v>
      </c>
      <c r="L3811" s="31" t="str">
        <f>IFERROR(__xludf.DUMMYFUNCTION("IF(OR(E3811="""",K3811=""""),"""",IFERROR(IF(K3811="""","""",query('tbl user'!$A$2:$D10975,""SELECT A WHERE D = '""&amp;K3811&amp;""'"")),""USER TIDAK DIKETAHUI""))"),"#REF!")</f>
        <v>#REF!</v>
      </c>
    </row>
    <row r="3812">
      <c r="A3812" s="21">
        <f t="shared" si="1"/>
        <v>0</v>
      </c>
      <c r="B3812" s="32" t="s">
        <v>279</v>
      </c>
      <c r="C3812" s="23" t="s">
        <v>280</v>
      </c>
      <c r="D3812" s="23" t="s">
        <v>32</v>
      </c>
      <c r="E3812" s="24">
        <v>45452.0</v>
      </c>
      <c r="F3812" s="25">
        <v>0.23680555555555555</v>
      </c>
      <c r="G3812" s="25">
        <v>0.5388888888888889</v>
      </c>
      <c r="H3812" s="27">
        <f t="shared" si="2"/>
        <v>0.3020833333</v>
      </c>
      <c r="I3812" s="28">
        <v>2.0</v>
      </c>
      <c r="J3812" s="29" t="s">
        <v>245</v>
      </c>
      <c r="K3812" s="30" t="s">
        <v>23</v>
      </c>
      <c r="L3812" s="31" t="str">
        <f>IFERROR(__xludf.DUMMYFUNCTION("IF(OR(E3812="""",K3812=""""),"""",IFERROR(IF(K3812="""","""",query('tbl user'!$A$2:$D10975,""SELECT A WHERE D = '""&amp;K3812&amp;""'"")),""USER TIDAK DIKETAHUI""))"),"#REF!")</f>
        <v>#REF!</v>
      </c>
    </row>
    <row r="3813">
      <c r="A3813" s="21">
        <f t="shared" si="1"/>
        <v>0</v>
      </c>
      <c r="B3813" s="32" t="s">
        <v>78</v>
      </c>
      <c r="C3813" s="23" t="s">
        <v>79</v>
      </c>
      <c r="D3813" s="23" t="s">
        <v>32</v>
      </c>
      <c r="E3813" s="24">
        <v>45452.0</v>
      </c>
      <c r="F3813" s="25">
        <v>0.22013888888888888</v>
      </c>
      <c r="G3813" s="25">
        <v>0.7291666666666666</v>
      </c>
      <c r="H3813" s="27">
        <f t="shared" si="2"/>
        <v>0.5090277778</v>
      </c>
      <c r="I3813" s="28">
        <v>2.0</v>
      </c>
      <c r="J3813" s="29" t="s">
        <v>1708</v>
      </c>
      <c r="K3813" s="30" t="s">
        <v>23</v>
      </c>
      <c r="L3813" s="31" t="str">
        <f>IFERROR(__xludf.DUMMYFUNCTION("IF(OR(E3813="""",K3813=""""),"""",IFERROR(IF(K3813="""","""",query('tbl user'!$A$2:$D10975,""SELECT A WHERE D = '""&amp;K3813&amp;""'"")),""USER TIDAK DIKETAHUI""))"),"#REF!")</f>
        <v>#REF!</v>
      </c>
    </row>
    <row r="3814">
      <c r="A3814" s="21">
        <f t="shared" si="1"/>
        <v>0</v>
      </c>
      <c r="B3814" s="32" t="s">
        <v>127</v>
      </c>
      <c r="C3814" s="23" t="s">
        <v>128</v>
      </c>
      <c r="D3814" s="23" t="s">
        <v>32</v>
      </c>
      <c r="E3814" s="24">
        <v>45452.0</v>
      </c>
      <c r="F3814" s="25">
        <v>0.2951388888888889</v>
      </c>
      <c r="G3814" s="25">
        <v>0.6333333333333333</v>
      </c>
      <c r="H3814" s="27">
        <f t="shared" si="2"/>
        <v>0.3381944444</v>
      </c>
      <c r="I3814" s="28">
        <v>3.0</v>
      </c>
      <c r="J3814" s="29" t="s">
        <v>1709</v>
      </c>
      <c r="K3814" s="30" t="s">
        <v>23</v>
      </c>
      <c r="L3814" s="31" t="str">
        <f>IFERROR(__xludf.DUMMYFUNCTION("IF(OR(E3814="""",K3814=""""),"""",IFERROR(IF(K3814="""","""",query('tbl user'!$A$2:$D10975,""SELECT A WHERE D = '""&amp;K3814&amp;""'"")),""USER TIDAK DIKETAHUI""))"),"#REF!")</f>
        <v>#REF!</v>
      </c>
    </row>
    <row r="3815">
      <c r="A3815" s="21">
        <f t="shared" si="1"/>
        <v>0</v>
      </c>
      <c r="B3815" s="32" t="s">
        <v>72</v>
      </c>
      <c r="C3815" s="23" t="s">
        <v>73</v>
      </c>
      <c r="D3815" s="23" t="s">
        <v>32</v>
      </c>
      <c r="E3815" s="24">
        <v>45452.0</v>
      </c>
      <c r="F3815" s="25">
        <v>0.27361111111111114</v>
      </c>
      <c r="G3815" s="25">
        <v>0.6909722222222222</v>
      </c>
      <c r="H3815" s="27">
        <f t="shared" si="2"/>
        <v>0.4173611111</v>
      </c>
      <c r="I3815" s="28">
        <v>3.0</v>
      </c>
      <c r="J3815" s="29" t="s">
        <v>245</v>
      </c>
      <c r="K3815" s="30" t="s">
        <v>23</v>
      </c>
      <c r="L3815" s="31" t="str">
        <f>IFERROR(__xludf.DUMMYFUNCTION("IF(OR(E3815="""",K3815=""""),"""",IFERROR(IF(K3815="""","""",query('tbl user'!$A$2:$D10975,""SELECT A WHERE D = '""&amp;K3815&amp;""'"")),""USER TIDAK DIKETAHUI""))"),"#REF!")</f>
        <v>#REF!</v>
      </c>
    </row>
    <row r="3816">
      <c r="A3816" s="21">
        <f t="shared" si="1"/>
        <v>0</v>
      </c>
      <c r="B3816" s="32" t="s">
        <v>146</v>
      </c>
      <c r="C3816" s="23" t="s">
        <v>147</v>
      </c>
      <c r="D3816" s="23" t="s">
        <v>32</v>
      </c>
      <c r="E3816" s="24">
        <v>45452.0</v>
      </c>
      <c r="F3816" s="25">
        <v>0.28541666666666665</v>
      </c>
      <c r="G3816" s="25">
        <v>0.7270833333333333</v>
      </c>
      <c r="H3816" s="27">
        <f t="shared" si="2"/>
        <v>0.4416666667</v>
      </c>
      <c r="I3816" s="28">
        <v>3.0</v>
      </c>
      <c r="J3816" s="29" t="s">
        <v>1710</v>
      </c>
      <c r="K3816" s="30" t="s">
        <v>23</v>
      </c>
      <c r="L3816" s="31" t="str">
        <f>IFERROR(__xludf.DUMMYFUNCTION("IF(OR(E3816="""",K3816=""""),"""",IFERROR(IF(K3816="""","""",query('tbl user'!$A$2:$D10975,""SELECT A WHERE D = '""&amp;K3816&amp;""'"")),""USER TIDAK DIKETAHUI""))"),"#REF!")</f>
        <v>#REF!</v>
      </c>
    </row>
    <row r="3817">
      <c r="A3817" s="21">
        <f t="shared" si="1"/>
        <v>0</v>
      </c>
      <c r="B3817" s="32" t="s">
        <v>151</v>
      </c>
      <c r="C3817" s="23" t="s">
        <v>152</v>
      </c>
      <c r="D3817" s="23" t="s">
        <v>32</v>
      </c>
      <c r="E3817" s="24">
        <v>45452.0</v>
      </c>
      <c r="F3817" s="25">
        <v>0.2763888888888889</v>
      </c>
      <c r="G3817" s="25">
        <v>0.6215277777777778</v>
      </c>
      <c r="H3817" s="27">
        <f t="shared" si="2"/>
        <v>0.3451388889</v>
      </c>
      <c r="I3817" s="28">
        <v>3.0</v>
      </c>
      <c r="J3817" s="29" t="s">
        <v>171</v>
      </c>
      <c r="K3817" s="30" t="s">
        <v>23</v>
      </c>
      <c r="L3817" s="31" t="str">
        <f>IFERROR(__xludf.DUMMYFUNCTION("IF(OR(E3817="""",K3817=""""),"""",IFERROR(IF(K3817="""","""",query('tbl user'!$A$2:$D10975,""SELECT A WHERE D = '""&amp;K3817&amp;""'"")),""USER TIDAK DIKETAHUI""))"),"#REF!")</f>
        <v>#REF!</v>
      </c>
    </row>
    <row r="3818">
      <c r="A3818" s="21">
        <f t="shared" si="1"/>
        <v>0</v>
      </c>
      <c r="B3818" s="32" t="s">
        <v>118</v>
      </c>
      <c r="C3818" s="23" t="s">
        <v>119</v>
      </c>
      <c r="D3818" s="23" t="s">
        <v>32</v>
      </c>
      <c r="E3818" s="24">
        <v>45452.0</v>
      </c>
      <c r="F3818" s="25">
        <v>0.23125</v>
      </c>
      <c r="G3818" s="25">
        <v>0.6840277777777778</v>
      </c>
      <c r="H3818" s="27">
        <f t="shared" si="2"/>
        <v>0.4527777778</v>
      </c>
      <c r="I3818" s="28">
        <v>4.0</v>
      </c>
      <c r="J3818" s="29" t="s">
        <v>55</v>
      </c>
      <c r="K3818" s="30" t="s">
        <v>23</v>
      </c>
      <c r="L3818" s="31" t="str">
        <f>IFERROR(__xludf.DUMMYFUNCTION("IF(OR(E3818="""",K3818=""""),"""",IFERROR(IF(K3818="""","""",query('tbl user'!$A$2:$D10975,""SELECT A WHERE D = '""&amp;K3818&amp;""'"")),""USER TIDAK DIKETAHUI""))"),"#REF!")</f>
        <v>#REF!</v>
      </c>
    </row>
    <row r="3819">
      <c r="A3819" s="21">
        <f t="shared" si="1"/>
        <v>0</v>
      </c>
      <c r="B3819" s="32" t="s">
        <v>120</v>
      </c>
      <c r="C3819" s="23" t="s">
        <v>121</v>
      </c>
      <c r="D3819" s="23" t="s">
        <v>32</v>
      </c>
      <c r="E3819" s="24">
        <v>45452.0</v>
      </c>
      <c r="F3819" s="25">
        <v>0.27569444444444446</v>
      </c>
      <c r="G3819" s="25">
        <v>0.6701388888888888</v>
      </c>
      <c r="H3819" s="27">
        <f t="shared" si="2"/>
        <v>0.3944444444</v>
      </c>
      <c r="I3819" s="28">
        <v>4.0</v>
      </c>
      <c r="J3819" s="29" t="s">
        <v>55</v>
      </c>
      <c r="K3819" s="30" t="s">
        <v>23</v>
      </c>
      <c r="L3819" s="31" t="str">
        <f>IFERROR(__xludf.DUMMYFUNCTION("IF(OR(E3819="""",K3819=""""),"""",IFERROR(IF(K3819="""","""",query('tbl user'!$A$2:$D10975,""SELECT A WHERE D = '""&amp;K3819&amp;""'"")),""USER TIDAK DIKETAHUI""))"),"#REF!")</f>
        <v>#REF!</v>
      </c>
    </row>
    <row r="3820">
      <c r="A3820" s="21">
        <f t="shared" si="1"/>
        <v>0</v>
      </c>
      <c r="B3820" s="32" t="s">
        <v>263</v>
      </c>
      <c r="C3820" s="23" t="s">
        <v>264</v>
      </c>
      <c r="D3820" s="23" t="s">
        <v>32</v>
      </c>
      <c r="E3820" s="24">
        <v>45452.0</v>
      </c>
      <c r="F3820" s="25">
        <v>0.23402777777777778</v>
      </c>
      <c r="G3820" s="25">
        <v>0.6395833333333333</v>
      </c>
      <c r="H3820" s="27">
        <f t="shared" si="2"/>
        <v>0.4055555556</v>
      </c>
      <c r="I3820" s="28">
        <v>4.0</v>
      </c>
      <c r="J3820" s="29" t="s">
        <v>55</v>
      </c>
      <c r="K3820" s="30" t="s">
        <v>23</v>
      </c>
      <c r="L3820" s="31" t="str">
        <f>IFERROR(__xludf.DUMMYFUNCTION("IF(OR(E3820="""",K3820=""""),"""",IFERROR(IF(K3820="""","""",query('tbl user'!$A$2:$D10975,""SELECT A WHERE D = '""&amp;K3820&amp;""'"")),""USER TIDAK DIKETAHUI""))"),"#REF!")</f>
        <v>#REF!</v>
      </c>
    </row>
    <row r="3821">
      <c r="A3821" s="21">
        <f t="shared" si="1"/>
        <v>0</v>
      </c>
      <c r="B3821" s="32" t="s">
        <v>123</v>
      </c>
      <c r="C3821" s="23" t="s">
        <v>124</v>
      </c>
      <c r="D3821" s="23" t="s">
        <v>32</v>
      </c>
      <c r="E3821" s="24">
        <v>45452.0</v>
      </c>
      <c r="F3821" s="25">
        <v>0.2534722222222222</v>
      </c>
      <c r="G3821" s="25">
        <v>0.6708333333333333</v>
      </c>
      <c r="H3821" s="27">
        <f t="shared" si="2"/>
        <v>0.4173611111</v>
      </c>
      <c r="I3821" s="28">
        <v>4.0</v>
      </c>
      <c r="J3821" s="29" t="s">
        <v>55</v>
      </c>
      <c r="K3821" s="30" t="s">
        <v>23</v>
      </c>
      <c r="L3821" s="31" t="str">
        <f>IFERROR(__xludf.DUMMYFUNCTION("IF(OR(E3821="""",K3821=""""),"""",IFERROR(IF(K3821="""","""",query('tbl user'!$A$2:$D10975,""SELECT A WHERE D = '""&amp;K3821&amp;""'"")),""USER TIDAK DIKETAHUI""))"),"#REF!")</f>
        <v>#REF!</v>
      </c>
    </row>
    <row r="3822">
      <c r="A3822" s="21">
        <f t="shared" si="1"/>
        <v>0</v>
      </c>
      <c r="B3822" s="32" t="s">
        <v>125</v>
      </c>
      <c r="C3822" s="23" t="s">
        <v>126</v>
      </c>
      <c r="D3822" s="23" t="s">
        <v>32</v>
      </c>
      <c r="E3822" s="24">
        <v>45452.0</v>
      </c>
      <c r="F3822" s="25">
        <v>0.2520833333333333</v>
      </c>
      <c r="G3822" s="25">
        <v>0.7201388888888889</v>
      </c>
      <c r="H3822" s="27">
        <f t="shared" si="2"/>
        <v>0.4680555556</v>
      </c>
      <c r="I3822" s="28">
        <v>4.0</v>
      </c>
      <c r="J3822" s="29" t="s">
        <v>55</v>
      </c>
      <c r="K3822" s="30" t="s">
        <v>23</v>
      </c>
      <c r="L3822" s="31" t="str">
        <f>IFERROR(__xludf.DUMMYFUNCTION("IF(OR(E3822="""",K3822=""""),"""",IFERROR(IF(K3822="""","""",query('tbl user'!$A$2:$D10975,""SELECT A WHERE D = '""&amp;K3822&amp;""'"")),""USER TIDAK DIKETAHUI""))"),"#REF!")</f>
        <v>#REF!</v>
      </c>
    </row>
    <row r="3823">
      <c r="A3823" s="21">
        <f t="shared" si="1"/>
        <v>0</v>
      </c>
      <c r="B3823" s="32" t="s">
        <v>131</v>
      </c>
      <c r="C3823" s="23" t="s">
        <v>132</v>
      </c>
      <c r="D3823" s="23" t="s">
        <v>32</v>
      </c>
      <c r="E3823" s="24">
        <v>45452.0</v>
      </c>
      <c r="F3823" s="25">
        <v>0.24791666666666667</v>
      </c>
      <c r="G3823" s="25">
        <v>0.64375</v>
      </c>
      <c r="H3823" s="27">
        <f t="shared" si="2"/>
        <v>0.3958333333</v>
      </c>
      <c r="I3823" s="28">
        <v>4.0</v>
      </c>
      <c r="J3823" s="29" t="s">
        <v>55</v>
      </c>
      <c r="K3823" s="30" t="s">
        <v>23</v>
      </c>
      <c r="L3823" s="31" t="str">
        <f>IFERROR(__xludf.DUMMYFUNCTION("IF(OR(E3823="""",K3823=""""),"""",IFERROR(IF(K3823="""","""",query('tbl user'!$A$2:$D10975,""SELECT A WHERE D = '""&amp;K3823&amp;""'"")),""USER TIDAK DIKETAHUI""))"),"#REF!")</f>
        <v>#REF!</v>
      </c>
    </row>
    <row r="3824">
      <c r="A3824" s="21">
        <f t="shared" si="1"/>
        <v>0</v>
      </c>
      <c r="B3824" s="32" t="s">
        <v>139</v>
      </c>
      <c r="C3824" s="23" t="s">
        <v>96</v>
      </c>
      <c r="D3824" s="23" t="s">
        <v>32</v>
      </c>
      <c r="E3824" s="24">
        <v>45452.0</v>
      </c>
      <c r="F3824" s="25">
        <v>0.24513888888888888</v>
      </c>
      <c r="G3824" s="25">
        <v>0.7131944444444445</v>
      </c>
      <c r="H3824" s="27">
        <f t="shared" si="2"/>
        <v>0.4680555556</v>
      </c>
      <c r="I3824" s="28">
        <v>4.0</v>
      </c>
      <c r="J3824" s="29" t="s">
        <v>55</v>
      </c>
      <c r="K3824" s="30" t="s">
        <v>23</v>
      </c>
      <c r="L3824" s="31" t="str">
        <f>IFERROR(__xludf.DUMMYFUNCTION("IF(OR(E3824="""",K3824=""""),"""",IFERROR(IF(K3824="""","""",query('tbl user'!$A$2:$D10975,""SELECT A WHERE D = '""&amp;K3824&amp;""'"")),""USER TIDAK DIKETAHUI""))"),"#REF!")</f>
        <v>#REF!</v>
      </c>
    </row>
    <row r="3825">
      <c r="A3825" s="21">
        <f t="shared" si="1"/>
        <v>0</v>
      </c>
      <c r="B3825" s="32" t="s">
        <v>277</v>
      </c>
      <c r="C3825" s="23" t="s">
        <v>278</v>
      </c>
      <c r="D3825" s="23" t="s">
        <v>32</v>
      </c>
      <c r="E3825" s="24">
        <v>45452.0</v>
      </c>
      <c r="F3825" s="25">
        <v>0.25069444444444444</v>
      </c>
      <c r="G3825" s="25">
        <v>0.7409722222222223</v>
      </c>
      <c r="H3825" s="27">
        <f t="shared" si="2"/>
        <v>0.4902777778</v>
      </c>
      <c r="I3825" s="28">
        <v>4.0</v>
      </c>
      <c r="J3825" s="29" t="s">
        <v>55</v>
      </c>
      <c r="K3825" s="30" t="s">
        <v>23</v>
      </c>
      <c r="L3825" s="31" t="str">
        <f>IFERROR(__xludf.DUMMYFUNCTION("IF(OR(E3825="""",K3825=""""),"""",IFERROR(IF(K3825="""","""",query('tbl user'!$A$2:$D10975,""SELECT A WHERE D = '""&amp;K3825&amp;""'"")),""USER TIDAK DIKETAHUI""))"),"#REF!")</f>
        <v>#REF!</v>
      </c>
    </row>
    <row r="3826">
      <c r="A3826" s="21">
        <f t="shared" si="1"/>
        <v>0</v>
      </c>
      <c r="B3826" s="32" t="s">
        <v>144</v>
      </c>
      <c r="C3826" s="23" t="s">
        <v>145</v>
      </c>
      <c r="D3826" s="23" t="s">
        <v>32</v>
      </c>
      <c r="E3826" s="24">
        <v>45452.0</v>
      </c>
      <c r="F3826" s="25">
        <v>0.28125</v>
      </c>
      <c r="G3826" s="25">
        <v>0.7027777777777777</v>
      </c>
      <c r="H3826" s="27">
        <f t="shared" si="2"/>
        <v>0.4215277778</v>
      </c>
      <c r="I3826" s="28">
        <v>4.0</v>
      </c>
      <c r="J3826" s="29" t="s">
        <v>55</v>
      </c>
      <c r="K3826" s="30" t="s">
        <v>23</v>
      </c>
      <c r="L3826" s="31" t="str">
        <f>IFERROR(__xludf.DUMMYFUNCTION("IF(OR(E3826="""",K3826=""""),"""",IFERROR(IF(K3826="""","""",query('tbl user'!$A$2:$D10975,""SELECT A WHERE D = '""&amp;K3826&amp;""'"")),""USER TIDAK DIKETAHUI""))"),"#REF!")</f>
        <v>#REF!</v>
      </c>
    </row>
    <row r="3827">
      <c r="A3827" s="21">
        <f t="shared" si="1"/>
        <v>0</v>
      </c>
      <c r="B3827" s="32" t="s">
        <v>133</v>
      </c>
      <c r="C3827" s="23" t="s">
        <v>134</v>
      </c>
      <c r="D3827" s="23" t="s">
        <v>32</v>
      </c>
      <c r="E3827" s="24">
        <v>45452.0</v>
      </c>
      <c r="F3827" s="25">
        <v>0.2361111111111111</v>
      </c>
      <c r="G3827" s="25">
        <v>0.675</v>
      </c>
      <c r="H3827" s="27">
        <f t="shared" si="2"/>
        <v>0.4388888889</v>
      </c>
      <c r="I3827" s="28">
        <v>5.0</v>
      </c>
      <c r="J3827" s="29" t="s">
        <v>55</v>
      </c>
      <c r="K3827" s="30" t="s">
        <v>23</v>
      </c>
      <c r="L3827" s="31" t="str">
        <f>IFERROR(__xludf.DUMMYFUNCTION("IF(OR(E3827="""",K3827=""""),"""",IFERROR(IF(K3827="""","""",query('tbl user'!$A$2:$D10975,""SELECT A WHERE D = '""&amp;K3827&amp;""'"")),""USER TIDAK DIKETAHUI""))"),"#REF!")</f>
        <v>#REF!</v>
      </c>
    </row>
    <row r="3828">
      <c r="A3828" s="21">
        <f t="shared" si="1"/>
        <v>0</v>
      </c>
      <c r="B3828" s="32" t="s">
        <v>172</v>
      </c>
      <c r="C3828" s="23" t="s">
        <v>173</v>
      </c>
      <c r="D3828" s="23" t="s">
        <v>58</v>
      </c>
      <c r="E3828" s="24">
        <v>45453.0</v>
      </c>
      <c r="F3828" s="25">
        <v>0.2263888888888889</v>
      </c>
      <c r="G3828" s="25">
        <v>0.5673611111111111</v>
      </c>
      <c r="H3828" s="27">
        <f t="shared" si="2"/>
        <v>0.3409722222</v>
      </c>
      <c r="I3828" s="28">
        <v>1.0</v>
      </c>
      <c r="J3828" s="29" t="s">
        <v>1711</v>
      </c>
      <c r="K3828" s="30" t="s">
        <v>23</v>
      </c>
      <c r="L3828" s="31" t="str">
        <f>IFERROR(__xludf.DUMMYFUNCTION("IF(OR(E3828="""",K3828=""""),"""",IFERROR(IF(K3828="""","""",query('tbl user'!$A$2:$D10975,""SELECT A WHERE D = '""&amp;K3828&amp;""'"")),""USER TIDAK DIKETAHUI""))"),"#REF!")</f>
        <v>#REF!</v>
      </c>
    </row>
    <row r="3829">
      <c r="A3829" s="21">
        <f t="shared" si="1"/>
        <v>0</v>
      </c>
      <c r="B3829" s="32" t="s">
        <v>64</v>
      </c>
      <c r="C3829" s="23" t="s">
        <v>57</v>
      </c>
      <c r="D3829" s="23" t="s">
        <v>58</v>
      </c>
      <c r="E3829" s="24">
        <v>45453.0</v>
      </c>
      <c r="F3829" s="25">
        <v>0.2923611111111111</v>
      </c>
      <c r="G3829" s="25">
        <v>0.4798611111111111</v>
      </c>
      <c r="H3829" s="27">
        <f t="shared" si="2"/>
        <v>0.1875</v>
      </c>
      <c r="I3829" s="28">
        <v>1.0</v>
      </c>
      <c r="J3829" s="29" t="s">
        <v>1712</v>
      </c>
      <c r="K3829" s="30" t="s">
        <v>23</v>
      </c>
      <c r="L3829" s="31" t="str">
        <f>IFERROR(__xludf.DUMMYFUNCTION("IF(OR(E3829="""",K3829=""""),"""",IFERROR(IF(K3829="""","""",query('tbl user'!$A$2:$D10975,""SELECT A WHERE D = '""&amp;K3829&amp;""'"")),""USER TIDAK DIKETAHUI""))"),"#REF!")</f>
        <v>#REF!</v>
      </c>
    </row>
    <row r="3830">
      <c r="A3830" s="21">
        <f t="shared" si="1"/>
        <v>0</v>
      </c>
      <c r="B3830" s="32" t="s">
        <v>104</v>
      </c>
      <c r="C3830" s="23" t="s">
        <v>105</v>
      </c>
      <c r="D3830" s="23" t="s">
        <v>58</v>
      </c>
      <c r="E3830" s="24">
        <v>45453.0</v>
      </c>
      <c r="F3830" s="25">
        <v>0.24305555555555555</v>
      </c>
      <c r="G3830" s="25">
        <v>0.7027777777777777</v>
      </c>
      <c r="H3830" s="27">
        <f t="shared" si="2"/>
        <v>0.4597222222</v>
      </c>
      <c r="I3830" s="28">
        <v>1.0</v>
      </c>
      <c r="J3830" s="29" t="s">
        <v>1713</v>
      </c>
      <c r="K3830" s="30" t="s">
        <v>23</v>
      </c>
      <c r="L3830" s="31" t="str">
        <f>IFERROR(__xludf.DUMMYFUNCTION("IF(OR(E3830="""",K3830=""""),"""",IFERROR(IF(K3830="""","""",query('tbl user'!$A$2:$D10975,""SELECT A WHERE D = '""&amp;K3830&amp;""'"")),""USER TIDAK DIKETAHUI""))"),"#REF!")</f>
        <v>#REF!</v>
      </c>
    </row>
    <row r="3831">
      <c r="A3831" s="21">
        <f t="shared" si="1"/>
        <v>0</v>
      </c>
      <c r="B3831" s="32" t="s">
        <v>153</v>
      </c>
      <c r="C3831" s="23" t="s">
        <v>154</v>
      </c>
      <c r="D3831" s="23" t="s">
        <v>58</v>
      </c>
      <c r="E3831" s="24">
        <v>45453.0</v>
      </c>
      <c r="F3831" s="25">
        <v>0.2951388888888889</v>
      </c>
      <c r="G3831" s="25">
        <v>0.6430555555555556</v>
      </c>
      <c r="H3831" s="27">
        <f t="shared" si="2"/>
        <v>0.3479166667</v>
      </c>
      <c r="I3831" s="28">
        <v>2.0</v>
      </c>
      <c r="J3831" s="29" t="s">
        <v>1714</v>
      </c>
      <c r="K3831" s="30" t="s">
        <v>23</v>
      </c>
      <c r="L3831" s="31" t="str">
        <f>IFERROR(__xludf.DUMMYFUNCTION("IF(OR(E3831="""",K3831=""""),"""",IFERROR(IF(K3831="""","""",query('tbl user'!$A$2:$D10975,""SELECT A WHERE D = '""&amp;K3831&amp;""'"")),""USER TIDAK DIKETAHUI""))"),"#REF!")</f>
        <v>#REF!</v>
      </c>
    </row>
    <row r="3832">
      <c r="A3832" s="21">
        <f t="shared" si="1"/>
        <v>0</v>
      </c>
      <c r="B3832" s="32" t="s">
        <v>253</v>
      </c>
      <c r="C3832" s="23" t="s">
        <v>163</v>
      </c>
      <c r="D3832" s="23" t="s">
        <v>58</v>
      </c>
      <c r="E3832" s="24">
        <v>45453.0</v>
      </c>
      <c r="F3832" s="25">
        <v>0.2881944444444444</v>
      </c>
      <c r="G3832" s="25">
        <v>0.6111111111111112</v>
      </c>
      <c r="H3832" s="27">
        <f t="shared" si="2"/>
        <v>0.3229166667</v>
      </c>
      <c r="I3832" s="28">
        <v>2.0</v>
      </c>
      <c r="J3832" s="29" t="s">
        <v>734</v>
      </c>
      <c r="K3832" s="30" t="s">
        <v>23</v>
      </c>
      <c r="L3832" s="31" t="str">
        <f>IFERROR(__xludf.DUMMYFUNCTION("IF(OR(E3832="""",K3832=""""),"""",IFERROR(IF(K3832="""","""",query('tbl user'!$A$2:$D10975,""SELECT A WHERE D = '""&amp;K3832&amp;""'"")),""USER TIDAK DIKETAHUI""))"),"#REF!")</f>
        <v>#REF!</v>
      </c>
    </row>
    <row r="3833">
      <c r="A3833" s="21">
        <f t="shared" si="1"/>
        <v>0</v>
      </c>
      <c r="B3833" s="32" t="s">
        <v>178</v>
      </c>
      <c r="C3833" s="23" t="s">
        <v>82</v>
      </c>
      <c r="D3833" s="23" t="s">
        <v>58</v>
      </c>
      <c r="E3833" s="24">
        <v>45453.0</v>
      </c>
      <c r="F3833" s="25">
        <v>0.2777777777777778</v>
      </c>
      <c r="G3833" s="25">
        <v>0.5819444444444445</v>
      </c>
      <c r="H3833" s="27">
        <f t="shared" si="2"/>
        <v>0.3041666667</v>
      </c>
      <c r="I3833" s="28">
        <v>2.0</v>
      </c>
      <c r="J3833" s="29" t="s">
        <v>1715</v>
      </c>
      <c r="K3833" s="30" t="s">
        <v>23</v>
      </c>
      <c r="L3833" s="31" t="str">
        <f>IFERROR(__xludf.DUMMYFUNCTION("IF(OR(E3833="""",K3833=""""),"""",IFERROR(IF(K3833="""","""",query('tbl user'!$A$2:$D10975,""SELECT A WHERE D = '""&amp;K3833&amp;""'"")),""USER TIDAK DIKETAHUI""))"),"#REF!")</f>
        <v>#REF!</v>
      </c>
    </row>
    <row r="3834">
      <c r="A3834" s="21">
        <f t="shared" si="1"/>
        <v>0</v>
      </c>
      <c r="B3834" s="32" t="s">
        <v>162</v>
      </c>
      <c r="C3834" s="23" t="s">
        <v>185</v>
      </c>
      <c r="D3834" s="23" t="s">
        <v>58</v>
      </c>
      <c r="E3834" s="24">
        <v>45453.0</v>
      </c>
      <c r="F3834" s="25">
        <v>0.2902777777777778</v>
      </c>
      <c r="G3834" s="25">
        <v>0.5972222222222222</v>
      </c>
      <c r="H3834" s="27">
        <f t="shared" si="2"/>
        <v>0.3069444444</v>
      </c>
      <c r="I3834" s="28">
        <v>2.0</v>
      </c>
      <c r="J3834" s="29" t="s">
        <v>1716</v>
      </c>
      <c r="K3834" s="30" t="s">
        <v>23</v>
      </c>
      <c r="L3834" s="31" t="str">
        <f>IFERROR(__xludf.DUMMYFUNCTION("IF(OR(E3834="""",K3834=""""),"""",IFERROR(IF(K3834="""","""",query('tbl user'!$A$2:$D10975,""SELECT A WHERE D = '""&amp;K3834&amp;""'"")),""USER TIDAK DIKETAHUI""))"),"#REF!")</f>
        <v>#REF!</v>
      </c>
    </row>
    <row r="3835">
      <c r="A3835" s="21">
        <f t="shared" si="1"/>
        <v>0</v>
      </c>
      <c r="B3835" s="32" t="s">
        <v>205</v>
      </c>
      <c r="C3835" s="23" t="s">
        <v>206</v>
      </c>
      <c r="D3835" s="23" t="s">
        <v>58</v>
      </c>
      <c r="E3835" s="24">
        <v>45453.0</v>
      </c>
      <c r="F3835" s="25">
        <v>0.2569444444444444</v>
      </c>
      <c r="G3835" s="25">
        <v>0.575</v>
      </c>
      <c r="H3835" s="27">
        <f t="shared" si="2"/>
        <v>0.3180555556</v>
      </c>
      <c r="I3835" s="28">
        <v>2.0</v>
      </c>
      <c r="J3835" s="29" t="s">
        <v>1717</v>
      </c>
      <c r="K3835" s="30" t="s">
        <v>23</v>
      </c>
      <c r="L3835" s="31" t="str">
        <f>IFERROR(__xludf.DUMMYFUNCTION("IF(OR(E3835="""",K3835=""""),"""",IFERROR(IF(K3835="""","""",query('tbl user'!$A$2:$D10975,""SELECT A WHERE D = '""&amp;K3835&amp;""'"")),""USER TIDAK DIKETAHUI""))"),"#REF!")</f>
        <v>#REF!</v>
      </c>
    </row>
    <row r="3836">
      <c r="A3836" s="21">
        <f t="shared" si="1"/>
        <v>0</v>
      </c>
      <c r="B3836" s="32" t="s">
        <v>209</v>
      </c>
      <c r="C3836" s="23" t="s">
        <v>85</v>
      </c>
      <c r="D3836" s="23" t="s">
        <v>58</v>
      </c>
      <c r="E3836" s="24">
        <v>45453.0</v>
      </c>
      <c r="F3836" s="25">
        <v>0.2673611111111111</v>
      </c>
      <c r="G3836" s="25">
        <v>0.5659722222222222</v>
      </c>
      <c r="H3836" s="27">
        <f t="shared" si="2"/>
        <v>0.2986111111</v>
      </c>
      <c r="I3836" s="28">
        <v>2.0</v>
      </c>
      <c r="J3836" s="29" t="s">
        <v>1718</v>
      </c>
      <c r="K3836" s="30" t="s">
        <v>23</v>
      </c>
      <c r="L3836" s="31" t="str">
        <f>IFERROR(__xludf.DUMMYFUNCTION("IF(OR(E3836="""",K3836=""""),"""",IFERROR(IF(K3836="""","""",query('tbl user'!$A$2:$D10975,""SELECT A WHERE D = '""&amp;K3836&amp;""'"")),""USER TIDAK DIKETAHUI""))"),"#REF!")</f>
        <v>#REF!</v>
      </c>
    </row>
    <row r="3837">
      <c r="A3837" s="21">
        <f t="shared" si="1"/>
        <v>0</v>
      </c>
      <c r="B3837" s="32" t="s">
        <v>67</v>
      </c>
      <c r="C3837" s="23" t="s">
        <v>68</v>
      </c>
      <c r="D3837" s="23" t="s">
        <v>58</v>
      </c>
      <c r="E3837" s="24">
        <v>45453.0</v>
      </c>
      <c r="F3837" s="25">
        <v>0.2701388888888889</v>
      </c>
      <c r="G3837" s="25">
        <v>0.66875</v>
      </c>
      <c r="H3837" s="27">
        <f t="shared" si="2"/>
        <v>0.3986111111</v>
      </c>
      <c r="I3837" s="28">
        <v>3.0</v>
      </c>
      <c r="J3837" s="29" t="s">
        <v>1719</v>
      </c>
      <c r="K3837" s="30" t="s">
        <v>23</v>
      </c>
      <c r="L3837" s="31" t="str">
        <f>IFERROR(__xludf.DUMMYFUNCTION("IF(OR(E3837="""",K3837=""""),"""",IFERROR(IF(K3837="""","""",query('tbl user'!$A$2:$D10975,""SELECT A WHERE D = '""&amp;K3837&amp;""'"")),""USER TIDAK DIKETAHUI""))"),"#REF!")</f>
        <v>#REF!</v>
      </c>
    </row>
    <row r="3838">
      <c r="A3838" s="21">
        <f t="shared" si="1"/>
        <v>0</v>
      </c>
      <c r="B3838" s="32" t="s">
        <v>159</v>
      </c>
      <c r="C3838" s="23" t="s">
        <v>160</v>
      </c>
      <c r="D3838" s="23" t="s">
        <v>58</v>
      </c>
      <c r="E3838" s="24">
        <v>45453.0</v>
      </c>
      <c r="F3838" s="25">
        <v>0.26180555555555557</v>
      </c>
      <c r="G3838" s="25">
        <v>0.6625</v>
      </c>
      <c r="H3838" s="27">
        <f t="shared" si="2"/>
        <v>0.4006944444</v>
      </c>
      <c r="I3838" s="28">
        <v>3.0</v>
      </c>
      <c r="J3838" s="29" t="s">
        <v>1720</v>
      </c>
      <c r="K3838" s="30" t="s">
        <v>23</v>
      </c>
      <c r="L3838" s="31" t="str">
        <f>IFERROR(__xludf.DUMMYFUNCTION("IF(OR(E3838="""",K3838=""""),"""",IFERROR(IF(K3838="""","""",query('tbl user'!$A$2:$D10975,""SELECT A WHERE D = '""&amp;K3838&amp;""'"")),""USER TIDAK DIKETAHUI""))"),"#REF!")</f>
        <v>#REF!</v>
      </c>
    </row>
    <row r="3839">
      <c r="A3839" s="21">
        <f t="shared" si="1"/>
        <v>0</v>
      </c>
      <c r="B3839" s="32" t="s">
        <v>101</v>
      </c>
      <c r="C3839" s="23" t="s">
        <v>165</v>
      </c>
      <c r="D3839" s="23" t="s">
        <v>58</v>
      </c>
      <c r="E3839" s="24">
        <v>45453.0</v>
      </c>
      <c r="F3839" s="25">
        <v>0.29097222222222224</v>
      </c>
      <c r="G3839" s="25">
        <v>0.7083333333333334</v>
      </c>
      <c r="H3839" s="27">
        <f t="shared" si="2"/>
        <v>0.4173611111</v>
      </c>
      <c r="I3839" s="28">
        <v>3.0</v>
      </c>
      <c r="J3839" s="29" t="s">
        <v>1721</v>
      </c>
      <c r="K3839" s="30" t="s">
        <v>23</v>
      </c>
      <c r="L3839" s="31" t="str">
        <f>IFERROR(__xludf.DUMMYFUNCTION("IF(OR(E3839="""",K3839=""""),"""",IFERROR(IF(K3839="""","""",query('tbl user'!$A$2:$D10975,""SELECT A WHERE D = '""&amp;K3839&amp;""'"")),""USER TIDAK DIKETAHUI""))"),"#REF!")</f>
        <v>#REF!</v>
      </c>
    </row>
    <row r="3840">
      <c r="A3840" s="21">
        <f t="shared" si="1"/>
        <v>0</v>
      </c>
      <c r="B3840" s="32" t="s">
        <v>167</v>
      </c>
      <c r="C3840" s="23" t="s">
        <v>168</v>
      </c>
      <c r="D3840" s="23" t="s">
        <v>58</v>
      </c>
      <c r="E3840" s="24">
        <v>45453.0</v>
      </c>
      <c r="F3840" s="25">
        <v>0.28958333333333336</v>
      </c>
      <c r="G3840" s="25">
        <v>0.7298611111111111</v>
      </c>
      <c r="H3840" s="27">
        <f t="shared" si="2"/>
        <v>0.4402777778</v>
      </c>
      <c r="I3840" s="28">
        <v>3.0</v>
      </c>
      <c r="J3840" s="29" t="s">
        <v>1293</v>
      </c>
      <c r="K3840" s="30" t="s">
        <v>23</v>
      </c>
      <c r="L3840" s="31" t="str">
        <f>IFERROR(__xludf.DUMMYFUNCTION("IF(OR(E3840="""",K3840=""""),"""",IFERROR(IF(K3840="""","""",query('tbl user'!$A$2:$D10975,""SELECT A WHERE D = '""&amp;K3840&amp;""'"")),""USER TIDAK DIKETAHUI""))"),"#REF!")</f>
        <v>#REF!</v>
      </c>
    </row>
    <row r="3841">
      <c r="A3841" s="21">
        <f t="shared" si="1"/>
        <v>0</v>
      </c>
      <c r="B3841" s="32" t="s">
        <v>214</v>
      </c>
      <c r="C3841" s="23" t="s">
        <v>170</v>
      </c>
      <c r="D3841" s="23" t="s">
        <v>58</v>
      </c>
      <c r="E3841" s="24">
        <v>45453.0</v>
      </c>
      <c r="F3841" s="25">
        <v>0.28888888888888886</v>
      </c>
      <c r="G3841" s="25">
        <v>0.6784722222222223</v>
      </c>
      <c r="H3841" s="27">
        <f t="shared" si="2"/>
        <v>0.3895833333</v>
      </c>
      <c r="I3841" s="28">
        <v>3.0</v>
      </c>
      <c r="J3841" s="29" t="s">
        <v>1722</v>
      </c>
      <c r="K3841" s="30" t="s">
        <v>23</v>
      </c>
      <c r="L3841" s="31" t="str">
        <f>IFERROR(__xludf.DUMMYFUNCTION("IF(OR(E3841="""",K3841=""""),"""",IFERROR(IF(K3841="""","""",query('tbl user'!$A$2:$D10975,""SELECT A WHERE D = '""&amp;K3841&amp;""'"")),""USER TIDAK DIKETAHUI""))"),"#REF!")</f>
        <v>#REF!</v>
      </c>
    </row>
    <row r="3842">
      <c r="A3842" s="21">
        <f t="shared" si="1"/>
        <v>0</v>
      </c>
      <c r="B3842" s="32" t="s">
        <v>175</v>
      </c>
      <c r="C3842" s="23" t="s">
        <v>176</v>
      </c>
      <c r="D3842" s="23" t="s">
        <v>58</v>
      </c>
      <c r="E3842" s="24">
        <v>45453.0</v>
      </c>
      <c r="F3842" s="25">
        <v>0.2673611111111111</v>
      </c>
      <c r="G3842" s="25">
        <v>0.6944444444444444</v>
      </c>
      <c r="H3842" s="27">
        <f t="shared" si="2"/>
        <v>0.4270833333</v>
      </c>
      <c r="I3842" s="28">
        <v>3.0</v>
      </c>
      <c r="J3842" s="29" t="s">
        <v>1722</v>
      </c>
      <c r="K3842" s="30" t="s">
        <v>23</v>
      </c>
      <c r="L3842" s="31" t="str">
        <f>IFERROR(__xludf.DUMMYFUNCTION("IF(OR(E3842="""",K3842=""""),"""",IFERROR(IF(K3842="""","""",query('tbl user'!$A$2:$D10975,""SELECT A WHERE D = '""&amp;K3842&amp;""'"")),""USER TIDAK DIKETAHUI""))"),"#REF!")</f>
        <v>#REF!</v>
      </c>
    </row>
    <row r="3843">
      <c r="A3843" s="21">
        <f t="shared" si="1"/>
        <v>0</v>
      </c>
      <c r="B3843" s="32" t="s">
        <v>182</v>
      </c>
      <c r="C3843" s="23" t="s">
        <v>183</v>
      </c>
      <c r="D3843" s="23" t="s">
        <v>58</v>
      </c>
      <c r="E3843" s="24">
        <v>45453.0</v>
      </c>
      <c r="F3843" s="25">
        <v>0.24166666666666667</v>
      </c>
      <c r="G3843" s="25">
        <v>0.6173611111111111</v>
      </c>
      <c r="H3843" s="27">
        <f t="shared" si="2"/>
        <v>0.3756944444</v>
      </c>
      <c r="I3843" s="28">
        <v>3.0</v>
      </c>
      <c r="J3843" s="29" t="s">
        <v>1723</v>
      </c>
      <c r="K3843" s="30" t="s">
        <v>23</v>
      </c>
      <c r="L3843" s="31" t="str">
        <f>IFERROR(__xludf.DUMMYFUNCTION("IF(OR(E3843="""",K3843=""""),"""",IFERROR(IF(K3843="""","""",query('tbl user'!$A$2:$D10975,""SELECT A WHERE D = '""&amp;K3843&amp;""'"")),""USER TIDAK DIKETAHUI""))"),"#REF!")</f>
        <v>#REF!</v>
      </c>
    </row>
    <row r="3844">
      <c r="A3844" s="21">
        <f t="shared" si="1"/>
        <v>0</v>
      </c>
      <c r="B3844" s="32" t="s">
        <v>187</v>
      </c>
      <c r="C3844" s="23" t="s">
        <v>188</v>
      </c>
      <c r="D3844" s="23" t="s">
        <v>58</v>
      </c>
      <c r="E3844" s="24">
        <v>45453.0</v>
      </c>
      <c r="F3844" s="25">
        <v>0.2652777777777778</v>
      </c>
      <c r="G3844" s="25">
        <v>0.6444444444444445</v>
      </c>
      <c r="H3844" s="27">
        <f t="shared" si="2"/>
        <v>0.3791666667</v>
      </c>
      <c r="I3844" s="28">
        <v>3.0</v>
      </c>
      <c r="J3844" s="29" t="s">
        <v>1724</v>
      </c>
      <c r="K3844" s="30" t="s">
        <v>23</v>
      </c>
      <c r="L3844" s="31" t="str">
        <f>IFERROR(__xludf.DUMMYFUNCTION("IF(OR(E3844="""",K3844=""""),"""",IFERROR(IF(K3844="""","""",query('tbl user'!$A$2:$D10975,""SELECT A WHERE D = '""&amp;K3844&amp;""'"")),""USER TIDAK DIKETAHUI""))"),"#REF!")</f>
        <v>#REF!</v>
      </c>
    </row>
    <row r="3845">
      <c r="A3845" s="21">
        <f t="shared" si="1"/>
        <v>0</v>
      </c>
      <c r="B3845" s="32" t="s">
        <v>189</v>
      </c>
      <c r="C3845" s="23" t="s">
        <v>190</v>
      </c>
      <c r="D3845" s="23" t="s">
        <v>58</v>
      </c>
      <c r="E3845" s="24">
        <v>45453.0</v>
      </c>
      <c r="F3845" s="25">
        <v>0.2777777777777778</v>
      </c>
      <c r="G3845" s="25">
        <v>0.6791666666666667</v>
      </c>
      <c r="H3845" s="27">
        <f t="shared" si="2"/>
        <v>0.4013888889</v>
      </c>
      <c r="I3845" s="28">
        <v>3.0</v>
      </c>
      <c r="J3845" s="29" t="s">
        <v>1725</v>
      </c>
      <c r="K3845" s="30" t="s">
        <v>23</v>
      </c>
      <c r="L3845" s="31" t="str">
        <f>IFERROR(__xludf.DUMMYFUNCTION("IF(OR(E3845="""",K3845=""""),"""",IFERROR(IF(K3845="""","""",query('tbl user'!$A$2:$D10975,""SELECT A WHERE D = '""&amp;K3845&amp;""'"")),""USER TIDAK DIKETAHUI""))"),"#REF!")</f>
        <v>#REF!</v>
      </c>
    </row>
    <row r="3846">
      <c r="A3846" s="21">
        <f t="shared" si="1"/>
        <v>0</v>
      </c>
      <c r="B3846" s="32" t="s">
        <v>191</v>
      </c>
      <c r="C3846" s="23" t="s">
        <v>192</v>
      </c>
      <c r="D3846" s="23" t="s">
        <v>58</v>
      </c>
      <c r="E3846" s="24">
        <v>45453.0</v>
      </c>
      <c r="F3846" s="25">
        <v>0.24513888888888888</v>
      </c>
      <c r="G3846" s="25">
        <v>0.5979166666666667</v>
      </c>
      <c r="H3846" s="27">
        <f t="shared" si="2"/>
        <v>0.3527777778</v>
      </c>
      <c r="I3846" s="28">
        <v>3.0</v>
      </c>
      <c r="J3846" s="29" t="s">
        <v>1726</v>
      </c>
      <c r="K3846" s="30" t="s">
        <v>23</v>
      </c>
      <c r="L3846" s="31" t="str">
        <f>IFERROR(__xludf.DUMMYFUNCTION("IF(OR(E3846="""",K3846=""""),"""",IFERROR(IF(K3846="""","""",query('tbl user'!$A$2:$D10975,""SELECT A WHERE D = '""&amp;K3846&amp;""'"")),""USER TIDAK DIKETAHUI""))"),"#REF!")</f>
        <v>#REF!</v>
      </c>
    </row>
    <row r="3847">
      <c r="A3847" s="21">
        <f t="shared" si="1"/>
        <v>0</v>
      </c>
      <c r="B3847" s="32" t="s">
        <v>194</v>
      </c>
      <c r="C3847" s="23" t="s">
        <v>195</v>
      </c>
      <c r="D3847" s="23" t="s">
        <v>58</v>
      </c>
      <c r="E3847" s="24">
        <v>45453.0</v>
      </c>
      <c r="F3847" s="25">
        <v>0.22916666666666666</v>
      </c>
      <c r="G3847" s="25">
        <v>0.5743055555555555</v>
      </c>
      <c r="H3847" s="27">
        <f t="shared" si="2"/>
        <v>0.3451388889</v>
      </c>
      <c r="I3847" s="28">
        <v>3.0</v>
      </c>
      <c r="J3847" s="29" t="s">
        <v>1727</v>
      </c>
      <c r="K3847" s="30" t="s">
        <v>23</v>
      </c>
      <c r="L3847" s="31" t="str">
        <f>IFERROR(__xludf.DUMMYFUNCTION("IF(OR(E3847="""",K3847=""""),"""",IFERROR(IF(K3847="""","""",query('tbl user'!$A$2:$D10975,""SELECT A WHERE D = '""&amp;K3847&amp;""'"")),""USER TIDAK DIKETAHUI""))"),"#REF!")</f>
        <v>#REF!</v>
      </c>
    </row>
    <row r="3848">
      <c r="A3848" s="21">
        <f t="shared" si="1"/>
        <v>0</v>
      </c>
      <c r="B3848" s="32" t="s">
        <v>200</v>
      </c>
      <c r="C3848" s="23" t="s">
        <v>201</v>
      </c>
      <c r="D3848" s="23" t="s">
        <v>58</v>
      </c>
      <c r="E3848" s="24">
        <v>45453.0</v>
      </c>
      <c r="F3848" s="25">
        <v>0.2048611111111111</v>
      </c>
      <c r="G3848" s="25">
        <v>0.6083333333333333</v>
      </c>
      <c r="H3848" s="27">
        <f t="shared" si="2"/>
        <v>0.4034722222</v>
      </c>
      <c r="I3848" s="28">
        <v>3.0</v>
      </c>
      <c r="J3848" s="29" t="s">
        <v>1728</v>
      </c>
      <c r="K3848" s="30" t="s">
        <v>23</v>
      </c>
      <c r="L3848" s="31" t="str">
        <f>IFERROR(__xludf.DUMMYFUNCTION("IF(OR(E3848="""",K3848=""""),"""",IFERROR(IF(K3848="""","""",query('tbl user'!$A$2:$D10975,""SELECT A WHERE D = '""&amp;K3848&amp;""'"")),""USER TIDAK DIKETAHUI""))"),"#REF!")</f>
        <v>#REF!</v>
      </c>
    </row>
    <row r="3849">
      <c r="A3849" s="21">
        <f t="shared" si="1"/>
        <v>0</v>
      </c>
      <c r="B3849" s="32" t="s">
        <v>34</v>
      </c>
      <c r="C3849" s="23" t="s">
        <v>203</v>
      </c>
      <c r="D3849" s="23" t="s">
        <v>58</v>
      </c>
      <c r="E3849" s="24">
        <v>45453.0</v>
      </c>
      <c r="F3849" s="25">
        <v>0.2916666666666667</v>
      </c>
      <c r="G3849" s="25">
        <v>0.6895833333333333</v>
      </c>
      <c r="H3849" s="27">
        <f t="shared" si="2"/>
        <v>0.3979166667</v>
      </c>
      <c r="I3849" s="28">
        <v>3.0</v>
      </c>
      <c r="J3849" s="29" t="s">
        <v>1722</v>
      </c>
      <c r="K3849" s="30" t="s">
        <v>23</v>
      </c>
      <c r="L3849" s="31" t="str">
        <f>IFERROR(__xludf.DUMMYFUNCTION("IF(OR(E3849="""",K3849=""""),"""",IFERROR(IF(K3849="""","""",query('tbl user'!$A$2:$D10975,""SELECT A WHERE D = '""&amp;K3849&amp;""'"")),""USER TIDAK DIKETAHUI""))"),"#REF!")</f>
        <v>#REF!</v>
      </c>
    </row>
    <row r="3850">
      <c r="A3850" s="21">
        <f t="shared" si="1"/>
        <v>0</v>
      </c>
      <c r="B3850" s="32" t="s">
        <v>156</v>
      </c>
      <c r="C3850" s="23" t="s">
        <v>157</v>
      </c>
      <c r="D3850" s="23" t="s">
        <v>58</v>
      </c>
      <c r="E3850" s="24">
        <v>45453.0</v>
      </c>
      <c r="F3850" s="25">
        <v>0.25277777777777777</v>
      </c>
      <c r="G3850" s="25">
        <v>0.7027777777777777</v>
      </c>
      <c r="H3850" s="27">
        <f t="shared" si="2"/>
        <v>0.45</v>
      </c>
      <c r="I3850" s="28">
        <v>4.0</v>
      </c>
      <c r="J3850" s="29" t="s">
        <v>55</v>
      </c>
      <c r="K3850" s="30" t="s">
        <v>23</v>
      </c>
      <c r="L3850" s="31" t="str">
        <f>IFERROR(__xludf.DUMMYFUNCTION("IF(OR(E3850="""",K3850=""""),"""",IFERROR(IF(K3850="""","""",query('tbl user'!$A$2:$D10975,""SELECT A WHERE D = '""&amp;K3850&amp;""'"")),""USER TIDAK DIKETAHUI""))"),"#REF!")</f>
        <v>#REF!</v>
      </c>
    </row>
    <row r="3851">
      <c r="A3851" s="21">
        <f t="shared" si="1"/>
        <v>0</v>
      </c>
      <c r="B3851" s="32" t="s">
        <v>92</v>
      </c>
      <c r="C3851" s="23" t="s">
        <v>93</v>
      </c>
      <c r="D3851" s="23" t="s">
        <v>58</v>
      </c>
      <c r="E3851" s="24">
        <v>45453.0</v>
      </c>
      <c r="F3851" s="25">
        <v>0.26875</v>
      </c>
      <c r="G3851" s="25">
        <v>0.7138888888888889</v>
      </c>
      <c r="H3851" s="27">
        <f t="shared" si="2"/>
        <v>0.4451388889</v>
      </c>
      <c r="I3851" s="28">
        <v>4.0</v>
      </c>
      <c r="J3851" s="29" t="s">
        <v>55</v>
      </c>
      <c r="K3851" s="30" t="s">
        <v>23</v>
      </c>
      <c r="L3851" s="31" t="str">
        <f>IFERROR(__xludf.DUMMYFUNCTION("IF(OR(E3851="""",K3851=""""),"""",IFERROR(IF(K3851="""","""",query('tbl user'!$A$2:$D10975,""SELECT A WHERE D = '""&amp;K3851&amp;""'"")),""USER TIDAK DIKETAHUI""))"),"#REF!")</f>
        <v>#REF!</v>
      </c>
    </row>
    <row r="3852">
      <c r="A3852" s="21">
        <f t="shared" si="1"/>
        <v>0</v>
      </c>
      <c r="B3852" s="32" t="s">
        <v>180</v>
      </c>
      <c r="C3852" s="23" t="s">
        <v>181</v>
      </c>
      <c r="D3852" s="23" t="s">
        <v>58</v>
      </c>
      <c r="E3852" s="24">
        <v>45453.0</v>
      </c>
      <c r="F3852" s="25">
        <v>0.24027777777777778</v>
      </c>
      <c r="G3852" s="25">
        <v>0.7263888888888889</v>
      </c>
      <c r="H3852" s="27">
        <f t="shared" si="2"/>
        <v>0.4861111111</v>
      </c>
      <c r="I3852" s="28">
        <v>4.0</v>
      </c>
      <c r="J3852" s="29" t="s">
        <v>55</v>
      </c>
      <c r="K3852" s="30" t="s">
        <v>23</v>
      </c>
      <c r="L3852" s="31" t="str">
        <f>IFERROR(__xludf.DUMMYFUNCTION("IF(OR(E3852="""",K3852=""""),"""",IFERROR(IF(K3852="""","""",query('tbl user'!$A$2:$D10975,""SELECT A WHERE D = '""&amp;K3852&amp;""'"")),""USER TIDAK DIKETAHUI""))"),"#REF!")</f>
        <v>#REF!</v>
      </c>
    </row>
    <row r="3853">
      <c r="A3853" s="21">
        <f t="shared" si="1"/>
        <v>0</v>
      </c>
      <c r="B3853" s="32" t="s">
        <v>197</v>
      </c>
      <c r="C3853" s="23" t="s">
        <v>198</v>
      </c>
      <c r="D3853" s="23" t="s">
        <v>58</v>
      </c>
      <c r="E3853" s="24">
        <v>45453.0</v>
      </c>
      <c r="F3853" s="25">
        <v>0.2520833333333333</v>
      </c>
      <c r="G3853" s="25">
        <v>0.7215277777777778</v>
      </c>
      <c r="H3853" s="27">
        <f t="shared" si="2"/>
        <v>0.4694444444</v>
      </c>
      <c r="I3853" s="28">
        <v>4.0</v>
      </c>
      <c r="J3853" s="29" t="s">
        <v>55</v>
      </c>
      <c r="K3853" s="30" t="s">
        <v>23</v>
      </c>
      <c r="L3853" s="31" t="str">
        <f>IFERROR(__xludf.DUMMYFUNCTION("IF(OR(E3853="""",K3853=""""),"""",IFERROR(IF(K3853="""","""",query('tbl user'!$A$2:$D10975,""SELECT A WHERE D = '""&amp;K3853&amp;""'"")),""USER TIDAK DIKETAHUI""))"),"#REF!")</f>
        <v>#REF!</v>
      </c>
    </row>
    <row r="3854">
      <c r="A3854" s="21">
        <f t="shared" si="1"/>
        <v>0</v>
      </c>
      <c r="B3854" s="32" t="s">
        <v>95</v>
      </c>
      <c r="C3854" s="23" t="s">
        <v>208</v>
      </c>
      <c r="D3854" s="23" t="s">
        <v>58</v>
      </c>
      <c r="E3854" s="24">
        <v>45453.0</v>
      </c>
      <c r="F3854" s="25">
        <v>0.24375</v>
      </c>
      <c r="G3854" s="25">
        <v>0.6944444444444444</v>
      </c>
      <c r="H3854" s="27">
        <f t="shared" si="2"/>
        <v>0.4506944444</v>
      </c>
      <c r="I3854" s="28">
        <v>4.0</v>
      </c>
      <c r="J3854" s="29" t="s">
        <v>55</v>
      </c>
      <c r="K3854" s="30" t="s">
        <v>23</v>
      </c>
      <c r="L3854" s="31" t="str">
        <f>IFERROR(__xludf.DUMMYFUNCTION("IF(OR(E3854="""",K3854=""""),"""",IFERROR(IF(K3854="""","""",query('tbl user'!$A$2:$D10975,""SELECT A WHERE D = '""&amp;K3854&amp;""'"")),""USER TIDAK DIKETAHUI""))"),"#REF!")</f>
        <v>#REF!</v>
      </c>
    </row>
    <row r="3855">
      <c r="A3855" s="21">
        <f t="shared" si="1"/>
        <v>0</v>
      </c>
      <c r="B3855" s="32" t="s">
        <v>37</v>
      </c>
      <c r="C3855" s="23" t="s">
        <v>282</v>
      </c>
      <c r="D3855" s="23" t="s">
        <v>21</v>
      </c>
      <c r="E3855" s="24">
        <v>45453.0</v>
      </c>
      <c r="F3855" s="25">
        <v>0.5451388888888888</v>
      </c>
      <c r="G3855" s="25">
        <v>0.7236111111111111</v>
      </c>
      <c r="H3855" s="27">
        <f t="shared" si="2"/>
        <v>0.1784722222</v>
      </c>
      <c r="I3855" s="28">
        <v>1.0</v>
      </c>
      <c r="J3855" s="29" t="s">
        <v>1642</v>
      </c>
      <c r="K3855" s="30" t="s">
        <v>23</v>
      </c>
      <c r="L3855" s="31" t="str">
        <f>IFERROR(__xludf.DUMMYFUNCTION("IF(OR(E3855="""",K3855=""""),"""",IFERROR(IF(K3855="""","""",query('tbl user'!$A$2:$D10975,""SELECT A WHERE D = '""&amp;K3855&amp;""'"")),""USER TIDAK DIKETAHUI""))"),"#REF!")</f>
        <v>#REF!</v>
      </c>
    </row>
    <row r="3856">
      <c r="A3856" s="21">
        <f t="shared" si="1"/>
        <v>0</v>
      </c>
      <c r="B3856" s="32" t="s">
        <v>243</v>
      </c>
      <c r="C3856" s="23" t="s">
        <v>244</v>
      </c>
      <c r="D3856" s="23" t="s">
        <v>21</v>
      </c>
      <c r="E3856" s="24">
        <v>45453.0</v>
      </c>
      <c r="F3856" s="25">
        <v>0.2916666666666667</v>
      </c>
      <c r="G3856" s="25">
        <v>0.5694444444444444</v>
      </c>
      <c r="H3856" s="27">
        <f t="shared" si="2"/>
        <v>0.2777777778</v>
      </c>
      <c r="I3856" s="28">
        <v>1.0</v>
      </c>
      <c r="J3856" s="29" t="s">
        <v>1729</v>
      </c>
      <c r="K3856" s="30" t="s">
        <v>23</v>
      </c>
      <c r="L3856" s="31" t="str">
        <f>IFERROR(__xludf.DUMMYFUNCTION("IF(OR(E3856="""",K3856=""""),"""",IFERROR(IF(K3856="""","""",query('tbl user'!$A$2:$D10975,""SELECT A WHERE D = '""&amp;K3856&amp;""'"")),""USER TIDAK DIKETAHUI""))"),"#REF!")</f>
        <v>#REF!</v>
      </c>
    </row>
    <row r="3857">
      <c r="A3857" s="21">
        <f t="shared" si="1"/>
        <v>0</v>
      </c>
      <c r="B3857" s="32" t="s">
        <v>246</v>
      </c>
      <c r="C3857" s="23" t="s">
        <v>247</v>
      </c>
      <c r="D3857" s="23" t="s">
        <v>21</v>
      </c>
      <c r="E3857" s="24">
        <v>45453.0</v>
      </c>
      <c r="F3857" s="25">
        <v>0.2923611111111111</v>
      </c>
      <c r="G3857" s="25">
        <v>0.5666666666666667</v>
      </c>
      <c r="H3857" s="27">
        <f t="shared" si="2"/>
        <v>0.2743055556</v>
      </c>
      <c r="I3857" s="28">
        <v>1.0</v>
      </c>
      <c r="J3857" s="29" t="s">
        <v>1730</v>
      </c>
      <c r="K3857" s="30" t="s">
        <v>23</v>
      </c>
      <c r="L3857" s="31" t="str">
        <f>IFERROR(__xludf.DUMMYFUNCTION("IF(OR(E3857="""",K3857=""""),"""",IFERROR(IF(K3857="""","""",query('tbl user'!$A$2:$D10975,""SELECT A WHERE D = '""&amp;K3857&amp;""'"")),""USER TIDAK DIKETAHUI""))"),"#REF!")</f>
        <v>#REF!</v>
      </c>
    </row>
    <row r="3858">
      <c r="A3858" s="21">
        <f t="shared" si="1"/>
        <v>0</v>
      </c>
      <c r="B3858" s="32" t="s">
        <v>37</v>
      </c>
      <c r="C3858" s="23" t="s">
        <v>54</v>
      </c>
      <c r="D3858" s="23" t="s">
        <v>21</v>
      </c>
      <c r="E3858" s="24">
        <v>45453.0</v>
      </c>
      <c r="F3858" s="25">
        <v>0.2826388888888889</v>
      </c>
      <c r="G3858" s="25">
        <v>0.45694444444444443</v>
      </c>
      <c r="H3858" s="27">
        <f t="shared" si="2"/>
        <v>0.1743055556</v>
      </c>
      <c r="I3858" s="28">
        <v>1.0</v>
      </c>
      <c r="J3858" s="29" t="s">
        <v>1698</v>
      </c>
      <c r="K3858" s="30" t="s">
        <v>23</v>
      </c>
      <c r="L3858" s="31" t="str">
        <f>IFERROR(__xludf.DUMMYFUNCTION("IF(OR(E3858="""",K3858=""""),"""",IFERROR(IF(K3858="""","""",query('tbl user'!$A$2:$D10975,""SELECT A WHERE D = '""&amp;K3858&amp;""'"")),""USER TIDAK DIKETAHUI""))"),"#REF!")</f>
        <v>#REF!</v>
      </c>
    </row>
    <row r="3859">
      <c r="A3859" s="21">
        <f t="shared" si="1"/>
        <v>0</v>
      </c>
      <c r="B3859" s="32" t="s">
        <v>716</v>
      </c>
      <c r="C3859" s="23" t="s">
        <v>330</v>
      </c>
      <c r="D3859" s="23" t="s">
        <v>21</v>
      </c>
      <c r="E3859" s="24">
        <v>45453.0</v>
      </c>
      <c r="F3859" s="25">
        <v>0.29375</v>
      </c>
      <c r="G3859" s="25">
        <v>0.5534722222222223</v>
      </c>
      <c r="H3859" s="27">
        <f t="shared" si="2"/>
        <v>0.2597222222</v>
      </c>
      <c r="I3859" s="28">
        <v>1.0</v>
      </c>
      <c r="J3859" s="29" t="s">
        <v>649</v>
      </c>
      <c r="K3859" s="30" t="s">
        <v>23</v>
      </c>
      <c r="L3859" s="31" t="str">
        <f>IFERROR(__xludf.DUMMYFUNCTION("IF(OR(E3859="""",K3859=""""),"""",IFERROR(IF(K3859="""","""",query('tbl user'!$A$2:$D10975,""SELECT A WHERE D = '""&amp;K3859&amp;""'"")),""USER TIDAK DIKETAHUI""))"),"#REF!")</f>
        <v>#REF!</v>
      </c>
    </row>
    <row r="3860">
      <c r="A3860" s="21">
        <f t="shared" si="1"/>
        <v>0</v>
      </c>
      <c r="B3860" s="32" t="s">
        <v>289</v>
      </c>
      <c r="C3860" s="23" t="s">
        <v>290</v>
      </c>
      <c r="D3860" s="23" t="s">
        <v>21</v>
      </c>
      <c r="E3860" s="24">
        <v>45453.0</v>
      </c>
      <c r="F3860" s="25">
        <v>0.2902777777777778</v>
      </c>
      <c r="G3860" s="25">
        <v>0.7222222222222222</v>
      </c>
      <c r="H3860" s="27">
        <f t="shared" si="2"/>
        <v>0.4319444444</v>
      </c>
      <c r="I3860" s="28">
        <v>2.0</v>
      </c>
      <c r="J3860" s="29" t="s">
        <v>1731</v>
      </c>
      <c r="K3860" s="30" t="s">
        <v>23</v>
      </c>
      <c r="L3860" s="31" t="str">
        <f>IFERROR(__xludf.DUMMYFUNCTION("IF(OR(E3860="""",K3860=""""),"""",IFERROR(IF(K3860="""","""",query('tbl user'!$A$2:$D10975,""SELECT A WHERE D = '""&amp;K3860&amp;""'"")),""USER TIDAK DIKETAHUI""))"),"#REF!")</f>
        <v>#REF!</v>
      </c>
    </row>
    <row r="3861">
      <c r="A3861" s="21">
        <f t="shared" si="1"/>
        <v>0</v>
      </c>
      <c r="B3861" s="32" t="s">
        <v>51</v>
      </c>
      <c r="C3861" s="23" t="s">
        <v>27</v>
      </c>
      <c r="D3861" s="23" t="s">
        <v>21</v>
      </c>
      <c r="E3861" s="24">
        <v>45453.0</v>
      </c>
      <c r="F3861" s="25">
        <v>0.25416666666666665</v>
      </c>
      <c r="G3861" s="25">
        <v>0.6034722222222222</v>
      </c>
      <c r="H3861" s="27">
        <f t="shared" si="2"/>
        <v>0.3493055556</v>
      </c>
      <c r="I3861" s="28">
        <v>2.0</v>
      </c>
      <c r="J3861" s="29" t="s">
        <v>1732</v>
      </c>
      <c r="K3861" s="30" t="s">
        <v>23</v>
      </c>
      <c r="L3861" s="31" t="str">
        <f>IFERROR(__xludf.DUMMYFUNCTION("IF(OR(E3861="""",K3861=""""),"""",IFERROR(IF(K3861="""","""",query('tbl user'!$A$2:$D10975,""SELECT A WHERE D = '""&amp;K3861&amp;""'"")),""USER TIDAK DIKETAHUI""))"),"#REF!")</f>
        <v>#REF!</v>
      </c>
    </row>
    <row r="3862">
      <c r="A3862" s="21">
        <f t="shared" si="1"/>
        <v>0</v>
      </c>
      <c r="B3862" s="32" t="s">
        <v>284</v>
      </c>
      <c r="C3862" s="23" t="s">
        <v>285</v>
      </c>
      <c r="D3862" s="23" t="s">
        <v>21</v>
      </c>
      <c r="E3862" s="24">
        <v>45453.0</v>
      </c>
      <c r="F3862" s="25">
        <v>0.2722222222222222</v>
      </c>
      <c r="G3862" s="25">
        <v>0.4388888888888889</v>
      </c>
      <c r="H3862" s="27">
        <f t="shared" si="2"/>
        <v>0.1666666667</v>
      </c>
      <c r="I3862" s="28">
        <v>2.0</v>
      </c>
      <c r="J3862" s="29" t="s">
        <v>1733</v>
      </c>
      <c r="K3862" s="30" t="s">
        <v>23</v>
      </c>
      <c r="L3862" s="31" t="str">
        <f>IFERROR(__xludf.DUMMYFUNCTION("IF(OR(E3862="""",K3862=""""),"""",IFERROR(IF(K3862="""","""",query('tbl user'!$A$2:$D10975,""SELECT A WHERE D = '""&amp;K3862&amp;""'"")),""USER TIDAK DIKETAHUI""))"),"#REF!")</f>
        <v>#REF!</v>
      </c>
    </row>
    <row r="3863">
      <c r="A3863" s="21">
        <f t="shared" si="1"/>
        <v>0</v>
      </c>
      <c r="B3863" s="32" t="s">
        <v>662</v>
      </c>
      <c r="C3863" s="23" t="s">
        <v>234</v>
      </c>
      <c r="D3863" s="23" t="s">
        <v>21</v>
      </c>
      <c r="E3863" s="24">
        <v>45453.0</v>
      </c>
      <c r="F3863" s="25">
        <v>0.4201388888888889</v>
      </c>
      <c r="G3863" s="25">
        <v>0.7430555555555556</v>
      </c>
      <c r="H3863" s="27">
        <f t="shared" si="2"/>
        <v>0.3229166667</v>
      </c>
      <c r="I3863" s="28">
        <v>2.0</v>
      </c>
      <c r="J3863" s="29" t="s">
        <v>449</v>
      </c>
      <c r="K3863" s="30" t="s">
        <v>23</v>
      </c>
      <c r="L3863" s="31" t="str">
        <f>IFERROR(__xludf.DUMMYFUNCTION("IF(OR(E3863="""",K3863=""""),"""",IFERROR(IF(K3863="""","""",query('tbl user'!$A$2:$D10975,""SELECT A WHERE D = '""&amp;K3863&amp;""'"")),""USER TIDAK DIKETAHUI""))"),"#REF!")</f>
        <v>#REF!</v>
      </c>
    </row>
    <row r="3864">
      <c r="A3864" s="21">
        <f t="shared" si="1"/>
        <v>0</v>
      </c>
      <c r="B3864" s="32" t="s">
        <v>225</v>
      </c>
      <c r="C3864" s="23" t="s">
        <v>339</v>
      </c>
      <c r="D3864" s="23" t="s">
        <v>21</v>
      </c>
      <c r="E3864" s="24">
        <v>45453.0</v>
      </c>
      <c r="F3864" s="25">
        <v>0.22916666666666666</v>
      </c>
      <c r="G3864" s="25">
        <v>0.7125</v>
      </c>
      <c r="H3864" s="27">
        <f t="shared" si="2"/>
        <v>0.4833333333</v>
      </c>
      <c r="I3864" s="28">
        <v>2.0</v>
      </c>
      <c r="J3864" s="29" t="s">
        <v>1731</v>
      </c>
      <c r="K3864" s="30" t="s">
        <v>23</v>
      </c>
      <c r="L3864" s="31" t="str">
        <f>IFERROR(__xludf.DUMMYFUNCTION("IF(OR(E3864="""",K3864=""""),"""",IFERROR(IF(K3864="""","""",query('tbl user'!$A$2:$D10975,""SELECT A WHERE D = '""&amp;K3864&amp;""'"")),""USER TIDAK DIKETAHUI""))"),"#REF!")</f>
        <v>#REF!</v>
      </c>
    </row>
    <row r="3865">
      <c r="A3865" s="21">
        <f t="shared" si="1"/>
        <v>0</v>
      </c>
      <c r="B3865" s="32" t="s">
        <v>305</v>
      </c>
      <c r="C3865" s="23" t="s">
        <v>332</v>
      </c>
      <c r="D3865" s="23" t="s">
        <v>21</v>
      </c>
      <c r="E3865" s="24">
        <v>45453.0</v>
      </c>
      <c r="F3865" s="25">
        <v>0.24305555555555555</v>
      </c>
      <c r="G3865" s="25">
        <v>0.56875</v>
      </c>
      <c r="H3865" s="27">
        <f t="shared" si="2"/>
        <v>0.3256944444</v>
      </c>
      <c r="I3865" s="28">
        <v>2.0</v>
      </c>
      <c r="J3865" s="29" t="s">
        <v>1617</v>
      </c>
      <c r="K3865" s="30" t="s">
        <v>23</v>
      </c>
      <c r="L3865" s="31" t="str">
        <f>IFERROR(__xludf.DUMMYFUNCTION("IF(OR(E3865="""",K3865=""""),"""",IFERROR(IF(K3865="""","""",query('tbl user'!$A$2:$D10975,""SELECT A WHERE D = '""&amp;K3865&amp;""'"")),""USER TIDAK DIKETAHUI""))"),"#REF!")</f>
        <v>#REF!</v>
      </c>
    </row>
    <row r="3866">
      <c r="A3866" s="21">
        <f t="shared" si="1"/>
        <v>0</v>
      </c>
      <c r="B3866" s="32" t="s">
        <v>333</v>
      </c>
      <c r="C3866" s="23" t="s">
        <v>334</v>
      </c>
      <c r="D3866" s="23" t="s">
        <v>21</v>
      </c>
      <c r="E3866" s="24">
        <v>45453.0</v>
      </c>
      <c r="F3866" s="25">
        <v>0.23541666666666666</v>
      </c>
      <c r="G3866" s="25">
        <v>0.5645833333333333</v>
      </c>
      <c r="H3866" s="27">
        <f t="shared" si="2"/>
        <v>0.3291666667</v>
      </c>
      <c r="I3866" s="28">
        <v>2.0</v>
      </c>
      <c r="J3866" s="29" t="s">
        <v>1734</v>
      </c>
      <c r="K3866" s="30" t="s">
        <v>23</v>
      </c>
      <c r="L3866" s="31" t="str">
        <f>IFERROR(__xludf.DUMMYFUNCTION("IF(OR(E3866="""",K3866=""""),"""",IFERROR(IF(K3866="""","""",query('tbl user'!$A$2:$D10975,""SELECT A WHERE D = '""&amp;K3866&amp;""'"")),""USER TIDAK DIKETAHUI""))"),"#REF!")</f>
        <v>#REF!</v>
      </c>
    </row>
    <row r="3867">
      <c r="A3867" s="21">
        <f t="shared" si="1"/>
        <v>0</v>
      </c>
      <c r="B3867" s="32" t="s">
        <v>258</v>
      </c>
      <c r="C3867" s="23" t="s">
        <v>259</v>
      </c>
      <c r="D3867" s="23" t="s">
        <v>21</v>
      </c>
      <c r="E3867" s="24">
        <v>45453.0</v>
      </c>
      <c r="F3867" s="25">
        <v>0.24791666666666667</v>
      </c>
      <c r="G3867" s="25">
        <v>0.5680555555555555</v>
      </c>
      <c r="H3867" s="27">
        <f t="shared" si="2"/>
        <v>0.3201388889</v>
      </c>
      <c r="I3867" s="28">
        <v>2.0</v>
      </c>
      <c r="J3867" s="29" t="s">
        <v>1495</v>
      </c>
      <c r="K3867" s="30" t="s">
        <v>23</v>
      </c>
      <c r="L3867" s="31" t="str">
        <f>IFERROR(__xludf.DUMMYFUNCTION("IF(OR(E3867="""",K3867=""""),"""",IFERROR(IF(K3867="""","""",query('tbl user'!$A$2:$D10975,""SELECT A WHERE D = '""&amp;K3867&amp;""'"")),""USER TIDAK DIKETAHUI""))"),"#REF!")</f>
        <v>#REF!</v>
      </c>
    </row>
    <row r="3868">
      <c r="A3868" s="21">
        <f t="shared" si="1"/>
        <v>0</v>
      </c>
      <c r="B3868" s="32" t="s">
        <v>335</v>
      </c>
      <c r="C3868" s="23" t="s">
        <v>336</v>
      </c>
      <c r="D3868" s="23" t="s">
        <v>21</v>
      </c>
      <c r="E3868" s="24">
        <v>45453.0</v>
      </c>
      <c r="F3868" s="25">
        <v>0.28055555555555556</v>
      </c>
      <c r="G3868" s="25">
        <v>0.7020833333333333</v>
      </c>
      <c r="H3868" s="27">
        <f t="shared" si="2"/>
        <v>0.4215277778</v>
      </c>
      <c r="I3868" s="28">
        <v>2.0</v>
      </c>
      <c r="J3868" s="29" t="s">
        <v>1735</v>
      </c>
      <c r="K3868" s="30" t="s">
        <v>23</v>
      </c>
      <c r="L3868" s="31" t="str">
        <f>IFERROR(__xludf.DUMMYFUNCTION("IF(OR(E3868="""",K3868=""""),"""",IFERROR(IF(K3868="""","""",query('tbl user'!$A$2:$D10975,""SELECT A WHERE D = '""&amp;K3868&amp;""'"")),""USER TIDAK DIKETAHUI""))"),"#REF!")</f>
        <v>#REF!</v>
      </c>
    </row>
    <row r="3869">
      <c r="A3869" s="21">
        <f t="shared" si="1"/>
        <v>0</v>
      </c>
      <c r="B3869" s="32" t="s">
        <v>219</v>
      </c>
      <c r="C3869" s="23" t="s">
        <v>340</v>
      </c>
      <c r="D3869" s="23" t="s">
        <v>21</v>
      </c>
      <c r="E3869" s="24">
        <v>45453.0</v>
      </c>
      <c r="F3869" s="25">
        <v>0.2701388888888889</v>
      </c>
      <c r="G3869" s="25">
        <v>0.6263888888888889</v>
      </c>
      <c r="H3869" s="27">
        <f t="shared" si="2"/>
        <v>0.35625</v>
      </c>
      <c r="I3869" s="28">
        <v>2.0</v>
      </c>
      <c r="J3869" s="29" t="s">
        <v>1731</v>
      </c>
      <c r="K3869" s="30" t="s">
        <v>23</v>
      </c>
      <c r="L3869" s="31" t="str">
        <f>IFERROR(__xludf.DUMMYFUNCTION("IF(OR(E3869="""",K3869=""""),"""",IFERROR(IF(K3869="""","""",query('tbl user'!$A$2:$D10975,""SELECT A WHERE D = '""&amp;K3869&amp;""'"")),""USER TIDAK DIKETAHUI""))"),"#REF!")</f>
        <v>#REF!</v>
      </c>
    </row>
    <row r="3870">
      <c r="A3870" s="21">
        <f t="shared" si="1"/>
        <v>0</v>
      </c>
      <c r="B3870" s="32" t="s">
        <v>328</v>
      </c>
      <c r="C3870" s="23" t="s">
        <v>329</v>
      </c>
      <c r="D3870" s="23" t="s">
        <v>21</v>
      </c>
      <c r="E3870" s="24">
        <v>45453.0</v>
      </c>
      <c r="F3870" s="25">
        <v>0.29097222222222224</v>
      </c>
      <c r="G3870" s="25">
        <v>0.7027777777777777</v>
      </c>
      <c r="H3870" s="27">
        <f t="shared" si="2"/>
        <v>0.4118055556</v>
      </c>
      <c r="I3870" s="28">
        <v>2.0</v>
      </c>
      <c r="J3870" s="29" t="s">
        <v>1736</v>
      </c>
      <c r="K3870" s="30" t="s">
        <v>23</v>
      </c>
      <c r="L3870" s="31" t="str">
        <f>IFERROR(__xludf.DUMMYFUNCTION("IF(OR(E3870="""",K3870=""""),"""",IFERROR(IF(K3870="""","""",query('tbl user'!$A$2:$D10975,""SELECT A WHERE D = '""&amp;K3870&amp;""'"")),""USER TIDAK DIKETAHUI""))"),"#REF!")</f>
        <v>#REF!</v>
      </c>
    </row>
    <row r="3871">
      <c r="A3871" s="21">
        <f t="shared" si="1"/>
        <v>0</v>
      </c>
      <c r="B3871" s="32" t="s">
        <v>319</v>
      </c>
      <c r="C3871" s="23" t="s">
        <v>320</v>
      </c>
      <c r="D3871" s="23" t="s">
        <v>21</v>
      </c>
      <c r="E3871" s="24">
        <v>45453.0</v>
      </c>
      <c r="F3871" s="25">
        <v>0.275</v>
      </c>
      <c r="G3871" s="25">
        <v>0.6993055555555555</v>
      </c>
      <c r="H3871" s="27">
        <f t="shared" si="2"/>
        <v>0.4243055556</v>
      </c>
      <c r="I3871" s="28">
        <v>2.0</v>
      </c>
      <c r="J3871" s="29" t="s">
        <v>1737</v>
      </c>
      <c r="K3871" s="30" t="s">
        <v>23</v>
      </c>
      <c r="L3871" s="31" t="str">
        <f>IFERROR(__xludf.DUMMYFUNCTION("IF(OR(E3871="""",K3871=""""),"""",IFERROR(IF(K3871="""","""",query('tbl user'!$A$2:$D10975,""SELECT A WHERE D = '""&amp;K3871&amp;""'"")),""USER TIDAK DIKETAHUI""))"),"#REF!")</f>
        <v>#REF!</v>
      </c>
    </row>
    <row r="3872">
      <c r="A3872" s="21">
        <f t="shared" si="1"/>
        <v>0</v>
      </c>
      <c r="B3872" s="32" t="s">
        <v>325</v>
      </c>
      <c r="C3872" s="23" t="s">
        <v>326</v>
      </c>
      <c r="D3872" s="23" t="s">
        <v>21</v>
      </c>
      <c r="E3872" s="24">
        <v>45453.0</v>
      </c>
      <c r="F3872" s="25">
        <v>0.22013888888888888</v>
      </c>
      <c r="G3872" s="25">
        <v>0.5770833333333333</v>
      </c>
      <c r="H3872" s="27">
        <f t="shared" si="2"/>
        <v>0.3569444444</v>
      </c>
      <c r="I3872" s="28">
        <v>2.0</v>
      </c>
      <c r="J3872" s="29" t="s">
        <v>420</v>
      </c>
      <c r="K3872" s="30" t="s">
        <v>23</v>
      </c>
      <c r="L3872" s="31" t="str">
        <f>IFERROR(__xludf.DUMMYFUNCTION("IF(OR(E3872="""",K3872=""""),"""",IFERROR(IF(K3872="""","""",query('tbl user'!$A$2:$D10975,""SELECT A WHERE D = '""&amp;K3872&amp;""'"")),""USER TIDAK DIKETAHUI""))"),"#REF!")</f>
        <v>#REF!</v>
      </c>
    </row>
    <row r="3873">
      <c r="A3873" s="21">
        <f t="shared" si="1"/>
        <v>0</v>
      </c>
      <c r="B3873" s="32" t="s">
        <v>601</v>
      </c>
      <c r="C3873" s="23" t="s">
        <v>323</v>
      </c>
      <c r="D3873" s="23" t="s">
        <v>21</v>
      </c>
      <c r="E3873" s="24">
        <v>45453.0</v>
      </c>
      <c r="F3873" s="25">
        <v>0.25069444444444444</v>
      </c>
      <c r="G3873" s="25">
        <v>0.7208333333333333</v>
      </c>
      <c r="H3873" s="27">
        <f t="shared" si="2"/>
        <v>0.4701388889</v>
      </c>
      <c r="I3873" s="28">
        <v>2.0</v>
      </c>
      <c r="J3873" s="29" t="s">
        <v>1731</v>
      </c>
      <c r="K3873" s="30" t="s">
        <v>23</v>
      </c>
      <c r="L3873" s="31" t="str">
        <f>IFERROR(__xludf.DUMMYFUNCTION("IF(OR(E3873="""",K3873=""""),"""",IFERROR(IF(K3873="""","""",query('tbl user'!$A$2:$D10975,""SELECT A WHERE D = '""&amp;K3873&amp;""'"")),""USER TIDAK DIKETAHUI""))"),"#REF!")</f>
        <v>#REF!</v>
      </c>
    </row>
    <row r="3874">
      <c r="A3874" s="21">
        <f t="shared" si="1"/>
        <v>0</v>
      </c>
      <c r="B3874" s="32" t="s">
        <v>98</v>
      </c>
      <c r="C3874" s="23" t="s">
        <v>1556</v>
      </c>
      <c r="D3874" s="23" t="s">
        <v>21</v>
      </c>
      <c r="E3874" s="24">
        <v>45453.0</v>
      </c>
      <c r="F3874" s="25">
        <v>0.28958333333333336</v>
      </c>
      <c r="G3874" s="25">
        <v>0.7104166666666667</v>
      </c>
      <c r="H3874" s="27">
        <f t="shared" si="2"/>
        <v>0.4208333333</v>
      </c>
      <c r="I3874" s="28">
        <v>2.0</v>
      </c>
      <c r="J3874" s="29" t="s">
        <v>1731</v>
      </c>
      <c r="K3874" s="30" t="s">
        <v>23</v>
      </c>
      <c r="L3874" s="31" t="str">
        <f>IFERROR(__xludf.DUMMYFUNCTION("IF(OR(E3874="""",K3874=""""),"""",IFERROR(IF(K3874="""","""",query('tbl user'!$A$2:$D10975,""SELECT A WHERE D = '""&amp;K3874&amp;""'"")),""USER TIDAK DIKETAHUI""))"),"#REF!")</f>
        <v>#REF!</v>
      </c>
    </row>
    <row r="3875">
      <c r="A3875" s="21">
        <f t="shared" si="1"/>
        <v>0</v>
      </c>
      <c r="B3875" s="32" t="s">
        <v>238</v>
      </c>
      <c r="C3875" s="23" t="s">
        <v>239</v>
      </c>
      <c r="D3875" s="23" t="s">
        <v>21</v>
      </c>
      <c r="E3875" s="24">
        <v>45453.0</v>
      </c>
      <c r="F3875" s="25">
        <v>0.27152777777777776</v>
      </c>
      <c r="G3875" s="25">
        <v>0.7708333333333334</v>
      </c>
      <c r="H3875" s="27">
        <f t="shared" si="2"/>
        <v>0.4993055556</v>
      </c>
      <c r="I3875" s="28">
        <v>3.0</v>
      </c>
      <c r="J3875" s="29" t="s">
        <v>1731</v>
      </c>
      <c r="K3875" s="30" t="s">
        <v>23</v>
      </c>
      <c r="L3875" s="31" t="str">
        <f>IFERROR(__xludf.DUMMYFUNCTION("IF(OR(E3875="""",K3875=""""),"""",IFERROR(IF(K3875="""","""",query('tbl user'!$A$2:$D10975,""SELECT A WHERE D = '""&amp;K3875&amp;""'"")),""USER TIDAK DIKETAHUI""))"),"#REF!")</f>
        <v>#REF!</v>
      </c>
    </row>
    <row r="3876">
      <c r="A3876" s="21">
        <f t="shared" si="1"/>
        <v>0</v>
      </c>
      <c r="B3876" s="32" t="s">
        <v>81</v>
      </c>
      <c r="C3876" s="23" t="s">
        <v>62</v>
      </c>
      <c r="D3876" s="23" t="s">
        <v>21</v>
      </c>
      <c r="E3876" s="24">
        <v>45453.0</v>
      </c>
      <c r="F3876" s="25">
        <v>0.2465277777777778</v>
      </c>
      <c r="G3876" s="25">
        <v>0.7354166666666667</v>
      </c>
      <c r="H3876" s="27">
        <f t="shared" si="2"/>
        <v>0.4888888889</v>
      </c>
      <c r="I3876" s="28">
        <v>3.0</v>
      </c>
      <c r="J3876" s="29" t="s">
        <v>1731</v>
      </c>
      <c r="K3876" s="30" t="s">
        <v>23</v>
      </c>
      <c r="L3876" s="31" t="str">
        <f>IFERROR(__xludf.DUMMYFUNCTION("IF(OR(E3876="""",K3876=""""),"""",IFERROR(IF(K3876="""","""",query('tbl user'!$A$2:$D10975,""SELECT A WHERE D = '""&amp;K3876&amp;""'"")),""USER TIDAK DIKETAHUI""))"),"#REF!")</f>
        <v>#REF!</v>
      </c>
    </row>
    <row r="3877">
      <c r="A3877" s="21">
        <f t="shared" si="1"/>
        <v>0</v>
      </c>
      <c r="B3877" s="32" t="s">
        <v>593</v>
      </c>
      <c r="C3877" s="23" t="s">
        <v>236</v>
      </c>
      <c r="D3877" s="23" t="s">
        <v>21</v>
      </c>
      <c r="E3877" s="24">
        <v>45453.0</v>
      </c>
      <c r="F3877" s="25">
        <v>0.24305555555555555</v>
      </c>
      <c r="G3877" s="25">
        <v>0.7694444444444445</v>
      </c>
      <c r="H3877" s="27">
        <f t="shared" si="2"/>
        <v>0.5263888889</v>
      </c>
      <c r="I3877" s="28">
        <v>3.0</v>
      </c>
      <c r="J3877" s="29" t="s">
        <v>1731</v>
      </c>
      <c r="K3877" s="30" t="s">
        <v>23</v>
      </c>
      <c r="L3877" s="31" t="str">
        <f>IFERROR(__xludf.DUMMYFUNCTION("IF(OR(E3877="""",K3877=""""),"""",IFERROR(IF(K3877="""","""",query('tbl user'!$A$2:$D10975,""SELECT A WHERE D = '""&amp;K3877&amp;""'"")),""USER TIDAK DIKETAHUI""))"),"#REF!")</f>
        <v>#REF!</v>
      </c>
    </row>
    <row r="3878">
      <c r="A3878" s="21">
        <f t="shared" si="1"/>
        <v>0</v>
      </c>
      <c r="B3878" s="32" t="s">
        <v>87</v>
      </c>
      <c r="C3878" s="23" t="s">
        <v>88</v>
      </c>
      <c r="D3878" s="23" t="s">
        <v>21</v>
      </c>
      <c r="E3878" s="24">
        <v>45453.0</v>
      </c>
      <c r="F3878" s="25">
        <v>0.2513888888888889</v>
      </c>
      <c r="G3878" s="25">
        <v>0.7381944444444445</v>
      </c>
      <c r="H3878" s="27">
        <f t="shared" si="2"/>
        <v>0.4868055556</v>
      </c>
      <c r="I3878" s="28">
        <v>3.0</v>
      </c>
      <c r="J3878" s="29" t="s">
        <v>1731</v>
      </c>
      <c r="K3878" s="30" t="s">
        <v>23</v>
      </c>
      <c r="L3878" s="31" t="str">
        <f>IFERROR(__xludf.DUMMYFUNCTION("IF(OR(E3878="""",K3878=""""),"""",IFERROR(IF(K3878="""","""",query('tbl user'!$A$2:$D10975,""SELECT A WHERE D = '""&amp;K3878&amp;""'"")),""USER TIDAK DIKETAHUI""))"),"#REF!")</f>
        <v>#REF!</v>
      </c>
    </row>
    <row r="3879">
      <c r="A3879" s="21">
        <f t="shared" si="1"/>
        <v>0</v>
      </c>
      <c r="B3879" s="32" t="s">
        <v>337</v>
      </c>
      <c r="C3879" s="23" t="s">
        <v>338</v>
      </c>
      <c r="D3879" s="23" t="s">
        <v>21</v>
      </c>
      <c r="E3879" s="24">
        <v>45453.0</v>
      </c>
      <c r="F3879" s="25">
        <v>0.25277777777777777</v>
      </c>
      <c r="G3879" s="25">
        <v>0.7645833333333333</v>
      </c>
      <c r="H3879" s="27">
        <f t="shared" si="2"/>
        <v>0.5118055556</v>
      </c>
      <c r="I3879" s="28">
        <v>3.0</v>
      </c>
      <c r="J3879" s="29" t="s">
        <v>1731</v>
      </c>
      <c r="K3879" s="30" t="s">
        <v>23</v>
      </c>
      <c r="L3879" s="31" t="str">
        <f>IFERROR(__xludf.DUMMYFUNCTION("IF(OR(E3879="""",K3879=""""),"""",IFERROR(IF(K3879="""","""",query('tbl user'!$A$2:$D10975,""SELECT A WHERE D = '""&amp;K3879&amp;""'"")),""USER TIDAK DIKETAHUI""))"),"#REF!")</f>
        <v>#REF!</v>
      </c>
    </row>
    <row r="3880">
      <c r="A3880" s="21">
        <f t="shared" si="1"/>
        <v>0</v>
      </c>
      <c r="B3880" s="32" t="s">
        <v>260</v>
      </c>
      <c r="C3880" s="23" t="s">
        <v>261</v>
      </c>
      <c r="D3880" s="23" t="s">
        <v>21</v>
      </c>
      <c r="E3880" s="24">
        <v>45453.0</v>
      </c>
      <c r="F3880" s="25">
        <v>0.2534722222222222</v>
      </c>
      <c r="G3880" s="25">
        <v>0.7291666666666666</v>
      </c>
      <c r="H3880" s="27">
        <f t="shared" si="2"/>
        <v>0.4756944444</v>
      </c>
      <c r="I3880" s="28">
        <v>3.0</v>
      </c>
      <c r="J3880" s="29" t="s">
        <v>1731</v>
      </c>
      <c r="K3880" s="30" t="s">
        <v>23</v>
      </c>
      <c r="L3880" s="31" t="str">
        <f>IFERROR(__xludf.DUMMYFUNCTION("IF(OR(E3880="""",K3880=""""),"""",IFERROR(IF(K3880="""","""",query('tbl user'!$A$2:$D10975,""SELECT A WHERE D = '""&amp;K3880&amp;""'"")),""USER TIDAK DIKETAHUI""))"),"#REF!")</f>
        <v>#REF!</v>
      </c>
    </row>
    <row r="3881">
      <c r="A3881" s="21">
        <f t="shared" si="1"/>
        <v>0</v>
      </c>
      <c r="B3881" s="32" t="s">
        <v>118</v>
      </c>
      <c r="C3881" s="23" t="s">
        <v>119</v>
      </c>
      <c r="D3881" s="23" t="s">
        <v>32</v>
      </c>
      <c r="E3881" s="24">
        <v>45453.0</v>
      </c>
      <c r="F3881" s="25">
        <v>0.23472222222222222</v>
      </c>
      <c r="G3881" s="25">
        <v>0.47847222222222224</v>
      </c>
      <c r="H3881" s="27">
        <f t="shared" si="2"/>
        <v>0.24375</v>
      </c>
      <c r="I3881" s="28">
        <v>1.0</v>
      </c>
      <c r="J3881" s="29" t="s">
        <v>1738</v>
      </c>
      <c r="K3881" s="30" t="s">
        <v>23</v>
      </c>
      <c r="L3881" s="31" t="str">
        <f>IFERROR(__xludf.DUMMYFUNCTION("IF(OR(E3881="""",K3881=""""),"""",IFERROR(IF(K3881="""","""",query('tbl user'!$A$2:$D10975,""SELECT A WHERE D = '""&amp;K3881&amp;""'"")),""USER TIDAK DIKETAHUI""))"),"#REF!")</f>
        <v>#REF!</v>
      </c>
    </row>
    <row r="3882">
      <c r="A3882" s="21">
        <f t="shared" si="1"/>
        <v>0</v>
      </c>
      <c r="B3882" s="32" t="s">
        <v>115</v>
      </c>
      <c r="C3882" s="23" t="s">
        <v>116</v>
      </c>
      <c r="D3882" s="23" t="s">
        <v>32</v>
      </c>
      <c r="E3882" s="24">
        <v>45453.0</v>
      </c>
      <c r="F3882" s="25">
        <v>0.2875</v>
      </c>
      <c r="G3882" s="25">
        <v>0.6597222222222222</v>
      </c>
      <c r="H3882" s="27">
        <f t="shared" si="2"/>
        <v>0.3722222222</v>
      </c>
      <c r="I3882" s="28">
        <v>2.0</v>
      </c>
      <c r="J3882" s="29" t="s">
        <v>1739</v>
      </c>
      <c r="K3882" s="30" t="s">
        <v>23</v>
      </c>
      <c r="L3882" s="31" t="str">
        <f>IFERROR(__xludf.DUMMYFUNCTION("IF(OR(E3882="""",K3882=""""),"""",IFERROR(IF(K3882="""","""",query('tbl user'!$A$2:$D10975,""SELECT A WHERE D = '""&amp;K3882&amp;""'"")),""USER TIDAK DIKETAHUI""))"),"#REF!")</f>
        <v>#REF!</v>
      </c>
    </row>
    <row r="3883">
      <c r="A3883" s="21">
        <f t="shared" si="1"/>
        <v>0</v>
      </c>
      <c r="B3883" s="32" t="s">
        <v>75</v>
      </c>
      <c r="C3883" s="23" t="s">
        <v>76</v>
      </c>
      <c r="D3883" s="23" t="s">
        <v>32</v>
      </c>
      <c r="E3883" s="24">
        <v>45453.0</v>
      </c>
      <c r="F3883" s="25">
        <v>0.25416666666666665</v>
      </c>
      <c r="G3883" s="25">
        <v>0.7659722222222223</v>
      </c>
      <c r="H3883" s="27">
        <f t="shared" si="2"/>
        <v>0.5118055556</v>
      </c>
      <c r="I3883" s="28">
        <v>2.0</v>
      </c>
      <c r="J3883" s="29" t="s">
        <v>1740</v>
      </c>
      <c r="K3883" s="30" t="s">
        <v>23</v>
      </c>
      <c r="L3883" s="31" t="str">
        <f>IFERROR(__xludf.DUMMYFUNCTION("IF(OR(E3883="""",K3883=""""),"""",IFERROR(IF(K3883="""","""",query('tbl user'!$A$2:$D10975,""SELECT A WHERE D = '""&amp;K3883&amp;""'"")),""USER TIDAK DIKETAHUI""))"),"#REF!")</f>
        <v>#REF!</v>
      </c>
    </row>
    <row r="3884">
      <c r="A3884" s="21">
        <f t="shared" si="1"/>
        <v>0</v>
      </c>
      <c r="B3884" s="32" t="s">
        <v>123</v>
      </c>
      <c r="C3884" s="23" t="s">
        <v>124</v>
      </c>
      <c r="D3884" s="23" t="s">
        <v>32</v>
      </c>
      <c r="E3884" s="24">
        <v>45453.0</v>
      </c>
      <c r="F3884" s="25">
        <v>0.25</v>
      </c>
      <c r="G3884" s="25">
        <v>0.5715277777777777</v>
      </c>
      <c r="H3884" s="27">
        <f t="shared" si="2"/>
        <v>0.3215277778</v>
      </c>
      <c r="I3884" s="28">
        <v>2.0</v>
      </c>
      <c r="J3884" s="29" t="s">
        <v>1741</v>
      </c>
      <c r="K3884" s="30" t="s">
        <v>23</v>
      </c>
      <c r="L3884" s="31" t="str">
        <f>IFERROR(__xludf.DUMMYFUNCTION("IF(OR(E3884="""",K3884=""""),"""",IFERROR(IF(K3884="""","""",query('tbl user'!$A$2:$D10975,""SELECT A WHERE D = '""&amp;K3884&amp;""'"")),""USER TIDAK DIKETAHUI""))"),"#REF!")</f>
        <v>#REF!</v>
      </c>
    </row>
    <row r="3885">
      <c r="A3885" s="21">
        <f t="shared" si="1"/>
        <v>0</v>
      </c>
      <c r="B3885" s="32" t="s">
        <v>72</v>
      </c>
      <c r="C3885" s="23" t="s">
        <v>73</v>
      </c>
      <c r="D3885" s="23" t="s">
        <v>32</v>
      </c>
      <c r="E3885" s="24">
        <v>45453.0</v>
      </c>
      <c r="F3885" s="25">
        <v>0.2902777777777778</v>
      </c>
      <c r="G3885" s="25">
        <v>0.775</v>
      </c>
      <c r="H3885" s="27">
        <f t="shared" si="2"/>
        <v>0.4847222222</v>
      </c>
      <c r="I3885" s="28">
        <v>2.0</v>
      </c>
      <c r="J3885" s="29" t="s">
        <v>1742</v>
      </c>
      <c r="K3885" s="30" t="s">
        <v>23</v>
      </c>
      <c r="L3885" s="31" t="str">
        <f>IFERROR(__xludf.DUMMYFUNCTION("IF(OR(E3885="""",K3885=""""),"""",IFERROR(IF(K3885="""","""",query('tbl user'!$A$2:$D10975,""SELECT A WHERE D = '""&amp;K3885&amp;""'"")),""USER TIDAK DIKETAHUI""))"),"#REF!")</f>
        <v>#REF!</v>
      </c>
    </row>
    <row r="3886">
      <c r="A3886" s="21">
        <f t="shared" si="1"/>
        <v>0</v>
      </c>
      <c r="B3886" s="32" t="s">
        <v>141</v>
      </c>
      <c r="C3886" s="23" t="s">
        <v>142</v>
      </c>
      <c r="D3886" s="23" t="s">
        <v>32</v>
      </c>
      <c r="E3886" s="24">
        <v>45453.0</v>
      </c>
      <c r="F3886" s="25">
        <v>0.26458333333333334</v>
      </c>
      <c r="G3886" s="25">
        <v>0.4791666666666667</v>
      </c>
      <c r="H3886" s="27">
        <f t="shared" si="2"/>
        <v>0.2145833333</v>
      </c>
      <c r="I3886" s="28">
        <v>2.0</v>
      </c>
      <c r="J3886" s="29" t="s">
        <v>1743</v>
      </c>
      <c r="K3886" s="30" t="s">
        <v>23</v>
      </c>
      <c r="L3886" s="31" t="str">
        <f>IFERROR(__xludf.DUMMYFUNCTION("IF(OR(E3886="""",K3886=""""),"""",IFERROR(IF(K3886="""","""",query('tbl user'!$A$2:$D10975,""SELECT A WHERE D = '""&amp;K3886&amp;""'"")),""USER TIDAK DIKETAHUI""))"),"#REF!")</f>
        <v>#REF!</v>
      </c>
    </row>
    <row r="3887">
      <c r="A3887" s="21">
        <f t="shared" si="1"/>
        <v>0</v>
      </c>
      <c r="B3887" s="32" t="s">
        <v>412</v>
      </c>
      <c r="C3887" s="23" t="s">
        <v>413</v>
      </c>
      <c r="D3887" s="23" t="s">
        <v>32</v>
      </c>
      <c r="E3887" s="24">
        <v>45453.0</v>
      </c>
      <c r="F3887" s="25">
        <v>0.2881944444444444</v>
      </c>
      <c r="G3887" s="25">
        <v>0.6680555555555555</v>
      </c>
      <c r="H3887" s="27">
        <f t="shared" si="2"/>
        <v>0.3798611111</v>
      </c>
      <c r="I3887" s="28">
        <v>3.0</v>
      </c>
      <c r="J3887" s="29" t="s">
        <v>1744</v>
      </c>
      <c r="K3887" s="30" t="s">
        <v>23</v>
      </c>
      <c r="L3887" s="31" t="str">
        <f>IFERROR(__xludf.DUMMYFUNCTION("IF(OR(E3887="""",K3887=""""),"""",IFERROR(IF(K3887="""","""",query('tbl user'!$A$2:$D10975,""SELECT A WHERE D = '""&amp;K3887&amp;""'"")),""USER TIDAK DIKETAHUI""))"),"#REF!")</f>
        <v>#REF!</v>
      </c>
    </row>
    <row r="3888">
      <c r="A3888" s="21">
        <f t="shared" si="1"/>
        <v>0</v>
      </c>
      <c r="B3888" s="32" t="s">
        <v>110</v>
      </c>
      <c r="C3888" s="23" t="s">
        <v>111</v>
      </c>
      <c r="D3888" s="23" t="s">
        <v>32</v>
      </c>
      <c r="E3888" s="24">
        <v>45453.0</v>
      </c>
      <c r="F3888" s="25">
        <v>0.2847222222222222</v>
      </c>
      <c r="G3888" s="25">
        <v>0.6368055555555555</v>
      </c>
      <c r="H3888" s="27">
        <f t="shared" si="2"/>
        <v>0.3520833333</v>
      </c>
      <c r="I3888" s="28">
        <v>3.0</v>
      </c>
      <c r="J3888" s="29" t="s">
        <v>1745</v>
      </c>
      <c r="K3888" s="30" t="s">
        <v>23</v>
      </c>
      <c r="L3888" s="31" t="str">
        <f>IFERROR(__xludf.DUMMYFUNCTION("IF(OR(E3888="""",K3888=""""),"""",IFERROR(IF(K3888="""","""",query('tbl user'!$A$2:$D10975,""SELECT A WHERE D = '""&amp;K3888&amp;""'"")),""USER TIDAK DIKETAHUI""))"),"#REF!")</f>
        <v>#REF!</v>
      </c>
    </row>
    <row r="3889">
      <c r="A3889" s="21">
        <f t="shared" si="1"/>
        <v>0</v>
      </c>
      <c r="B3889" s="32" t="s">
        <v>46</v>
      </c>
      <c r="C3889" s="23" t="s">
        <v>47</v>
      </c>
      <c r="D3889" s="23" t="s">
        <v>32</v>
      </c>
      <c r="E3889" s="24">
        <v>45453.0</v>
      </c>
      <c r="F3889" s="25">
        <v>0.2708333333333333</v>
      </c>
      <c r="G3889" s="25">
        <v>0.6923611111111111</v>
      </c>
      <c r="H3889" s="27">
        <f t="shared" si="2"/>
        <v>0.4215277778</v>
      </c>
      <c r="I3889" s="28">
        <v>3.0</v>
      </c>
      <c r="J3889" s="29" t="s">
        <v>1746</v>
      </c>
      <c r="K3889" s="30" t="s">
        <v>23</v>
      </c>
      <c r="L3889" s="31" t="str">
        <f>IFERROR(__xludf.DUMMYFUNCTION("IF(OR(E3889="""",K3889=""""),"""",IFERROR(IF(K3889="""","""",query('tbl user'!$A$2:$D10975,""SELECT A WHERE D = '""&amp;K3889&amp;""'"")),""USER TIDAK DIKETAHUI""))"),"#REF!")</f>
        <v>#REF!</v>
      </c>
    </row>
    <row r="3890">
      <c r="A3890" s="21">
        <f t="shared" si="1"/>
        <v>0</v>
      </c>
      <c r="B3890" s="32" t="s">
        <v>120</v>
      </c>
      <c r="C3890" s="23" t="s">
        <v>121</v>
      </c>
      <c r="D3890" s="23" t="s">
        <v>32</v>
      </c>
      <c r="E3890" s="24">
        <v>45453.0</v>
      </c>
      <c r="F3890" s="25">
        <v>0.26944444444444443</v>
      </c>
      <c r="G3890" s="25">
        <v>0.7180555555555556</v>
      </c>
      <c r="H3890" s="27">
        <f t="shared" si="2"/>
        <v>0.4486111111</v>
      </c>
      <c r="I3890" s="28">
        <v>3.0</v>
      </c>
      <c r="J3890" s="29" t="s">
        <v>1747</v>
      </c>
      <c r="K3890" s="30" t="s">
        <v>23</v>
      </c>
      <c r="L3890" s="31" t="str">
        <f>IFERROR(__xludf.DUMMYFUNCTION("IF(OR(E3890="""",K3890=""""),"""",IFERROR(IF(K3890="""","""",query('tbl user'!$A$2:$D10975,""SELECT A WHERE D = '""&amp;K3890&amp;""'"")),""USER TIDAK DIKETAHUI""))"),"#REF!")</f>
        <v>#REF!</v>
      </c>
    </row>
    <row r="3891">
      <c r="A3891" s="21">
        <f t="shared" si="1"/>
        <v>0</v>
      </c>
      <c r="B3891" s="32" t="s">
        <v>125</v>
      </c>
      <c r="C3891" s="23" t="s">
        <v>126</v>
      </c>
      <c r="D3891" s="23" t="s">
        <v>32</v>
      </c>
      <c r="E3891" s="24">
        <v>45453.0</v>
      </c>
      <c r="F3891" s="25">
        <v>0.2916666666666667</v>
      </c>
      <c r="G3891" s="25">
        <v>0.6986111111111111</v>
      </c>
      <c r="H3891" s="27">
        <f t="shared" si="2"/>
        <v>0.4069444444</v>
      </c>
      <c r="I3891" s="28">
        <v>3.0</v>
      </c>
      <c r="J3891" s="29" t="s">
        <v>1748</v>
      </c>
      <c r="K3891" s="30" t="s">
        <v>23</v>
      </c>
      <c r="L3891" s="31" t="str">
        <f>IFERROR(__xludf.DUMMYFUNCTION("IF(OR(E3891="""",K3891=""""),"""",IFERROR(IF(K3891="""","""",query('tbl user'!$A$2:$D10975,""SELECT A WHERE D = '""&amp;K3891&amp;""'"")),""USER TIDAK DIKETAHUI""))"),"#REF!")</f>
        <v>#REF!</v>
      </c>
    </row>
    <row r="3892">
      <c r="A3892" s="21">
        <f t="shared" si="1"/>
        <v>0</v>
      </c>
      <c r="B3892" s="32" t="s">
        <v>127</v>
      </c>
      <c r="C3892" s="23" t="s">
        <v>128</v>
      </c>
      <c r="D3892" s="23" t="s">
        <v>32</v>
      </c>
      <c r="E3892" s="24">
        <v>45453.0</v>
      </c>
      <c r="F3892" s="25">
        <v>0.2861111111111111</v>
      </c>
      <c r="G3892" s="25">
        <v>0.6416666666666667</v>
      </c>
      <c r="H3892" s="27">
        <f t="shared" si="2"/>
        <v>0.3555555556</v>
      </c>
      <c r="I3892" s="28">
        <v>3.0</v>
      </c>
      <c r="J3892" s="29" t="s">
        <v>1744</v>
      </c>
      <c r="K3892" s="30" t="s">
        <v>23</v>
      </c>
      <c r="L3892" s="31" t="str">
        <f>IFERROR(__xludf.DUMMYFUNCTION("IF(OR(E3892="""",K3892=""""),"""",IFERROR(IF(K3892="""","""",query('tbl user'!$A$2:$D10975,""SELECT A WHERE D = '""&amp;K3892&amp;""'"")),""USER TIDAK DIKETAHUI""))"),"#REF!")</f>
        <v>#REF!</v>
      </c>
    </row>
    <row r="3893">
      <c r="A3893" s="21">
        <f t="shared" si="1"/>
        <v>0</v>
      </c>
      <c r="B3893" s="32" t="s">
        <v>131</v>
      </c>
      <c r="C3893" s="23" t="s">
        <v>132</v>
      </c>
      <c r="D3893" s="23" t="s">
        <v>32</v>
      </c>
      <c r="E3893" s="24">
        <v>45453.0</v>
      </c>
      <c r="F3893" s="25">
        <v>0.23402777777777778</v>
      </c>
      <c r="G3893" s="25">
        <v>0.6979166666666666</v>
      </c>
      <c r="H3893" s="27">
        <f t="shared" si="2"/>
        <v>0.4638888889</v>
      </c>
      <c r="I3893" s="28">
        <v>3.0</v>
      </c>
      <c r="J3893" s="29" t="s">
        <v>218</v>
      </c>
      <c r="K3893" s="30" t="s">
        <v>23</v>
      </c>
      <c r="L3893" s="31" t="str">
        <f>IFERROR(__xludf.DUMMYFUNCTION("IF(OR(E3893="""",K3893=""""),"""",IFERROR(IF(K3893="""","""",query('tbl user'!$A$2:$D10975,""SELECT A WHERE D = '""&amp;K3893&amp;""'"")),""USER TIDAK DIKETAHUI""))"),"#REF!")</f>
        <v>#REF!</v>
      </c>
    </row>
    <row r="3894">
      <c r="A3894" s="21">
        <f t="shared" si="1"/>
        <v>0</v>
      </c>
      <c r="B3894" s="32" t="s">
        <v>133</v>
      </c>
      <c r="C3894" s="23" t="s">
        <v>134</v>
      </c>
      <c r="D3894" s="23" t="s">
        <v>32</v>
      </c>
      <c r="E3894" s="24">
        <v>45453.0</v>
      </c>
      <c r="F3894" s="25">
        <v>0.21875</v>
      </c>
      <c r="G3894" s="25">
        <v>0.6777777777777778</v>
      </c>
      <c r="H3894" s="27">
        <f t="shared" si="2"/>
        <v>0.4590277778</v>
      </c>
      <c r="I3894" s="28">
        <v>3.0</v>
      </c>
      <c r="J3894" s="29" t="s">
        <v>1744</v>
      </c>
      <c r="K3894" s="30" t="s">
        <v>23</v>
      </c>
      <c r="L3894" s="31" t="str">
        <f>IFERROR(__xludf.DUMMYFUNCTION("IF(OR(E3894="""",K3894=""""),"""",IFERROR(IF(K3894="""","""",query('tbl user'!$A$2:$D10975,""SELECT A WHERE D = '""&amp;K3894&amp;""'"")),""USER TIDAK DIKETAHUI""))"),"#REF!")</f>
        <v>#REF!</v>
      </c>
    </row>
    <row r="3895">
      <c r="A3895" s="21">
        <f t="shared" si="1"/>
        <v>0</v>
      </c>
      <c r="B3895" s="32" t="s">
        <v>139</v>
      </c>
      <c r="C3895" s="23" t="s">
        <v>96</v>
      </c>
      <c r="D3895" s="23" t="s">
        <v>32</v>
      </c>
      <c r="E3895" s="24">
        <v>45453.0</v>
      </c>
      <c r="F3895" s="25">
        <v>0.20416666666666666</v>
      </c>
      <c r="G3895" s="25">
        <v>0.7076388888888889</v>
      </c>
      <c r="H3895" s="27">
        <f t="shared" si="2"/>
        <v>0.5034722222</v>
      </c>
      <c r="I3895" s="28">
        <v>3.0</v>
      </c>
      <c r="J3895" s="29" t="s">
        <v>1749</v>
      </c>
      <c r="K3895" s="30" t="s">
        <v>23</v>
      </c>
      <c r="L3895" s="31" t="str">
        <f>IFERROR(__xludf.DUMMYFUNCTION("IF(OR(E3895="""",K3895=""""),"""",IFERROR(IF(K3895="""","""",query('tbl user'!$A$2:$D10975,""SELECT A WHERE D = '""&amp;K3895&amp;""'"")),""USER TIDAK DIKETAHUI""))"),"#REF!")</f>
        <v>#REF!</v>
      </c>
    </row>
    <row r="3896">
      <c r="A3896" s="21">
        <f t="shared" si="1"/>
        <v>0</v>
      </c>
      <c r="B3896" s="32" t="s">
        <v>363</v>
      </c>
      <c r="C3896" s="23" t="s">
        <v>268</v>
      </c>
      <c r="D3896" s="23" t="s">
        <v>32</v>
      </c>
      <c r="E3896" s="24">
        <v>45453.0</v>
      </c>
      <c r="F3896" s="25">
        <v>0.28958333333333336</v>
      </c>
      <c r="G3896" s="25">
        <v>0.6493055555555556</v>
      </c>
      <c r="H3896" s="27">
        <f t="shared" si="2"/>
        <v>0.3597222222</v>
      </c>
      <c r="I3896" s="28">
        <v>3.0</v>
      </c>
      <c r="J3896" s="29" t="s">
        <v>1744</v>
      </c>
      <c r="K3896" s="30" t="s">
        <v>23</v>
      </c>
      <c r="L3896" s="31" t="str">
        <f>IFERROR(__xludf.DUMMYFUNCTION("IF(OR(E3896="""",K3896=""""),"""",IFERROR(IF(K3896="""","""",query('tbl user'!$A$2:$D10975,""SELECT A WHERE D = '""&amp;K3896&amp;""'"")),""USER TIDAK DIKETAHUI""))"),"#REF!")</f>
        <v>#REF!</v>
      </c>
    </row>
    <row r="3897">
      <c r="A3897" s="21">
        <f t="shared" si="1"/>
        <v>0</v>
      </c>
      <c r="B3897" s="32" t="s">
        <v>269</v>
      </c>
      <c r="C3897" s="23" t="s">
        <v>270</v>
      </c>
      <c r="D3897" s="23" t="s">
        <v>32</v>
      </c>
      <c r="E3897" s="24">
        <v>45453.0</v>
      </c>
      <c r="F3897" s="25">
        <v>0.27152777777777776</v>
      </c>
      <c r="G3897" s="25">
        <v>0.6111111111111112</v>
      </c>
      <c r="H3897" s="27">
        <f t="shared" si="2"/>
        <v>0.3395833333</v>
      </c>
      <c r="I3897" s="28">
        <v>3.0</v>
      </c>
      <c r="J3897" s="29" t="s">
        <v>1750</v>
      </c>
      <c r="K3897" s="30" t="s">
        <v>23</v>
      </c>
      <c r="L3897" s="31" t="str">
        <f>IFERROR(__xludf.DUMMYFUNCTION("IF(OR(E3897="""",K3897=""""),"""",IFERROR(IF(K3897="""","""",query('tbl user'!$A$2:$D10975,""SELECT A WHERE D = '""&amp;K3897&amp;""'"")),""USER TIDAK DIKETAHUI""))"),"#REF!")</f>
        <v>#REF!</v>
      </c>
    </row>
    <row r="3898">
      <c r="A3898" s="21">
        <f t="shared" si="1"/>
        <v>0</v>
      </c>
      <c r="B3898" s="32" t="s">
        <v>277</v>
      </c>
      <c r="C3898" s="23" t="s">
        <v>278</v>
      </c>
      <c r="D3898" s="23" t="s">
        <v>32</v>
      </c>
      <c r="E3898" s="24">
        <v>45453.0</v>
      </c>
      <c r="F3898" s="25">
        <v>0.29097222222222224</v>
      </c>
      <c r="G3898" s="25">
        <v>0.6472222222222223</v>
      </c>
      <c r="H3898" s="27">
        <f t="shared" si="2"/>
        <v>0.35625</v>
      </c>
      <c r="I3898" s="28">
        <v>3.0</v>
      </c>
      <c r="J3898" s="29" t="s">
        <v>1751</v>
      </c>
      <c r="K3898" s="30" t="s">
        <v>23</v>
      </c>
      <c r="L3898" s="31" t="str">
        <f>IFERROR(__xludf.DUMMYFUNCTION("IF(OR(E3898="""",K3898=""""),"""",IFERROR(IF(K3898="""","""",query('tbl user'!$A$2:$D10975,""SELECT A WHERE D = '""&amp;K3898&amp;""'"")),""USER TIDAK DIKETAHUI""))"),"#REF!")</f>
        <v>#REF!</v>
      </c>
    </row>
    <row r="3899">
      <c r="A3899" s="21">
        <f t="shared" si="1"/>
        <v>0</v>
      </c>
      <c r="B3899" s="32" t="s">
        <v>250</v>
      </c>
      <c r="C3899" s="23" t="s">
        <v>315</v>
      </c>
      <c r="D3899" s="23" t="s">
        <v>32</v>
      </c>
      <c r="E3899" s="24">
        <v>45453.0</v>
      </c>
      <c r="F3899" s="25">
        <v>0.2708333333333333</v>
      </c>
      <c r="G3899" s="25">
        <v>0.7256944444444444</v>
      </c>
      <c r="H3899" s="27">
        <f t="shared" si="2"/>
        <v>0.4548611111</v>
      </c>
      <c r="I3899" s="28">
        <v>4.0</v>
      </c>
      <c r="J3899" s="29" t="s">
        <v>55</v>
      </c>
      <c r="K3899" s="30" t="s">
        <v>23</v>
      </c>
      <c r="L3899" s="31" t="str">
        <f>IFERROR(__xludf.DUMMYFUNCTION("IF(OR(E3899="""",K3899=""""),"""",IFERROR(IF(K3899="""","""",query('tbl user'!$A$2:$D10975,""SELECT A WHERE D = '""&amp;K3899&amp;""'"")),""USER TIDAK DIKETAHUI""))"),"#REF!")</f>
        <v>#REF!</v>
      </c>
    </row>
    <row r="3900">
      <c r="A3900" s="21">
        <f t="shared" si="1"/>
        <v>0</v>
      </c>
      <c r="B3900" s="32" t="s">
        <v>113</v>
      </c>
      <c r="C3900" s="23" t="s">
        <v>114</v>
      </c>
      <c r="D3900" s="23" t="s">
        <v>32</v>
      </c>
      <c r="E3900" s="24">
        <v>45453.0</v>
      </c>
      <c r="F3900" s="25">
        <v>0.20347222222222222</v>
      </c>
      <c r="G3900" s="25">
        <v>0.6548611111111111</v>
      </c>
      <c r="H3900" s="27">
        <f t="shared" si="2"/>
        <v>0.4513888889</v>
      </c>
      <c r="I3900" s="28">
        <v>4.0</v>
      </c>
      <c r="J3900" s="29" t="s">
        <v>55</v>
      </c>
      <c r="K3900" s="30" t="s">
        <v>23</v>
      </c>
      <c r="L3900" s="31" t="str">
        <f>IFERROR(__xludf.DUMMYFUNCTION("IF(OR(E3900="""",K3900=""""),"""",IFERROR(IF(K3900="""","""",query('tbl user'!$A$2:$D10975,""SELECT A WHERE D = '""&amp;K3900&amp;""'"")),""USER TIDAK DIKETAHUI""))"),"#REF!")</f>
        <v>#REF!</v>
      </c>
    </row>
    <row r="3901">
      <c r="A3901" s="21">
        <f t="shared" si="1"/>
        <v>0</v>
      </c>
      <c r="B3901" s="32" t="s">
        <v>263</v>
      </c>
      <c r="C3901" s="23" t="s">
        <v>264</v>
      </c>
      <c r="D3901" s="23" t="s">
        <v>32</v>
      </c>
      <c r="E3901" s="24">
        <v>45453.0</v>
      </c>
      <c r="F3901" s="25">
        <v>0.24513888888888888</v>
      </c>
      <c r="G3901" s="25">
        <v>0.6791666666666667</v>
      </c>
      <c r="H3901" s="27">
        <f t="shared" si="2"/>
        <v>0.4340277778</v>
      </c>
      <c r="I3901" s="28">
        <v>4.0</v>
      </c>
      <c r="J3901" s="29" t="s">
        <v>55</v>
      </c>
      <c r="K3901" s="30" t="s">
        <v>23</v>
      </c>
      <c r="L3901" s="31" t="str">
        <f>IFERROR(__xludf.DUMMYFUNCTION("IF(OR(E3901="""",K3901=""""),"""",IFERROR(IF(K3901="""","""",query('tbl user'!$A$2:$D10975,""SELECT A WHERE D = '""&amp;K3901&amp;""'"")),""USER TIDAK DIKETAHUI""))"),"#REF!")</f>
        <v>#REF!</v>
      </c>
    </row>
    <row r="3902">
      <c r="A3902" s="21">
        <f t="shared" si="1"/>
        <v>0</v>
      </c>
      <c r="B3902" s="32" t="s">
        <v>135</v>
      </c>
      <c r="C3902" s="23" t="s">
        <v>136</v>
      </c>
      <c r="D3902" s="23" t="s">
        <v>32</v>
      </c>
      <c r="E3902" s="24">
        <v>45453.0</v>
      </c>
      <c r="F3902" s="25">
        <v>0.27708333333333335</v>
      </c>
      <c r="G3902" s="25">
        <v>0.7006944444444444</v>
      </c>
      <c r="H3902" s="27">
        <f t="shared" si="2"/>
        <v>0.4236111111</v>
      </c>
      <c r="I3902" s="28">
        <v>4.0</v>
      </c>
      <c r="J3902" s="29" t="s">
        <v>55</v>
      </c>
      <c r="K3902" s="30" t="s">
        <v>23</v>
      </c>
      <c r="L3902" s="31" t="str">
        <f>IFERROR(__xludf.DUMMYFUNCTION("IF(OR(E3902="""",K3902=""""),"""",IFERROR(IF(K3902="""","""",query('tbl user'!$A$2:$D10975,""SELECT A WHERE D = '""&amp;K3902&amp;""'"")),""USER TIDAK DIKETAHUI""))"),"#REF!")</f>
        <v>#REF!</v>
      </c>
    </row>
    <row r="3903">
      <c r="A3903" s="21">
        <f t="shared" si="1"/>
        <v>0</v>
      </c>
      <c r="B3903" s="32" t="s">
        <v>30</v>
      </c>
      <c r="C3903" s="23" t="s">
        <v>31</v>
      </c>
      <c r="D3903" s="23" t="s">
        <v>32</v>
      </c>
      <c r="E3903" s="24">
        <v>45453.0</v>
      </c>
      <c r="F3903" s="25">
        <v>0.22013888888888888</v>
      </c>
      <c r="G3903" s="25">
        <v>0.6486111111111111</v>
      </c>
      <c r="H3903" s="27">
        <f t="shared" si="2"/>
        <v>0.4284722222</v>
      </c>
      <c r="I3903" s="28">
        <v>4.0</v>
      </c>
      <c r="J3903" s="29" t="s">
        <v>55</v>
      </c>
      <c r="K3903" s="30" t="s">
        <v>23</v>
      </c>
      <c r="L3903" s="31" t="str">
        <f>IFERROR(__xludf.DUMMYFUNCTION("IF(OR(E3903="""",K3903=""""),"""",IFERROR(IF(K3903="""","""",query('tbl user'!$A$2:$D10975,""SELECT A WHERE D = '""&amp;K3903&amp;""'"")),""USER TIDAK DIKETAHUI""))"),"#REF!")</f>
        <v>#REF!</v>
      </c>
    </row>
    <row r="3904">
      <c r="A3904" s="21">
        <f t="shared" si="1"/>
        <v>0</v>
      </c>
      <c r="B3904" s="32" t="s">
        <v>312</v>
      </c>
      <c r="C3904" s="23" t="s">
        <v>313</v>
      </c>
      <c r="D3904" s="23" t="s">
        <v>32</v>
      </c>
      <c r="E3904" s="24">
        <v>45453.0</v>
      </c>
      <c r="F3904" s="25">
        <v>0.2534722222222222</v>
      </c>
      <c r="G3904" s="25">
        <v>0.6888888888888889</v>
      </c>
      <c r="H3904" s="27">
        <f t="shared" si="2"/>
        <v>0.4354166667</v>
      </c>
      <c r="I3904" s="28">
        <v>4.0</v>
      </c>
      <c r="J3904" s="29" t="s">
        <v>55</v>
      </c>
      <c r="K3904" s="30" t="s">
        <v>23</v>
      </c>
      <c r="L3904" s="31" t="str">
        <f>IFERROR(__xludf.DUMMYFUNCTION("IF(OR(E3904="""",K3904=""""),"""",IFERROR(IF(K3904="""","""",query('tbl user'!$A$2:$D10975,""SELECT A WHERE D = '""&amp;K3904&amp;""'"")),""USER TIDAK DIKETAHUI""))"),"#REF!")</f>
        <v>#REF!</v>
      </c>
    </row>
    <row r="3905">
      <c r="A3905" s="21">
        <f t="shared" si="1"/>
        <v>0</v>
      </c>
      <c r="B3905" s="32" t="s">
        <v>279</v>
      </c>
      <c r="C3905" s="23" t="s">
        <v>280</v>
      </c>
      <c r="D3905" s="23" t="s">
        <v>32</v>
      </c>
      <c r="E3905" s="24">
        <v>45453.0</v>
      </c>
      <c r="F3905" s="25">
        <v>0.25</v>
      </c>
      <c r="G3905" s="25">
        <v>0.6513888888888889</v>
      </c>
      <c r="H3905" s="27">
        <f t="shared" si="2"/>
        <v>0.4013888889</v>
      </c>
      <c r="I3905" s="28">
        <v>4.0</v>
      </c>
      <c r="J3905" s="29" t="s">
        <v>55</v>
      </c>
      <c r="K3905" s="30" t="s">
        <v>23</v>
      </c>
      <c r="L3905" s="31" t="str">
        <f>IFERROR(__xludf.DUMMYFUNCTION("IF(OR(E3905="""",K3905=""""),"""",IFERROR(IF(K3905="""","""",query('tbl user'!$A$2:$D10975,""SELECT A WHERE D = '""&amp;K3905&amp;""'"")),""USER TIDAK DIKETAHUI""))"),"#REF!")</f>
        <v>#REF!</v>
      </c>
    </row>
    <row r="3906">
      <c r="A3906" s="21">
        <f t="shared" si="1"/>
        <v>0</v>
      </c>
      <c r="B3906" s="32" t="s">
        <v>78</v>
      </c>
      <c r="C3906" s="23" t="s">
        <v>79</v>
      </c>
      <c r="D3906" s="23" t="s">
        <v>32</v>
      </c>
      <c r="E3906" s="24">
        <v>45453.0</v>
      </c>
      <c r="F3906" s="25">
        <v>0.25833333333333336</v>
      </c>
      <c r="G3906" s="25">
        <v>0.7076388888888889</v>
      </c>
      <c r="H3906" s="27">
        <f t="shared" si="2"/>
        <v>0.4493055556</v>
      </c>
      <c r="I3906" s="28">
        <v>4.0</v>
      </c>
      <c r="J3906" s="29" t="s">
        <v>55</v>
      </c>
      <c r="K3906" s="30" t="s">
        <v>23</v>
      </c>
      <c r="L3906" s="31" t="str">
        <f>IFERROR(__xludf.DUMMYFUNCTION("IF(OR(E3906="""",K3906=""""),"""",IFERROR(IF(K3906="""","""",query('tbl user'!$A$2:$D10975,""SELECT A WHERE D = '""&amp;K3906&amp;""'"")),""USER TIDAK DIKETAHUI""))"),"#REF!")</f>
        <v>#REF!</v>
      </c>
    </row>
    <row r="3907">
      <c r="A3907" s="21">
        <f t="shared" si="1"/>
        <v>0</v>
      </c>
      <c r="B3907" s="32" t="s">
        <v>209</v>
      </c>
      <c r="C3907" s="23" t="s">
        <v>57</v>
      </c>
      <c r="D3907" s="23" t="s">
        <v>58</v>
      </c>
      <c r="E3907" s="24">
        <v>45454.0</v>
      </c>
      <c r="F3907" s="25">
        <v>0.29097222222222224</v>
      </c>
      <c r="G3907" s="25">
        <v>0.5069444444444444</v>
      </c>
      <c r="H3907" s="27">
        <f t="shared" si="2"/>
        <v>0.2159722222</v>
      </c>
      <c r="I3907" s="28">
        <v>1.0</v>
      </c>
      <c r="J3907" s="29" t="s">
        <v>1752</v>
      </c>
      <c r="K3907" s="30" t="s">
        <v>23</v>
      </c>
      <c r="L3907" s="31" t="str">
        <f>IFERROR(__xludf.DUMMYFUNCTION("IF(OR(E3907="""",K3907=""""),"""",IFERROR(IF(K3907="""","""",query('tbl user'!$A$2:$D10975,""SELECT A WHERE D = '""&amp;K3907&amp;""'"")),""USER TIDAK DIKETAHUI""))"),"#REF!")</f>
        <v>#REF!</v>
      </c>
    </row>
    <row r="3908">
      <c r="A3908" s="21">
        <f t="shared" si="1"/>
        <v>0</v>
      </c>
      <c r="B3908" s="32" t="s">
        <v>194</v>
      </c>
      <c r="C3908" s="23" t="s">
        <v>195</v>
      </c>
      <c r="D3908" s="23" t="s">
        <v>58</v>
      </c>
      <c r="E3908" s="24">
        <v>45454.0</v>
      </c>
      <c r="F3908" s="25">
        <v>0.47708333333333336</v>
      </c>
      <c r="G3908" s="25">
        <v>0.6368055555555555</v>
      </c>
      <c r="H3908" s="27">
        <f t="shared" si="2"/>
        <v>0.1597222222</v>
      </c>
      <c r="I3908" s="28">
        <v>1.0</v>
      </c>
      <c r="J3908" s="29" t="s">
        <v>1753</v>
      </c>
      <c r="K3908" s="30" t="s">
        <v>23</v>
      </c>
      <c r="L3908" s="31" t="str">
        <f>IFERROR(__xludf.DUMMYFUNCTION("IF(OR(E3908="""",K3908=""""),"""",IFERROR(IF(K3908="""","""",query('tbl user'!$A$2:$D10975,""SELECT A WHERE D = '""&amp;K3908&amp;""'"")),""USER TIDAK DIKETAHUI""))"),"#REF!")</f>
        <v>#REF!</v>
      </c>
    </row>
    <row r="3909">
      <c r="A3909" s="21" t="str">
        <f t="shared" si="1"/>
        <v/>
      </c>
      <c r="B3909" s="35"/>
      <c r="C3909" s="23" t="s">
        <v>208</v>
      </c>
      <c r="D3909" s="23" t="s">
        <v>58</v>
      </c>
      <c r="E3909" s="24">
        <v>45454.0</v>
      </c>
      <c r="F3909" s="25">
        <v>0.4201388888888889</v>
      </c>
      <c r="G3909" s="25">
        <v>0.46111111111111114</v>
      </c>
      <c r="H3909" s="27">
        <f t="shared" si="2"/>
        <v>0.04097222222</v>
      </c>
      <c r="I3909" s="28">
        <v>1.0</v>
      </c>
      <c r="J3909" s="29" t="s">
        <v>1754</v>
      </c>
      <c r="K3909" s="30" t="s">
        <v>23</v>
      </c>
      <c r="L3909" s="31" t="str">
        <f>IFERROR(__xludf.DUMMYFUNCTION("IF(OR(E3909="""",K3909=""""),"""",IFERROR(IF(K3909="""","""",query('tbl user'!$A$2:$D10975,""SELECT A WHERE D = '""&amp;K3909&amp;""'"")),""USER TIDAK DIKETAHUI""))"),"#REF!")</f>
        <v>#REF!</v>
      </c>
    </row>
    <row r="3910">
      <c r="A3910" s="21">
        <f t="shared" si="1"/>
        <v>0</v>
      </c>
      <c r="B3910" s="32" t="s">
        <v>333</v>
      </c>
      <c r="C3910" s="23" t="s">
        <v>85</v>
      </c>
      <c r="D3910" s="23" t="s">
        <v>58</v>
      </c>
      <c r="E3910" s="24">
        <v>45454.0</v>
      </c>
      <c r="F3910" s="25">
        <v>0.4861111111111111</v>
      </c>
      <c r="G3910" s="25">
        <v>0.6527777777777778</v>
      </c>
      <c r="H3910" s="27">
        <f t="shared" si="2"/>
        <v>0.1666666667</v>
      </c>
      <c r="I3910" s="28">
        <v>1.0</v>
      </c>
      <c r="J3910" s="29" t="s">
        <v>1755</v>
      </c>
      <c r="K3910" s="30" t="s">
        <v>23</v>
      </c>
      <c r="L3910" s="31" t="str">
        <f>IFERROR(__xludf.DUMMYFUNCTION("IF(OR(E3910="""",K3910=""""),"""",IFERROR(IF(K3910="""","""",query('tbl user'!$A$2:$D10975,""SELECT A WHERE D = '""&amp;K3910&amp;""'"")),""USER TIDAK DIKETAHUI""))"),"#REF!")</f>
        <v>#REF!</v>
      </c>
    </row>
    <row r="3911">
      <c r="A3911" s="21">
        <f t="shared" si="1"/>
        <v>0</v>
      </c>
      <c r="B3911" s="32" t="s">
        <v>156</v>
      </c>
      <c r="C3911" s="23" t="s">
        <v>157</v>
      </c>
      <c r="D3911" s="23" t="s">
        <v>58</v>
      </c>
      <c r="E3911" s="24">
        <v>45454.0</v>
      </c>
      <c r="F3911" s="25">
        <v>0.26875</v>
      </c>
      <c r="G3911" s="25">
        <v>0.5604166666666667</v>
      </c>
      <c r="H3911" s="27">
        <f t="shared" si="2"/>
        <v>0.2916666667</v>
      </c>
      <c r="I3911" s="28">
        <v>2.0</v>
      </c>
      <c r="J3911" s="29" t="s">
        <v>1756</v>
      </c>
      <c r="K3911" s="30" t="s">
        <v>23</v>
      </c>
      <c r="L3911" s="31" t="str">
        <f>IFERROR(__xludf.DUMMYFUNCTION("IF(OR(E3911="""",K3911=""""),"""",IFERROR(IF(K3911="""","""",query('tbl user'!$A$2:$D10975,""SELECT A WHERE D = '""&amp;K3911&amp;""'"")),""USER TIDAK DIKETAHUI""))"),"#REF!")</f>
        <v>#REF!</v>
      </c>
    </row>
    <row r="3912">
      <c r="A3912" s="21">
        <f t="shared" si="1"/>
        <v>0</v>
      </c>
      <c r="B3912" s="32" t="s">
        <v>159</v>
      </c>
      <c r="C3912" s="23" t="s">
        <v>160</v>
      </c>
      <c r="D3912" s="23" t="s">
        <v>58</v>
      </c>
      <c r="E3912" s="24">
        <v>45454.0</v>
      </c>
      <c r="F3912" s="25">
        <v>0.27569444444444446</v>
      </c>
      <c r="G3912" s="25">
        <v>0.5534722222222223</v>
      </c>
      <c r="H3912" s="27">
        <f t="shared" si="2"/>
        <v>0.2777777778</v>
      </c>
      <c r="I3912" s="28">
        <v>2.0</v>
      </c>
      <c r="J3912" s="29" t="s">
        <v>1757</v>
      </c>
      <c r="K3912" s="30" t="s">
        <v>23</v>
      </c>
      <c r="L3912" s="31" t="str">
        <f>IFERROR(__xludf.DUMMYFUNCTION("IF(OR(E3912="""",K3912=""""),"""",IFERROR(IF(K3912="""","""",query('tbl user'!$A$2:$D10975,""SELECT A WHERE D = '""&amp;K3912&amp;""'"")),""USER TIDAK DIKETAHUI""))"),"#REF!")</f>
        <v>#REF!</v>
      </c>
    </row>
    <row r="3913">
      <c r="A3913" s="21">
        <f t="shared" si="1"/>
        <v>0</v>
      </c>
      <c r="B3913" s="32" t="s">
        <v>253</v>
      </c>
      <c r="C3913" s="23" t="s">
        <v>163</v>
      </c>
      <c r="D3913" s="23" t="s">
        <v>58</v>
      </c>
      <c r="E3913" s="24">
        <v>45454.0</v>
      </c>
      <c r="F3913" s="25">
        <v>0.2652777777777778</v>
      </c>
      <c r="G3913" s="25">
        <v>0.5666666666666667</v>
      </c>
      <c r="H3913" s="27">
        <f t="shared" si="2"/>
        <v>0.3013888889</v>
      </c>
      <c r="I3913" s="28">
        <v>2.0</v>
      </c>
      <c r="J3913" s="29" t="s">
        <v>171</v>
      </c>
      <c r="K3913" s="30" t="s">
        <v>23</v>
      </c>
      <c r="L3913" s="31" t="str">
        <f>IFERROR(__xludf.DUMMYFUNCTION("IF(OR(E3913="""",K3913=""""),"""",IFERROR(IF(K3913="""","""",query('tbl user'!$A$2:$D10975,""SELECT A WHERE D = '""&amp;K3913&amp;""'"")),""USER TIDAK DIKETAHUI""))"),"#REF!")</f>
        <v>#REF!</v>
      </c>
    </row>
    <row r="3914">
      <c r="A3914" s="21">
        <f t="shared" si="1"/>
        <v>0</v>
      </c>
      <c r="B3914" s="32" t="s">
        <v>101</v>
      </c>
      <c r="C3914" s="23" t="s">
        <v>211</v>
      </c>
      <c r="D3914" s="23" t="s">
        <v>58</v>
      </c>
      <c r="E3914" s="24">
        <v>45454.0</v>
      </c>
      <c r="F3914" s="25">
        <v>0.29097222222222224</v>
      </c>
      <c r="G3914" s="25">
        <v>0.5784722222222223</v>
      </c>
      <c r="H3914" s="27">
        <f t="shared" si="2"/>
        <v>0.2875</v>
      </c>
      <c r="I3914" s="28">
        <v>2.0</v>
      </c>
      <c r="J3914" s="29" t="s">
        <v>1758</v>
      </c>
      <c r="K3914" s="30" t="s">
        <v>23</v>
      </c>
      <c r="L3914" s="31" t="str">
        <f>IFERROR(__xludf.DUMMYFUNCTION("IF(OR(E3914="""",K3914=""""),"""",IFERROR(IF(K3914="""","""",query('tbl user'!$A$2:$D10975,""SELECT A WHERE D = '""&amp;K3914&amp;""'"")),""USER TIDAK DIKETAHUI""))"),"#REF!")</f>
        <v>#REF!</v>
      </c>
    </row>
    <row r="3915">
      <c r="A3915" s="21">
        <f t="shared" si="1"/>
        <v>0</v>
      </c>
      <c r="B3915" s="32" t="s">
        <v>214</v>
      </c>
      <c r="C3915" s="23" t="s">
        <v>170</v>
      </c>
      <c r="D3915" s="23" t="s">
        <v>58</v>
      </c>
      <c r="E3915" s="24">
        <v>45454.0</v>
      </c>
      <c r="F3915" s="25">
        <v>0.3013888888888889</v>
      </c>
      <c r="G3915" s="25">
        <v>0.5694444444444444</v>
      </c>
      <c r="H3915" s="27">
        <f t="shared" si="2"/>
        <v>0.2680555556</v>
      </c>
      <c r="I3915" s="28">
        <v>2.0</v>
      </c>
      <c r="J3915" s="29" t="s">
        <v>1759</v>
      </c>
      <c r="K3915" s="30" t="s">
        <v>23</v>
      </c>
      <c r="L3915" s="31" t="str">
        <f>IFERROR(__xludf.DUMMYFUNCTION("IF(OR(E3915="""",K3915=""""),"""",IFERROR(IF(K3915="""","""",query('tbl user'!$A$2:$D10975,""SELECT A WHERE D = '""&amp;K3915&amp;""'"")),""USER TIDAK DIKETAHUI""))"),"#REF!")</f>
        <v>#REF!</v>
      </c>
    </row>
    <row r="3916">
      <c r="A3916" s="21">
        <f t="shared" si="1"/>
        <v>0</v>
      </c>
      <c r="B3916" s="32" t="s">
        <v>189</v>
      </c>
      <c r="C3916" s="23" t="s">
        <v>190</v>
      </c>
      <c r="D3916" s="23" t="s">
        <v>58</v>
      </c>
      <c r="E3916" s="24">
        <v>45454.0</v>
      </c>
      <c r="F3916" s="25">
        <v>0.28194444444444444</v>
      </c>
      <c r="G3916" s="25">
        <v>0.5701388888888889</v>
      </c>
      <c r="H3916" s="27">
        <f t="shared" si="2"/>
        <v>0.2881944444</v>
      </c>
      <c r="I3916" s="28">
        <v>2.0</v>
      </c>
      <c r="J3916" s="29" t="s">
        <v>1760</v>
      </c>
      <c r="K3916" s="30" t="s">
        <v>23</v>
      </c>
      <c r="L3916" s="31" t="str">
        <f>IFERROR(__xludf.DUMMYFUNCTION("IF(OR(E3916="""",K3916=""""),"""",IFERROR(IF(K3916="""","""",query('tbl user'!$A$2:$D10975,""SELECT A WHERE D = '""&amp;K3916&amp;""'"")),""USER TIDAK DIKETAHUI""))"),"#REF!")</f>
        <v>#REF!</v>
      </c>
    </row>
    <row r="3917">
      <c r="A3917" s="21">
        <f t="shared" si="1"/>
        <v>0</v>
      </c>
      <c r="B3917" s="32" t="s">
        <v>197</v>
      </c>
      <c r="C3917" s="23" t="s">
        <v>198</v>
      </c>
      <c r="D3917" s="23" t="s">
        <v>58</v>
      </c>
      <c r="E3917" s="24">
        <v>45454.0</v>
      </c>
      <c r="F3917" s="25">
        <v>0.2111111111111111</v>
      </c>
      <c r="G3917" s="25">
        <v>0.5770833333333333</v>
      </c>
      <c r="H3917" s="27">
        <f t="shared" si="2"/>
        <v>0.3659722222</v>
      </c>
      <c r="I3917" s="28">
        <v>2.0</v>
      </c>
      <c r="J3917" s="29" t="s">
        <v>1761</v>
      </c>
      <c r="K3917" s="30" t="s">
        <v>23</v>
      </c>
      <c r="L3917" s="31" t="str">
        <f>IFERROR(__xludf.DUMMYFUNCTION("IF(OR(E3917="""",K3917=""""),"""",IFERROR(IF(K3917="""","""",query('tbl user'!$A$2:$D10975,""SELECT A WHERE D = '""&amp;K3917&amp;""'"")),""USER TIDAK DIKETAHUI""))"),"#REF!")</f>
        <v>#REF!</v>
      </c>
    </row>
    <row r="3918">
      <c r="A3918" s="21">
        <f t="shared" si="1"/>
        <v>0</v>
      </c>
      <c r="B3918" s="32" t="s">
        <v>104</v>
      </c>
      <c r="C3918" s="23" t="s">
        <v>105</v>
      </c>
      <c r="D3918" s="23" t="s">
        <v>58</v>
      </c>
      <c r="E3918" s="24">
        <v>45454.0</v>
      </c>
      <c r="F3918" s="25">
        <v>0.2361111111111111</v>
      </c>
      <c r="G3918" s="25">
        <v>0.55625</v>
      </c>
      <c r="H3918" s="27">
        <f t="shared" si="2"/>
        <v>0.3201388889</v>
      </c>
      <c r="I3918" s="28">
        <v>2.0</v>
      </c>
      <c r="J3918" s="29" t="s">
        <v>1762</v>
      </c>
      <c r="K3918" s="30" t="s">
        <v>23</v>
      </c>
      <c r="L3918" s="31" t="str">
        <f>IFERROR(__xludf.DUMMYFUNCTION("IF(OR(E3918="""",K3918=""""),"""",IFERROR(IF(K3918="""","""",query('tbl user'!$A$2:$D10975,""SELECT A WHERE D = '""&amp;K3918&amp;""'"")),""USER TIDAK DIKETAHUI""))"),"#REF!")</f>
        <v>#REF!</v>
      </c>
    </row>
    <row r="3919">
      <c r="A3919" s="21">
        <f t="shared" si="1"/>
        <v>0</v>
      </c>
      <c r="B3919" s="32" t="s">
        <v>205</v>
      </c>
      <c r="C3919" s="23" t="s">
        <v>206</v>
      </c>
      <c r="D3919" s="23" t="s">
        <v>58</v>
      </c>
      <c r="E3919" s="24">
        <v>45454.0</v>
      </c>
      <c r="F3919" s="25">
        <v>0.24791666666666667</v>
      </c>
      <c r="G3919" s="25">
        <v>0.5555555555555556</v>
      </c>
      <c r="H3919" s="27">
        <f t="shared" si="2"/>
        <v>0.3076388889</v>
      </c>
      <c r="I3919" s="28">
        <v>2.0</v>
      </c>
      <c r="J3919" s="29" t="s">
        <v>1763</v>
      </c>
      <c r="K3919" s="30" t="s">
        <v>23</v>
      </c>
      <c r="L3919" s="31" t="str">
        <f>IFERROR(__xludf.DUMMYFUNCTION("IF(OR(E3919="""",K3919=""""),"""",IFERROR(IF(K3919="""","""",query('tbl user'!$A$2:$D10975,""SELECT A WHERE D = '""&amp;K3919&amp;""'"")),""USER TIDAK DIKETAHUI""))"),"#REF!")</f>
        <v>#REF!</v>
      </c>
    </row>
    <row r="3920">
      <c r="A3920" s="21">
        <f t="shared" si="1"/>
        <v>0</v>
      </c>
      <c r="B3920" s="32" t="s">
        <v>67</v>
      </c>
      <c r="C3920" s="23" t="s">
        <v>68</v>
      </c>
      <c r="D3920" s="23" t="s">
        <v>58</v>
      </c>
      <c r="E3920" s="24">
        <v>45454.0</v>
      </c>
      <c r="F3920" s="25">
        <v>0.27361111111111114</v>
      </c>
      <c r="G3920" s="25">
        <v>0.6770833333333334</v>
      </c>
      <c r="H3920" s="27">
        <f t="shared" si="2"/>
        <v>0.4034722222</v>
      </c>
      <c r="I3920" s="28">
        <v>3.0</v>
      </c>
      <c r="J3920" s="29" t="s">
        <v>1764</v>
      </c>
      <c r="K3920" s="30" t="s">
        <v>23</v>
      </c>
      <c r="L3920" s="31" t="str">
        <f>IFERROR(__xludf.DUMMYFUNCTION("IF(OR(E3920="""",K3920=""""),"""",IFERROR(IF(K3920="""","""",query('tbl user'!$A$2:$D10975,""SELECT A WHERE D = '""&amp;K3920&amp;""'"")),""USER TIDAK DIKETAHUI""))"),"#REF!")</f>
        <v>#REF!</v>
      </c>
    </row>
    <row r="3921">
      <c r="A3921" s="21">
        <f t="shared" si="1"/>
        <v>0</v>
      </c>
      <c r="B3921" s="32" t="s">
        <v>167</v>
      </c>
      <c r="C3921" s="23" t="s">
        <v>168</v>
      </c>
      <c r="D3921" s="23" t="s">
        <v>58</v>
      </c>
      <c r="E3921" s="24">
        <v>45454.0</v>
      </c>
      <c r="F3921" s="25">
        <v>0.28958333333333336</v>
      </c>
      <c r="G3921" s="25">
        <v>0.6798611111111111</v>
      </c>
      <c r="H3921" s="27">
        <f t="shared" si="2"/>
        <v>0.3902777778</v>
      </c>
      <c r="I3921" s="28">
        <v>3.0</v>
      </c>
      <c r="J3921" s="29" t="s">
        <v>171</v>
      </c>
      <c r="K3921" s="30" t="s">
        <v>23</v>
      </c>
      <c r="L3921" s="31" t="str">
        <f>IFERROR(__xludf.DUMMYFUNCTION("IF(OR(E3921="""",K3921=""""),"""",IFERROR(IF(K3921="""","""",query('tbl user'!$A$2:$D10975,""SELECT A WHERE D = '""&amp;K3921&amp;""'"")),""USER TIDAK DIKETAHUI""))"),"#REF!")</f>
        <v>#REF!</v>
      </c>
    </row>
    <row r="3922">
      <c r="A3922" s="21">
        <f t="shared" si="1"/>
        <v>0</v>
      </c>
      <c r="B3922" s="32" t="s">
        <v>175</v>
      </c>
      <c r="C3922" s="23" t="s">
        <v>176</v>
      </c>
      <c r="D3922" s="23" t="s">
        <v>58</v>
      </c>
      <c r="E3922" s="24">
        <v>45454.0</v>
      </c>
      <c r="F3922" s="25">
        <v>0.26875</v>
      </c>
      <c r="G3922" s="25">
        <v>0.6527777777777778</v>
      </c>
      <c r="H3922" s="27">
        <f t="shared" si="2"/>
        <v>0.3840277778</v>
      </c>
      <c r="I3922" s="28">
        <v>3.0</v>
      </c>
      <c r="J3922" s="29" t="s">
        <v>1765</v>
      </c>
      <c r="K3922" s="30" t="s">
        <v>23</v>
      </c>
      <c r="L3922" s="31" t="str">
        <f>IFERROR(__xludf.DUMMYFUNCTION("IF(OR(E3922="""",K3922=""""),"""",IFERROR(IF(K3922="""","""",query('tbl user'!$A$2:$D10975,""SELECT A WHERE D = '""&amp;K3922&amp;""'"")),""USER TIDAK DIKETAHUI""))"),"#REF!")</f>
        <v>#REF!</v>
      </c>
    </row>
    <row r="3923">
      <c r="A3923" s="21">
        <f t="shared" si="1"/>
        <v>0</v>
      </c>
      <c r="B3923" s="32" t="s">
        <v>178</v>
      </c>
      <c r="C3923" s="23" t="s">
        <v>82</v>
      </c>
      <c r="D3923" s="23" t="s">
        <v>58</v>
      </c>
      <c r="E3923" s="24">
        <v>45454.0</v>
      </c>
      <c r="F3923" s="25">
        <v>0.2875</v>
      </c>
      <c r="G3923" s="25">
        <v>0.6680555555555555</v>
      </c>
      <c r="H3923" s="27">
        <f t="shared" si="2"/>
        <v>0.3805555556</v>
      </c>
      <c r="I3923" s="28">
        <v>3.0</v>
      </c>
      <c r="J3923" s="29" t="s">
        <v>171</v>
      </c>
      <c r="K3923" s="30" t="s">
        <v>23</v>
      </c>
      <c r="L3923" s="31" t="str">
        <f>IFERROR(__xludf.DUMMYFUNCTION("IF(OR(E3923="""",K3923=""""),"""",IFERROR(IF(K3923="""","""",query('tbl user'!$A$2:$D10975,""SELECT A WHERE D = '""&amp;K3923&amp;""'"")),""USER TIDAK DIKETAHUI""))"),"#REF!")</f>
        <v>#REF!</v>
      </c>
    </row>
    <row r="3924">
      <c r="A3924" s="21">
        <f t="shared" si="1"/>
        <v>0</v>
      </c>
      <c r="B3924" s="32" t="s">
        <v>191</v>
      </c>
      <c r="C3924" s="23" t="s">
        <v>185</v>
      </c>
      <c r="D3924" s="23" t="s">
        <v>58</v>
      </c>
      <c r="E3924" s="24">
        <v>45454.0</v>
      </c>
      <c r="F3924" s="28" t="s">
        <v>1766</v>
      </c>
      <c r="G3924" s="25">
        <v>0.65625</v>
      </c>
      <c r="H3924" s="27" t="str">
        <f t="shared" si="2"/>
        <v/>
      </c>
      <c r="I3924" s="28">
        <v>3.0</v>
      </c>
      <c r="J3924" s="29" t="s">
        <v>171</v>
      </c>
      <c r="K3924" s="30" t="s">
        <v>23</v>
      </c>
      <c r="L3924" s="31" t="str">
        <f>IFERROR(__xludf.DUMMYFUNCTION("IF(OR(E3924="""",K3924=""""),"""",IFERROR(IF(K3924="""","""",query('tbl user'!$A$2:$D10975,""SELECT A WHERE D = '""&amp;K3924&amp;""'"")),""USER TIDAK DIKETAHUI""))"),"#REF!")</f>
        <v>#REF!</v>
      </c>
    </row>
    <row r="3925">
      <c r="A3925" s="21">
        <f t="shared" si="1"/>
        <v>0</v>
      </c>
      <c r="B3925" s="32" t="s">
        <v>297</v>
      </c>
      <c r="C3925" s="23" t="s">
        <v>203</v>
      </c>
      <c r="D3925" s="23" t="s">
        <v>58</v>
      </c>
      <c r="E3925" s="24">
        <v>45454.0</v>
      </c>
      <c r="F3925" s="25">
        <v>0.25277777777777777</v>
      </c>
      <c r="G3925" s="25">
        <v>0.5965277777777778</v>
      </c>
      <c r="H3925" s="27">
        <f t="shared" si="2"/>
        <v>0.34375</v>
      </c>
      <c r="I3925" s="28">
        <v>3.0</v>
      </c>
      <c r="J3925" s="29" t="s">
        <v>171</v>
      </c>
      <c r="K3925" s="30" t="s">
        <v>23</v>
      </c>
      <c r="L3925" s="31" t="str">
        <f>IFERROR(__xludf.DUMMYFUNCTION("IF(OR(E3925="""",K3925=""""),"""",IFERROR(IF(K3925="""","""",query('tbl user'!$A$2:$D10975,""SELECT A WHERE D = '""&amp;K3925&amp;""'"")),""USER TIDAK DIKETAHUI""))"),"#REF!")</f>
        <v>#REF!</v>
      </c>
    </row>
    <row r="3926">
      <c r="A3926" s="21">
        <f t="shared" si="1"/>
        <v>0</v>
      </c>
      <c r="B3926" s="32" t="s">
        <v>153</v>
      </c>
      <c r="C3926" s="23" t="s">
        <v>154</v>
      </c>
      <c r="D3926" s="23" t="s">
        <v>58</v>
      </c>
      <c r="E3926" s="24">
        <v>45454.0</v>
      </c>
      <c r="F3926" s="25">
        <v>0.24166666666666667</v>
      </c>
      <c r="G3926" s="25">
        <v>0.7013888888888888</v>
      </c>
      <c r="H3926" s="27">
        <f t="shared" si="2"/>
        <v>0.4597222222</v>
      </c>
      <c r="I3926" s="28">
        <v>4.0</v>
      </c>
      <c r="J3926" s="29" t="s">
        <v>55</v>
      </c>
      <c r="K3926" s="30" t="s">
        <v>23</v>
      </c>
      <c r="L3926" s="31" t="str">
        <f>IFERROR(__xludf.DUMMYFUNCTION("IF(OR(E3926="""",K3926=""""),"""",IFERROR(IF(K3926="""","""",query('tbl user'!$A$2:$D10975,""SELECT A WHERE D = '""&amp;K3926&amp;""'"")),""USER TIDAK DIKETAHUI""))"),"#REF!")</f>
        <v>#REF!</v>
      </c>
    </row>
    <row r="3927">
      <c r="A3927" s="21">
        <f t="shared" si="1"/>
        <v>0</v>
      </c>
      <c r="B3927" s="32" t="s">
        <v>92</v>
      </c>
      <c r="C3927" s="23" t="s">
        <v>93</v>
      </c>
      <c r="D3927" s="23" t="s">
        <v>58</v>
      </c>
      <c r="E3927" s="24">
        <v>45454.0</v>
      </c>
      <c r="F3927" s="25">
        <v>0.24027777777777778</v>
      </c>
      <c r="G3927" s="25">
        <v>0.7118055555555556</v>
      </c>
      <c r="H3927" s="27">
        <f t="shared" si="2"/>
        <v>0.4715277778</v>
      </c>
      <c r="I3927" s="28">
        <v>4.0</v>
      </c>
      <c r="J3927" s="29" t="s">
        <v>55</v>
      </c>
      <c r="K3927" s="30" t="s">
        <v>23</v>
      </c>
      <c r="L3927" s="31" t="str">
        <f>IFERROR(__xludf.DUMMYFUNCTION("IF(OR(E3927="""",K3927=""""),"""",IFERROR(IF(K3927="""","""",query('tbl user'!$A$2:$D10975,""SELECT A WHERE D = '""&amp;K3927&amp;""'"")),""USER TIDAK DIKETAHUI""))"),"#REF!")</f>
        <v>#REF!</v>
      </c>
    </row>
    <row r="3928">
      <c r="A3928" s="21">
        <f t="shared" si="1"/>
        <v>0</v>
      </c>
      <c r="B3928" s="32" t="s">
        <v>172</v>
      </c>
      <c r="C3928" s="23" t="s">
        <v>173</v>
      </c>
      <c r="D3928" s="23" t="s">
        <v>58</v>
      </c>
      <c r="E3928" s="24">
        <v>45454.0</v>
      </c>
      <c r="F3928" s="25">
        <v>0.22708333333333333</v>
      </c>
      <c r="G3928" s="25">
        <v>0.6923611111111111</v>
      </c>
      <c r="H3928" s="27">
        <f t="shared" si="2"/>
        <v>0.4652777778</v>
      </c>
      <c r="I3928" s="28">
        <v>4.0</v>
      </c>
      <c r="J3928" s="29" t="s">
        <v>55</v>
      </c>
      <c r="K3928" s="30" t="s">
        <v>23</v>
      </c>
      <c r="L3928" s="31" t="str">
        <f>IFERROR(__xludf.DUMMYFUNCTION("IF(OR(E3928="""",K3928=""""),"""",IFERROR(IF(K3928="""","""",query('tbl user'!$A$2:$D10975,""SELECT A WHERE D = '""&amp;K3928&amp;""'"")),""USER TIDAK DIKETAHUI""))"),"#REF!")</f>
        <v>#REF!</v>
      </c>
    </row>
    <row r="3929">
      <c r="A3929" s="21">
        <f t="shared" si="1"/>
        <v>0</v>
      </c>
      <c r="B3929" s="32" t="s">
        <v>180</v>
      </c>
      <c r="C3929" s="23" t="s">
        <v>181</v>
      </c>
      <c r="D3929" s="23" t="s">
        <v>58</v>
      </c>
      <c r="E3929" s="24">
        <v>45454.0</v>
      </c>
      <c r="F3929" s="25">
        <v>0.2263888888888889</v>
      </c>
      <c r="G3929" s="25">
        <v>0.6659722222222222</v>
      </c>
      <c r="H3929" s="27">
        <f t="shared" si="2"/>
        <v>0.4395833333</v>
      </c>
      <c r="I3929" s="28">
        <v>4.0</v>
      </c>
      <c r="J3929" s="29" t="s">
        <v>55</v>
      </c>
      <c r="K3929" s="30" t="s">
        <v>23</v>
      </c>
      <c r="L3929" s="31" t="str">
        <f>IFERROR(__xludf.DUMMYFUNCTION("IF(OR(E3929="""",K3929=""""),"""",IFERROR(IF(K3929="""","""",query('tbl user'!$A$2:$D10975,""SELECT A WHERE D = '""&amp;K3929&amp;""'"")),""USER TIDAK DIKETAHUI""))"),"#REF!")</f>
        <v>#REF!</v>
      </c>
    </row>
    <row r="3930">
      <c r="A3930" s="21">
        <f t="shared" si="1"/>
        <v>0</v>
      </c>
      <c r="B3930" s="32" t="s">
        <v>182</v>
      </c>
      <c r="C3930" s="23" t="s">
        <v>183</v>
      </c>
      <c r="D3930" s="23" t="s">
        <v>58</v>
      </c>
      <c r="E3930" s="24">
        <v>45454.0</v>
      </c>
      <c r="F3930" s="25">
        <v>0.25277777777777777</v>
      </c>
      <c r="G3930" s="25">
        <v>0.6951388888888889</v>
      </c>
      <c r="H3930" s="27">
        <f t="shared" si="2"/>
        <v>0.4423611111</v>
      </c>
      <c r="I3930" s="28">
        <v>4.0</v>
      </c>
      <c r="J3930" s="29" t="s">
        <v>55</v>
      </c>
      <c r="K3930" s="30" t="s">
        <v>23</v>
      </c>
      <c r="L3930" s="31" t="str">
        <f>IFERROR(__xludf.DUMMYFUNCTION("IF(OR(E3930="""",K3930=""""),"""",IFERROR(IF(K3930="""","""",query('tbl user'!$A$2:$D10975,""SELECT A WHERE D = '""&amp;K3930&amp;""'"")),""USER TIDAK DIKETAHUI""))"),"#REF!")</f>
        <v>#REF!</v>
      </c>
    </row>
    <row r="3931">
      <c r="A3931" s="21">
        <f t="shared" si="1"/>
        <v>0</v>
      </c>
      <c r="B3931" s="32" t="s">
        <v>187</v>
      </c>
      <c r="C3931" s="23" t="s">
        <v>188</v>
      </c>
      <c r="D3931" s="23" t="s">
        <v>58</v>
      </c>
      <c r="E3931" s="24">
        <v>45454.0</v>
      </c>
      <c r="F3931" s="25">
        <v>0.25833333333333336</v>
      </c>
      <c r="G3931" s="25">
        <v>0.7201388888888889</v>
      </c>
      <c r="H3931" s="27">
        <f t="shared" si="2"/>
        <v>0.4618055556</v>
      </c>
      <c r="I3931" s="28">
        <v>4.0</v>
      </c>
      <c r="J3931" s="29" t="s">
        <v>55</v>
      </c>
      <c r="K3931" s="30" t="s">
        <v>23</v>
      </c>
      <c r="L3931" s="31" t="str">
        <f>IFERROR(__xludf.DUMMYFUNCTION("IF(OR(E3931="""",K3931=""""),"""",IFERROR(IF(K3931="""","""",query('tbl user'!$A$2:$D10975,""SELECT A WHERE D = '""&amp;K3931&amp;""'"")),""USER TIDAK DIKETAHUI""))"),"#REF!")</f>
        <v>#REF!</v>
      </c>
    </row>
    <row r="3932">
      <c r="A3932" s="21">
        <f t="shared" si="1"/>
        <v>0</v>
      </c>
      <c r="B3932" s="32" t="s">
        <v>200</v>
      </c>
      <c r="C3932" s="23" t="s">
        <v>201</v>
      </c>
      <c r="D3932" s="23" t="s">
        <v>58</v>
      </c>
      <c r="E3932" s="24">
        <v>45454.0</v>
      </c>
      <c r="F3932" s="25">
        <v>0.20902777777777778</v>
      </c>
      <c r="G3932" s="25">
        <v>0.6923611111111111</v>
      </c>
      <c r="H3932" s="27">
        <f t="shared" si="2"/>
        <v>0.4833333333</v>
      </c>
      <c r="I3932" s="28">
        <v>4.0</v>
      </c>
      <c r="J3932" s="29" t="s">
        <v>55</v>
      </c>
      <c r="K3932" s="30" t="s">
        <v>23</v>
      </c>
      <c r="L3932" s="31" t="str">
        <f>IFERROR(__xludf.DUMMYFUNCTION("IF(OR(E3932="""",K3932=""""),"""",IFERROR(IF(K3932="""","""",query('tbl user'!$A$2:$D10975,""SELECT A WHERE D = '""&amp;K3932&amp;""'"")),""USER TIDAK DIKETAHUI""))"),"#REF!")</f>
        <v>#REF!</v>
      </c>
    </row>
    <row r="3933">
      <c r="A3933" s="21">
        <f t="shared" si="1"/>
        <v>0</v>
      </c>
      <c r="B3933" s="32" t="s">
        <v>34</v>
      </c>
      <c r="C3933" s="23" t="s">
        <v>35</v>
      </c>
      <c r="D3933" s="23" t="s">
        <v>21</v>
      </c>
      <c r="E3933" s="24">
        <v>45454.0</v>
      </c>
      <c r="F3933" s="25">
        <v>0.45</v>
      </c>
      <c r="G3933" s="25">
        <v>0.6798611111111111</v>
      </c>
      <c r="H3933" s="27">
        <f t="shared" si="2"/>
        <v>0.2298611111</v>
      </c>
      <c r="I3933" s="28">
        <v>1.0</v>
      </c>
      <c r="J3933" s="29" t="s">
        <v>1767</v>
      </c>
      <c r="K3933" s="30" t="s">
        <v>23</v>
      </c>
      <c r="L3933" s="31" t="str">
        <f>IFERROR(__xludf.DUMMYFUNCTION("IF(OR(E3933="""",K3933=""""),"""",IFERROR(IF(K3933="""","""",query('tbl user'!$A$2:$D10975,""SELECT A WHERE D = '""&amp;K3933&amp;""'"")),""USER TIDAK DIKETAHUI""))"),"#REF!")</f>
        <v>#REF!</v>
      </c>
    </row>
    <row r="3934">
      <c r="A3934" s="21">
        <f t="shared" si="1"/>
        <v>0</v>
      </c>
      <c r="B3934" s="32" t="s">
        <v>98</v>
      </c>
      <c r="C3934" s="23" t="s">
        <v>99</v>
      </c>
      <c r="D3934" s="23" t="s">
        <v>21</v>
      </c>
      <c r="E3934" s="24">
        <v>45454.0</v>
      </c>
      <c r="F3934" s="25">
        <v>0.41944444444444445</v>
      </c>
      <c r="G3934" s="25">
        <v>0.6625</v>
      </c>
      <c r="H3934" s="27">
        <f t="shared" si="2"/>
        <v>0.2430555556</v>
      </c>
      <c r="I3934" s="28">
        <v>1.0</v>
      </c>
      <c r="J3934" s="29" t="s">
        <v>1768</v>
      </c>
      <c r="K3934" s="30" t="s">
        <v>23</v>
      </c>
      <c r="L3934" s="31" t="str">
        <f>IFERROR(__xludf.DUMMYFUNCTION("IF(OR(E3934="""",K3934=""""),"""",IFERROR(IF(K3934="""","""",query('tbl user'!$A$2:$D10975,""SELECT A WHERE D = '""&amp;K3934&amp;""'"")),""USER TIDAK DIKETAHUI""))"),"#REF!")</f>
        <v>#REF!</v>
      </c>
    </row>
    <row r="3935">
      <c r="A3935" s="21">
        <f t="shared" si="1"/>
        <v>0</v>
      </c>
      <c r="B3935" s="32" t="s">
        <v>289</v>
      </c>
      <c r="C3935" s="23" t="s">
        <v>290</v>
      </c>
      <c r="D3935" s="23" t="s">
        <v>21</v>
      </c>
      <c r="E3935" s="24">
        <v>45454.0</v>
      </c>
      <c r="F3935" s="25">
        <v>0.3263888888888889</v>
      </c>
      <c r="G3935" s="25">
        <v>0.5756944444444444</v>
      </c>
      <c r="H3935" s="27">
        <f t="shared" si="2"/>
        <v>0.2493055556</v>
      </c>
      <c r="I3935" s="28">
        <v>1.0</v>
      </c>
      <c r="J3935" s="29" t="s">
        <v>1769</v>
      </c>
      <c r="K3935" s="30" t="s">
        <v>23</v>
      </c>
      <c r="L3935" s="31" t="str">
        <f>IFERROR(__xludf.DUMMYFUNCTION("IF(OR(E3935="""",K3935=""""),"""",IFERROR(IF(K3935="""","""",query('tbl user'!$A$2:$D10975,""SELECT A WHERE D = '""&amp;K3935&amp;""'"")),""USER TIDAK DIKETAHUI""))"),"#REF!")</f>
        <v>#REF!</v>
      </c>
    </row>
    <row r="3936">
      <c r="A3936" s="21">
        <f t="shared" si="1"/>
        <v>0</v>
      </c>
      <c r="B3936" s="32" t="s">
        <v>64</v>
      </c>
      <c r="C3936" s="23" t="s">
        <v>65</v>
      </c>
      <c r="D3936" s="23" t="s">
        <v>21</v>
      </c>
      <c r="E3936" s="24">
        <v>45454.0</v>
      </c>
      <c r="F3936" s="25">
        <v>0.29444444444444445</v>
      </c>
      <c r="G3936" s="25">
        <v>0.6</v>
      </c>
      <c r="H3936" s="27">
        <f t="shared" si="2"/>
        <v>0.3055555556</v>
      </c>
      <c r="I3936" s="28">
        <v>1.0</v>
      </c>
      <c r="J3936" s="29" t="s">
        <v>171</v>
      </c>
      <c r="K3936" s="30" t="s">
        <v>23</v>
      </c>
      <c r="L3936" s="31" t="str">
        <f>IFERROR(__xludf.DUMMYFUNCTION("IF(OR(E3936="""",K3936=""""),"""",IFERROR(IF(K3936="""","""",query('tbl user'!$A$2:$D10975,""SELECT A WHERE D = '""&amp;K3936&amp;""'"")),""USER TIDAK DIKETAHUI""))"),"#REF!")</f>
        <v>#REF!</v>
      </c>
    </row>
    <row r="3937">
      <c r="A3937" s="21">
        <f t="shared" si="1"/>
        <v>0</v>
      </c>
      <c r="B3937" s="32" t="s">
        <v>243</v>
      </c>
      <c r="C3937" s="23" t="s">
        <v>244</v>
      </c>
      <c r="D3937" s="23" t="s">
        <v>21</v>
      </c>
      <c r="E3937" s="24">
        <v>45454.0</v>
      </c>
      <c r="F3937" s="25">
        <v>0.28958333333333336</v>
      </c>
      <c r="G3937" s="25">
        <v>0.6</v>
      </c>
      <c r="H3937" s="27">
        <f t="shared" si="2"/>
        <v>0.3104166667</v>
      </c>
      <c r="I3937" s="28">
        <v>1.0</v>
      </c>
      <c r="J3937" s="29" t="s">
        <v>171</v>
      </c>
      <c r="K3937" s="30" t="s">
        <v>23</v>
      </c>
      <c r="L3937" s="31" t="str">
        <f>IFERROR(__xludf.DUMMYFUNCTION("IF(OR(E3937="""",K3937=""""),"""",IFERROR(IF(K3937="""","""",query('tbl user'!$A$2:$D10975,""SELECT A WHERE D = '""&amp;K3937&amp;""'"")),""USER TIDAK DIKETAHUI""))"),"#REF!")</f>
        <v>#REF!</v>
      </c>
    </row>
    <row r="3938">
      <c r="A3938" s="21">
        <f t="shared" si="1"/>
        <v>0</v>
      </c>
      <c r="B3938" s="32" t="s">
        <v>43</v>
      </c>
      <c r="C3938" s="23" t="s">
        <v>44</v>
      </c>
      <c r="D3938" s="23" t="s">
        <v>21</v>
      </c>
      <c r="E3938" s="24">
        <v>45454.0</v>
      </c>
      <c r="F3938" s="25">
        <v>0.28958333333333336</v>
      </c>
      <c r="G3938" s="25">
        <v>0.5520833333333334</v>
      </c>
      <c r="H3938" s="27">
        <f t="shared" si="2"/>
        <v>0.2625</v>
      </c>
      <c r="I3938" s="28">
        <v>1.0</v>
      </c>
      <c r="J3938" s="29" t="s">
        <v>1770</v>
      </c>
      <c r="K3938" s="30" t="s">
        <v>23</v>
      </c>
      <c r="L3938" s="31" t="str">
        <f>IFERROR(__xludf.DUMMYFUNCTION("IF(OR(E3938="""",K3938=""""),"""",IFERROR(IF(K3938="""","""",query('tbl user'!$A$2:$D10975,""SELECT A WHERE D = '""&amp;K3938&amp;""'"")),""USER TIDAK DIKETAHUI""))"),"#REF!")</f>
        <v>#REF!</v>
      </c>
    </row>
    <row r="3939">
      <c r="A3939" s="21">
        <f t="shared" si="1"/>
        <v>0</v>
      </c>
      <c r="B3939" s="32" t="s">
        <v>593</v>
      </c>
      <c r="C3939" s="23" t="s">
        <v>236</v>
      </c>
      <c r="D3939" s="23" t="s">
        <v>21</v>
      </c>
      <c r="E3939" s="24">
        <v>45454.0</v>
      </c>
      <c r="F3939" s="25">
        <v>0.3402777777777778</v>
      </c>
      <c r="G3939" s="25">
        <v>0.6451388888888889</v>
      </c>
      <c r="H3939" s="27">
        <f t="shared" si="2"/>
        <v>0.3048611111</v>
      </c>
      <c r="I3939" s="28">
        <v>1.0</v>
      </c>
      <c r="J3939" s="29" t="s">
        <v>1771</v>
      </c>
      <c r="K3939" s="30" t="s">
        <v>23</v>
      </c>
      <c r="L3939" s="31" t="str">
        <f>IFERROR(__xludf.DUMMYFUNCTION("IF(OR(E3939="""",K3939=""""),"""",IFERROR(IF(K3939="""","""",query('tbl user'!$A$2:$D10975,""SELECT A WHERE D = '""&amp;K3939&amp;""'"")),""USER TIDAK DIKETAHUI""))"),"#REF!")</f>
        <v>#REF!</v>
      </c>
    </row>
    <row r="3940">
      <c r="A3940" s="21">
        <f t="shared" si="1"/>
        <v>0</v>
      </c>
      <c r="B3940" s="32" t="s">
        <v>333</v>
      </c>
      <c r="C3940" s="23" t="s">
        <v>332</v>
      </c>
      <c r="D3940" s="23" t="s">
        <v>21</v>
      </c>
      <c r="E3940" s="24">
        <v>45454.0</v>
      </c>
      <c r="F3940" s="25">
        <v>0.24722222222222223</v>
      </c>
      <c r="G3940" s="25">
        <v>0.4305555555555556</v>
      </c>
      <c r="H3940" s="27">
        <f t="shared" si="2"/>
        <v>0.1833333333</v>
      </c>
      <c r="I3940" s="28">
        <v>1.0</v>
      </c>
      <c r="J3940" s="29" t="s">
        <v>1772</v>
      </c>
      <c r="K3940" s="30" t="s">
        <v>23</v>
      </c>
      <c r="L3940" s="31" t="str">
        <f>IFERROR(__xludf.DUMMYFUNCTION("IF(OR(E3940="""",K3940=""""),"""",IFERROR(IF(K3940="""","""",query('tbl user'!$A$2:$D10975,""SELECT A WHERE D = '""&amp;K3940&amp;""'"")),""USER TIDAK DIKETAHUI""))"),"#REF!")</f>
        <v>#REF!</v>
      </c>
    </row>
    <row r="3941">
      <c r="A3941" s="21">
        <f t="shared" si="1"/>
        <v>0</v>
      </c>
      <c r="B3941" s="32" t="s">
        <v>716</v>
      </c>
      <c r="C3941" s="23" t="s">
        <v>316</v>
      </c>
      <c r="D3941" s="23" t="s">
        <v>21</v>
      </c>
      <c r="E3941" s="24">
        <v>45454.0</v>
      </c>
      <c r="F3941" s="25">
        <v>0.22708333333333333</v>
      </c>
      <c r="G3941" s="25">
        <v>0.5625</v>
      </c>
      <c r="H3941" s="27">
        <f t="shared" si="2"/>
        <v>0.3354166667</v>
      </c>
      <c r="I3941" s="28">
        <v>1.0</v>
      </c>
      <c r="J3941" s="29" t="s">
        <v>1773</v>
      </c>
      <c r="K3941" s="30" t="s">
        <v>23</v>
      </c>
      <c r="L3941" s="31" t="str">
        <f>IFERROR(__xludf.DUMMYFUNCTION("IF(OR(E3941="""",K3941=""""),"""",IFERROR(IF(K3941="""","""",query('tbl user'!$A$2:$D10975,""SELECT A WHERE D = '""&amp;K3941&amp;""'"")),""USER TIDAK DIKETAHUI""))"),"#REF!")</f>
        <v>#REF!</v>
      </c>
    </row>
    <row r="3942">
      <c r="A3942" s="21">
        <f t="shared" si="1"/>
        <v>0</v>
      </c>
      <c r="B3942" s="32" t="s">
        <v>577</v>
      </c>
      <c r="C3942" s="23" t="s">
        <v>330</v>
      </c>
      <c r="D3942" s="23" t="s">
        <v>21</v>
      </c>
      <c r="E3942" s="24">
        <v>45454.0</v>
      </c>
      <c r="F3942" s="25">
        <v>0.2611111111111111</v>
      </c>
      <c r="G3942" s="25">
        <v>0.5631944444444444</v>
      </c>
      <c r="H3942" s="27">
        <f t="shared" si="2"/>
        <v>0.3020833333</v>
      </c>
      <c r="I3942" s="28">
        <v>1.0</v>
      </c>
      <c r="J3942" s="29" t="s">
        <v>1774</v>
      </c>
      <c r="K3942" s="30" t="s">
        <v>23</v>
      </c>
      <c r="L3942" s="31" t="str">
        <f>IFERROR(__xludf.DUMMYFUNCTION("IF(OR(E3942="""",K3942=""""),"""",IFERROR(IF(K3942="""","""",query('tbl user'!$A$2:$D10975,""SELECT A WHERE D = '""&amp;K3942&amp;""'"")),""USER TIDAK DIKETAHUI""))"),"#REF!")</f>
        <v>#REF!</v>
      </c>
    </row>
    <row r="3943">
      <c r="A3943" s="21">
        <f t="shared" si="1"/>
        <v>0</v>
      </c>
      <c r="B3943" s="32" t="s">
        <v>238</v>
      </c>
      <c r="C3943" s="23" t="s">
        <v>239</v>
      </c>
      <c r="D3943" s="23" t="s">
        <v>21</v>
      </c>
      <c r="E3943" s="24">
        <v>45454.0</v>
      </c>
      <c r="F3943" s="25">
        <v>0.27847222222222223</v>
      </c>
      <c r="G3943" s="25">
        <v>0.7090277777777778</v>
      </c>
      <c r="H3943" s="27">
        <f t="shared" si="2"/>
        <v>0.4305555556</v>
      </c>
      <c r="I3943" s="28">
        <v>2.0</v>
      </c>
      <c r="J3943" s="29" t="s">
        <v>171</v>
      </c>
      <c r="K3943" s="30" t="s">
        <v>23</v>
      </c>
      <c r="L3943" s="31" t="str">
        <f>IFERROR(__xludf.DUMMYFUNCTION("IF(OR(E3943="""",K3943=""""),"""",IFERROR(IF(K3943="""","""",query('tbl user'!$A$2:$D10975,""SELECT A WHERE D = '""&amp;K3943&amp;""'"")),""USER TIDAK DIKETAHUI""))"),"#REF!")</f>
        <v>#REF!</v>
      </c>
    </row>
    <row r="3944">
      <c r="A3944" s="21">
        <f t="shared" si="1"/>
        <v>0</v>
      </c>
      <c r="B3944" s="32" t="s">
        <v>37</v>
      </c>
      <c r="C3944" s="23" t="s">
        <v>38</v>
      </c>
      <c r="D3944" s="23" t="s">
        <v>21</v>
      </c>
      <c r="E3944" s="24">
        <v>45454.0</v>
      </c>
      <c r="F3944" s="25">
        <v>0.25069444444444444</v>
      </c>
      <c r="G3944" s="25">
        <v>0.6965277777777777</v>
      </c>
      <c r="H3944" s="27">
        <f t="shared" si="2"/>
        <v>0.4458333333</v>
      </c>
      <c r="I3944" s="28">
        <v>2.0</v>
      </c>
      <c r="J3944" s="29" t="s">
        <v>1303</v>
      </c>
      <c r="K3944" s="30" t="s">
        <v>23</v>
      </c>
      <c r="L3944" s="31" t="str">
        <f>IFERROR(__xludf.DUMMYFUNCTION("IF(OR(E3944="""",K3944=""""),"""",IFERROR(IF(K3944="""","""",query('tbl user'!$A$2:$D10975,""SELECT A WHERE D = '""&amp;K3944&amp;""'"")),""USER TIDAK DIKETAHUI""))"),"#REF!")</f>
        <v>#REF!</v>
      </c>
    </row>
    <row r="3945">
      <c r="A3945" s="21">
        <f t="shared" si="1"/>
        <v>0</v>
      </c>
      <c r="B3945" s="32" t="s">
        <v>81</v>
      </c>
      <c r="C3945" s="23" t="s">
        <v>62</v>
      </c>
      <c r="D3945" s="23" t="s">
        <v>21</v>
      </c>
      <c r="E3945" s="24">
        <v>45454.0</v>
      </c>
      <c r="F3945" s="25">
        <v>0.24305555555555555</v>
      </c>
      <c r="G3945" s="25">
        <v>0.6708333333333333</v>
      </c>
      <c r="H3945" s="27">
        <f t="shared" si="2"/>
        <v>0.4277777778</v>
      </c>
      <c r="I3945" s="28">
        <v>2.0</v>
      </c>
      <c r="J3945" s="29" t="s">
        <v>1775</v>
      </c>
      <c r="K3945" s="30" t="s">
        <v>23</v>
      </c>
      <c r="L3945" s="31" t="str">
        <f>IFERROR(__xludf.DUMMYFUNCTION("IF(OR(E3945="""",K3945=""""),"""",IFERROR(IF(K3945="""","""",query('tbl user'!$A$2:$D10975,""SELECT A WHERE D = '""&amp;K3945&amp;""'"")),""USER TIDAK DIKETAHUI""))"),"#REF!")</f>
        <v>#REF!</v>
      </c>
    </row>
    <row r="3946">
      <c r="A3946" s="21">
        <f t="shared" si="1"/>
        <v>0</v>
      </c>
      <c r="B3946" s="32" t="s">
        <v>284</v>
      </c>
      <c r="C3946" s="23" t="s">
        <v>285</v>
      </c>
      <c r="D3946" s="23" t="s">
        <v>21</v>
      </c>
      <c r="E3946" s="24">
        <v>45454.0</v>
      </c>
      <c r="F3946" s="25">
        <v>0.2861111111111111</v>
      </c>
      <c r="G3946" s="25">
        <v>0.6</v>
      </c>
      <c r="H3946" s="27">
        <f t="shared" si="2"/>
        <v>0.3138888889</v>
      </c>
      <c r="I3946" s="28">
        <v>2.0</v>
      </c>
      <c r="J3946" s="29" t="s">
        <v>1776</v>
      </c>
      <c r="K3946" s="30" t="s">
        <v>23</v>
      </c>
      <c r="L3946" s="31" t="str">
        <f>IFERROR(__xludf.DUMMYFUNCTION("IF(OR(E3946="""",K3946=""""),"""",IFERROR(IF(K3946="""","""",query('tbl user'!$A$2:$D10975,""SELECT A WHERE D = '""&amp;K3946&amp;""'"")),""USER TIDAK DIKETAHUI""))"),"#REF!")</f>
        <v>#REF!</v>
      </c>
    </row>
    <row r="3947">
      <c r="A3947" s="21">
        <f t="shared" si="1"/>
        <v>0</v>
      </c>
      <c r="B3947" s="32" t="s">
        <v>305</v>
      </c>
      <c r="C3947" s="23" t="s">
        <v>251</v>
      </c>
      <c r="D3947" s="23" t="s">
        <v>21</v>
      </c>
      <c r="E3947" s="24">
        <v>45454.0</v>
      </c>
      <c r="F3947" s="25">
        <v>0.22361111111111112</v>
      </c>
      <c r="G3947" s="25">
        <v>0.6229166666666667</v>
      </c>
      <c r="H3947" s="27">
        <f t="shared" si="2"/>
        <v>0.3993055556</v>
      </c>
      <c r="I3947" s="28">
        <v>2.0</v>
      </c>
      <c r="J3947" s="29" t="s">
        <v>171</v>
      </c>
      <c r="K3947" s="30" t="s">
        <v>23</v>
      </c>
      <c r="L3947" s="31" t="str">
        <f>IFERROR(__xludf.DUMMYFUNCTION("IF(OR(E3947="""",K3947=""""),"""",IFERROR(IF(K3947="""","""",query('tbl user'!$A$2:$D10975,""SELECT A WHERE D = '""&amp;K3947&amp;""'"")),""USER TIDAK DIKETAHUI""))"),"#REF!")</f>
        <v>#REF!</v>
      </c>
    </row>
    <row r="3948">
      <c r="A3948" s="21">
        <f t="shared" si="1"/>
        <v>0</v>
      </c>
      <c r="B3948" s="32" t="s">
        <v>662</v>
      </c>
      <c r="C3948" s="23" t="s">
        <v>234</v>
      </c>
      <c r="D3948" s="23" t="s">
        <v>21</v>
      </c>
      <c r="E3948" s="24">
        <v>45454.0</v>
      </c>
      <c r="F3948" s="25">
        <v>0.2798611111111111</v>
      </c>
      <c r="G3948" s="25">
        <v>0.6833333333333333</v>
      </c>
      <c r="H3948" s="27">
        <f t="shared" si="2"/>
        <v>0.4034722222</v>
      </c>
      <c r="I3948" s="28">
        <v>2.0</v>
      </c>
      <c r="J3948" s="29" t="s">
        <v>171</v>
      </c>
      <c r="K3948" s="30" t="s">
        <v>23</v>
      </c>
      <c r="L3948" s="31" t="str">
        <f>IFERROR(__xludf.DUMMYFUNCTION("IF(OR(E3948="""",K3948=""""),"""",IFERROR(IF(K3948="""","""",query('tbl user'!$A$2:$D10975,""SELECT A WHERE D = '""&amp;K3948&amp;""'"")),""USER TIDAK DIKETAHUI""))"),"#REF!")</f>
        <v>#REF!</v>
      </c>
    </row>
    <row r="3949">
      <c r="A3949" s="21">
        <f t="shared" si="1"/>
        <v>0</v>
      </c>
      <c r="B3949" s="32" t="s">
        <v>225</v>
      </c>
      <c r="C3949" s="23" t="s">
        <v>339</v>
      </c>
      <c r="D3949" s="23" t="s">
        <v>21</v>
      </c>
      <c r="E3949" s="24">
        <v>45454.0</v>
      </c>
      <c r="F3949" s="25">
        <v>0.2298611111111111</v>
      </c>
      <c r="G3949" s="25">
        <v>0.6597222222222222</v>
      </c>
      <c r="H3949" s="27">
        <f t="shared" si="2"/>
        <v>0.4298611111</v>
      </c>
      <c r="I3949" s="28">
        <v>2.0</v>
      </c>
      <c r="J3949" s="29" t="s">
        <v>1777</v>
      </c>
      <c r="K3949" s="30" t="s">
        <v>23</v>
      </c>
      <c r="L3949" s="31" t="str">
        <f>IFERROR(__xludf.DUMMYFUNCTION("IF(OR(E3949="""",K3949=""""),"""",IFERROR(IF(K3949="""","""",query('tbl user'!$A$2:$D10975,""SELECT A WHERE D = '""&amp;K3949&amp;""'"")),""USER TIDAK DIKETAHUI""))"),"#REF!")</f>
        <v>#REF!</v>
      </c>
    </row>
    <row r="3950">
      <c r="A3950" s="21">
        <f t="shared" si="1"/>
        <v>0</v>
      </c>
      <c r="B3950" s="32" t="s">
        <v>258</v>
      </c>
      <c r="C3950" s="23" t="s">
        <v>259</v>
      </c>
      <c r="D3950" s="23" t="s">
        <v>21</v>
      </c>
      <c r="E3950" s="24">
        <v>45454.0</v>
      </c>
      <c r="F3950" s="25">
        <v>0.25416666666666665</v>
      </c>
      <c r="G3950" s="25">
        <v>0.6659722222222222</v>
      </c>
      <c r="H3950" s="27">
        <f t="shared" si="2"/>
        <v>0.4118055556</v>
      </c>
      <c r="I3950" s="28">
        <v>2.0</v>
      </c>
      <c r="J3950" s="29" t="s">
        <v>171</v>
      </c>
      <c r="K3950" s="30" t="s">
        <v>23</v>
      </c>
      <c r="L3950" s="31" t="str">
        <f>IFERROR(__xludf.DUMMYFUNCTION("IF(OR(E3950="""",K3950=""""),"""",IFERROR(IF(K3950="""","""",query('tbl user'!$A$2:$D10975,""SELECT A WHERE D = '""&amp;K3950&amp;""'"")),""USER TIDAK DIKETAHUI""))"),"#REF!")</f>
        <v>#REF!</v>
      </c>
    </row>
    <row r="3951">
      <c r="A3951" s="21">
        <f t="shared" si="1"/>
        <v>0</v>
      </c>
      <c r="B3951" s="32" t="s">
        <v>335</v>
      </c>
      <c r="C3951" s="23" t="s">
        <v>336</v>
      </c>
      <c r="D3951" s="23" t="s">
        <v>21</v>
      </c>
      <c r="E3951" s="24">
        <v>45454.0</v>
      </c>
      <c r="F3951" s="25">
        <v>0.27847222222222223</v>
      </c>
      <c r="G3951" s="25">
        <v>0.6875</v>
      </c>
      <c r="H3951" s="27">
        <f t="shared" si="2"/>
        <v>0.4090277778</v>
      </c>
      <c r="I3951" s="28">
        <v>2.0</v>
      </c>
      <c r="J3951" s="29" t="s">
        <v>171</v>
      </c>
      <c r="K3951" s="30" t="s">
        <v>23</v>
      </c>
      <c r="L3951" s="31" t="str">
        <f>IFERROR(__xludf.DUMMYFUNCTION("IF(OR(E3951="""",K3951=""""),"""",IFERROR(IF(K3951="""","""",query('tbl user'!$A$2:$D10975,""SELECT A WHERE D = '""&amp;K3951&amp;""'"")),""USER TIDAK DIKETAHUI""))"),"#REF!")</f>
        <v>#REF!</v>
      </c>
    </row>
    <row r="3952">
      <c r="A3952" s="21">
        <f t="shared" si="1"/>
        <v>0</v>
      </c>
      <c r="B3952" s="32" t="s">
        <v>219</v>
      </c>
      <c r="C3952" s="23" t="s">
        <v>340</v>
      </c>
      <c r="D3952" s="23" t="s">
        <v>21</v>
      </c>
      <c r="E3952" s="24">
        <v>45454.0</v>
      </c>
      <c r="F3952" s="25">
        <v>0.24027777777777778</v>
      </c>
      <c r="G3952" s="25">
        <v>0.6548611111111111</v>
      </c>
      <c r="H3952" s="27">
        <f t="shared" si="2"/>
        <v>0.4145833333</v>
      </c>
      <c r="I3952" s="28">
        <v>2.0</v>
      </c>
      <c r="J3952" s="29" t="s">
        <v>171</v>
      </c>
      <c r="K3952" s="30" t="s">
        <v>23</v>
      </c>
      <c r="L3952" s="31" t="str">
        <f>IFERROR(__xludf.DUMMYFUNCTION("IF(OR(E3952="""",K3952=""""),"""",IFERROR(IF(K3952="""","""",query('tbl user'!$A$2:$D10975,""SELECT A WHERE D = '""&amp;K3952&amp;""'"")),""USER TIDAK DIKETAHUI""))"),"#REF!")</f>
        <v>#REF!</v>
      </c>
    </row>
    <row r="3953">
      <c r="A3953" s="21">
        <f t="shared" si="1"/>
        <v>0</v>
      </c>
      <c r="B3953" s="32" t="s">
        <v>87</v>
      </c>
      <c r="C3953" s="23" t="s">
        <v>88</v>
      </c>
      <c r="D3953" s="23" t="s">
        <v>21</v>
      </c>
      <c r="E3953" s="24">
        <v>45454.0</v>
      </c>
      <c r="F3953" s="25">
        <v>0.21875</v>
      </c>
      <c r="G3953" s="25">
        <v>0.6673611111111111</v>
      </c>
      <c r="H3953" s="27">
        <f t="shared" si="2"/>
        <v>0.4486111111</v>
      </c>
      <c r="I3953" s="28">
        <v>2.0</v>
      </c>
      <c r="J3953" s="29" t="s">
        <v>171</v>
      </c>
      <c r="K3953" s="30" t="s">
        <v>23</v>
      </c>
      <c r="L3953" s="31" t="str">
        <f>IFERROR(__xludf.DUMMYFUNCTION("IF(OR(E3953="""",K3953=""""),"""",IFERROR(IF(K3953="""","""",query('tbl user'!$A$2:$D10975,""SELECT A WHERE D = '""&amp;K3953&amp;""'"")),""USER TIDAK DIKETAHUI""))"),"#REF!")</f>
        <v>#REF!</v>
      </c>
    </row>
    <row r="3954">
      <c r="A3954" s="21">
        <f t="shared" si="1"/>
        <v>0</v>
      </c>
      <c r="B3954" s="32" t="s">
        <v>325</v>
      </c>
      <c r="C3954" s="23" t="s">
        <v>326</v>
      </c>
      <c r="D3954" s="23" t="s">
        <v>21</v>
      </c>
      <c r="E3954" s="24">
        <v>45454.0</v>
      </c>
      <c r="F3954" s="25">
        <v>0.22708333333333333</v>
      </c>
      <c r="G3954" s="25">
        <v>0.6208333333333333</v>
      </c>
      <c r="H3954" s="27">
        <f t="shared" si="2"/>
        <v>0.39375</v>
      </c>
      <c r="I3954" s="28">
        <v>2.0</v>
      </c>
      <c r="J3954" s="29" t="s">
        <v>171</v>
      </c>
      <c r="K3954" s="30" t="s">
        <v>23</v>
      </c>
      <c r="L3954" s="31" t="str">
        <f>IFERROR(__xludf.DUMMYFUNCTION("IF(OR(E3954="""",K3954=""""),"""",IFERROR(IF(K3954="""","""",query('tbl user'!$A$2:$D10975,""SELECT A WHERE D = '""&amp;K3954&amp;""'"")),""USER TIDAK DIKETAHUI""))"),"#REF!")</f>
        <v>#REF!</v>
      </c>
    </row>
    <row r="3955">
      <c r="A3955" s="21">
        <f t="shared" si="1"/>
        <v>0</v>
      </c>
      <c r="B3955" s="32" t="s">
        <v>337</v>
      </c>
      <c r="C3955" s="23" t="s">
        <v>338</v>
      </c>
      <c r="D3955" s="23" t="s">
        <v>21</v>
      </c>
      <c r="E3955" s="24">
        <v>45454.0</v>
      </c>
      <c r="F3955" s="25">
        <v>0.22708333333333333</v>
      </c>
      <c r="G3955" s="25">
        <v>0.5652777777777778</v>
      </c>
      <c r="H3955" s="27">
        <f t="shared" si="2"/>
        <v>0.3381944444</v>
      </c>
      <c r="I3955" s="28">
        <v>2.0</v>
      </c>
      <c r="J3955" s="29" t="s">
        <v>1778</v>
      </c>
      <c r="K3955" s="30" t="s">
        <v>23</v>
      </c>
      <c r="L3955" s="31" t="str">
        <f>IFERROR(__xludf.DUMMYFUNCTION("IF(OR(E3955="""",K3955=""""),"""",IFERROR(IF(K3955="""","""",query('tbl user'!$A$2:$D10975,""SELECT A WHERE D = '""&amp;K3955&amp;""'"")),""USER TIDAK DIKETAHUI""))"),"#REF!")</f>
        <v>#REF!</v>
      </c>
    </row>
    <row r="3956">
      <c r="A3956" s="21">
        <f t="shared" si="1"/>
        <v>0</v>
      </c>
      <c r="B3956" s="32" t="s">
        <v>601</v>
      </c>
      <c r="C3956" s="23" t="s">
        <v>323</v>
      </c>
      <c r="D3956" s="23" t="s">
        <v>21</v>
      </c>
      <c r="E3956" s="24">
        <v>45454.0</v>
      </c>
      <c r="F3956" s="25">
        <v>0.2798611111111111</v>
      </c>
      <c r="G3956" s="25">
        <v>0.7215277777777778</v>
      </c>
      <c r="H3956" s="27">
        <f t="shared" si="2"/>
        <v>0.4416666667</v>
      </c>
      <c r="I3956" s="28">
        <v>2.0</v>
      </c>
      <c r="J3956" s="29" t="s">
        <v>171</v>
      </c>
      <c r="K3956" s="30" t="s">
        <v>23</v>
      </c>
      <c r="L3956" s="31" t="str">
        <f>IFERROR(__xludf.DUMMYFUNCTION("IF(OR(E3956="""",K3956=""""),"""",IFERROR(IF(K3956="""","""",query('tbl user'!$A$2:$D10975,""SELECT A WHERE D = '""&amp;K3956&amp;""'"")),""USER TIDAK DIKETAHUI""))"),"#REF!")</f>
        <v>#REF!</v>
      </c>
    </row>
    <row r="3957">
      <c r="A3957" s="21">
        <f t="shared" si="1"/>
        <v>0</v>
      </c>
      <c r="B3957" s="32" t="s">
        <v>260</v>
      </c>
      <c r="C3957" s="23" t="s">
        <v>261</v>
      </c>
      <c r="D3957" s="23" t="s">
        <v>21</v>
      </c>
      <c r="E3957" s="24">
        <v>45454.0</v>
      </c>
      <c r="F3957" s="25">
        <v>0.27361111111111114</v>
      </c>
      <c r="G3957" s="25">
        <v>0.64375</v>
      </c>
      <c r="H3957" s="27">
        <f t="shared" si="2"/>
        <v>0.3701388889</v>
      </c>
      <c r="I3957" s="28">
        <v>2.0</v>
      </c>
      <c r="J3957" s="29" t="s">
        <v>1779</v>
      </c>
      <c r="K3957" s="30" t="s">
        <v>23</v>
      </c>
      <c r="L3957" s="31" t="str">
        <f>IFERROR(__xludf.DUMMYFUNCTION("IF(OR(E3957="""",K3957=""""),"""",IFERROR(IF(K3957="""","""",query('tbl user'!$A$2:$D10975,""SELECT A WHERE D = '""&amp;K3957&amp;""'"")),""USER TIDAK DIKETAHUI""))"),"#REF!")</f>
        <v>#REF!</v>
      </c>
    </row>
    <row r="3958">
      <c r="A3958" s="21">
        <f t="shared" si="1"/>
        <v>0</v>
      </c>
      <c r="B3958" s="32" t="s">
        <v>246</v>
      </c>
      <c r="C3958" s="23" t="s">
        <v>1556</v>
      </c>
      <c r="D3958" s="23" t="s">
        <v>21</v>
      </c>
      <c r="E3958" s="24">
        <v>45454.0</v>
      </c>
      <c r="F3958" s="25">
        <v>0.2826388888888889</v>
      </c>
      <c r="G3958" s="25">
        <v>0.7131944444444445</v>
      </c>
      <c r="H3958" s="27">
        <f t="shared" si="2"/>
        <v>0.4305555556</v>
      </c>
      <c r="I3958" s="28">
        <v>2.0</v>
      </c>
      <c r="J3958" s="29" t="s">
        <v>171</v>
      </c>
      <c r="K3958" s="30" t="s">
        <v>23</v>
      </c>
      <c r="L3958" s="31" t="str">
        <f>IFERROR(__xludf.DUMMYFUNCTION("IF(OR(E3958="""",K3958=""""),"""",IFERROR(IF(K3958="""","""",query('tbl user'!$A$2:$D10975,""SELECT A WHERE D = '""&amp;K3958&amp;""'"")),""USER TIDAK DIKETAHUI""))"),"#REF!")</f>
        <v>#REF!</v>
      </c>
    </row>
    <row r="3959">
      <c r="A3959" s="21">
        <f t="shared" si="1"/>
        <v>0</v>
      </c>
      <c r="B3959" s="32" t="s">
        <v>46</v>
      </c>
      <c r="C3959" s="23" t="s">
        <v>47</v>
      </c>
      <c r="D3959" s="23" t="s">
        <v>32</v>
      </c>
      <c r="E3959" s="24">
        <v>45454.0</v>
      </c>
      <c r="F3959" s="25">
        <v>0.26875</v>
      </c>
      <c r="G3959" s="25">
        <v>0.5486111111111112</v>
      </c>
      <c r="H3959" s="27">
        <f t="shared" si="2"/>
        <v>0.2798611111</v>
      </c>
      <c r="I3959" s="28">
        <v>1.0</v>
      </c>
      <c r="J3959" s="29" t="s">
        <v>1780</v>
      </c>
      <c r="K3959" s="30" t="s">
        <v>23</v>
      </c>
      <c r="L3959" s="31" t="str">
        <f>IFERROR(__xludf.DUMMYFUNCTION("IF(OR(E3959="""",K3959=""""),"""",IFERROR(IF(K3959="""","""",query('tbl user'!$A$2:$D10975,""SELECT A WHERE D = '""&amp;K3959&amp;""'"")),""USER TIDAK DIKETAHUI""))"),"#REF!")</f>
        <v>#REF!</v>
      </c>
    </row>
    <row r="3960">
      <c r="A3960" s="21">
        <f t="shared" si="1"/>
        <v>0</v>
      </c>
      <c r="B3960" s="32" t="s">
        <v>120</v>
      </c>
      <c r="C3960" s="23" t="s">
        <v>121</v>
      </c>
      <c r="D3960" s="23" t="s">
        <v>32</v>
      </c>
      <c r="E3960" s="24">
        <v>45454.0</v>
      </c>
      <c r="F3960" s="25">
        <v>0.27361111111111114</v>
      </c>
      <c r="G3960" s="25">
        <v>0.37777777777777777</v>
      </c>
      <c r="H3960" s="27">
        <f t="shared" si="2"/>
        <v>0.1041666667</v>
      </c>
      <c r="I3960" s="28">
        <v>1.0</v>
      </c>
      <c r="J3960" s="29" t="s">
        <v>1781</v>
      </c>
      <c r="K3960" s="30" t="s">
        <v>23</v>
      </c>
      <c r="L3960" s="31" t="str">
        <f>IFERROR(__xludf.DUMMYFUNCTION("IF(OR(E3960="""",K3960=""""),"""",IFERROR(IF(K3960="""","""",query('tbl user'!$A$2:$D10975,""SELECT A WHERE D = '""&amp;K3960&amp;""'"")),""USER TIDAK DIKETAHUI""))"),"#REF!")</f>
        <v>#REF!</v>
      </c>
    </row>
    <row r="3961">
      <c r="A3961" s="21">
        <f t="shared" si="1"/>
        <v>0</v>
      </c>
      <c r="B3961" s="32" t="s">
        <v>125</v>
      </c>
      <c r="C3961" s="23" t="s">
        <v>126</v>
      </c>
      <c r="D3961" s="23" t="s">
        <v>32</v>
      </c>
      <c r="E3961" s="24">
        <v>45454.0</v>
      </c>
      <c r="F3961" s="25">
        <v>0.30833333333333335</v>
      </c>
      <c r="G3961" s="25">
        <v>0.43194444444444446</v>
      </c>
      <c r="H3961" s="27">
        <f t="shared" si="2"/>
        <v>0.1236111111</v>
      </c>
      <c r="I3961" s="28">
        <v>1.0</v>
      </c>
      <c r="J3961" s="29" t="s">
        <v>1782</v>
      </c>
      <c r="K3961" s="30" t="s">
        <v>23</v>
      </c>
      <c r="L3961" s="31" t="str">
        <f>IFERROR(__xludf.DUMMYFUNCTION("IF(OR(E3961="""",K3961=""""),"""",IFERROR(IF(K3961="""","""",query('tbl user'!$A$2:$D10975,""SELECT A WHERE D = '""&amp;K3961&amp;""'"")),""USER TIDAK DIKETAHUI""))"),"#REF!")</f>
        <v>#REF!</v>
      </c>
    </row>
    <row r="3962">
      <c r="A3962" s="21">
        <f t="shared" si="1"/>
        <v>0</v>
      </c>
      <c r="B3962" s="32" t="s">
        <v>72</v>
      </c>
      <c r="C3962" s="23" t="s">
        <v>73</v>
      </c>
      <c r="D3962" s="23" t="s">
        <v>32</v>
      </c>
      <c r="E3962" s="24">
        <v>45454.0</v>
      </c>
      <c r="F3962" s="25">
        <v>0.2722222222222222</v>
      </c>
      <c r="G3962" s="25">
        <v>0.6548611111111111</v>
      </c>
      <c r="H3962" s="27">
        <f t="shared" si="2"/>
        <v>0.3826388889</v>
      </c>
      <c r="I3962" s="28">
        <v>1.0</v>
      </c>
      <c r="J3962" s="29" t="s">
        <v>1783</v>
      </c>
      <c r="K3962" s="30" t="s">
        <v>23</v>
      </c>
      <c r="L3962" s="31" t="str">
        <f>IFERROR(__xludf.DUMMYFUNCTION("IF(OR(E3962="""",K3962=""""),"""",IFERROR(IF(K3962="""","""",query('tbl user'!$A$2:$D10975,""SELECT A WHERE D = '""&amp;K3962&amp;""'"")),""USER TIDAK DIKETAHUI""))"),"#REF!")</f>
        <v>#REF!</v>
      </c>
    </row>
    <row r="3963">
      <c r="A3963" s="21">
        <f t="shared" si="1"/>
        <v>0</v>
      </c>
      <c r="B3963" s="32" t="s">
        <v>151</v>
      </c>
      <c r="C3963" s="23" t="s">
        <v>41</v>
      </c>
      <c r="D3963" s="23" t="s">
        <v>32</v>
      </c>
      <c r="E3963" s="24">
        <v>45454.0</v>
      </c>
      <c r="F3963" s="25">
        <v>0.39861111111111114</v>
      </c>
      <c r="G3963" s="25">
        <v>0.6965277777777777</v>
      </c>
      <c r="H3963" s="27">
        <f t="shared" si="2"/>
        <v>0.2979166667</v>
      </c>
      <c r="I3963" s="28">
        <v>1.0</v>
      </c>
      <c r="J3963" s="29" t="s">
        <v>1784</v>
      </c>
      <c r="K3963" s="30" t="s">
        <v>23</v>
      </c>
      <c r="L3963" s="31" t="str">
        <f>IFERROR(__xludf.DUMMYFUNCTION("IF(OR(E3963="""",K3963=""""),"""",IFERROR(IF(K3963="""","""",query('tbl user'!$A$2:$D10975,""SELECT A WHERE D = '""&amp;K3963&amp;""'"")),""USER TIDAK DIKETAHUI""))"),"#REF!")</f>
        <v>#REF!</v>
      </c>
    </row>
    <row r="3964">
      <c r="A3964" s="21">
        <f t="shared" si="1"/>
        <v>0</v>
      </c>
      <c r="B3964" s="32" t="s">
        <v>146</v>
      </c>
      <c r="C3964" s="23" t="s">
        <v>147</v>
      </c>
      <c r="D3964" s="23" t="s">
        <v>32</v>
      </c>
      <c r="E3964" s="24">
        <v>45454.0</v>
      </c>
      <c r="F3964" s="25">
        <v>0.475</v>
      </c>
      <c r="G3964" s="33">
        <v>0.6368055555555555</v>
      </c>
      <c r="H3964" s="27">
        <f t="shared" si="2"/>
        <v>0.1618055556</v>
      </c>
      <c r="I3964" s="28">
        <v>1.0</v>
      </c>
      <c r="J3964" s="29" t="s">
        <v>1785</v>
      </c>
      <c r="K3964" s="30" t="s">
        <v>23</v>
      </c>
      <c r="L3964" s="31" t="str">
        <f>IFERROR(__xludf.DUMMYFUNCTION("IF(OR(E3964="""",K3964=""""),"""",IFERROR(IF(K3964="""","""",query('tbl user'!$A$2:$D10975,""SELECT A WHERE D = '""&amp;K3964&amp;""'"")),""USER TIDAK DIKETAHUI""))"),"#REF!")</f>
        <v>#REF!</v>
      </c>
    </row>
    <row r="3965">
      <c r="A3965" s="21">
        <f t="shared" si="1"/>
        <v>0</v>
      </c>
      <c r="B3965" s="32" t="s">
        <v>274</v>
      </c>
      <c r="C3965" s="23" t="s">
        <v>275</v>
      </c>
      <c r="D3965" s="23" t="s">
        <v>32</v>
      </c>
      <c r="E3965" s="24">
        <v>45454.0</v>
      </c>
      <c r="F3965" s="25">
        <v>0.26805555555555555</v>
      </c>
      <c r="G3965" s="25">
        <v>0.4486111111111111</v>
      </c>
      <c r="H3965" s="27">
        <f t="shared" si="2"/>
        <v>0.1805555556</v>
      </c>
      <c r="I3965" s="28">
        <v>1.0</v>
      </c>
      <c r="J3965" s="29" t="s">
        <v>1786</v>
      </c>
      <c r="K3965" s="30" t="s">
        <v>23</v>
      </c>
      <c r="L3965" s="31" t="str">
        <f>IFERROR(__xludf.DUMMYFUNCTION("IF(OR(E3965="""",K3965=""""),"""",IFERROR(IF(K3965="""","""",query('tbl user'!$A$2:$D10975,""SELECT A WHERE D = '""&amp;K3965&amp;""'"")),""USER TIDAK DIKETAHUI""))"),"#REF!")</f>
        <v>#REF!</v>
      </c>
    </row>
    <row r="3966">
      <c r="A3966" s="21">
        <f t="shared" si="1"/>
        <v>0</v>
      </c>
      <c r="B3966" s="32" t="s">
        <v>110</v>
      </c>
      <c r="C3966" s="23" t="s">
        <v>111</v>
      </c>
      <c r="D3966" s="23" t="s">
        <v>32</v>
      </c>
      <c r="E3966" s="24">
        <v>45454.0</v>
      </c>
      <c r="F3966" s="25">
        <v>0.3020833333333333</v>
      </c>
      <c r="G3966" s="25">
        <v>0.5847222222222223</v>
      </c>
      <c r="H3966" s="27">
        <f t="shared" si="2"/>
        <v>0.2826388889</v>
      </c>
      <c r="I3966" s="28">
        <v>2.0</v>
      </c>
      <c r="J3966" s="29" t="s">
        <v>1787</v>
      </c>
      <c r="K3966" s="30" t="s">
        <v>23</v>
      </c>
      <c r="L3966" s="31" t="str">
        <f>IFERROR(__xludf.DUMMYFUNCTION("IF(OR(E3966="""",K3966=""""),"""",IFERROR(IF(K3966="""","""",query('tbl user'!$A$2:$D10975,""SELECT A WHERE D = '""&amp;K3966&amp;""'"")),""USER TIDAK DIKETAHUI""))"),"#REF!")</f>
        <v>#REF!</v>
      </c>
    </row>
    <row r="3967">
      <c r="A3967" s="21">
        <f t="shared" si="1"/>
        <v>0</v>
      </c>
      <c r="B3967" s="32" t="s">
        <v>113</v>
      </c>
      <c r="C3967" s="23" t="s">
        <v>114</v>
      </c>
      <c r="D3967" s="23" t="s">
        <v>32</v>
      </c>
      <c r="E3967" s="24">
        <v>45454.0</v>
      </c>
      <c r="F3967" s="25">
        <v>0.22916666666666666</v>
      </c>
      <c r="G3967" s="25">
        <v>0.5208333333333334</v>
      </c>
      <c r="H3967" s="27">
        <f t="shared" si="2"/>
        <v>0.2916666667</v>
      </c>
      <c r="I3967" s="28">
        <v>2.0</v>
      </c>
      <c r="J3967" s="29" t="s">
        <v>1788</v>
      </c>
      <c r="K3967" s="30" t="s">
        <v>23</v>
      </c>
      <c r="L3967" s="31" t="str">
        <f>IFERROR(__xludf.DUMMYFUNCTION("IF(OR(E3967="""",K3967=""""),"""",IFERROR(IF(K3967="""","""",query('tbl user'!$A$2:$D10975,""SELECT A WHERE D = '""&amp;K3967&amp;""'"")),""USER TIDAK DIKETAHUI""))"),"#REF!")</f>
        <v>#REF!</v>
      </c>
    </row>
    <row r="3968">
      <c r="A3968" s="21">
        <f t="shared" si="1"/>
        <v>0</v>
      </c>
      <c r="B3968" s="32" t="s">
        <v>115</v>
      </c>
      <c r="C3968" s="23" t="s">
        <v>116</v>
      </c>
      <c r="D3968" s="23" t="s">
        <v>32</v>
      </c>
      <c r="E3968" s="24">
        <v>45454.0</v>
      </c>
      <c r="F3968" s="25">
        <v>0.28541666666666665</v>
      </c>
      <c r="G3968" s="25">
        <v>0.6944444444444444</v>
      </c>
      <c r="H3968" s="27">
        <f t="shared" si="2"/>
        <v>0.4090277778</v>
      </c>
      <c r="I3968" s="28">
        <v>2.0</v>
      </c>
      <c r="J3968" s="29" t="s">
        <v>1789</v>
      </c>
      <c r="K3968" s="30" t="s">
        <v>23</v>
      </c>
      <c r="L3968" s="31" t="str">
        <f>IFERROR(__xludf.DUMMYFUNCTION("IF(OR(E3968="""",K3968=""""),"""",IFERROR(IF(K3968="""","""",query('tbl user'!$A$2:$D10975,""SELECT A WHERE D = '""&amp;K3968&amp;""'"")),""USER TIDAK DIKETAHUI""))"),"#REF!")</f>
        <v>#REF!</v>
      </c>
    </row>
    <row r="3969">
      <c r="A3969" s="21">
        <f t="shared" si="1"/>
        <v>0</v>
      </c>
      <c r="B3969" s="32" t="s">
        <v>127</v>
      </c>
      <c r="C3969" s="23" t="s">
        <v>128</v>
      </c>
      <c r="D3969" s="23" t="s">
        <v>32</v>
      </c>
      <c r="E3969" s="24">
        <v>45454.0</v>
      </c>
      <c r="F3969" s="25">
        <v>0.25277777777777777</v>
      </c>
      <c r="G3969" s="25">
        <v>0.6569444444444444</v>
      </c>
      <c r="H3969" s="27">
        <f t="shared" si="2"/>
        <v>0.4041666667</v>
      </c>
      <c r="I3969" s="28">
        <v>2.0</v>
      </c>
      <c r="J3969" s="29" t="s">
        <v>1790</v>
      </c>
      <c r="K3969" s="30" t="s">
        <v>23</v>
      </c>
      <c r="L3969" s="31" t="str">
        <f>IFERROR(__xludf.DUMMYFUNCTION("IF(OR(E3969="""",K3969=""""),"""",IFERROR(IF(K3969="""","""",query('tbl user'!$A$2:$D10975,""SELECT A WHERE D = '""&amp;K3969&amp;""'"")),""USER TIDAK DIKETAHUI""))"),"#REF!")</f>
        <v>#REF!</v>
      </c>
    </row>
    <row r="3970">
      <c r="A3970" s="21">
        <f t="shared" si="1"/>
        <v>0</v>
      </c>
      <c r="B3970" s="32" t="s">
        <v>135</v>
      </c>
      <c r="C3970" s="23" t="s">
        <v>136</v>
      </c>
      <c r="D3970" s="23" t="s">
        <v>32</v>
      </c>
      <c r="E3970" s="24">
        <v>45454.0</v>
      </c>
      <c r="F3970" s="25">
        <v>0.29583333333333334</v>
      </c>
      <c r="G3970" s="25">
        <v>0.5395833333333333</v>
      </c>
      <c r="H3970" s="27">
        <f t="shared" si="2"/>
        <v>0.24375</v>
      </c>
      <c r="I3970" s="28">
        <v>2.0</v>
      </c>
      <c r="J3970" s="29" t="s">
        <v>1791</v>
      </c>
      <c r="K3970" s="30" t="s">
        <v>23</v>
      </c>
      <c r="L3970" s="31" t="str">
        <f>IFERROR(__xludf.DUMMYFUNCTION("IF(OR(E3970="""",K3970=""""),"""",IFERROR(IF(K3970="""","""",query('tbl user'!$A$2:$D10975,""SELECT A WHERE D = '""&amp;K3970&amp;""'"")),""USER TIDAK DIKETAHUI""))"),"#REF!")</f>
        <v>#REF!</v>
      </c>
    </row>
    <row r="3971">
      <c r="A3971" s="21">
        <f t="shared" si="1"/>
        <v>0</v>
      </c>
      <c r="B3971" s="32" t="s">
        <v>118</v>
      </c>
      <c r="C3971" s="23" t="s">
        <v>138</v>
      </c>
      <c r="D3971" s="23" t="s">
        <v>32</v>
      </c>
      <c r="E3971" s="24">
        <v>45454.0</v>
      </c>
      <c r="F3971" s="25">
        <v>0.33819444444444446</v>
      </c>
      <c r="G3971" s="25">
        <v>0.5604166666666667</v>
      </c>
      <c r="H3971" s="27">
        <f t="shared" si="2"/>
        <v>0.2222222222</v>
      </c>
      <c r="I3971" s="28">
        <v>2.0</v>
      </c>
      <c r="J3971" s="29" t="s">
        <v>171</v>
      </c>
      <c r="K3971" s="30" t="s">
        <v>23</v>
      </c>
      <c r="L3971" s="31" t="str">
        <f>IFERROR(__xludf.DUMMYFUNCTION("IF(OR(E3971="""",K3971=""""),"""",IFERROR(IF(K3971="""","""",query('tbl user'!$A$2:$D10975,""SELECT A WHERE D = '""&amp;K3971&amp;""'"")),""USER TIDAK DIKETAHUI""))"),"#REF!")</f>
        <v>#REF!</v>
      </c>
    </row>
    <row r="3972">
      <c r="A3972" s="21">
        <f t="shared" si="1"/>
        <v>0</v>
      </c>
      <c r="B3972" s="32" t="s">
        <v>363</v>
      </c>
      <c r="C3972" s="23" t="s">
        <v>268</v>
      </c>
      <c r="D3972" s="23" t="s">
        <v>32</v>
      </c>
      <c r="E3972" s="24">
        <v>45454.0</v>
      </c>
      <c r="F3972" s="25">
        <v>0.2951388888888889</v>
      </c>
      <c r="G3972" s="25">
        <v>0.6645833333333333</v>
      </c>
      <c r="H3972" s="27">
        <f t="shared" si="2"/>
        <v>0.3694444444</v>
      </c>
      <c r="I3972" s="28">
        <v>2.0</v>
      </c>
      <c r="J3972" s="29" t="s">
        <v>171</v>
      </c>
      <c r="K3972" s="30" t="s">
        <v>23</v>
      </c>
      <c r="L3972" s="31" t="str">
        <f>IFERROR(__xludf.DUMMYFUNCTION("IF(OR(E3972="""",K3972=""""),"""",IFERROR(IF(K3972="""","""",query('tbl user'!$A$2:$D10975,""SELECT A WHERE D = '""&amp;K3972&amp;""'"")),""USER TIDAK DIKETAHUI""))"),"#REF!")</f>
        <v>#REF!</v>
      </c>
    </row>
    <row r="3973">
      <c r="A3973" s="21">
        <f t="shared" si="1"/>
        <v>0</v>
      </c>
      <c r="B3973" s="32" t="s">
        <v>78</v>
      </c>
      <c r="C3973" s="23" t="s">
        <v>79</v>
      </c>
      <c r="D3973" s="23" t="s">
        <v>32</v>
      </c>
      <c r="E3973" s="24">
        <v>45454.0</v>
      </c>
      <c r="F3973" s="25">
        <v>0.22430555555555556</v>
      </c>
      <c r="G3973" s="25">
        <v>0.5555555555555556</v>
      </c>
      <c r="H3973" s="27">
        <f t="shared" si="2"/>
        <v>0.33125</v>
      </c>
      <c r="I3973" s="28">
        <v>2.0</v>
      </c>
      <c r="J3973" s="29" t="s">
        <v>940</v>
      </c>
      <c r="K3973" s="30" t="s">
        <v>23</v>
      </c>
      <c r="L3973" s="31" t="str">
        <f>IFERROR(__xludf.DUMMYFUNCTION("IF(OR(E3973="""",K3973=""""),"""",IFERROR(IF(K3973="""","""",query('tbl user'!$A$2:$D10975,""SELECT A WHERE D = '""&amp;K3973&amp;""'"")),""USER TIDAK DIKETAHUI""))"),"#REF!")</f>
        <v>#REF!</v>
      </c>
    </row>
    <row r="3974">
      <c r="A3974" s="21">
        <f t="shared" si="1"/>
        <v>0</v>
      </c>
      <c r="B3974" s="32" t="s">
        <v>412</v>
      </c>
      <c r="C3974" s="23" t="s">
        <v>413</v>
      </c>
      <c r="D3974" s="23" t="s">
        <v>32</v>
      </c>
      <c r="E3974" s="24">
        <v>45454.0</v>
      </c>
      <c r="F3974" s="25">
        <v>0.2861111111111111</v>
      </c>
      <c r="G3974" s="25">
        <v>0.6854166666666667</v>
      </c>
      <c r="H3974" s="27">
        <f t="shared" si="2"/>
        <v>0.3993055556</v>
      </c>
      <c r="I3974" s="28">
        <v>3.0</v>
      </c>
      <c r="J3974" s="29" t="s">
        <v>1113</v>
      </c>
      <c r="K3974" s="30" t="s">
        <v>23</v>
      </c>
      <c r="L3974" s="31" t="str">
        <f>IFERROR(__xludf.DUMMYFUNCTION("IF(OR(E3974="""",K3974=""""),"""",IFERROR(IF(K3974="""","""",query('tbl user'!$A$2:$D10975,""SELECT A WHERE D = '""&amp;K3974&amp;""'"")),""USER TIDAK DIKETAHUI""))"),"#REF!")</f>
        <v>#REF!</v>
      </c>
    </row>
    <row r="3975">
      <c r="A3975" s="21">
        <f t="shared" si="1"/>
        <v>0</v>
      </c>
      <c r="B3975" s="32" t="s">
        <v>131</v>
      </c>
      <c r="C3975" s="23" t="s">
        <v>132</v>
      </c>
      <c r="D3975" s="23" t="s">
        <v>32</v>
      </c>
      <c r="E3975" s="24">
        <v>45454.0</v>
      </c>
      <c r="F3975" s="25">
        <v>0.2361111111111111</v>
      </c>
      <c r="G3975" s="25">
        <v>0.5395833333333333</v>
      </c>
      <c r="H3975" s="27">
        <f t="shared" si="2"/>
        <v>0.3034722222</v>
      </c>
      <c r="I3975" s="28">
        <v>3.0</v>
      </c>
      <c r="J3975" s="29" t="s">
        <v>598</v>
      </c>
      <c r="K3975" s="30" t="s">
        <v>23</v>
      </c>
      <c r="L3975" s="31" t="str">
        <f>IFERROR(__xludf.DUMMYFUNCTION("IF(OR(E3975="""",K3975=""""),"""",IFERROR(IF(K3975="""","""",query('tbl user'!$A$2:$D10975,""SELECT A WHERE D = '""&amp;K3975&amp;""'"")),""USER TIDAK DIKETAHUI""))"),"#REF!")</f>
        <v>#REF!</v>
      </c>
    </row>
    <row r="3976">
      <c r="A3976" s="21">
        <f t="shared" si="1"/>
        <v>0</v>
      </c>
      <c r="B3976" s="32" t="s">
        <v>144</v>
      </c>
      <c r="C3976" s="23" t="s">
        <v>145</v>
      </c>
      <c r="D3976" s="23" t="s">
        <v>32</v>
      </c>
      <c r="E3976" s="24">
        <v>45454.0</v>
      </c>
      <c r="F3976" s="25">
        <v>0.2638888888888889</v>
      </c>
      <c r="G3976" s="25">
        <v>0.6965277777777777</v>
      </c>
      <c r="H3976" s="27">
        <f t="shared" si="2"/>
        <v>0.4326388889</v>
      </c>
      <c r="I3976" s="28">
        <v>3.0</v>
      </c>
      <c r="J3976" s="29" t="s">
        <v>1792</v>
      </c>
      <c r="K3976" s="30" t="s">
        <v>23</v>
      </c>
      <c r="L3976" s="31" t="str">
        <f>IFERROR(__xludf.DUMMYFUNCTION("IF(OR(E3976="""",K3976=""""),"""",IFERROR(IF(K3976="""","""",query('tbl user'!$A$2:$D10975,""SELECT A WHERE D = '""&amp;K3976&amp;""'"")),""USER TIDAK DIKETAHUI""))"),"#REF!")</f>
        <v>#REF!</v>
      </c>
    </row>
    <row r="3977">
      <c r="A3977" s="21">
        <f t="shared" si="1"/>
        <v>0</v>
      </c>
      <c r="B3977" s="32" t="s">
        <v>149</v>
      </c>
      <c r="C3977" s="23" t="s">
        <v>150</v>
      </c>
      <c r="D3977" s="23" t="s">
        <v>32</v>
      </c>
      <c r="E3977" s="24">
        <v>45454.0</v>
      </c>
      <c r="F3977" s="25">
        <v>0.24513888888888888</v>
      </c>
      <c r="G3977" s="25">
        <v>0.6590277777777778</v>
      </c>
      <c r="H3977" s="27">
        <f t="shared" si="2"/>
        <v>0.4138888889</v>
      </c>
      <c r="I3977" s="28">
        <v>3.0</v>
      </c>
      <c r="J3977" s="29" t="s">
        <v>171</v>
      </c>
      <c r="K3977" s="30" t="s">
        <v>23</v>
      </c>
      <c r="L3977" s="31" t="str">
        <f>IFERROR(__xludf.DUMMYFUNCTION("IF(OR(E3977="""",K3977=""""),"""",IFERROR(IF(K3977="""","""",query('tbl user'!$A$2:$D10975,""SELECT A WHERE D = '""&amp;K3977&amp;""'"")),""USER TIDAK DIKETAHUI""))"),"#REF!")</f>
        <v>#REF!</v>
      </c>
    </row>
    <row r="3978">
      <c r="A3978" s="21">
        <f t="shared" si="1"/>
        <v>0</v>
      </c>
      <c r="B3978" s="32" t="s">
        <v>263</v>
      </c>
      <c r="C3978" s="23" t="s">
        <v>264</v>
      </c>
      <c r="D3978" s="23" t="s">
        <v>32</v>
      </c>
      <c r="E3978" s="24">
        <v>45454.0</v>
      </c>
      <c r="F3978" s="25">
        <v>0.2520833333333333</v>
      </c>
      <c r="G3978" s="25">
        <v>0.6965277777777777</v>
      </c>
      <c r="H3978" s="27">
        <f t="shared" si="2"/>
        <v>0.4444444444</v>
      </c>
      <c r="I3978" s="28">
        <v>4.0</v>
      </c>
      <c r="J3978" s="29" t="s">
        <v>55</v>
      </c>
      <c r="K3978" s="30" t="s">
        <v>23</v>
      </c>
      <c r="L3978" s="31" t="str">
        <f>IFERROR(__xludf.DUMMYFUNCTION("IF(OR(E3978="""",K3978=""""),"""",IFERROR(IF(K3978="""","""",query('tbl user'!$A$2:$D10975,""SELECT A WHERE D = '""&amp;K3978&amp;""'"")),""USER TIDAK DIKETAHUI""))"),"#REF!")</f>
        <v>#REF!</v>
      </c>
    </row>
    <row r="3979">
      <c r="A3979" s="21">
        <f t="shared" si="1"/>
        <v>0</v>
      </c>
      <c r="B3979" s="32" t="s">
        <v>75</v>
      </c>
      <c r="C3979" s="23" t="s">
        <v>76</v>
      </c>
      <c r="D3979" s="23" t="s">
        <v>32</v>
      </c>
      <c r="E3979" s="24">
        <v>45454.0</v>
      </c>
      <c r="F3979" s="25">
        <v>0.2590277777777778</v>
      </c>
      <c r="G3979" s="25">
        <v>0.6847222222222222</v>
      </c>
      <c r="H3979" s="27">
        <f t="shared" si="2"/>
        <v>0.4256944444</v>
      </c>
      <c r="I3979" s="28">
        <v>4.0</v>
      </c>
      <c r="J3979" s="29" t="s">
        <v>55</v>
      </c>
      <c r="K3979" s="30" t="s">
        <v>23</v>
      </c>
      <c r="L3979" s="31" t="str">
        <f>IFERROR(__xludf.DUMMYFUNCTION("IF(OR(E3979="""",K3979=""""),"""",IFERROR(IF(K3979="""","""",query('tbl user'!$A$2:$D10975,""SELECT A WHERE D = '""&amp;K3979&amp;""'"")),""USER TIDAK DIKETAHUI""))"),"#REF!")</f>
        <v>#REF!</v>
      </c>
    </row>
    <row r="3980">
      <c r="A3980" s="21">
        <f t="shared" si="1"/>
        <v>0</v>
      </c>
      <c r="B3980" s="32" t="s">
        <v>123</v>
      </c>
      <c r="C3980" s="23" t="s">
        <v>124</v>
      </c>
      <c r="D3980" s="23" t="s">
        <v>32</v>
      </c>
      <c r="E3980" s="24">
        <v>45454.0</v>
      </c>
      <c r="F3980" s="25">
        <v>0.27847222222222223</v>
      </c>
      <c r="G3980" s="25">
        <v>0.6986111111111111</v>
      </c>
      <c r="H3980" s="27">
        <f t="shared" si="2"/>
        <v>0.4201388889</v>
      </c>
      <c r="I3980" s="28">
        <v>4.0</v>
      </c>
      <c r="J3980" s="29" t="s">
        <v>55</v>
      </c>
      <c r="K3980" s="30" t="s">
        <v>23</v>
      </c>
      <c r="L3980" s="31" t="str">
        <f>IFERROR(__xludf.DUMMYFUNCTION("IF(OR(E3980="""",K3980=""""),"""",IFERROR(IF(K3980="""","""",query('tbl user'!$A$2:$D10975,""SELECT A WHERE D = '""&amp;K3980&amp;""'"")),""USER TIDAK DIKETAHUI""))"),"#REF!")</f>
        <v>#REF!</v>
      </c>
    </row>
    <row r="3981">
      <c r="A3981" s="21">
        <f t="shared" si="1"/>
        <v>0</v>
      </c>
      <c r="B3981" s="32" t="s">
        <v>133</v>
      </c>
      <c r="C3981" s="23" t="s">
        <v>134</v>
      </c>
      <c r="D3981" s="23" t="s">
        <v>32</v>
      </c>
      <c r="E3981" s="24">
        <v>45454.0</v>
      </c>
      <c r="F3981" s="25">
        <v>0.225</v>
      </c>
      <c r="G3981" s="25">
        <v>0.6597222222222222</v>
      </c>
      <c r="H3981" s="27">
        <f t="shared" si="2"/>
        <v>0.4347222222</v>
      </c>
      <c r="I3981" s="28">
        <v>4.0</v>
      </c>
      <c r="J3981" s="29" t="s">
        <v>55</v>
      </c>
      <c r="K3981" s="30" t="s">
        <v>23</v>
      </c>
      <c r="L3981" s="31" t="str">
        <f>IFERROR(__xludf.DUMMYFUNCTION("IF(OR(E3981="""",K3981=""""),"""",IFERROR(IF(K3981="""","""",query('tbl user'!$A$2:$D10975,""SELECT A WHERE D = '""&amp;K3981&amp;""'"")),""USER TIDAK DIKETAHUI""))"),"#REF!")</f>
        <v>#REF!</v>
      </c>
    </row>
    <row r="3982">
      <c r="A3982" s="21" t="str">
        <f t="shared" si="1"/>
        <v/>
      </c>
      <c r="B3982" s="38"/>
      <c r="C3982" s="23" t="s">
        <v>35</v>
      </c>
      <c r="D3982" s="23" t="s">
        <v>112</v>
      </c>
      <c r="E3982" s="24">
        <v>45455.0</v>
      </c>
      <c r="F3982" s="25">
        <v>0.2902777777777778</v>
      </c>
      <c r="G3982" s="25">
        <v>0.6694444444444444</v>
      </c>
      <c r="H3982" s="27">
        <f t="shared" si="2"/>
        <v>0.3791666667</v>
      </c>
      <c r="I3982" s="28">
        <v>2.0</v>
      </c>
      <c r="J3982" s="39" t="s">
        <v>1793</v>
      </c>
      <c r="K3982" s="30" t="s">
        <v>23</v>
      </c>
      <c r="L3982" s="31" t="str">
        <f>IFERROR(__xludf.DUMMYFUNCTION("IF(OR(E3982="""",K3982=""""),"""",IFERROR(IF(K3982="""","""",query('tbl user'!$A$2:$D10975,""SELECT A WHERE D = '""&amp;K3982&amp;""'"")),""USER TIDAK DIKETAHUI""))"),"#REF!")</f>
        <v>#REF!</v>
      </c>
    </row>
    <row r="3983">
      <c r="A3983" s="21" t="str">
        <f t="shared" si="1"/>
        <v/>
      </c>
      <c r="B3983" s="38"/>
      <c r="C3983" s="23" t="s">
        <v>239</v>
      </c>
      <c r="D3983" s="23" t="s">
        <v>112</v>
      </c>
      <c r="E3983" s="24">
        <v>45455.0</v>
      </c>
      <c r="F3983" s="25">
        <v>0.26180555555555557</v>
      </c>
      <c r="G3983" s="25">
        <v>0.6465277777777778</v>
      </c>
      <c r="H3983" s="27">
        <f t="shared" si="2"/>
        <v>0.3847222222</v>
      </c>
      <c r="I3983" s="28">
        <v>2.0</v>
      </c>
      <c r="J3983" s="39" t="s">
        <v>1794</v>
      </c>
      <c r="K3983" s="30" t="s">
        <v>23</v>
      </c>
      <c r="L3983" s="31" t="str">
        <f>IFERROR(__xludf.DUMMYFUNCTION("IF(OR(E3983="""",K3983=""""),"""",IFERROR(IF(K3983="""","""",query('tbl user'!$A$2:$D10975,""SELECT A WHERE D = '""&amp;K3983&amp;""'"")),""USER TIDAK DIKETAHUI""))"),"#REF!")</f>
        <v>#REF!</v>
      </c>
    </row>
    <row r="3984">
      <c r="A3984" s="21" t="str">
        <f t="shared" si="1"/>
        <v/>
      </c>
      <c r="B3984" s="38"/>
      <c r="C3984" s="23" t="s">
        <v>99</v>
      </c>
      <c r="D3984" s="23" t="s">
        <v>112</v>
      </c>
      <c r="E3984" s="24">
        <v>45455.0</v>
      </c>
      <c r="F3984" s="25">
        <v>0.2847222222222222</v>
      </c>
      <c r="G3984" s="25">
        <v>0.6395833333333333</v>
      </c>
      <c r="H3984" s="27">
        <f t="shared" si="2"/>
        <v>0.3548611111</v>
      </c>
      <c r="I3984" s="28">
        <v>2.0</v>
      </c>
      <c r="J3984" s="39" t="s">
        <v>171</v>
      </c>
      <c r="K3984" s="30" t="s">
        <v>23</v>
      </c>
      <c r="L3984" s="31" t="str">
        <f>IFERROR(__xludf.DUMMYFUNCTION("IF(OR(E3984="""",K3984=""""),"""",IFERROR(IF(K3984="""","""",query('tbl user'!$A$2:$D10975,""SELECT A WHERE D = '""&amp;K3984&amp;""'"")),""USER TIDAK DIKETAHUI""))"),"#REF!")</f>
        <v>#REF!</v>
      </c>
    </row>
    <row r="3985">
      <c r="A3985" s="21" t="str">
        <f t="shared" si="1"/>
        <v/>
      </c>
      <c r="B3985" s="38"/>
      <c r="C3985" s="23" t="s">
        <v>290</v>
      </c>
      <c r="D3985" s="23" t="s">
        <v>112</v>
      </c>
      <c r="E3985" s="24">
        <v>45455.0</v>
      </c>
      <c r="F3985" s="25">
        <v>0.33611111111111114</v>
      </c>
      <c r="G3985" s="25">
        <v>0.5659722222222222</v>
      </c>
      <c r="H3985" s="27">
        <f t="shared" si="2"/>
        <v>0.2298611111</v>
      </c>
      <c r="I3985" s="28">
        <v>1.0</v>
      </c>
      <c r="J3985" s="39" t="s">
        <v>1795</v>
      </c>
      <c r="K3985" s="30" t="s">
        <v>23</v>
      </c>
      <c r="L3985" s="31" t="str">
        <f>IFERROR(__xludf.DUMMYFUNCTION("IF(OR(E3985="""",K3985=""""),"""",IFERROR(IF(K3985="""","""",query('tbl user'!$A$2:$D10975,""SELECT A WHERE D = '""&amp;K3985&amp;""'"")),""USER TIDAK DIKETAHUI""))"),"#REF!")</f>
        <v>#REF!</v>
      </c>
    </row>
    <row r="3986">
      <c r="A3986" s="21" t="str">
        <f t="shared" si="1"/>
        <v/>
      </c>
      <c r="B3986" s="38"/>
      <c r="C3986" s="23" t="s">
        <v>65</v>
      </c>
      <c r="D3986" s="23" t="s">
        <v>112</v>
      </c>
      <c r="E3986" s="24">
        <v>45455.0</v>
      </c>
      <c r="F3986" s="25">
        <v>0.33819444444444446</v>
      </c>
      <c r="G3986" s="25">
        <v>0.5631944444444444</v>
      </c>
      <c r="H3986" s="27">
        <f t="shared" si="2"/>
        <v>0.225</v>
      </c>
      <c r="I3986" s="28">
        <v>1.0</v>
      </c>
      <c r="J3986" s="39" t="s">
        <v>734</v>
      </c>
      <c r="K3986" s="30" t="s">
        <v>23</v>
      </c>
      <c r="L3986" s="31" t="str">
        <f>IFERROR(__xludf.DUMMYFUNCTION("IF(OR(E3986="""",K3986=""""),"""",IFERROR(IF(K3986="""","""",query('tbl user'!$A$2:$D10975,""SELECT A WHERE D = '""&amp;K3986&amp;""'"")),""USER TIDAK DIKETAHUI""))"),"#REF!")</f>
        <v>#REF!</v>
      </c>
    </row>
    <row r="3987">
      <c r="A3987" s="21" t="str">
        <f t="shared" si="1"/>
        <v/>
      </c>
      <c r="B3987" s="38"/>
      <c r="C3987" s="23" t="s">
        <v>27</v>
      </c>
      <c r="D3987" s="23" t="s">
        <v>112</v>
      </c>
      <c r="E3987" s="24">
        <v>45455.0</v>
      </c>
      <c r="F3987" s="25">
        <v>0.2833333333333333</v>
      </c>
      <c r="G3987" s="25">
        <v>0.6118055555555556</v>
      </c>
      <c r="H3987" s="27">
        <f t="shared" si="2"/>
        <v>0.3284722222</v>
      </c>
      <c r="I3987" s="28">
        <v>2.0</v>
      </c>
      <c r="J3987" s="39" t="s">
        <v>1796</v>
      </c>
      <c r="K3987" s="30" t="s">
        <v>23</v>
      </c>
      <c r="L3987" s="31" t="str">
        <f>IFERROR(__xludf.DUMMYFUNCTION("IF(OR(E3987="""",K3987=""""),"""",IFERROR(IF(K3987="""","""",query('tbl user'!$A$2:$D10975,""SELECT A WHERE D = '""&amp;K3987&amp;""'"")),""USER TIDAK DIKETAHUI""))"),"#REF!")</f>
        <v>#REF!</v>
      </c>
    </row>
    <row r="3988">
      <c r="A3988" s="21" t="str">
        <f t="shared" si="1"/>
        <v/>
      </c>
      <c r="B3988" s="38"/>
      <c r="C3988" s="23" t="s">
        <v>244</v>
      </c>
      <c r="D3988" s="23" t="s">
        <v>112</v>
      </c>
      <c r="E3988" s="24">
        <v>45455.0</v>
      </c>
      <c r="F3988" s="25">
        <v>0.3020833333333333</v>
      </c>
      <c r="G3988" s="25">
        <v>0.5652777777777778</v>
      </c>
      <c r="H3988" s="27">
        <f t="shared" si="2"/>
        <v>0.2631944444</v>
      </c>
      <c r="I3988" s="28">
        <v>1.0</v>
      </c>
      <c r="J3988" s="39" t="s">
        <v>171</v>
      </c>
      <c r="K3988" s="30" t="s">
        <v>23</v>
      </c>
      <c r="L3988" s="31" t="str">
        <f>IFERROR(__xludf.DUMMYFUNCTION("IF(OR(E3988="""",K3988=""""),"""",IFERROR(IF(K3988="""","""",query('tbl user'!$A$2:$D10975,""SELECT A WHERE D = '""&amp;K3988&amp;""'"")),""USER TIDAK DIKETAHUI""))"),"#REF!")</f>
        <v>#REF!</v>
      </c>
    </row>
    <row r="3989">
      <c r="A3989" s="21" t="str">
        <f t="shared" si="1"/>
        <v/>
      </c>
      <c r="B3989" s="38"/>
      <c r="C3989" s="23" t="s">
        <v>251</v>
      </c>
      <c r="D3989" s="23" t="s">
        <v>112</v>
      </c>
      <c r="E3989" s="24">
        <v>45455.0</v>
      </c>
      <c r="F3989" s="25">
        <v>0.28125</v>
      </c>
      <c r="G3989" s="25">
        <v>0.6069444444444444</v>
      </c>
      <c r="H3989" s="27">
        <f t="shared" si="2"/>
        <v>0.3256944444</v>
      </c>
      <c r="I3989" s="28">
        <v>2.0</v>
      </c>
      <c r="J3989" s="39" t="s">
        <v>171</v>
      </c>
      <c r="K3989" s="30" t="s">
        <v>23</v>
      </c>
      <c r="L3989" s="31" t="str">
        <f>IFERROR(__xludf.DUMMYFUNCTION("IF(OR(E3989="""",K3989=""""),"""",IFERROR(IF(K3989="""","""",query('tbl user'!$A$2:$D10975,""SELECT A WHERE D = '""&amp;K3989&amp;""'"")),""USER TIDAK DIKETAHUI""))"),"#REF!")</f>
        <v>#REF!</v>
      </c>
    </row>
    <row r="3990">
      <c r="A3990" s="21" t="str">
        <f t="shared" si="1"/>
        <v/>
      </c>
      <c r="B3990" s="38"/>
      <c r="C3990" s="23" t="s">
        <v>232</v>
      </c>
      <c r="D3990" s="23" t="s">
        <v>112</v>
      </c>
      <c r="E3990" s="24">
        <v>45455.0</v>
      </c>
      <c r="F3990" s="25">
        <v>0.2590277777777778</v>
      </c>
      <c r="G3990" s="25">
        <v>0.70625</v>
      </c>
      <c r="H3990" s="27">
        <f t="shared" si="2"/>
        <v>0.4472222222</v>
      </c>
      <c r="I3990" s="28">
        <v>2.0</v>
      </c>
      <c r="J3990" s="39" t="s">
        <v>171</v>
      </c>
      <c r="K3990" s="30" t="s">
        <v>23</v>
      </c>
      <c r="L3990" s="31" t="str">
        <f>IFERROR(__xludf.DUMMYFUNCTION("IF(OR(E3990="""",K3990=""""),"""",IFERROR(IF(K3990="""","""",query('tbl user'!$A$2:$D10975,""SELECT A WHERE D = '""&amp;K3990&amp;""'"")),""USER TIDAK DIKETAHUI""))"),"#REF!")</f>
        <v>#REF!</v>
      </c>
    </row>
    <row r="3991">
      <c r="A3991" s="21" t="str">
        <f t="shared" si="1"/>
        <v/>
      </c>
      <c r="B3991" s="38"/>
      <c r="C3991" s="23" t="s">
        <v>102</v>
      </c>
      <c r="D3991" s="23" t="s">
        <v>112</v>
      </c>
      <c r="E3991" s="24">
        <v>45455.0</v>
      </c>
      <c r="F3991" s="25">
        <v>0.2965277777777778</v>
      </c>
      <c r="G3991" s="25">
        <v>0.6986111111111111</v>
      </c>
      <c r="H3991" s="27">
        <f t="shared" si="2"/>
        <v>0.4020833333</v>
      </c>
      <c r="I3991" s="28">
        <v>2.0</v>
      </c>
      <c r="J3991" s="39" t="s">
        <v>171</v>
      </c>
      <c r="K3991" s="30" t="s">
        <v>23</v>
      </c>
      <c r="L3991" s="31" t="str">
        <f>IFERROR(__xludf.DUMMYFUNCTION("IF(OR(E3991="""",K3991=""""),"""",IFERROR(IF(K3991="""","""",query('tbl user'!$A$2:$D10975,""SELECT A WHERE D = '""&amp;K3991&amp;""'"")),""USER TIDAK DIKETAHUI""))"),"#REF!")</f>
        <v>#REF!</v>
      </c>
    </row>
    <row r="3992">
      <c r="A3992" s="21" t="str">
        <f t="shared" si="1"/>
        <v/>
      </c>
      <c r="B3992" s="38"/>
      <c r="C3992" s="23" t="s">
        <v>234</v>
      </c>
      <c r="D3992" s="23" t="s">
        <v>112</v>
      </c>
      <c r="E3992" s="24">
        <v>45455.0</v>
      </c>
      <c r="F3992" s="25">
        <v>0.2798611111111111</v>
      </c>
      <c r="G3992" s="25">
        <v>0.5423611111111111</v>
      </c>
      <c r="H3992" s="27">
        <f t="shared" si="2"/>
        <v>0.2625</v>
      </c>
      <c r="I3992" s="28">
        <v>1.0</v>
      </c>
      <c r="J3992" s="39" t="s">
        <v>1797</v>
      </c>
      <c r="K3992" s="30" t="s">
        <v>23</v>
      </c>
      <c r="L3992" s="31" t="str">
        <f>IFERROR(__xludf.DUMMYFUNCTION("IF(OR(E3992="""",K3992=""""),"""",IFERROR(IF(K3992="""","""",query('tbl user'!$A$2:$D10975,""SELECT A WHERE D = '""&amp;K3992&amp;""'"")),""USER TIDAK DIKETAHUI""))"),"#REF!")</f>
        <v>#REF!</v>
      </c>
    </row>
    <row r="3993">
      <c r="A3993" s="21" t="str">
        <f t="shared" si="1"/>
        <v/>
      </c>
      <c r="B3993" s="38"/>
      <c r="C3993" s="23" t="s">
        <v>236</v>
      </c>
      <c r="D3993" s="23" t="s">
        <v>112</v>
      </c>
      <c r="E3993" s="24">
        <v>45455.0</v>
      </c>
      <c r="F3993" s="25">
        <v>0.25972222222222224</v>
      </c>
      <c r="G3993" s="25">
        <v>0.55625</v>
      </c>
      <c r="H3993" s="27">
        <f t="shared" si="2"/>
        <v>0.2965277778</v>
      </c>
      <c r="I3993" s="28">
        <v>1.0</v>
      </c>
      <c r="J3993" s="39" t="s">
        <v>1798</v>
      </c>
      <c r="K3993" s="30" t="s">
        <v>23</v>
      </c>
      <c r="L3993" s="31" t="str">
        <f>IFERROR(__xludf.DUMMYFUNCTION("IF(OR(E3993="""",K3993=""""),"""",IFERROR(IF(K3993="""","""",query('tbl user'!$A$2:$D10975,""SELECT A WHERE D = '""&amp;K3993&amp;""'"")),""USER TIDAK DIKETAHUI""))"),"#REF!")</f>
        <v>#REF!</v>
      </c>
    </row>
    <row r="3994">
      <c r="A3994" s="21" t="str">
        <f t="shared" si="1"/>
        <v/>
      </c>
      <c r="B3994" s="38"/>
      <c r="C3994" s="23" t="s">
        <v>339</v>
      </c>
      <c r="D3994" s="23" t="s">
        <v>112</v>
      </c>
      <c r="E3994" s="24">
        <v>45455.0</v>
      </c>
      <c r="F3994" s="25">
        <v>0.26180555555555557</v>
      </c>
      <c r="G3994" s="25">
        <v>0.6194444444444445</v>
      </c>
      <c r="H3994" s="27">
        <f t="shared" si="2"/>
        <v>0.3576388889</v>
      </c>
      <c r="I3994" s="28">
        <v>2.0</v>
      </c>
      <c r="J3994" s="39" t="s">
        <v>171</v>
      </c>
      <c r="K3994" s="30" t="s">
        <v>23</v>
      </c>
      <c r="L3994" s="31" t="str">
        <f>IFERROR(__xludf.DUMMYFUNCTION("IF(OR(E3994="""",K3994=""""),"""",IFERROR(IF(K3994="""","""",query('tbl user'!$A$2:$D10975,""SELECT A WHERE D = '""&amp;K3994&amp;""'"")),""USER TIDAK DIKETAHUI""))"),"#REF!")</f>
        <v>#REF!</v>
      </c>
    </row>
    <row r="3995">
      <c r="A3995" s="21" t="str">
        <f t="shared" si="1"/>
        <v/>
      </c>
      <c r="B3995" s="38"/>
      <c r="C3995" s="23" t="s">
        <v>334</v>
      </c>
      <c r="D3995" s="23" t="s">
        <v>112</v>
      </c>
      <c r="E3995" s="24">
        <v>45455.0</v>
      </c>
      <c r="F3995" s="25">
        <v>0.28958333333333336</v>
      </c>
      <c r="G3995" s="25">
        <v>0.5555555555555556</v>
      </c>
      <c r="H3995" s="27">
        <f t="shared" si="2"/>
        <v>0.2659722222</v>
      </c>
      <c r="I3995" s="28">
        <v>1.0</v>
      </c>
      <c r="J3995" s="39" t="s">
        <v>245</v>
      </c>
      <c r="K3995" s="30" t="s">
        <v>23</v>
      </c>
      <c r="L3995" s="31" t="str">
        <f>IFERROR(__xludf.DUMMYFUNCTION("IF(OR(E3995="""",K3995=""""),"""",IFERROR(IF(K3995="""","""",query('tbl user'!$A$2:$D10975,""SELECT A WHERE D = '""&amp;K3995&amp;""'"")),""USER TIDAK DIKETAHUI""))"),"#REF!")</f>
        <v>#REF!</v>
      </c>
    </row>
    <row r="3996">
      <c r="A3996" s="21" t="str">
        <f t="shared" si="1"/>
        <v/>
      </c>
      <c r="B3996" s="38"/>
      <c r="C3996" s="23" t="s">
        <v>259</v>
      </c>
      <c r="D3996" s="23" t="s">
        <v>112</v>
      </c>
      <c r="E3996" s="24">
        <v>45455.0</v>
      </c>
      <c r="F3996" s="25">
        <v>0.26666666666666666</v>
      </c>
      <c r="G3996" s="25">
        <v>0.6479166666666667</v>
      </c>
      <c r="H3996" s="27">
        <f t="shared" si="2"/>
        <v>0.38125</v>
      </c>
      <c r="I3996" s="28">
        <v>2.0</v>
      </c>
      <c r="J3996" s="39" t="s">
        <v>1799</v>
      </c>
      <c r="K3996" s="30" t="s">
        <v>23</v>
      </c>
      <c r="L3996" s="31" t="str">
        <f>IFERROR(__xludf.DUMMYFUNCTION("IF(OR(E3996="""",K3996=""""),"""",IFERROR(IF(K3996="""","""",query('tbl user'!$A$2:$D10975,""SELECT A WHERE D = '""&amp;K3996&amp;""'"")),""USER TIDAK DIKETAHUI""))"),"#REF!")</f>
        <v>#REF!</v>
      </c>
    </row>
    <row r="3997">
      <c r="A3997" s="21" t="str">
        <f t="shared" si="1"/>
        <v/>
      </c>
      <c r="B3997" s="38"/>
      <c r="C3997" s="23" t="s">
        <v>336</v>
      </c>
      <c r="D3997" s="23" t="s">
        <v>112</v>
      </c>
      <c r="E3997" s="24">
        <v>45455.0</v>
      </c>
      <c r="F3997" s="25">
        <v>0.25277777777777777</v>
      </c>
      <c r="G3997" s="25">
        <v>0.6340277777777777</v>
      </c>
      <c r="H3997" s="27">
        <f t="shared" si="2"/>
        <v>0.38125</v>
      </c>
      <c r="I3997" s="28">
        <v>2.0</v>
      </c>
      <c r="J3997" s="39" t="s">
        <v>1170</v>
      </c>
      <c r="K3997" s="30" t="s">
        <v>23</v>
      </c>
      <c r="L3997" s="31" t="str">
        <f>IFERROR(__xludf.DUMMYFUNCTION("IF(OR(E3997="""",K3997=""""),"""",IFERROR(IF(K3997="""","""",query('tbl user'!$A$2:$D10975,""SELECT A WHERE D = '""&amp;K3997&amp;""'"")),""USER TIDAK DIKETAHUI""))"),"#REF!")</f>
        <v>#REF!</v>
      </c>
    </row>
    <row r="3998">
      <c r="A3998" s="21" t="str">
        <f t="shared" si="1"/>
        <v/>
      </c>
      <c r="B3998" s="38"/>
      <c r="C3998" s="23" t="s">
        <v>316</v>
      </c>
      <c r="D3998" s="23" t="s">
        <v>112</v>
      </c>
      <c r="E3998" s="24">
        <v>45455.0</v>
      </c>
      <c r="F3998" s="25">
        <v>0.30277777777777776</v>
      </c>
      <c r="G3998" s="25">
        <v>0.5534722222222223</v>
      </c>
      <c r="H3998" s="27">
        <f t="shared" si="2"/>
        <v>0.2506944444</v>
      </c>
      <c r="I3998" s="28">
        <v>1.0</v>
      </c>
      <c r="J3998" s="39" t="s">
        <v>1800</v>
      </c>
      <c r="K3998" s="30" t="s">
        <v>23</v>
      </c>
      <c r="L3998" s="31" t="str">
        <f>IFERROR(__xludf.DUMMYFUNCTION("IF(OR(E3998="""",K3998=""""),"""",IFERROR(IF(K3998="""","""",query('tbl user'!$A$2:$D10975,""SELECT A WHERE D = '""&amp;K3998&amp;""'"")),""USER TIDAK DIKETAHUI""))"),"#REF!")</f>
        <v>#REF!</v>
      </c>
    </row>
    <row r="3999">
      <c r="A3999" s="21" t="str">
        <f t="shared" si="1"/>
        <v/>
      </c>
      <c r="B3999" s="38"/>
      <c r="C3999" s="23" t="s">
        <v>340</v>
      </c>
      <c r="D3999" s="23" t="s">
        <v>112</v>
      </c>
      <c r="E3999" s="24">
        <v>45455.0</v>
      </c>
      <c r="F3999" s="25">
        <v>0.3451388888888889</v>
      </c>
      <c r="G3999" s="25">
        <v>0.5979166666666667</v>
      </c>
      <c r="H3999" s="27">
        <f t="shared" si="2"/>
        <v>0.2527777778</v>
      </c>
      <c r="I3999" s="28">
        <v>1.0</v>
      </c>
      <c r="J3999" s="39" t="s">
        <v>171</v>
      </c>
      <c r="K3999" s="30" t="s">
        <v>23</v>
      </c>
      <c r="L3999" s="31" t="str">
        <f>IFERROR(__xludf.DUMMYFUNCTION("IF(OR(E3999="""",K3999=""""),"""",IFERROR(IF(K3999="""","""",query('tbl user'!$A$2:$D10975,""SELECT A WHERE D = '""&amp;K3999&amp;""'"")),""USER TIDAK DIKETAHUI""))"),"#REF!")</f>
        <v>#REF!</v>
      </c>
    </row>
    <row r="4000">
      <c r="A4000" s="21" t="str">
        <f t="shared" si="1"/>
        <v/>
      </c>
      <c r="B4000" s="38"/>
      <c r="C4000" s="23" t="s">
        <v>329</v>
      </c>
      <c r="D4000" s="23" t="s">
        <v>112</v>
      </c>
      <c r="E4000" s="24">
        <v>45455.0</v>
      </c>
      <c r="F4000" s="25">
        <v>0.2548611111111111</v>
      </c>
      <c r="G4000" s="25">
        <v>0.6416666666666667</v>
      </c>
      <c r="H4000" s="27">
        <f t="shared" si="2"/>
        <v>0.3868055556</v>
      </c>
      <c r="I4000" s="28">
        <v>2.0</v>
      </c>
      <c r="J4000" s="39" t="s">
        <v>171</v>
      </c>
      <c r="K4000" s="30" t="s">
        <v>23</v>
      </c>
      <c r="L4000" s="31" t="str">
        <f>IFERROR(__xludf.DUMMYFUNCTION("IF(OR(E4000="""",K4000=""""),"""",IFERROR(IF(K4000="""","""",query('tbl user'!$A$2:$D10975,""SELECT A WHERE D = '""&amp;K4000&amp;""'"")),""USER TIDAK DIKETAHUI""))"),"#REF!")</f>
        <v>#REF!</v>
      </c>
    </row>
    <row r="4001">
      <c r="A4001" s="21" t="str">
        <f t="shared" si="1"/>
        <v/>
      </c>
      <c r="B4001" s="38"/>
      <c r="C4001" s="23" t="s">
        <v>88</v>
      </c>
      <c r="D4001" s="23" t="s">
        <v>112</v>
      </c>
      <c r="E4001" s="24">
        <v>45455.0</v>
      </c>
      <c r="F4001" s="25">
        <v>0.2923611111111111</v>
      </c>
      <c r="G4001" s="25">
        <v>0.5444444444444444</v>
      </c>
      <c r="H4001" s="27">
        <f t="shared" si="2"/>
        <v>0.2520833333</v>
      </c>
      <c r="I4001" s="28">
        <v>1.0</v>
      </c>
      <c r="J4001" s="39" t="s">
        <v>1801</v>
      </c>
      <c r="K4001" s="30" t="s">
        <v>23</v>
      </c>
      <c r="L4001" s="31" t="str">
        <f>IFERROR(__xludf.DUMMYFUNCTION("IF(OR(E4001="""",K4001=""""),"""",IFERROR(IF(K4001="""","""",query('tbl user'!$A$2:$D10975,""SELECT A WHERE D = '""&amp;K4001&amp;""'"")),""USER TIDAK DIKETAHUI""))"),"#REF!")</f>
        <v>#REF!</v>
      </c>
    </row>
    <row r="4002">
      <c r="A4002" s="21" t="str">
        <f t="shared" si="1"/>
        <v/>
      </c>
      <c r="B4002" s="38"/>
      <c r="C4002" s="23" t="s">
        <v>54</v>
      </c>
      <c r="D4002" s="23" t="s">
        <v>112</v>
      </c>
      <c r="E4002" s="24">
        <v>45455.0</v>
      </c>
      <c r="F4002" s="25">
        <v>0.33611111111111114</v>
      </c>
      <c r="G4002" s="25">
        <v>0.5652777777777778</v>
      </c>
      <c r="H4002" s="27">
        <f t="shared" si="2"/>
        <v>0.2291666667</v>
      </c>
      <c r="I4002" s="28">
        <v>1.0</v>
      </c>
      <c r="J4002" s="39" t="s">
        <v>1799</v>
      </c>
      <c r="K4002" s="30" t="s">
        <v>23</v>
      </c>
      <c r="L4002" s="31" t="str">
        <f>IFERROR(__xludf.DUMMYFUNCTION("IF(OR(E4002="""",K4002=""""),"""",IFERROR(IF(K4002="""","""",query('tbl user'!$A$2:$D10975,""SELECT A WHERE D = '""&amp;K4002&amp;""'"")),""USER TIDAK DIKETAHUI""))"),"#REF!")</f>
        <v>#REF!</v>
      </c>
    </row>
    <row r="4003">
      <c r="A4003" s="21" t="str">
        <f t="shared" si="1"/>
        <v/>
      </c>
      <c r="B4003" s="38"/>
      <c r="C4003" s="23" t="s">
        <v>320</v>
      </c>
      <c r="D4003" s="23" t="s">
        <v>112</v>
      </c>
      <c r="E4003" s="24">
        <v>45455.0</v>
      </c>
      <c r="F4003" s="25">
        <v>0.2361111111111111</v>
      </c>
      <c r="G4003" s="25">
        <v>0.6208333333333333</v>
      </c>
      <c r="H4003" s="27">
        <f t="shared" si="2"/>
        <v>0.3847222222</v>
      </c>
      <c r="I4003" s="28">
        <v>2.0</v>
      </c>
      <c r="J4003" s="39" t="s">
        <v>171</v>
      </c>
      <c r="K4003" s="30" t="s">
        <v>23</v>
      </c>
      <c r="L4003" s="31" t="str">
        <f>IFERROR(__xludf.DUMMYFUNCTION("IF(OR(E4003="""",K4003=""""),"""",IFERROR(IF(K4003="""","""",query('tbl user'!$A$2:$D10975,""SELECT A WHERE D = '""&amp;K4003&amp;""'"")),""USER TIDAK DIKETAHUI""))"),"#REF!")</f>
        <v>#REF!</v>
      </c>
    </row>
    <row r="4004">
      <c r="A4004" s="21" t="str">
        <f t="shared" si="1"/>
        <v/>
      </c>
      <c r="B4004" s="40"/>
      <c r="C4004" s="23" t="s">
        <v>326</v>
      </c>
      <c r="D4004" s="23" t="s">
        <v>112</v>
      </c>
      <c r="E4004" s="24">
        <v>45455.0</v>
      </c>
      <c r="F4004" s="25">
        <v>0.2791666666666667</v>
      </c>
      <c r="G4004" s="25">
        <v>0.65625</v>
      </c>
      <c r="H4004" s="27">
        <f t="shared" si="2"/>
        <v>0.3770833333</v>
      </c>
      <c r="I4004" s="28">
        <v>2.0</v>
      </c>
      <c r="J4004" s="39" t="s">
        <v>1802</v>
      </c>
      <c r="K4004" s="30" t="s">
        <v>23</v>
      </c>
      <c r="L4004" s="31" t="str">
        <f>IFERROR(__xludf.DUMMYFUNCTION("IF(OR(E4004="""",K4004=""""),"""",IFERROR(IF(K4004="""","""",query('tbl user'!$A$2:$D10975,""SELECT A WHERE D = '""&amp;K4004&amp;""'"")),""USER TIDAK DIKETAHUI""))"),"#REF!")</f>
        <v>#REF!</v>
      </c>
    </row>
    <row r="4005">
      <c r="A4005" s="21" t="str">
        <f t="shared" si="1"/>
        <v/>
      </c>
      <c r="B4005" s="38"/>
      <c r="C4005" s="23" t="s">
        <v>330</v>
      </c>
      <c r="D4005" s="23" t="s">
        <v>112</v>
      </c>
      <c r="E4005" s="24">
        <v>45455.0</v>
      </c>
      <c r="F4005" s="25">
        <v>0.3013888888888889</v>
      </c>
      <c r="G4005" s="25">
        <v>0.6465277777777778</v>
      </c>
      <c r="H4005" s="27">
        <f t="shared" si="2"/>
        <v>0.3451388889</v>
      </c>
      <c r="I4005" s="28">
        <v>2.0</v>
      </c>
      <c r="J4005" s="39" t="s">
        <v>171</v>
      </c>
      <c r="K4005" s="30" t="s">
        <v>23</v>
      </c>
      <c r="L4005" s="31" t="str">
        <f>IFERROR(__xludf.DUMMYFUNCTION("IF(OR(E4005="""",K4005=""""),"""",IFERROR(IF(K4005="""","""",query('tbl user'!$A$2:$D10975,""SELECT A WHERE D = '""&amp;K4005&amp;""'"")),""USER TIDAK DIKETAHUI""))"),"#REF!")</f>
        <v>#REF!</v>
      </c>
    </row>
    <row r="4006">
      <c r="A4006" s="21" t="str">
        <f t="shared" si="1"/>
        <v/>
      </c>
      <c r="B4006" s="40"/>
      <c r="C4006" s="23" t="s">
        <v>338</v>
      </c>
      <c r="D4006" s="23" t="s">
        <v>112</v>
      </c>
      <c r="E4006" s="24">
        <v>45455.0</v>
      </c>
      <c r="F4006" s="25">
        <v>0.2569444444444444</v>
      </c>
      <c r="G4006" s="25">
        <v>0.6548611111111111</v>
      </c>
      <c r="H4006" s="27">
        <f t="shared" si="2"/>
        <v>0.3979166667</v>
      </c>
      <c r="I4006" s="28">
        <v>2.0</v>
      </c>
      <c r="J4006" s="39" t="s">
        <v>1803</v>
      </c>
      <c r="K4006" s="30" t="s">
        <v>23</v>
      </c>
      <c r="L4006" s="31" t="str">
        <f>IFERROR(__xludf.DUMMYFUNCTION("IF(OR(E4006="""",K4006=""""),"""",IFERROR(IF(K4006="""","""",query('tbl user'!$A$2:$D10975,""SELECT A WHERE D = '""&amp;K4006&amp;""'"")),""USER TIDAK DIKETAHUI""))"),"#REF!")</f>
        <v>#REF!</v>
      </c>
    </row>
    <row r="4007">
      <c r="A4007" s="21" t="str">
        <f t="shared" si="1"/>
        <v/>
      </c>
      <c r="B4007" s="40"/>
      <c r="C4007" s="23" t="s">
        <v>323</v>
      </c>
      <c r="D4007" s="23" t="s">
        <v>112</v>
      </c>
      <c r="E4007" s="24">
        <v>45455.0</v>
      </c>
      <c r="F4007" s="25">
        <v>0.26875</v>
      </c>
      <c r="G4007" s="25">
        <v>0.58125</v>
      </c>
      <c r="H4007" s="27">
        <f t="shared" si="2"/>
        <v>0.3125</v>
      </c>
      <c r="I4007" s="28">
        <v>1.0</v>
      </c>
      <c r="J4007" s="39" t="s">
        <v>1804</v>
      </c>
      <c r="K4007" s="30" t="s">
        <v>23</v>
      </c>
      <c r="L4007" s="31" t="str">
        <f>IFERROR(__xludf.DUMMYFUNCTION("IF(OR(E4007="""",K4007=""""),"""",IFERROR(IF(K4007="""","""",query('tbl user'!$A$2:$D10975,""SELECT A WHERE D = '""&amp;K4007&amp;""'"")),""USER TIDAK DIKETAHUI""))"),"#REF!")</f>
        <v>#REF!</v>
      </c>
    </row>
    <row r="4008">
      <c r="A4008" s="21" t="str">
        <f t="shared" si="1"/>
        <v/>
      </c>
      <c r="B4008" s="40"/>
      <c r="C4008" s="23" t="s">
        <v>261</v>
      </c>
      <c r="D4008" s="23" t="s">
        <v>112</v>
      </c>
      <c r="E4008" s="24">
        <v>45455.0</v>
      </c>
      <c r="F4008" s="25">
        <v>0.25277777777777777</v>
      </c>
      <c r="G4008" s="25">
        <v>0.7361111111111112</v>
      </c>
      <c r="H4008" s="27">
        <f t="shared" si="2"/>
        <v>0.4833333333</v>
      </c>
      <c r="I4008" s="28">
        <v>3.0</v>
      </c>
      <c r="J4008" s="39" t="s">
        <v>171</v>
      </c>
      <c r="K4008" s="30" t="s">
        <v>23</v>
      </c>
      <c r="L4008" s="31" t="str">
        <f>IFERROR(__xludf.DUMMYFUNCTION("IF(OR(E4008="""",K4008=""""),"""",IFERROR(IF(K4008="""","""",query('tbl user'!$A$2:$D10975,""SELECT A WHERE D = '""&amp;K4008&amp;""'"")),""USER TIDAK DIKETAHUI""))"),"#REF!")</f>
        <v>#REF!</v>
      </c>
    </row>
    <row r="4009">
      <c r="A4009" s="21" t="str">
        <f t="shared" si="1"/>
        <v/>
      </c>
      <c r="B4009" s="38"/>
      <c r="C4009" s="23" t="s">
        <v>68</v>
      </c>
      <c r="D4009" s="23" t="s">
        <v>58</v>
      </c>
      <c r="E4009" s="24">
        <v>45455.0</v>
      </c>
      <c r="F4009" s="25">
        <v>0.29097222222222224</v>
      </c>
      <c r="G4009" s="25">
        <v>0.5652777777777778</v>
      </c>
      <c r="H4009" s="27">
        <f t="shared" si="2"/>
        <v>0.2743055556</v>
      </c>
      <c r="I4009" s="28">
        <v>2.0</v>
      </c>
      <c r="J4009" s="39" t="s">
        <v>1805</v>
      </c>
      <c r="K4009" s="30" t="s">
        <v>23</v>
      </c>
      <c r="L4009" s="31" t="str">
        <f>IFERROR(__xludf.DUMMYFUNCTION("IF(OR(E4009="""",K4009=""""),"""",IFERROR(IF(K4009="""","""",query('tbl user'!$A$2:$D10975,""SELECT A WHERE D = '""&amp;K4009&amp;""'"")),""USER TIDAK DIKETAHUI""))"),"#REF!")</f>
        <v>#REF!</v>
      </c>
    </row>
    <row r="4010">
      <c r="A4010" s="21" t="str">
        <f t="shared" si="1"/>
        <v/>
      </c>
      <c r="B4010" s="38"/>
      <c r="C4010" s="23" t="s">
        <v>154</v>
      </c>
      <c r="D4010" s="23" t="s">
        <v>58</v>
      </c>
      <c r="E4010" s="24">
        <v>45455.0</v>
      </c>
      <c r="F4010" s="25">
        <v>0.2569444444444444</v>
      </c>
      <c r="G4010" s="25">
        <v>0.6430555555555556</v>
      </c>
      <c r="H4010" s="27">
        <f t="shared" si="2"/>
        <v>0.3861111111</v>
      </c>
      <c r="I4010" s="28">
        <v>3.0</v>
      </c>
      <c r="J4010" s="39" t="s">
        <v>171</v>
      </c>
      <c r="K4010" s="30" t="s">
        <v>23</v>
      </c>
      <c r="L4010" s="31" t="str">
        <f>IFERROR(__xludf.DUMMYFUNCTION("IF(OR(E4010="""",K4010=""""),"""",IFERROR(IF(K4010="""","""",query('tbl user'!$A$2:$D10975,""SELECT A WHERE D = '""&amp;K4010&amp;""'"")),""USER TIDAK DIKETAHUI""))"),"#REF!")</f>
        <v>#REF!</v>
      </c>
    </row>
    <row r="4011">
      <c r="A4011" s="21" t="str">
        <f t="shared" si="1"/>
        <v/>
      </c>
      <c r="B4011" s="38"/>
      <c r="C4011" s="23" t="s">
        <v>160</v>
      </c>
      <c r="D4011" s="23" t="s">
        <v>58</v>
      </c>
      <c r="E4011" s="24">
        <v>45455.0</v>
      </c>
      <c r="F4011" s="25">
        <v>0.28958333333333336</v>
      </c>
      <c r="G4011" s="25">
        <v>0.6756944444444445</v>
      </c>
      <c r="H4011" s="27">
        <f t="shared" si="2"/>
        <v>0.3861111111</v>
      </c>
      <c r="I4011" s="28">
        <v>3.0</v>
      </c>
      <c r="J4011" s="39" t="s">
        <v>171</v>
      </c>
      <c r="K4011" s="30" t="s">
        <v>23</v>
      </c>
      <c r="L4011" s="31" t="str">
        <f>IFERROR(__xludf.DUMMYFUNCTION("IF(OR(E4011="""",K4011=""""),"""",IFERROR(IF(K4011="""","""",query('tbl user'!$A$2:$D10975,""SELECT A WHERE D = '""&amp;K4011&amp;""'"")),""USER TIDAK DIKETAHUI""))"),"#REF!")</f>
        <v>#REF!</v>
      </c>
    </row>
    <row r="4012">
      <c r="A4012" s="21" t="str">
        <f t="shared" si="1"/>
        <v/>
      </c>
      <c r="B4012" s="38"/>
      <c r="C4012" s="23" t="s">
        <v>163</v>
      </c>
      <c r="D4012" s="23" t="s">
        <v>58</v>
      </c>
      <c r="E4012" s="24">
        <v>45455.0</v>
      </c>
      <c r="F4012" s="25">
        <v>0.2798611111111111</v>
      </c>
      <c r="G4012" s="25">
        <v>0.6819444444444445</v>
      </c>
      <c r="H4012" s="27">
        <f t="shared" si="2"/>
        <v>0.4020833333</v>
      </c>
      <c r="I4012" s="28">
        <v>3.0</v>
      </c>
      <c r="J4012" s="39" t="s">
        <v>171</v>
      </c>
      <c r="K4012" s="30" t="s">
        <v>23</v>
      </c>
      <c r="L4012" s="31" t="str">
        <f>IFERROR(__xludf.DUMMYFUNCTION("IF(OR(E4012="""",K4012=""""),"""",IFERROR(IF(K4012="""","""",query('tbl user'!$A$2:$D10975,""SELECT A WHERE D = '""&amp;K4012&amp;""'"")),""USER TIDAK DIKETAHUI""))"),"#REF!")</f>
        <v>#REF!</v>
      </c>
    </row>
    <row r="4013">
      <c r="A4013" s="21" t="str">
        <f t="shared" si="1"/>
        <v/>
      </c>
      <c r="B4013" s="38"/>
      <c r="C4013" s="23" t="s">
        <v>211</v>
      </c>
      <c r="D4013" s="23" t="s">
        <v>58</v>
      </c>
      <c r="E4013" s="24">
        <v>45455.0</v>
      </c>
      <c r="F4013" s="25">
        <v>0.3416666666666667</v>
      </c>
      <c r="G4013" s="25">
        <v>0.64375</v>
      </c>
      <c r="H4013" s="27">
        <f t="shared" si="2"/>
        <v>0.3020833333</v>
      </c>
      <c r="I4013" s="28">
        <v>2.0</v>
      </c>
      <c r="J4013" s="39" t="s">
        <v>171</v>
      </c>
      <c r="K4013" s="30" t="s">
        <v>23</v>
      </c>
      <c r="L4013" s="31" t="str">
        <f>IFERROR(__xludf.DUMMYFUNCTION("IF(OR(E4013="""",K4013=""""),"""",IFERROR(IF(K4013="""","""",query('tbl user'!$A$2:$D10975,""SELECT A WHERE D = '""&amp;K4013&amp;""'"")),""USER TIDAK DIKETAHUI""))"),"#REF!")</f>
        <v>#REF!</v>
      </c>
    </row>
    <row r="4014">
      <c r="A4014" s="21" t="str">
        <f t="shared" si="1"/>
        <v/>
      </c>
      <c r="B4014" s="38"/>
      <c r="C4014" s="23" t="s">
        <v>165</v>
      </c>
      <c r="D4014" s="23" t="s">
        <v>58</v>
      </c>
      <c r="E4014" s="24">
        <v>45455.0</v>
      </c>
      <c r="F4014" s="25">
        <v>0.24583333333333332</v>
      </c>
      <c r="G4014" s="25">
        <v>0.61875</v>
      </c>
      <c r="H4014" s="27">
        <f t="shared" si="2"/>
        <v>0.3729166667</v>
      </c>
      <c r="I4014" s="28">
        <v>3.0</v>
      </c>
      <c r="J4014" s="39" t="s">
        <v>171</v>
      </c>
      <c r="K4014" s="30" t="s">
        <v>23</v>
      </c>
      <c r="L4014" s="31" t="str">
        <f>IFERROR(__xludf.DUMMYFUNCTION("IF(OR(E4014="""",K4014=""""),"""",IFERROR(IF(K4014="""","""",query('tbl user'!$A$2:$D10975,""SELECT A WHERE D = '""&amp;K4014&amp;""'"")),""USER TIDAK DIKETAHUI""))"),"#REF!")</f>
        <v>#REF!</v>
      </c>
    </row>
    <row r="4015">
      <c r="A4015" s="21" t="str">
        <f t="shared" si="1"/>
        <v/>
      </c>
      <c r="B4015" s="38"/>
      <c r="C4015" s="23" t="s">
        <v>168</v>
      </c>
      <c r="D4015" s="23" t="s">
        <v>58</v>
      </c>
      <c r="E4015" s="24">
        <v>45455.0</v>
      </c>
      <c r="F4015" s="25">
        <v>0.2986111111111111</v>
      </c>
      <c r="G4015" s="25">
        <v>0.7180555555555556</v>
      </c>
      <c r="H4015" s="27">
        <f t="shared" si="2"/>
        <v>0.4194444444</v>
      </c>
      <c r="I4015" s="28">
        <v>2.0</v>
      </c>
      <c r="J4015" s="39" t="s">
        <v>1806</v>
      </c>
      <c r="K4015" s="30" t="s">
        <v>23</v>
      </c>
      <c r="L4015" s="31" t="str">
        <f>IFERROR(__xludf.DUMMYFUNCTION("IF(OR(E4015="""",K4015=""""),"""",IFERROR(IF(K4015="""","""",query('tbl user'!$A$2:$D10975,""SELECT A WHERE D = '""&amp;K4015&amp;""'"")),""USER TIDAK DIKETAHUI""))"),"#REF!")</f>
        <v>#REF!</v>
      </c>
    </row>
    <row r="4016">
      <c r="A4016" s="21" t="str">
        <f t="shared" si="1"/>
        <v/>
      </c>
      <c r="B4016" s="38"/>
      <c r="C4016" s="23" t="s">
        <v>170</v>
      </c>
      <c r="D4016" s="23" t="s">
        <v>58</v>
      </c>
      <c r="E4016" s="24">
        <v>45455.0</v>
      </c>
      <c r="F4016" s="25">
        <v>0.3423611111111111</v>
      </c>
      <c r="G4016" s="25">
        <v>0.5694444444444444</v>
      </c>
      <c r="H4016" s="27">
        <f t="shared" si="2"/>
        <v>0.2270833333</v>
      </c>
      <c r="I4016" s="28">
        <v>1.0</v>
      </c>
      <c r="J4016" s="39" t="s">
        <v>1807</v>
      </c>
      <c r="K4016" s="30" t="s">
        <v>23</v>
      </c>
      <c r="L4016" s="31" t="str">
        <f>IFERROR(__xludf.DUMMYFUNCTION("IF(OR(E4016="""",K4016=""""),"""",IFERROR(IF(K4016="""","""",query('tbl user'!$A$2:$D10975,""SELECT A WHERE D = '""&amp;K4016&amp;""'"")),""USER TIDAK DIKETAHUI""))"),"#REF!")</f>
        <v>#REF!</v>
      </c>
    </row>
    <row r="4017">
      <c r="A4017" s="21" t="str">
        <f t="shared" si="1"/>
        <v/>
      </c>
      <c r="B4017" s="38"/>
      <c r="C4017" s="23" t="s">
        <v>93</v>
      </c>
      <c r="D4017" s="23" t="s">
        <v>58</v>
      </c>
      <c r="E4017" s="24">
        <v>45455.0</v>
      </c>
      <c r="F4017" s="25">
        <v>0.26180555555555557</v>
      </c>
      <c r="G4017" s="25">
        <v>0.6923611111111111</v>
      </c>
      <c r="H4017" s="27">
        <f t="shared" si="2"/>
        <v>0.4305555556</v>
      </c>
      <c r="I4017" s="28">
        <v>2.0</v>
      </c>
      <c r="J4017" s="39" t="s">
        <v>1808</v>
      </c>
      <c r="K4017" s="30" t="s">
        <v>23</v>
      </c>
      <c r="L4017" s="31" t="str">
        <f>IFERROR(__xludf.DUMMYFUNCTION("IF(OR(E4017="""",K4017=""""),"""",IFERROR(IF(K4017="""","""",query('tbl user'!$A$2:$D10975,""SELECT A WHERE D = '""&amp;K4017&amp;""'"")),""USER TIDAK DIKETAHUI""))"),"#REF!")</f>
        <v>#REF!</v>
      </c>
    </row>
    <row r="4018">
      <c r="A4018" s="21" t="str">
        <f t="shared" si="1"/>
        <v/>
      </c>
      <c r="B4018" s="38"/>
      <c r="C4018" s="23" t="s">
        <v>173</v>
      </c>
      <c r="D4018" s="23" t="s">
        <v>58</v>
      </c>
      <c r="E4018" s="24">
        <v>45455.0</v>
      </c>
      <c r="F4018" s="25">
        <v>0.2548611111111111</v>
      </c>
      <c r="G4018" s="25">
        <v>0.55625</v>
      </c>
      <c r="H4018" s="27">
        <f t="shared" si="2"/>
        <v>0.3013888889</v>
      </c>
      <c r="I4018" s="28">
        <v>2.0</v>
      </c>
      <c r="J4018" s="39" t="s">
        <v>1809</v>
      </c>
      <c r="K4018" s="30" t="s">
        <v>23</v>
      </c>
      <c r="L4018" s="31" t="str">
        <f>IFERROR(__xludf.DUMMYFUNCTION("IF(OR(E4018="""",K4018=""""),"""",IFERROR(IF(K4018="""","""",query('tbl user'!$A$2:$D10975,""SELECT A WHERE D = '""&amp;K4018&amp;""'"")),""USER TIDAK DIKETAHUI""))"),"#REF!")</f>
        <v>#REF!</v>
      </c>
    </row>
    <row r="4019">
      <c r="A4019" s="21" t="str">
        <f t="shared" si="1"/>
        <v/>
      </c>
      <c r="B4019" s="38"/>
      <c r="C4019" s="23" t="s">
        <v>176</v>
      </c>
      <c r="D4019" s="23" t="s">
        <v>58</v>
      </c>
      <c r="E4019" s="24">
        <v>45455.0</v>
      </c>
      <c r="F4019" s="25">
        <v>0.29097222222222224</v>
      </c>
      <c r="G4019" s="25">
        <v>0.40347222222222223</v>
      </c>
      <c r="H4019" s="27">
        <f t="shared" si="2"/>
        <v>0.1125</v>
      </c>
      <c r="I4019" s="28">
        <v>1.0</v>
      </c>
      <c r="J4019" s="39" t="s">
        <v>1810</v>
      </c>
      <c r="K4019" s="30" t="s">
        <v>23</v>
      </c>
      <c r="L4019" s="31" t="str">
        <f>IFERROR(__xludf.DUMMYFUNCTION("IF(OR(E4019="""",K4019=""""),"""",IFERROR(IF(K4019="""","""",query('tbl user'!$A$2:$D10975,""SELECT A WHERE D = '""&amp;K4019&amp;""'"")),""USER TIDAK DIKETAHUI""))"),"#REF!")</f>
        <v>#REF!</v>
      </c>
    </row>
    <row r="4020">
      <c r="A4020" s="21" t="str">
        <f t="shared" si="1"/>
        <v/>
      </c>
      <c r="B4020" s="38"/>
      <c r="C4020" s="23" t="s">
        <v>57</v>
      </c>
      <c r="D4020" s="23" t="s">
        <v>58</v>
      </c>
      <c r="E4020" s="24">
        <v>45455.0</v>
      </c>
      <c r="F4020" s="25">
        <v>0.3034722222222222</v>
      </c>
      <c r="G4020" s="25">
        <v>0.5979166666666667</v>
      </c>
      <c r="H4020" s="27">
        <f t="shared" si="2"/>
        <v>0.2944444444</v>
      </c>
      <c r="I4020" s="28">
        <v>2.0</v>
      </c>
      <c r="J4020" s="39" t="s">
        <v>171</v>
      </c>
      <c r="K4020" s="30" t="s">
        <v>23</v>
      </c>
      <c r="L4020" s="31" t="str">
        <f>IFERROR(__xludf.DUMMYFUNCTION("IF(OR(E4020="""",K4020=""""),"""",IFERROR(IF(K4020="""","""",query('tbl user'!$A$2:$D10975,""SELECT A WHERE D = '""&amp;K4020&amp;""'"")),""USER TIDAK DIKETAHUI""))"),"#REF!")</f>
        <v>#REF!</v>
      </c>
    </row>
    <row r="4021">
      <c r="A4021" s="21" t="str">
        <f t="shared" si="1"/>
        <v/>
      </c>
      <c r="B4021" s="38"/>
      <c r="C4021" s="23" t="s">
        <v>82</v>
      </c>
      <c r="D4021" s="23" t="s">
        <v>58</v>
      </c>
      <c r="E4021" s="24">
        <v>45455.0</v>
      </c>
      <c r="F4021" s="25">
        <v>0.29444444444444445</v>
      </c>
      <c r="G4021" s="25">
        <v>0.6395833333333333</v>
      </c>
      <c r="H4021" s="27">
        <f t="shared" si="2"/>
        <v>0.3451388889</v>
      </c>
      <c r="I4021" s="28">
        <v>1.0</v>
      </c>
      <c r="J4021" s="39" t="s">
        <v>1811</v>
      </c>
      <c r="K4021" s="30" t="s">
        <v>23</v>
      </c>
      <c r="L4021" s="31" t="str">
        <f>IFERROR(__xludf.DUMMYFUNCTION("IF(OR(E4021="""",K4021=""""),"""",IFERROR(IF(K4021="""","""",query('tbl user'!$A$2:$D10975,""SELECT A WHERE D = '""&amp;K4021&amp;""'"")),""USER TIDAK DIKETAHUI""))"),"#REF!")</f>
        <v>#REF!</v>
      </c>
    </row>
    <row r="4022">
      <c r="A4022" s="21" t="str">
        <f t="shared" si="1"/>
        <v/>
      </c>
      <c r="B4022" s="38"/>
      <c r="C4022" s="23" t="s">
        <v>181</v>
      </c>
      <c r="D4022" s="23" t="s">
        <v>58</v>
      </c>
      <c r="E4022" s="24">
        <v>45455.0</v>
      </c>
      <c r="F4022" s="25">
        <v>0.26180555555555557</v>
      </c>
      <c r="G4022" s="25">
        <v>0.6979166666666666</v>
      </c>
      <c r="H4022" s="27">
        <f t="shared" si="2"/>
        <v>0.4361111111</v>
      </c>
      <c r="I4022" s="28">
        <v>4.0</v>
      </c>
      <c r="J4022" s="39" t="s">
        <v>55</v>
      </c>
      <c r="K4022" s="30" t="s">
        <v>23</v>
      </c>
      <c r="L4022" s="31" t="str">
        <f>IFERROR(__xludf.DUMMYFUNCTION("IF(OR(E4022="""",K4022=""""),"""",IFERROR(IF(K4022="""","""",query('tbl user'!$A$2:$D10975,""SELECT A WHERE D = '""&amp;K4022&amp;""'"")),""USER TIDAK DIKETAHUI""))"),"#REF!")</f>
        <v>#REF!</v>
      </c>
    </row>
    <row r="4023">
      <c r="A4023" s="21" t="str">
        <f t="shared" si="1"/>
        <v/>
      </c>
      <c r="B4023" s="38"/>
      <c r="C4023" s="23" t="s">
        <v>183</v>
      </c>
      <c r="D4023" s="23" t="s">
        <v>58</v>
      </c>
      <c r="E4023" s="24">
        <v>45455.0</v>
      </c>
      <c r="F4023" s="25">
        <v>0.27361111111111114</v>
      </c>
      <c r="G4023" s="25">
        <v>0.6694444444444444</v>
      </c>
      <c r="H4023" s="27">
        <f t="shared" si="2"/>
        <v>0.3958333333</v>
      </c>
      <c r="I4023" s="28">
        <v>4.0</v>
      </c>
      <c r="J4023" s="39" t="s">
        <v>55</v>
      </c>
      <c r="K4023" s="30" t="s">
        <v>23</v>
      </c>
      <c r="L4023" s="31" t="str">
        <f>IFERROR(__xludf.DUMMYFUNCTION("IF(OR(E4023="""",K4023=""""),"""",IFERROR(IF(K4023="""","""",query('tbl user'!$A$2:$D10975,""SELECT A WHERE D = '""&amp;K4023&amp;""'"")),""USER TIDAK DIKETAHUI""))"),"#REF!")</f>
        <v>#REF!</v>
      </c>
    </row>
    <row r="4024">
      <c r="A4024" s="21" t="str">
        <f t="shared" si="1"/>
        <v/>
      </c>
      <c r="B4024" s="38"/>
      <c r="C4024" s="23" t="s">
        <v>185</v>
      </c>
      <c r="D4024" s="23" t="s">
        <v>58</v>
      </c>
      <c r="E4024" s="24">
        <v>45455.0</v>
      </c>
      <c r="F4024" s="25">
        <v>0.3013888888888889</v>
      </c>
      <c r="G4024" s="25">
        <v>0.6965277777777777</v>
      </c>
      <c r="H4024" s="27">
        <f t="shared" si="2"/>
        <v>0.3951388889</v>
      </c>
      <c r="I4024" s="28">
        <v>3.0</v>
      </c>
      <c r="J4024" s="39" t="s">
        <v>1812</v>
      </c>
      <c r="K4024" s="30" t="s">
        <v>23</v>
      </c>
      <c r="L4024" s="31" t="str">
        <f>IFERROR(__xludf.DUMMYFUNCTION("IF(OR(E4024="""",K4024=""""),"""",IFERROR(IF(K4024="""","""",query('tbl user'!$A$2:$D10975,""SELECT A WHERE D = '""&amp;K4024&amp;""'"")),""USER TIDAK DIKETAHUI""))"),"#REF!")</f>
        <v>#REF!</v>
      </c>
    </row>
    <row r="4025">
      <c r="A4025" s="21" t="str">
        <f t="shared" si="1"/>
        <v/>
      </c>
      <c r="B4025" s="38"/>
      <c r="C4025" s="23" t="s">
        <v>188</v>
      </c>
      <c r="D4025" s="23" t="s">
        <v>58</v>
      </c>
      <c r="E4025" s="24">
        <v>45455.0</v>
      </c>
      <c r="F4025" s="25">
        <v>0.28958333333333336</v>
      </c>
      <c r="G4025" s="25">
        <v>0.4173611111111111</v>
      </c>
      <c r="H4025" s="27">
        <f t="shared" si="2"/>
        <v>0.1277777778</v>
      </c>
      <c r="I4025" s="28">
        <v>1.0</v>
      </c>
      <c r="J4025" s="39" t="s">
        <v>1813</v>
      </c>
      <c r="K4025" s="30" t="s">
        <v>23</v>
      </c>
      <c r="L4025" s="31" t="str">
        <f>IFERROR(__xludf.DUMMYFUNCTION("IF(OR(E4025="""",K4025=""""),"""",IFERROR(IF(K4025="""","""",query('tbl user'!$A$2:$D10975,""SELECT A WHERE D = '""&amp;K4025&amp;""'"")),""USER TIDAK DIKETAHUI""))"),"#REF!")</f>
        <v>#REF!</v>
      </c>
    </row>
    <row r="4026">
      <c r="A4026" s="21" t="str">
        <f t="shared" si="1"/>
        <v/>
      </c>
      <c r="B4026" s="38"/>
      <c r="C4026" s="23" t="s">
        <v>190</v>
      </c>
      <c r="D4026" s="23" t="s">
        <v>58</v>
      </c>
      <c r="E4026" s="24">
        <v>45455.0</v>
      </c>
      <c r="F4026" s="25">
        <v>0.28055555555555556</v>
      </c>
      <c r="G4026" s="25">
        <v>0.5631944444444444</v>
      </c>
      <c r="H4026" s="27">
        <f t="shared" si="2"/>
        <v>0.2826388889</v>
      </c>
      <c r="I4026" s="28">
        <v>2.0</v>
      </c>
      <c r="J4026" s="39" t="s">
        <v>1814</v>
      </c>
      <c r="K4026" s="30" t="s">
        <v>23</v>
      </c>
      <c r="L4026" s="31" t="str">
        <f>IFERROR(__xludf.DUMMYFUNCTION("IF(OR(E4026="""",K4026=""""),"""",IFERROR(IF(K4026="""","""",query('tbl user'!$A$2:$D10975,""SELECT A WHERE D = '""&amp;K4026&amp;""'"")),""USER TIDAK DIKETAHUI""))"),"#REF!")</f>
        <v>#REF!</v>
      </c>
    </row>
    <row r="4027">
      <c r="A4027" s="21" t="str">
        <f t="shared" si="1"/>
        <v/>
      </c>
      <c r="B4027" s="38"/>
      <c r="C4027" s="23" t="s">
        <v>192</v>
      </c>
      <c r="D4027" s="23" t="s">
        <v>58</v>
      </c>
      <c r="E4027" s="24">
        <v>45455.0</v>
      </c>
      <c r="F4027" s="25">
        <v>0.2569444444444444</v>
      </c>
      <c r="G4027" s="25">
        <v>0.6708333333333333</v>
      </c>
      <c r="H4027" s="27">
        <f t="shared" si="2"/>
        <v>0.4138888889</v>
      </c>
      <c r="I4027" s="28">
        <v>4.0</v>
      </c>
      <c r="J4027" s="39" t="s">
        <v>55</v>
      </c>
      <c r="K4027" s="30" t="s">
        <v>23</v>
      </c>
      <c r="L4027" s="31" t="str">
        <f>IFERROR(__xludf.DUMMYFUNCTION("IF(OR(E4027="""",K4027=""""),"""",IFERROR(IF(K4027="""","""",query('tbl user'!$A$2:$D10975,""SELECT A WHERE D = '""&amp;K4027&amp;""'"")),""USER TIDAK DIKETAHUI""))"),"#REF!")</f>
        <v>#REF!</v>
      </c>
    </row>
    <row r="4028">
      <c r="A4028" s="21" t="str">
        <f t="shared" si="1"/>
        <v/>
      </c>
      <c r="B4028" s="38"/>
      <c r="C4028" s="23" t="s">
        <v>195</v>
      </c>
      <c r="D4028" s="23" t="s">
        <v>58</v>
      </c>
      <c r="E4028" s="24">
        <v>45455.0</v>
      </c>
      <c r="F4028" s="25">
        <v>0.2590277777777778</v>
      </c>
      <c r="G4028" s="25">
        <v>0.6708333333333333</v>
      </c>
      <c r="H4028" s="27">
        <f t="shared" si="2"/>
        <v>0.4118055556</v>
      </c>
      <c r="I4028" s="28">
        <v>4.0</v>
      </c>
      <c r="J4028" s="39" t="s">
        <v>55</v>
      </c>
      <c r="K4028" s="30" t="s">
        <v>23</v>
      </c>
      <c r="L4028" s="31" t="str">
        <f>IFERROR(__xludf.DUMMYFUNCTION("IF(OR(E4028="""",K4028=""""),"""",IFERROR(IF(K4028="""","""",query('tbl user'!$A$2:$D10975,""SELECT A WHERE D = '""&amp;K4028&amp;""'"")),""USER TIDAK DIKETAHUI""))"),"#REF!")</f>
        <v>#REF!</v>
      </c>
    </row>
    <row r="4029">
      <c r="A4029" s="21" t="str">
        <f t="shared" si="1"/>
        <v/>
      </c>
      <c r="B4029" s="38"/>
      <c r="C4029" s="23" t="s">
        <v>198</v>
      </c>
      <c r="D4029" s="23" t="s">
        <v>58</v>
      </c>
      <c r="E4029" s="24">
        <v>45455.0</v>
      </c>
      <c r="F4029" s="25">
        <v>0.2777777777777778</v>
      </c>
      <c r="G4029" s="25">
        <v>0.68125</v>
      </c>
      <c r="H4029" s="27">
        <f t="shared" si="2"/>
        <v>0.4034722222</v>
      </c>
      <c r="I4029" s="28">
        <v>4.0</v>
      </c>
      <c r="J4029" s="39" t="s">
        <v>55</v>
      </c>
      <c r="K4029" s="30" t="s">
        <v>23</v>
      </c>
      <c r="L4029" s="31" t="str">
        <f>IFERROR(__xludf.DUMMYFUNCTION("IF(OR(E4029="""",K4029=""""),"""",IFERROR(IF(K4029="""","""",query('tbl user'!$A$2:$D10975,""SELECT A WHERE D = '""&amp;K4029&amp;""'"")),""USER TIDAK DIKETAHUI""))"),"#REF!")</f>
        <v>#REF!</v>
      </c>
    </row>
    <row r="4030">
      <c r="A4030" s="21" t="str">
        <f t="shared" si="1"/>
        <v/>
      </c>
      <c r="B4030" s="38"/>
      <c r="C4030" s="23" t="s">
        <v>201</v>
      </c>
      <c r="D4030" s="23" t="s">
        <v>58</v>
      </c>
      <c r="E4030" s="24">
        <v>45455.0</v>
      </c>
      <c r="F4030" s="25">
        <v>0.2798611111111111</v>
      </c>
      <c r="G4030" s="25">
        <v>0.6465277777777778</v>
      </c>
      <c r="H4030" s="27">
        <f t="shared" si="2"/>
        <v>0.3666666667</v>
      </c>
      <c r="I4030" s="28">
        <v>2.0</v>
      </c>
      <c r="J4030" s="39" t="s">
        <v>1815</v>
      </c>
      <c r="K4030" s="30" t="s">
        <v>23</v>
      </c>
      <c r="L4030" s="31" t="str">
        <f>IFERROR(__xludf.DUMMYFUNCTION("IF(OR(E4030="""",K4030=""""),"""",IFERROR(IF(K4030="""","""",query('tbl user'!$A$2:$D10975,""SELECT A WHERE D = '""&amp;K4030&amp;""'"")),""USER TIDAK DIKETAHUI""))"),"#REF!")</f>
        <v>#REF!</v>
      </c>
    </row>
    <row r="4031">
      <c r="A4031" s="21" t="str">
        <f t="shared" si="1"/>
        <v/>
      </c>
      <c r="B4031" s="38"/>
      <c r="C4031" s="23" t="s">
        <v>105</v>
      </c>
      <c r="D4031" s="23" t="s">
        <v>58</v>
      </c>
      <c r="E4031" s="24">
        <v>45455.0</v>
      </c>
      <c r="F4031" s="25">
        <v>0.25972222222222224</v>
      </c>
      <c r="G4031" s="25">
        <v>0.6986111111111111</v>
      </c>
      <c r="H4031" s="27">
        <f t="shared" si="2"/>
        <v>0.4388888889</v>
      </c>
      <c r="I4031" s="28">
        <v>3.0</v>
      </c>
      <c r="J4031" s="39" t="s">
        <v>171</v>
      </c>
      <c r="K4031" s="30" t="s">
        <v>23</v>
      </c>
      <c r="L4031" s="31" t="str">
        <f>IFERROR(__xludf.DUMMYFUNCTION("IF(OR(E4031="""",K4031=""""),"""",IFERROR(IF(K4031="""","""",query('tbl user'!$A$2:$D10975,""SELECT A WHERE D = '""&amp;K4031&amp;""'"")),""USER TIDAK DIKETAHUI""))"),"#REF!")</f>
        <v>#REF!</v>
      </c>
    </row>
    <row r="4032">
      <c r="A4032" s="21" t="str">
        <f t="shared" si="1"/>
        <v/>
      </c>
      <c r="B4032" s="38"/>
      <c r="C4032" s="23" t="s">
        <v>203</v>
      </c>
      <c r="D4032" s="23" t="s">
        <v>58</v>
      </c>
      <c r="E4032" s="24">
        <v>45455.0</v>
      </c>
      <c r="F4032" s="25">
        <v>0.2798611111111111</v>
      </c>
      <c r="G4032" s="25">
        <v>0.64375</v>
      </c>
      <c r="H4032" s="27">
        <f t="shared" si="2"/>
        <v>0.3638888889</v>
      </c>
      <c r="I4032" s="28">
        <v>3.0</v>
      </c>
      <c r="J4032" s="39" t="s">
        <v>171</v>
      </c>
      <c r="K4032" s="30" t="s">
        <v>23</v>
      </c>
      <c r="L4032" s="31" t="str">
        <f>IFERROR(__xludf.DUMMYFUNCTION("IF(OR(E4032="""",K4032=""""),"""",IFERROR(IF(K4032="""","""",query('tbl user'!$A$2:$D10975,""SELECT A WHERE D = '""&amp;K4032&amp;""'"")),""USER TIDAK DIKETAHUI""))"),"#REF!")</f>
        <v>#REF!</v>
      </c>
    </row>
    <row r="4033">
      <c r="A4033" s="21" t="str">
        <f t="shared" si="1"/>
        <v/>
      </c>
      <c r="B4033" s="38"/>
      <c r="C4033" s="23" t="s">
        <v>206</v>
      </c>
      <c r="D4033" s="23" t="s">
        <v>58</v>
      </c>
      <c r="E4033" s="24">
        <v>45455.0</v>
      </c>
      <c r="F4033" s="25">
        <v>0.2590277777777778</v>
      </c>
      <c r="G4033" s="25">
        <v>0.7201388888888889</v>
      </c>
      <c r="H4033" s="27">
        <f t="shared" si="2"/>
        <v>0.4611111111</v>
      </c>
      <c r="I4033" s="28">
        <v>4.0</v>
      </c>
      <c r="J4033" s="39" t="s">
        <v>55</v>
      </c>
      <c r="K4033" s="30" t="s">
        <v>23</v>
      </c>
      <c r="L4033" s="31" t="str">
        <f>IFERROR(__xludf.DUMMYFUNCTION("IF(OR(E4033="""",K4033=""""),"""",IFERROR(IF(K4033="""","""",query('tbl user'!$A$2:$D10975,""SELECT A WHERE D = '""&amp;K4033&amp;""'"")),""USER TIDAK DIKETAHUI""))"),"#REF!")</f>
        <v>#REF!</v>
      </c>
    </row>
    <row r="4034">
      <c r="A4034" s="21" t="str">
        <f t="shared" si="1"/>
        <v/>
      </c>
      <c r="B4034" s="38"/>
      <c r="C4034" s="23" t="s">
        <v>208</v>
      </c>
      <c r="D4034" s="23" t="s">
        <v>58</v>
      </c>
      <c r="E4034" s="24">
        <v>45455.0</v>
      </c>
      <c r="F4034" s="25">
        <v>0.2708333333333333</v>
      </c>
      <c r="G4034" s="25">
        <v>0.6604166666666667</v>
      </c>
      <c r="H4034" s="27">
        <f t="shared" si="2"/>
        <v>0.3895833333</v>
      </c>
      <c r="I4034" s="28">
        <v>3.0</v>
      </c>
      <c r="J4034" s="39" t="s">
        <v>1816</v>
      </c>
      <c r="K4034" s="30" t="s">
        <v>23</v>
      </c>
      <c r="L4034" s="31" t="str">
        <f>IFERROR(__xludf.DUMMYFUNCTION("IF(OR(E4034="""",K4034=""""),"""",IFERROR(IF(K4034="""","""",query('tbl user'!$A$2:$D10975,""SELECT A WHERE D = '""&amp;K4034&amp;""'"")),""USER TIDAK DIKETAHUI""))"),"#REF!")</f>
        <v>#REF!</v>
      </c>
    </row>
    <row r="4035">
      <c r="A4035" s="21" t="str">
        <f t="shared" si="1"/>
        <v/>
      </c>
      <c r="B4035" s="38"/>
      <c r="C4035" s="23" t="s">
        <v>121</v>
      </c>
      <c r="D4035" s="23" t="s">
        <v>32</v>
      </c>
      <c r="E4035" s="24">
        <v>45455.0</v>
      </c>
      <c r="F4035" s="25">
        <v>0.27708333333333335</v>
      </c>
      <c r="G4035" s="28" t="s">
        <v>1817</v>
      </c>
      <c r="H4035" s="27" t="str">
        <f t="shared" si="2"/>
        <v/>
      </c>
      <c r="I4035" s="28">
        <v>1.0</v>
      </c>
      <c r="J4035" s="39" t="s">
        <v>1818</v>
      </c>
      <c r="K4035" s="30" t="s">
        <v>23</v>
      </c>
      <c r="L4035" s="31" t="str">
        <f>IFERROR(__xludf.DUMMYFUNCTION("IF(OR(E4035="""",K4035=""""),"""",IFERROR(IF(K4035="""","""",query('tbl user'!$A$2:$D10975,""SELECT A WHERE D = '""&amp;K4035&amp;""'"")),""USER TIDAK DIKETAHUI""))"),"#REF!")</f>
        <v>#REF!</v>
      </c>
    </row>
    <row r="4036">
      <c r="A4036" s="21" t="str">
        <f t="shared" si="1"/>
        <v/>
      </c>
      <c r="B4036" s="38"/>
      <c r="C4036" s="23" t="s">
        <v>128</v>
      </c>
      <c r="D4036" s="23" t="s">
        <v>32</v>
      </c>
      <c r="E4036" s="24">
        <v>45455.0</v>
      </c>
      <c r="F4036" s="25">
        <v>0.28888888888888886</v>
      </c>
      <c r="G4036" s="25">
        <v>0.5423611111111111</v>
      </c>
      <c r="H4036" s="27">
        <f t="shared" si="2"/>
        <v>0.2534722222</v>
      </c>
      <c r="I4036" s="28">
        <v>1.0</v>
      </c>
      <c r="J4036" s="39" t="s">
        <v>1819</v>
      </c>
      <c r="K4036" s="30" t="s">
        <v>23</v>
      </c>
      <c r="L4036" s="31" t="str">
        <f>IFERROR(__xludf.DUMMYFUNCTION("IF(OR(E4036="""",K4036=""""),"""",IFERROR(IF(K4036="""","""",query('tbl user'!$A$2:$D10975,""SELECT A WHERE D = '""&amp;K4036&amp;""'"")),""USER TIDAK DIKETAHUI""))"),"#REF!")</f>
        <v>#REF!</v>
      </c>
    </row>
    <row r="4037">
      <c r="A4037" s="21" t="str">
        <f t="shared" si="1"/>
        <v/>
      </c>
      <c r="B4037" s="38"/>
      <c r="C4037" s="23" t="s">
        <v>268</v>
      </c>
      <c r="D4037" s="23" t="s">
        <v>32</v>
      </c>
      <c r="E4037" s="24">
        <v>45455.0</v>
      </c>
      <c r="F4037" s="25">
        <v>0.33819444444444446</v>
      </c>
      <c r="G4037" s="25">
        <v>0.49166666666666664</v>
      </c>
      <c r="H4037" s="27">
        <f t="shared" si="2"/>
        <v>0.1534722222</v>
      </c>
      <c r="I4037" s="28">
        <v>1.0</v>
      </c>
      <c r="J4037" s="39" t="s">
        <v>1820</v>
      </c>
      <c r="K4037" s="30" t="s">
        <v>23</v>
      </c>
      <c r="L4037" s="31" t="str">
        <f>IFERROR(__xludf.DUMMYFUNCTION("IF(OR(E4037="""",K4037=""""),"""",IFERROR(IF(K4037="""","""",query('tbl user'!$A$2:$D10975,""SELECT A WHERE D = '""&amp;K4037&amp;""'"")),""USER TIDAK DIKETAHUI""))"),"#REF!")</f>
        <v>#REF!</v>
      </c>
    </row>
    <row r="4038">
      <c r="A4038" s="21" t="str">
        <f t="shared" si="1"/>
        <v/>
      </c>
      <c r="B4038" s="38"/>
      <c r="C4038" s="23" t="s">
        <v>119</v>
      </c>
      <c r="D4038" s="23" t="s">
        <v>32</v>
      </c>
      <c r="E4038" s="24">
        <v>45455.0</v>
      </c>
      <c r="F4038" s="25">
        <v>0.24027777777777778</v>
      </c>
      <c r="G4038" s="25">
        <v>0.68125</v>
      </c>
      <c r="H4038" s="27">
        <f t="shared" si="2"/>
        <v>0.4409722222</v>
      </c>
      <c r="I4038" s="28">
        <v>2.0</v>
      </c>
      <c r="J4038" s="39" t="s">
        <v>1821</v>
      </c>
      <c r="K4038" s="30" t="s">
        <v>23</v>
      </c>
      <c r="L4038" s="31" t="str">
        <f>IFERROR(__xludf.DUMMYFUNCTION("IF(OR(E4038="""",K4038=""""),"""",IFERROR(IF(K4038="""","""",query('tbl user'!$A$2:$D10975,""SELECT A WHERE D = '""&amp;K4038&amp;""'"")),""USER TIDAK DIKETAHUI""))"),"#REF!")</f>
        <v>#REF!</v>
      </c>
    </row>
    <row r="4039">
      <c r="A4039" s="21" t="str">
        <f t="shared" si="1"/>
        <v/>
      </c>
      <c r="B4039" s="38"/>
      <c r="C4039" s="23" t="s">
        <v>142</v>
      </c>
      <c r="D4039" s="23" t="s">
        <v>32</v>
      </c>
      <c r="E4039" s="24">
        <v>45455.0</v>
      </c>
      <c r="F4039" s="25">
        <v>0.4097222222222222</v>
      </c>
      <c r="G4039" s="25">
        <v>0.6354166666666666</v>
      </c>
      <c r="H4039" s="27">
        <f t="shared" si="2"/>
        <v>0.2256944444</v>
      </c>
      <c r="I4039" s="28">
        <v>2.0</v>
      </c>
      <c r="J4039" s="39" t="s">
        <v>1822</v>
      </c>
      <c r="K4039" s="30" t="s">
        <v>23</v>
      </c>
      <c r="L4039" s="31" t="str">
        <f>IFERROR(__xludf.DUMMYFUNCTION("IF(OR(E4039="""",K4039=""""),"""",IFERROR(IF(K4039="""","""",query('tbl user'!$A$2:$D10975,""SELECT A WHERE D = '""&amp;K4039&amp;""'"")),""USER TIDAK DIKETAHUI""))"),"#REF!")</f>
        <v>#REF!</v>
      </c>
    </row>
    <row r="4040">
      <c r="A4040" s="21" t="str">
        <f t="shared" si="1"/>
        <v/>
      </c>
      <c r="B4040" s="38"/>
      <c r="C4040" s="23" t="s">
        <v>413</v>
      </c>
      <c r="D4040" s="23" t="s">
        <v>32</v>
      </c>
      <c r="E4040" s="24">
        <v>45455.0</v>
      </c>
      <c r="F4040" s="25">
        <v>0.28958333333333336</v>
      </c>
      <c r="G4040" s="25">
        <v>0.6736111111111112</v>
      </c>
      <c r="H4040" s="27">
        <f t="shared" si="2"/>
        <v>0.3840277778</v>
      </c>
      <c r="I4040" s="28">
        <v>3.0</v>
      </c>
      <c r="J4040" s="39" t="s">
        <v>1823</v>
      </c>
      <c r="K4040" s="30" t="s">
        <v>23</v>
      </c>
      <c r="L4040" s="31" t="str">
        <f>IFERROR(__xludf.DUMMYFUNCTION("IF(OR(E4040="""",K4040=""""),"""",IFERROR(IF(K4040="""","""",query('tbl user'!$A$2:$D10975,""SELECT A WHERE D = '""&amp;K4040&amp;""'"")),""USER TIDAK DIKETAHUI""))"),"#REF!")</f>
        <v>#REF!</v>
      </c>
    </row>
    <row r="4041">
      <c r="A4041" s="21" t="str">
        <f t="shared" si="1"/>
        <v/>
      </c>
      <c r="B4041" s="38"/>
      <c r="C4041" s="23" t="s">
        <v>111</v>
      </c>
      <c r="D4041" s="23" t="s">
        <v>32</v>
      </c>
      <c r="E4041" s="24">
        <v>45455.0</v>
      </c>
      <c r="F4041" s="25">
        <v>0.28958333333333336</v>
      </c>
      <c r="G4041" s="25">
        <v>0.6465277777777778</v>
      </c>
      <c r="H4041" s="27">
        <f t="shared" si="2"/>
        <v>0.3569444444</v>
      </c>
      <c r="I4041" s="28">
        <v>3.0</v>
      </c>
      <c r="J4041" s="39" t="s">
        <v>1387</v>
      </c>
      <c r="K4041" s="30" t="s">
        <v>23</v>
      </c>
      <c r="L4041" s="31" t="str">
        <f>IFERROR(__xludf.DUMMYFUNCTION("IF(OR(E4041="""",K4041=""""),"""",IFERROR(IF(K4041="""","""",query('tbl user'!$A$2:$D10975,""SELECT A WHERE D = '""&amp;K4041&amp;""'"")),""USER TIDAK DIKETAHUI""))"),"#REF!")</f>
        <v>#REF!</v>
      </c>
    </row>
    <row r="4042">
      <c r="A4042" s="21" t="str">
        <f t="shared" si="1"/>
        <v/>
      </c>
      <c r="B4042" s="38"/>
      <c r="C4042" s="23" t="s">
        <v>116</v>
      </c>
      <c r="D4042" s="23" t="s">
        <v>32</v>
      </c>
      <c r="E4042" s="24">
        <v>45455.0</v>
      </c>
      <c r="F4042" s="25">
        <v>0.29097222222222224</v>
      </c>
      <c r="G4042" s="25">
        <v>0.7298611111111111</v>
      </c>
      <c r="H4042" s="27">
        <f t="shared" si="2"/>
        <v>0.4388888889</v>
      </c>
      <c r="I4042" s="28">
        <v>3.0</v>
      </c>
      <c r="J4042" s="39" t="s">
        <v>1789</v>
      </c>
      <c r="K4042" s="30" t="s">
        <v>23</v>
      </c>
      <c r="L4042" s="31" t="str">
        <f>IFERROR(__xludf.DUMMYFUNCTION("IF(OR(E4042="""",K4042=""""),"""",IFERROR(IF(K4042="""","""",query('tbl user'!$A$2:$D10975,""SELECT A WHERE D = '""&amp;K4042&amp;""'"")),""USER TIDAK DIKETAHUI""))"),"#REF!")</f>
        <v>#REF!</v>
      </c>
    </row>
    <row r="4043">
      <c r="A4043" s="21" t="str">
        <f t="shared" si="1"/>
        <v/>
      </c>
      <c r="B4043" s="38"/>
      <c r="C4043" s="23" t="s">
        <v>76</v>
      </c>
      <c r="D4043" s="23" t="s">
        <v>32</v>
      </c>
      <c r="E4043" s="24">
        <v>45455.0</v>
      </c>
      <c r="F4043" s="25">
        <v>0.2569444444444444</v>
      </c>
      <c r="G4043" s="25">
        <v>0.6222222222222222</v>
      </c>
      <c r="H4043" s="27">
        <f t="shared" si="2"/>
        <v>0.3652777778</v>
      </c>
      <c r="I4043" s="28">
        <v>3.0</v>
      </c>
      <c r="J4043" s="39" t="s">
        <v>1824</v>
      </c>
      <c r="K4043" s="30" t="s">
        <v>23</v>
      </c>
      <c r="L4043" s="31" t="str">
        <f>IFERROR(__xludf.DUMMYFUNCTION("IF(OR(E4043="""",K4043=""""),"""",IFERROR(IF(K4043="""","""",query('tbl user'!$A$2:$D10975,""SELECT A WHERE D = '""&amp;K4043&amp;""'"")),""USER TIDAK DIKETAHUI""))"),"#REF!")</f>
        <v>#REF!</v>
      </c>
    </row>
    <row r="4044">
      <c r="A4044" s="21" t="str">
        <f t="shared" si="1"/>
        <v/>
      </c>
      <c r="B4044" s="38"/>
      <c r="C4044" s="23" t="s">
        <v>124</v>
      </c>
      <c r="D4044" s="23" t="s">
        <v>32</v>
      </c>
      <c r="E4044" s="24">
        <v>45455.0</v>
      </c>
      <c r="F4044" s="25">
        <v>0.26875</v>
      </c>
      <c r="G4044" s="25">
        <v>0.6520833333333333</v>
      </c>
      <c r="H4044" s="27">
        <f t="shared" si="2"/>
        <v>0.3833333333</v>
      </c>
      <c r="I4044" s="28">
        <v>3.0</v>
      </c>
      <c r="J4044" s="39" t="s">
        <v>1825</v>
      </c>
      <c r="K4044" s="30" t="s">
        <v>23</v>
      </c>
      <c r="L4044" s="31" t="str">
        <f>IFERROR(__xludf.DUMMYFUNCTION("IF(OR(E4044="""",K4044=""""),"""",IFERROR(IF(K4044="""","""",query('tbl user'!$A$2:$D10975,""SELECT A WHERE D = '""&amp;K4044&amp;""'"")),""USER TIDAK DIKETAHUI""))"),"#REF!")</f>
        <v>#REF!</v>
      </c>
    </row>
    <row r="4045">
      <c r="A4045" s="21" t="str">
        <f t="shared" si="1"/>
        <v/>
      </c>
      <c r="B4045" s="38"/>
      <c r="C4045" s="23" t="s">
        <v>126</v>
      </c>
      <c r="D4045" s="23" t="s">
        <v>32</v>
      </c>
      <c r="E4045" s="24">
        <v>45455.0</v>
      </c>
      <c r="F4045" s="25">
        <v>0.3034722222222222</v>
      </c>
      <c r="G4045" s="25">
        <v>0.7041666666666667</v>
      </c>
      <c r="H4045" s="27">
        <f t="shared" si="2"/>
        <v>0.4006944444</v>
      </c>
      <c r="I4045" s="28">
        <v>3.0</v>
      </c>
      <c r="J4045" s="39" t="s">
        <v>171</v>
      </c>
      <c r="K4045" s="30" t="s">
        <v>23</v>
      </c>
      <c r="L4045" s="31" t="str">
        <f>IFERROR(__xludf.DUMMYFUNCTION("IF(OR(E4045="""",K4045=""""),"""",IFERROR(IF(K4045="""","""",query('tbl user'!$A$2:$D10975,""SELECT A WHERE D = '""&amp;K4045&amp;""'"")),""USER TIDAK DIKETAHUI""))"),"#REF!")</f>
        <v>#REF!</v>
      </c>
    </row>
    <row r="4046">
      <c r="A4046" s="21" t="str">
        <f t="shared" si="1"/>
        <v/>
      </c>
      <c r="B4046" s="38"/>
      <c r="C4046" s="23" t="s">
        <v>270</v>
      </c>
      <c r="D4046" s="23" t="s">
        <v>32</v>
      </c>
      <c r="E4046" s="24">
        <v>45455.0</v>
      </c>
      <c r="F4046" s="25">
        <v>0.2965277777777778</v>
      </c>
      <c r="G4046" s="25">
        <v>0.6972222222222222</v>
      </c>
      <c r="H4046" s="27">
        <f t="shared" si="2"/>
        <v>0.4006944444</v>
      </c>
      <c r="I4046" s="28">
        <v>3.0</v>
      </c>
      <c r="J4046" s="39" t="s">
        <v>171</v>
      </c>
      <c r="K4046" s="30" t="s">
        <v>23</v>
      </c>
      <c r="L4046" s="31" t="str">
        <f>IFERROR(__xludf.DUMMYFUNCTION("IF(OR(E4046="""",K4046=""""),"""",IFERROR(IF(K4046="""","""",query('tbl user'!$A$2:$D10975,""SELECT A WHERE D = '""&amp;K4046&amp;""'"")),""USER TIDAK DIKETAHUI""))"),"#REF!")</f>
        <v>#REF!</v>
      </c>
    </row>
    <row r="4047">
      <c r="A4047" s="21" t="str">
        <f t="shared" si="1"/>
        <v/>
      </c>
      <c r="B4047" s="38"/>
      <c r="C4047" s="23" t="s">
        <v>313</v>
      </c>
      <c r="D4047" s="23" t="s">
        <v>32</v>
      </c>
      <c r="E4047" s="24">
        <v>45455.0</v>
      </c>
      <c r="F4047" s="25">
        <v>0.27847222222222223</v>
      </c>
      <c r="G4047" s="25">
        <v>0.6736111111111112</v>
      </c>
      <c r="H4047" s="27">
        <f t="shared" si="2"/>
        <v>0.3951388889</v>
      </c>
      <c r="I4047" s="28">
        <v>3.0</v>
      </c>
      <c r="J4047" s="39" t="s">
        <v>171</v>
      </c>
      <c r="K4047" s="30" t="s">
        <v>23</v>
      </c>
      <c r="L4047" s="31" t="str">
        <f>IFERROR(__xludf.DUMMYFUNCTION("IF(OR(E4047="""",K4047=""""),"""",IFERROR(IF(K4047="""","""",query('tbl user'!$A$2:$D10975,""SELECT A WHERE D = '""&amp;K4047&amp;""'"")),""USER TIDAK DIKETAHUI""))"),"#REF!")</f>
        <v>#REF!</v>
      </c>
    </row>
    <row r="4048">
      <c r="A4048" s="21" t="str">
        <f t="shared" si="1"/>
        <v/>
      </c>
      <c r="B4048" s="38"/>
      <c r="C4048" s="23" t="s">
        <v>280</v>
      </c>
      <c r="D4048" s="23" t="s">
        <v>32</v>
      </c>
      <c r="E4048" s="24">
        <v>45455.0</v>
      </c>
      <c r="F4048" s="25">
        <v>0.2548611111111111</v>
      </c>
      <c r="G4048" s="25">
        <v>0.6638888888888889</v>
      </c>
      <c r="H4048" s="27">
        <f t="shared" si="2"/>
        <v>0.4090277778</v>
      </c>
      <c r="I4048" s="28">
        <v>3.0</v>
      </c>
      <c r="J4048" s="39" t="s">
        <v>171</v>
      </c>
      <c r="K4048" s="30" t="s">
        <v>23</v>
      </c>
      <c r="L4048" s="31" t="str">
        <f>IFERROR(__xludf.DUMMYFUNCTION("IF(OR(E4048="""",K4048=""""),"""",IFERROR(IF(K4048="""","""",query('tbl user'!$A$2:$D10975,""SELECT A WHERE D = '""&amp;K4048&amp;""'"")),""USER TIDAK DIKETAHUI""))"),"#REF!")</f>
        <v>#REF!</v>
      </c>
    </row>
    <row r="4049">
      <c r="A4049" s="21" t="str">
        <f t="shared" si="1"/>
        <v/>
      </c>
      <c r="B4049" s="38"/>
      <c r="C4049" s="23" t="s">
        <v>147</v>
      </c>
      <c r="D4049" s="23" t="s">
        <v>32</v>
      </c>
      <c r="E4049" s="24">
        <v>45455.0</v>
      </c>
      <c r="F4049" s="25">
        <v>0.2902777777777778</v>
      </c>
      <c r="G4049" s="25">
        <v>0.6631944444444444</v>
      </c>
      <c r="H4049" s="27">
        <f t="shared" si="2"/>
        <v>0.3729166667</v>
      </c>
      <c r="I4049" s="28">
        <v>3.0</v>
      </c>
      <c r="J4049" s="39" t="s">
        <v>171</v>
      </c>
      <c r="K4049" s="30" t="s">
        <v>23</v>
      </c>
      <c r="L4049" s="31" t="str">
        <f>IFERROR(__xludf.DUMMYFUNCTION("IF(OR(E4049="""",K4049=""""),"""",IFERROR(IF(K4049="""","""",query('tbl user'!$A$2:$D10975,""SELECT A WHERE D = '""&amp;K4049&amp;""'"")),""USER TIDAK DIKETAHUI""))"),"#REF!")</f>
        <v>#REF!</v>
      </c>
    </row>
    <row r="4050">
      <c r="A4050" s="21" t="str">
        <f t="shared" si="1"/>
        <v/>
      </c>
      <c r="B4050" s="38"/>
      <c r="C4050" s="23" t="s">
        <v>275</v>
      </c>
      <c r="D4050" s="23" t="s">
        <v>32</v>
      </c>
      <c r="E4050" s="24">
        <v>45455.0</v>
      </c>
      <c r="F4050" s="25">
        <v>0.2923611111111111</v>
      </c>
      <c r="G4050" s="25">
        <v>0.6694444444444444</v>
      </c>
      <c r="H4050" s="27">
        <f t="shared" si="2"/>
        <v>0.3770833333</v>
      </c>
      <c r="I4050" s="28">
        <v>3.0</v>
      </c>
      <c r="J4050" s="39" t="s">
        <v>171</v>
      </c>
      <c r="K4050" s="30" t="s">
        <v>23</v>
      </c>
      <c r="L4050" s="31" t="str">
        <f>IFERROR(__xludf.DUMMYFUNCTION("IF(OR(E4050="""",K4050=""""),"""",IFERROR(IF(K4050="""","""",query('tbl user'!$A$2:$D10975,""SELECT A WHERE D = '""&amp;K4050&amp;""'"")),""USER TIDAK DIKETAHUI""))"),"#REF!")</f>
        <v>#REF!</v>
      </c>
    </row>
    <row r="4051">
      <c r="A4051" s="21" t="str">
        <f t="shared" si="1"/>
        <v/>
      </c>
      <c r="B4051" s="38"/>
      <c r="C4051" s="23" t="s">
        <v>152</v>
      </c>
      <c r="D4051" s="23" t="s">
        <v>32</v>
      </c>
      <c r="E4051" s="24">
        <v>45455.0</v>
      </c>
      <c r="F4051" s="25">
        <v>0.2708333333333333</v>
      </c>
      <c r="G4051" s="25">
        <v>0.6013888888888889</v>
      </c>
      <c r="H4051" s="27">
        <f t="shared" si="2"/>
        <v>0.3305555556</v>
      </c>
      <c r="I4051" s="28">
        <v>3.0</v>
      </c>
      <c r="J4051" s="39" t="s">
        <v>1826</v>
      </c>
      <c r="K4051" s="30" t="s">
        <v>23</v>
      </c>
      <c r="L4051" s="31" t="str">
        <f>IFERROR(__xludf.DUMMYFUNCTION("IF(OR(E4051="""",K4051=""""),"""",IFERROR(IF(K4051="""","""",query('tbl user'!$A$2:$D10975,""SELECT A WHERE D = '""&amp;K4051&amp;""'"")),""USER TIDAK DIKETAHUI""))"),"#REF!")</f>
        <v>#REF!</v>
      </c>
    </row>
    <row r="4052">
      <c r="A4052" s="21" t="str">
        <f t="shared" si="1"/>
        <v/>
      </c>
      <c r="B4052" s="38"/>
      <c r="C4052" s="23" t="s">
        <v>315</v>
      </c>
      <c r="D4052" s="23" t="s">
        <v>32</v>
      </c>
      <c r="E4052" s="24">
        <v>45455.0</v>
      </c>
      <c r="F4052" s="25">
        <v>0.26666666666666666</v>
      </c>
      <c r="G4052" s="25">
        <v>0.7895833333333333</v>
      </c>
      <c r="H4052" s="27">
        <f t="shared" si="2"/>
        <v>0.5229166667</v>
      </c>
      <c r="I4052" s="28">
        <v>4.0</v>
      </c>
      <c r="J4052" s="39" t="s">
        <v>55</v>
      </c>
      <c r="K4052" s="30" t="s">
        <v>23</v>
      </c>
      <c r="L4052" s="31" t="str">
        <f>IFERROR(__xludf.DUMMYFUNCTION("IF(OR(E4052="""",K4052=""""),"""",IFERROR(IF(K4052="""","""",query('tbl user'!$A$2:$D10975,""SELECT A WHERE D = '""&amp;K4052&amp;""'"")),""USER TIDAK DIKETAHUI""))"),"#REF!")</f>
        <v>#REF!</v>
      </c>
    </row>
    <row r="4053">
      <c r="A4053" s="21" t="str">
        <f t="shared" si="1"/>
        <v/>
      </c>
      <c r="B4053" s="38"/>
      <c r="C4053" s="23" t="s">
        <v>114</v>
      </c>
      <c r="D4053" s="23" t="s">
        <v>32</v>
      </c>
      <c r="E4053" s="24">
        <v>45455.0</v>
      </c>
      <c r="F4053" s="25">
        <v>0.2361111111111111</v>
      </c>
      <c r="G4053" s="25">
        <v>0.6784722222222223</v>
      </c>
      <c r="H4053" s="27">
        <f t="shared" si="2"/>
        <v>0.4423611111</v>
      </c>
      <c r="I4053" s="28">
        <v>4.0</v>
      </c>
      <c r="J4053" s="39" t="s">
        <v>55</v>
      </c>
      <c r="K4053" s="30" t="s">
        <v>23</v>
      </c>
      <c r="L4053" s="31" t="str">
        <f>IFERROR(__xludf.DUMMYFUNCTION("IF(OR(E4053="""",K4053=""""),"""",IFERROR(IF(K4053="""","""",query('tbl user'!$A$2:$D10975,""SELECT A WHERE D = '""&amp;K4053&amp;""'"")),""USER TIDAK DIKETAHUI""))"),"#REF!")</f>
        <v>#REF!</v>
      </c>
    </row>
    <row r="4054">
      <c r="A4054" s="21" t="str">
        <f t="shared" si="1"/>
        <v/>
      </c>
      <c r="B4054" s="38"/>
      <c r="C4054" s="23" t="s">
        <v>47</v>
      </c>
      <c r="D4054" s="23" t="s">
        <v>32</v>
      </c>
      <c r="E4054" s="24">
        <v>45455.0</v>
      </c>
      <c r="F4054" s="25">
        <v>0.23819444444444443</v>
      </c>
      <c r="G4054" s="25">
        <v>0.7041666666666667</v>
      </c>
      <c r="H4054" s="27">
        <f t="shared" si="2"/>
        <v>0.4659722222</v>
      </c>
      <c r="I4054" s="28">
        <v>4.0</v>
      </c>
      <c r="J4054" s="39" t="s">
        <v>55</v>
      </c>
      <c r="K4054" s="30" t="s">
        <v>23</v>
      </c>
      <c r="L4054" s="31" t="str">
        <f>IFERROR(__xludf.DUMMYFUNCTION("IF(OR(E4054="""",K4054=""""),"""",IFERROR(IF(K4054="""","""",query('tbl user'!$A$2:$D10975,""SELECT A WHERE D = '""&amp;K4054&amp;""'"")),""USER TIDAK DIKETAHUI""))"),"#REF!")</f>
        <v>#REF!</v>
      </c>
    </row>
    <row r="4055">
      <c r="A4055" s="21" t="str">
        <f t="shared" si="1"/>
        <v/>
      </c>
      <c r="B4055" s="38"/>
      <c r="C4055" s="23" t="s">
        <v>96</v>
      </c>
      <c r="D4055" s="23" t="s">
        <v>32</v>
      </c>
      <c r="E4055" s="24">
        <v>45455.0</v>
      </c>
      <c r="F4055" s="25">
        <v>0.25277777777777777</v>
      </c>
      <c r="G4055" s="25">
        <v>0.7131944444444445</v>
      </c>
      <c r="H4055" s="27">
        <f t="shared" si="2"/>
        <v>0.4604166667</v>
      </c>
      <c r="I4055" s="28">
        <v>4.0</v>
      </c>
      <c r="J4055" s="39" t="s">
        <v>55</v>
      </c>
      <c r="K4055" s="30" t="s">
        <v>23</v>
      </c>
      <c r="L4055" s="31" t="str">
        <f>IFERROR(__xludf.DUMMYFUNCTION("IF(OR(E4055="""",K4055=""""),"""",IFERROR(IF(K4055="""","""",query('tbl user'!$A$2:$D10975,""SELECT A WHERE D = '""&amp;K4055&amp;""'"")),""USER TIDAK DIKETAHUI""))"),"#REF!")</f>
        <v>#REF!</v>
      </c>
    </row>
    <row r="4056">
      <c r="A4056" s="21" t="str">
        <f t="shared" si="1"/>
        <v/>
      </c>
      <c r="B4056" s="38"/>
      <c r="C4056" s="23" t="s">
        <v>278</v>
      </c>
      <c r="D4056" s="23" t="s">
        <v>32</v>
      </c>
      <c r="E4056" s="24">
        <v>45455.0</v>
      </c>
      <c r="F4056" s="25">
        <v>0.27569444444444446</v>
      </c>
      <c r="G4056" s="25">
        <v>0.7666666666666667</v>
      </c>
      <c r="H4056" s="27">
        <f t="shared" si="2"/>
        <v>0.4909722222</v>
      </c>
      <c r="I4056" s="28">
        <v>4.0</v>
      </c>
      <c r="J4056" s="39" t="s">
        <v>55</v>
      </c>
      <c r="K4056" s="30" t="s">
        <v>23</v>
      </c>
      <c r="L4056" s="31" t="str">
        <f>IFERROR(__xludf.DUMMYFUNCTION("IF(OR(E4056="""",K4056=""""),"""",IFERROR(IF(K4056="""","""",query('tbl user'!$A$2:$D10975,""SELECT A WHERE D = '""&amp;K4056&amp;""'"")),""USER TIDAK DIKETAHUI""))"),"#REF!")</f>
        <v>#REF!</v>
      </c>
    </row>
    <row r="4057">
      <c r="A4057" s="21" t="str">
        <f t="shared" si="1"/>
        <v/>
      </c>
      <c r="B4057" s="38"/>
      <c r="C4057" s="23" t="s">
        <v>79</v>
      </c>
      <c r="D4057" s="23" t="s">
        <v>32</v>
      </c>
      <c r="E4057" s="24">
        <v>45455.0</v>
      </c>
      <c r="F4057" s="25">
        <v>0.27361111111111114</v>
      </c>
      <c r="G4057" s="25">
        <v>0.6972222222222222</v>
      </c>
      <c r="H4057" s="27">
        <f t="shared" si="2"/>
        <v>0.4236111111</v>
      </c>
      <c r="I4057" s="28">
        <v>4.0</v>
      </c>
      <c r="J4057" s="39" t="s">
        <v>55</v>
      </c>
      <c r="K4057" s="30" t="s">
        <v>23</v>
      </c>
      <c r="L4057" s="31" t="str">
        <f>IFERROR(__xludf.DUMMYFUNCTION("IF(OR(E4057="""",K4057=""""),"""",IFERROR(IF(K4057="""","""",query('tbl user'!$A$2:$D10975,""SELECT A WHERE D = '""&amp;K4057&amp;""'"")),""USER TIDAK DIKETAHUI""))"),"#REF!")</f>
        <v>#REF!</v>
      </c>
    </row>
    <row r="4058">
      <c r="A4058" s="21" t="str">
        <f t="shared" si="1"/>
        <v/>
      </c>
      <c r="B4058" s="38"/>
      <c r="C4058" s="23" t="s">
        <v>145</v>
      </c>
      <c r="D4058" s="23" t="s">
        <v>32</v>
      </c>
      <c r="E4058" s="24">
        <v>45455.0</v>
      </c>
      <c r="F4058" s="25">
        <v>0.29097222222222224</v>
      </c>
      <c r="G4058" s="25">
        <v>0.7180555555555556</v>
      </c>
      <c r="H4058" s="27">
        <f t="shared" si="2"/>
        <v>0.4270833333</v>
      </c>
      <c r="I4058" s="28">
        <v>4.0</v>
      </c>
      <c r="J4058" s="39" t="s">
        <v>55</v>
      </c>
      <c r="K4058" s="30" t="s">
        <v>23</v>
      </c>
      <c r="L4058" s="31" t="str">
        <f>IFERROR(__xludf.DUMMYFUNCTION("IF(OR(E4058="""",K4058=""""),"""",IFERROR(IF(K4058="""","""",query('tbl user'!$A$2:$D10975,""SELECT A WHERE D = '""&amp;K4058&amp;""'"")),""USER TIDAK DIKETAHUI""))"),"#REF!")</f>
        <v>#REF!</v>
      </c>
    </row>
    <row r="4059">
      <c r="A4059" s="21" t="str">
        <f t="shared" si="1"/>
        <v/>
      </c>
      <c r="B4059" s="38"/>
      <c r="C4059" s="23" t="s">
        <v>150</v>
      </c>
      <c r="D4059" s="23" t="s">
        <v>32</v>
      </c>
      <c r="E4059" s="24">
        <v>45455.0</v>
      </c>
      <c r="F4059" s="25">
        <v>0.2465277777777778</v>
      </c>
      <c r="G4059" s="25">
        <v>0.6972222222222222</v>
      </c>
      <c r="H4059" s="27">
        <f t="shared" si="2"/>
        <v>0.4506944444</v>
      </c>
      <c r="I4059" s="28">
        <v>4.0</v>
      </c>
      <c r="J4059" s="39" t="s">
        <v>55</v>
      </c>
      <c r="K4059" s="30" t="s">
        <v>23</v>
      </c>
      <c r="L4059" s="31" t="str">
        <f>IFERROR(__xludf.DUMMYFUNCTION("IF(OR(E4059="""",K4059=""""),"""",IFERROR(IF(K4059="""","""",query('tbl user'!$A$2:$D10975,""SELECT A WHERE D = '""&amp;K4059&amp;""'"")),""USER TIDAK DIKETAHUI""))"),"#REF!")</f>
        <v>#REF!</v>
      </c>
    </row>
    <row r="4060">
      <c r="A4060" s="21" t="str">
        <f t="shared" si="1"/>
        <v/>
      </c>
      <c r="B4060" s="38"/>
      <c r="C4060" s="23" t="s">
        <v>1827</v>
      </c>
      <c r="D4060" s="23" t="s">
        <v>21</v>
      </c>
      <c r="E4060" s="24">
        <v>45457.0</v>
      </c>
      <c r="F4060" s="25">
        <v>0.2875</v>
      </c>
      <c r="G4060" s="25">
        <v>0.43819444444444444</v>
      </c>
      <c r="H4060" s="27">
        <f t="shared" si="2"/>
        <v>0.1506944444</v>
      </c>
      <c r="I4060" s="28">
        <v>1.0</v>
      </c>
      <c r="J4060" s="39" t="s">
        <v>1828</v>
      </c>
      <c r="K4060" s="30" t="s">
        <v>23</v>
      </c>
      <c r="L4060" s="31" t="str">
        <f>IFERROR(__xludf.DUMMYFUNCTION("IF(OR(E4060="""",K4060=""""),"""",IFERROR(IF(K4060="""","""",query('tbl user'!$A$2:$D10975,""SELECT A WHERE D = '""&amp;K4060&amp;""'"")),""USER TIDAK DIKETAHUI""))"),"#REF!")</f>
        <v>#REF!</v>
      </c>
    </row>
    <row r="4061">
      <c r="A4061" s="21" t="str">
        <f t="shared" si="1"/>
        <v/>
      </c>
      <c r="B4061" s="38"/>
      <c r="C4061" s="23" t="s">
        <v>1829</v>
      </c>
      <c r="D4061" s="23" t="s">
        <v>21</v>
      </c>
      <c r="E4061" s="24">
        <v>45457.0</v>
      </c>
      <c r="F4061" s="25">
        <v>0.28125</v>
      </c>
      <c r="G4061" s="25">
        <v>0.6180555555555556</v>
      </c>
      <c r="H4061" s="27">
        <f t="shared" si="2"/>
        <v>0.3368055556</v>
      </c>
      <c r="I4061" s="28">
        <v>1.0</v>
      </c>
      <c r="J4061" s="39" t="s">
        <v>585</v>
      </c>
      <c r="K4061" s="30" t="s">
        <v>23</v>
      </c>
      <c r="L4061" s="31" t="str">
        <f>IFERROR(__xludf.DUMMYFUNCTION("IF(OR(E4061="""",K4061=""""),"""",IFERROR(IF(K4061="""","""",query('tbl user'!$A$2:$D10975,""SELECT A WHERE D = '""&amp;K4061&amp;""'"")),""USER TIDAK DIKETAHUI""))"),"#REF!")</f>
        <v>#REF!</v>
      </c>
    </row>
    <row r="4062">
      <c r="A4062" s="21" t="str">
        <f t="shared" si="1"/>
        <v/>
      </c>
      <c r="B4062" s="38"/>
      <c r="C4062" s="23" t="s">
        <v>1830</v>
      </c>
      <c r="D4062" s="23" t="s">
        <v>21</v>
      </c>
      <c r="E4062" s="24">
        <v>45457.0</v>
      </c>
      <c r="F4062" s="25">
        <v>0.29444444444444445</v>
      </c>
      <c r="G4062" s="25">
        <v>0.5847222222222223</v>
      </c>
      <c r="H4062" s="27">
        <f t="shared" si="2"/>
        <v>0.2902777778</v>
      </c>
      <c r="I4062" s="28">
        <v>1.0</v>
      </c>
      <c r="J4062" s="39" t="s">
        <v>1831</v>
      </c>
      <c r="K4062" s="30" t="s">
        <v>23</v>
      </c>
      <c r="L4062" s="31" t="str">
        <f>IFERROR(__xludf.DUMMYFUNCTION("IF(OR(E4062="""",K4062=""""),"""",IFERROR(IF(K4062="""","""",query('tbl user'!$A$2:$D10975,""SELECT A WHERE D = '""&amp;K4062&amp;""'"")),""USER TIDAK DIKETAHUI""))"),"#REF!")</f>
        <v>#REF!</v>
      </c>
    </row>
    <row r="4063">
      <c r="A4063" s="21" t="str">
        <f t="shared" si="1"/>
        <v/>
      </c>
      <c r="B4063" s="38"/>
      <c r="C4063" s="23" t="s">
        <v>1832</v>
      </c>
      <c r="D4063" s="23" t="s">
        <v>21</v>
      </c>
      <c r="E4063" s="24">
        <v>45457.0</v>
      </c>
      <c r="F4063" s="25">
        <v>0.28958333333333336</v>
      </c>
      <c r="G4063" s="25">
        <v>0.42986111111111114</v>
      </c>
      <c r="H4063" s="27">
        <f t="shared" si="2"/>
        <v>0.1402777778</v>
      </c>
      <c r="I4063" s="28">
        <v>1.0</v>
      </c>
      <c r="J4063" s="39" t="s">
        <v>1828</v>
      </c>
      <c r="K4063" s="30" t="s">
        <v>23</v>
      </c>
      <c r="L4063" s="31" t="str">
        <f>IFERROR(__xludf.DUMMYFUNCTION("IF(OR(E4063="""",K4063=""""),"""",IFERROR(IF(K4063="""","""",query('tbl user'!$A$2:$D10975,""SELECT A WHERE D = '""&amp;K4063&amp;""'"")),""USER TIDAK DIKETAHUI""))"),"#REF!")</f>
        <v>#REF!</v>
      </c>
    </row>
    <row r="4064">
      <c r="A4064" s="21" t="str">
        <f t="shared" si="1"/>
        <v/>
      </c>
      <c r="B4064" s="38"/>
      <c r="C4064" s="23" t="s">
        <v>1833</v>
      </c>
      <c r="D4064" s="23" t="s">
        <v>21</v>
      </c>
      <c r="E4064" s="24">
        <v>45457.0</v>
      </c>
      <c r="F4064" s="25">
        <v>0.2875</v>
      </c>
      <c r="G4064" s="25">
        <v>0.6458333333333334</v>
      </c>
      <c r="H4064" s="27">
        <f t="shared" si="2"/>
        <v>0.3583333333</v>
      </c>
      <c r="I4064" s="28">
        <v>1.0</v>
      </c>
      <c r="J4064" s="39" t="s">
        <v>1828</v>
      </c>
      <c r="K4064" s="30" t="s">
        <v>23</v>
      </c>
      <c r="L4064" s="31" t="str">
        <f>IFERROR(__xludf.DUMMYFUNCTION("IF(OR(E4064="""",K4064=""""),"""",IFERROR(IF(K4064="""","""",query('tbl user'!$A$2:$D10975,""SELECT A WHERE D = '""&amp;K4064&amp;""'"")),""USER TIDAK DIKETAHUI""))"),"#REF!")</f>
        <v>#REF!</v>
      </c>
    </row>
    <row r="4065">
      <c r="A4065" s="21" t="str">
        <f t="shared" si="1"/>
        <v/>
      </c>
      <c r="B4065" s="38"/>
      <c r="C4065" s="23" t="s">
        <v>1834</v>
      </c>
      <c r="D4065" s="23" t="s">
        <v>21</v>
      </c>
      <c r="E4065" s="24">
        <v>45457.0</v>
      </c>
      <c r="F4065" s="25">
        <v>0.29097222222222224</v>
      </c>
      <c r="G4065" s="25">
        <v>0.5840277777777778</v>
      </c>
      <c r="H4065" s="27">
        <f t="shared" si="2"/>
        <v>0.2930555556</v>
      </c>
      <c r="I4065" s="28">
        <v>1.0</v>
      </c>
      <c r="J4065" s="39" t="s">
        <v>1828</v>
      </c>
      <c r="K4065" s="30" t="s">
        <v>23</v>
      </c>
      <c r="L4065" s="31" t="str">
        <f>IFERROR(__xludf.DUMMYFUNCTION("IF(OR(E4065="""",K4065=""""),"""",IFERROR(IF(K4065="""","""",query('tbl user'!$A$2:$D10975,""SELECT A WHERE D = '""&amp;K4065&amp;""'"")),""USER TIDAK DIKETAHUI""))"),"#REF!")</f>
        <v>#REF!</v>
      </c>
    </row>
    <row r="4066">
      <c r="A4066" s="21" t="str">
        <f t="shared" si="1"/>
        <v/>
      </c>
      <c r="B4066" s="38"/>
      <c r="C4066" s="23" t="s">
        <v>1835</v>
      </c>
      <c r="D4066" s="23" t="s">
        <v>21</v>
      </c>
      <c r="E4066" s="24">
        <v>45457.0</v>
      </c>
      <c r="F4066" s="25">
        <v>0.4236111111111111</v>
      </c>
      <c r="G4066" s="25">
        <v>0.6527777777777778</v>
      </c>
      <c r="H4066" s="27">
        <f t="shared" si="2"/>
        <v>0.2291666667</v>
      </c>
      <c r="I4066" s="28">
        <v>1.0</v>
      </c>
      <c r="J4066" s="39" t="s">
        <v>1836</v>
      </c>
      <c r="K4066" s="30" t="s">
        <v>23</v>
      </c>
      <c r="L4066" s="31" t="str">
        <f>IFERROR(__xludf.DUMMYFUNCTION("IF(OR(E4066="""",K4066=""""),"""",IFERROR(IF(K4066="""","""",query('tbl user'!$A$2:$D10975,""SELECT A WHERE D = '""&amp;K4066&amp;""'"")),""USER TIDAK DIKETAHUI""))"),"#REF!")</f>
        <v>#REF!</v>
      </c>
    </row>
    <row r="4067">
      <c r="A4067" s="21" t="str">
        <f t="shared" si="1"/>
        <v/>
      </c>
      <c r="B4067" s="38"/>
      <c r="C4067" s="23" t="s">
        <v>1837</v>
      </c>
      <c r="D4067" s="23" t="s">
        <v>21</v>
      </c>
      <c r="E4067" s="24">
        <v>45457.0</v>
      </c>
      <c r="F4067" s="25">
        <v>0.27847222222222223</v>
      </c>
      <c r="G4067" s="25">
        <v>0.5555555555555556</v>
      </c>
      <c r="H4067" s="27">
        <f t="shared" si="2"/>
        <v>0.2770833333</v>
      </c>
      <c r="I4067" s="28">
        <v>1.0</v>
      </c>
      <c r="J4067" s="39" t="s">
        <v>1838</v>
      </c>
      <c r="K4067" s="30" t="s">
        <v>23</v>
      </c>
      <c r="L4067" s="31" t="str">
        <f>IFERROR(__xludf.DUMMYFUNCTION("IF(OR(E4067="""",K4067=""""),"""",IFERROR(IF(K4067="""","""",query('tbl user'!$A$2:$D10975,""SELECT A WHERE D = '""&amp;K4067&amp;""'"")),""USER TIDAK DIKETAHUI""))"),"#REF!")</f>
        <v>#REF!</v>
      </c>
    </row>
    <row r="4068">
      <c r="A4068" s="21" t="str">
        <f t="shared" si="1"/>
        <v/>
      </c>
      <c r="B4068" s="38"/>
      <c r="C4068" s="23" t="s">
        <v>1839</v>
      </c>
      <c r="D4068" s="23" t="s">
        <v>21</v>
      </c>
      <c r="E4068" s="24">
        <v>45457.0</v>
      </c>
      <c r="F4068" s="25">
        <v>0.31319444444444444</v>
      </c>
      <c r="G4068" s="25">
        <v>0.6368055555555555</v>
      </c>
      <c r="H4068" s="27">
        <f t="shared" si="2"/>
        <v>0.3236111111</v>
      </c>
      <c r="I4068" s="28">
        <v>2.0</v>
      </c>
      <c r="J4068" s="39" t="s">
        <v>1840</v>
      </c>
      <c r="K4068" s="30" t="s">
        <v>23</v>
      </c>
      <c r="L4068" s="31" t="str">
        <f>IFERROR(__xludf.DUMMYFUNCTION("IF(OR(E4068="""",K4068=""""),"""",IFERROR(IF(K4068="""","""",query('tbl user'!$A$2:$D10975,""SELECT A WHERE D = '""&amp;K4068&amp;""'"")),""USER TIDAK DIKETAHUI""))"),"#REF!")</f>
        <v>#REF!</v>
      </c>
    </row>
    <row r="4069">
      <c r="A4069" s="21" t="str">
        <f t="shared" si="1"/>
        <v/>
      </c>
      <c r="B4069" s="38"/>
      <c r="C4069" s="23" t="s">
        <v>1841</v>
      </c>
      <c r="D4069" s="23" t="s">
        <v>21</v>
      </c>
      <c r="E4069" s="24">
        <v>45457.0</v>
      </c>
      <c r="F4069" s="25">
        <v>0.28958333333333336</v>
      </c>
      <c r="G4069" s="25">
        <v>0.6444444444444445</v>
      </c>
      <c r="H4069" s="27">
        <f t="shared" si="2"/>
        <v>0.3548611111</v>
      </c>
      <c r="I4069" s="28">
        <v>2.0</v>
      </c>
      <c r="J4069" s="39" t="s">
        <v>1842</v>
      </c>
      <c r="K4069" s="30" t="s">
        <v>23</v>
      </c>
      <c r="L4069" s="31" t="str">
        <f>IFERROR(__xludf.DUMMYFUNCTION("IF(OR(E4069="""",K4069=""""),"""",IFERROR(IF(K4069="""","""",query('tbl user'!$A$2:$D10975,""SELECT A WHERE D = '""&amp;K4069&amp;""'"")),""USER TIDAK DIKETAHUI""))"),"#REF!")</f>
        <v>#REF!</v>
      </c>
    </row>
    <row r="4070">
      <c r="A4070" s="21" t="str">
        <f t="shared" si="1"/>
        <v/>
      </c>
      <c r="B4070" s="38"/>
      <c r="C4070" s="23" t="s">
        <v>1843</v>
      </c>
      <c r="D4070" s="23" t="s">
        <v>21</v>
      </c>
      <c r="E4070" s="24">
        <v>45457.0</v>
      </c>
      <c r="F4070" s="25">
        <v>0.2361111111111111</v>
      </c>
      <c r="G4070" s="25">
        <v>0.6527777777777778</v>
      </c>
      <c r="H4070" s="27">
        <f t="shared" si="2"/>
        <v>0.4166666667</v>
      </c>
      <c r="I4070" s="28">
        <v>2.0</v>
      </c>
      <c r="J4070" s="39" t="s">
        <v>1842</v>
      </c>
      <c r="K4070" s="30" t="s">
        <v>23</v>
      </c>
      <c r="L4070" s="31" t="str">
        <f>IFERROR(__xludf.DUMMYFUNCTION("IF(OR(E4070="""",K4070=""""),"""",IFERROR(IF(K4070="""","""",query('tbl user'!$A$2:$D10975,""SELECT A WHERE D = '""&amp;K4070&amp;""'"")),""USER TIDAK DIKETAHUI""))"),"#REF!")</f>
        <v>#REF!</v>
      </c>
    </row>
    <row r="4071">
      <c r="A4071" s="21" t="str">
        <f t="shared" si="1"/>
        <v/>
      </c>
      <c r="B4071" s="38"/>
      <c r="C4071" s="23" t="s">
        <v>1844</v>
      </c>
      <c r="D4071" s="23" t="s">
        <v>21</v>
      </c>
      <c r="E4071" s="24">
        <v>45457.0</v>
      </c>
      <c r="F4071" s="25">
        <v>0.27361111111111114</v>
      </c>
      <c r="G4071" s="25">
        <v>0.6041666666666666</v>
      </c>
      <c r="H4071" s="27">
        <f t="shared" si="2"/>
        <v>0.3305555556</v>
      </c>
      <c r="I4071" s="28">
        <v>2.0</v>
      </c>
      <c r="J4071" s="39" t="s">
        <v>1842</v>
      </c>
      <c r="K4071" s="30" t="s">
        <v>23</v>
      </c>
      <c r="L4071" s="31" t="str">
        <f>IFERROR(__xludf.DUMMYFUNCTION("IF(OR(E4071="""",K4071=""""),"""",IFERROR(IF(K4071="""","""",query('tbl user'!$A$2:$D10975,""SELECT A WHERE D = '""&amp;K4071&amp;""'"")),""USER TIDAK DIKETAHUI""))"),"#REF!")</f>
        <v>#REF!</v>
      </c>
    </row>
    <row r="4072">
      <c r="A4072" s="21" t="str">
        <f t="shared" si="1"/>
        <v/>
      </c>
      <c r="B4072" s="38"/>
      <c r="C4072" s="23" t="s">
        <v>1845</v>
      </c>
      <c r="D4072" s="23" t="s">
        <v>21</v>
      </c>
      <c r="E4072" s="24">
        <v>45457.0</v>
      </c>
      <c r="F4072" s="25">
        <v>0.2569444444444444</v>
      </c>
      <c r="G4072" s="25">
        <v>0.5840277777777778</v>
      </c>
      <c r="H4072" s="27">
        <f t="shared" si="2"/>
        <v>0.3270833333</v>
      </c>
      <c r="I4072" s="28">
        <v>2.0</v>
      </c>
      <c r="J4072" s="39" t="s">
        <v>1846</v>
      </c>
      <c r="K4072" s="30" t="s">
        <v>23</v>
      </c>
      <c r="L4072" s="31" t="str">
        <f>IFERROR(__xludf.DUMMYFUNCTION("IF(OR(E4072="""",K4072=""""),"""",IFERROR(IF(K4072="""","""",query('tbl user'!$A$2:$D10975,""SELECT A WHERE D = '""&amp;K4072&amp;""'"")),""USER TIDAK DIKETAHUI""))"),"#REF!")</f>
        <v>#REF!</v>
      </c>
    </row>
    <row r="4073">
      <c r="A4073" s="21" t="str">
        <f t="shared" si="1"/>
        <v/>
      </c>
      <c r="B4073" s="38"/>
      <c r="C4073" s="23" t="s">
        <v>1847</v>
      </c>
      <c r="D4073" s="23" t="s">
        <v>21</v>
      </c>
      <c r="E4073" s="24">
        <v>45457.0</v>
      </c>
      <c r="F4073" s="25">
        <v>0.24791666666666667</v>
      </c>
      <c r="G4073" s="25">
        <v>0.6395833333333333</v>
      </c>
      <c r="H4073" s="27">
        <f t="shared" si="2"/>
        <v>0.3916666667</v>
      </c>
      <c r="I4073" s="28">
        <v>2.0</v>
      </c>
      <c r="J4073" s="39" t="s">
        <v>1848</v>
      </c>
      <c r="K4073" s="30" t="s">
        <v>23</v>
      </c>
      <c r="L4073" s="31" t="str">
        <f>IFERROR(__xludf.DUMMYFUNCTION("IF(OR(E4073="""",K4073=""""),"""",IFERROR(IF(K4073="""","""",query('tbl user'!$A$2:$D10975,""SELECT A WHERE D = '""&amp;K4073&amp;""'"")),""USER TIDAK DIKETAHUI""))"),"#REF!")</f>
        <v>#REF!</v>
      </c>
    </row>
    <row r="4074">
      <c r="A4074" s="21" t="str">
        <f t="shared" si="1"/>
        <v/>
      </c>
      <c r="B4074" s="38"/>
      <c r="C4074" s="23" t="s">
        <v>1849</v>
      </c>
      <c r="D4074" s="23" t="s">
        <v>21</v>
      </c>
      <c r="E4074" s="24">
        <v>45457.0</v>
      </c>
      <c r="F4074" s="25">
        <v>0.2569444444444444</v>
      </c>
      <c r="G4074" s="25">
        <v>0.6826388888888889</v>
      </c>
      <c r="H4074" s="27">
        <f t="shared" si="2"/>
        <v>0.4256944444</v>
      </c>
      <c r="I4074" s="28">
        <v>2.0</v>
      </c>
      <c r="J4074" s="39" t="s">
        <v>1842</v>
      </c>
      <c r="K4074" s="30" t="s">
        <v>23</v>
      </c>
      <c r="L4074" s="31" t="str">
        <f>IFERROR(__xludf.DUMMYFUNCTION("IF(OR(E4074="""",K4074=""""),"""",IFERROR(IF(K4074="""","""",query('tbl user'!$A$2:$D10975,""SELECT A WHERE D = '""&amp;K4074&amp;""'"")),""USER TIDAK DIKETAHUI""))"),"#REF!")</f>
        <v>#REF!</v>
      </c>
    </row>
    <row r="4075">
      <c r="A4075" s="21" t="str">
        <f t="shared" si="1"/>
        <v/>
      </c>
      <c r="B4075" s="38"/>
      <c r="C4075" s="23" t="s">
        <v>1850</v>
      </c>
      <c r="D4075" s="23" t="s">
        <v>21</v>
      </c>
      <c r="E4075" s="24">
        <v>45457.0</v>
      </c>
      <c r="F4075" s="25">
        <v>0.26875</v>
      </c>
      <c r="G4075" s="25">
        <v>0.5444444444444444</v>
      </c>
      <c r="H4075" s="27">
        <f t="shared" si="2"/>
        <v>0.2756944444</v>
      </c>
      <c r="I4075" s="28">
        <v>2.0</v>
      </c>
      <c r="J4075" s="39" t="s">
        <v>1842</v>
      </c>
      <c r="K4075" s="30" t="s">
        <v>23</v>
      </c>
      <c r="L4075" s="31" t="str">
        <f>IFERROR(__xludf.DUMMYFUNCTION("IF(OR(E4075="""",K4075=""""),"""",IFERROR(IF(K4075="""","""",query('tbl user'!$A$2:$D10975,""SELECT A WHERE D = '""&amp;K4075&amp;""'"")),""USER TIDAK DIKETAHUI""))"),"#REF!")</f>
        <v>#REF!</v>
      </c>
    </row>
    <row r="4076">
      <c r="A4076" s="21" t="str">
        <f t="shared" si="1"/>
        <v/>
      </c>
      <c r="B4076" s="38"/>
      <c r="C4076" s="23" t="s">
        <v>1851</v>
      </c>
      <c r="D4076" s="23" t="s">
        <v>21</v>
      </c>
      <c r="E4076" s="24">
        <v>45457.0</v>
      </c>
      <c r="F4076" s="25">
        <v>0.2923611111111111</v>
      </c>
      <c r="G4076" s="25">
        <v>0.7305555555555555</v>
      </c>
      <c r="H4076" s="27">
        <f t="shared" si="2"/>
        <v>0.4381944444</v>
      </c>
      <c r="I4076" s="28">
        <v>3.0</v>
      </c>
      <c r="J4076" s="39" t="s">
        <v>1842</v>
      </c>
      <c r="K4076" s="30" t="s">
        <v>23</v>
      </c>
      <c r="L4076" s="31" t="str">
        <f>IFERROR(__xludf.DUMMYFUNCTION("IF(OR(E4076="""",K4076=""""),"""",IFERROR(IF(K4076="""","""",query('tbl user'!$A$2:$D10975,""SELECT A WHERE D = '""&amp;K4076&amp;""'"")),""USER TIDAK DIKETAHUI""))"),"#REF!")</f>
        <v>#REF!</v>
      </c>
    </row>
    <row r="4077">
      <c r="A4077" s="21" t="str">
        <f t="shared" si="1"/>
        <v/>
      </c>
      <c r="B4077" s="38"/>
      <c r="C4077" s="23" t="s">
        <v>1852</v>
      </c>
      <c r="D4077" s="23" t="s">
        <v>21</v>
      </c>
      <c r="E4077" s="24">
        <v>45457.0</v>
      </c>
      <c r="F4077" s="25">
        <v>0.2875</v>
      </c>
      <c r="G4077" s="25">
        <v>0.7416666666666667</v>
      </c>
      <c r="H4077" s="27">
        <f t="shared" si="2"/>
        <v>0.4541666667</v>
      </c>
      <c r="I4077" s="28">
        <v>3.0</v>
      </c>
      <c r="J4077" s="39" t="s">
        <v>1842</v>
      </c>
      <c r="K4077" s="30" t="s">
        <v>23</v>
      </c>
      <c r="L4077" s="31" t="str">
        <f>IFERROR(__xludf.DUMMYFUNCTION("IF(OR(E4077="""",K4077=""""),"""",IFERROR(IF(K4077="""","""",query('tbl user'!$A$2:$D10975,""SELECT A WHERE D = '""&amp;K4077&amp;""'"")),""USER TIDAK DIKETAHUI""))"),"#REF!")</f>
        <v>#REF!</v>
      </c>
    </row>
    <row r="4078">
      <c r="A4078" s="21" t="str">
        <f t="shared" si="1"/>
        <v/>
      </c>
      <c r="B4078" s="38"/>
      <c r="C4078" s="23" t="s">
        <v>1853</v>
      </c>
      <c r="D4078" s="23" t="s">
        <v>21</v>
      </c>
      <c r="E4078" s="24">
        <v>45457.0</v>
      </c>
      <c r="F4078" s="25">
        <v>0.2777777777777778</v>
      </c>
      <c r="G4078" s="25">
        <v>0.7229166666666667</v>
      </c>
      <c r="H4078" s="27">
        <f t="shared" si="2"/>
        <v>0.4451388889</v>
      </c>
      <c r="I4078" s="28">
        <v>3.0</v>
      </c>
      <c r="J4078" s="39" t="s">
        <v>1842</v>
      </c>
      <c r="K4078" s="30" t="s">
        <v>23</v>
      </c>
      <c r="L4078" s="31" t="str">
        <f>IFERROR(__xludf.DUMMYFUNCTION("IF(OR(E4078="""",K4078=""""),"""",IFERROR(IF(K4078="""","""",query('tbl user'!$A$2:$D10975,""SELECT A WHERE D = '""&amp;K4078&amp;""'"")),""USER TIDAK DIKETAHUI""))"),"#REF!")</f>
        <v>#REF!</v>
      </c>
    </row>
    <row r="4079">
      <c r="A4079" s="21" t="str">
        <f t="shared" si="1"/>
        <v/>
      </c>
      <c r="B4079" s="38"/>
      <c r="C4079" s="23" t="s">
        <v>1854</v>
      </c>
      <c r="D4079" s="23" t="s">
        <v>21</v>
      </c>
      <c r="E4079" s="24">
        <v>45457.0</v>
      </c>
      <c r="F4079" s="25">
        <v>0.26458333333333334</v>
      </c>
      <c r="G4079" s="25">
        <v>0.7388888888888889</v>
      </c>
      <c r="H4079" s="27">
        <f t="shared" si="2"/>
        <v>0.4743055556</v>
      </c>
      <c r="I4079" s="28">
        <v>3.0</v>
      </c>
      <c r="J4079" s="39" t="s">
        <v>1855</v>
      </c>
      <c r="K4079" s="30" t="s">
        <v>23</v>
      </c>
      <c r="L4079" s="31" t="str">
        <f>IFERROR(__xludf.DUMMYFUNCTION("IF(OR(E4079="""",K4079=""""),"""",IFERROR(IF(K4079="""","""",query('tbl user'!$A$2:$D10975,""SELECT A WHERE D = '""&amp;K4079&amp;""'"")),""USER TIDAK DIKETAHUI""))"),"#REF!")</f>
        <v>#REF!</v>
      </c>
    </row>
    <row r="4080">
      <c r="A4080" s="21" t="str">
        <f t="shared" si="1"/>
        <v/>
      </c>
      <c r="B4080" s="38"/>
      <c r="C4080" s="23" t="s">
        <v>1856</v>
      </c>
      <c r="D4080" s="23" t="s">
        <v>21</v>
      </c>
      <c r="E4080" s="24">
        <v>45457.0</v>
      </c>
      <c r="F4080" s="25">
        <v>0.2590277777777778</v>
      </c>
      <c r="G4080" s="25">
        <v>0.7333333333333333</v>
      </c>
      <c r="H4080" s="27">
        <f t="shared" si="2"/>
        <v>0.4743055556</v>
      </c>
      <c r="I4080" s="28">
        <v>3.0</v>
      </c>
      <c r="J4080" s="39" t="s">
        <v>1842</v>
      </c>
      <c r="K4080" s="30" t="s">
        <v>23</v>
      </c>
      <c r="L4080" s="31" t="str">
        <f>IFERROR(__xludf.DUMMYFUNCTION("IF(OR(E4080="""",K4080=""""),"""",IFERROR(IF(K4080="""","""",query('tbl user'!$A$2:$D10975,""SELECT A WHERE D = '""&amp;K4080&amp;""'"")),""USER TIDAK DIKETAHUI""))"),"#REF!")</f>
        <v>#REF!</v>
      </c>
    </row>
    <row r="4081">
      <c r="A4081" s="21" t="str">
        <f t="shared" si="1"/>
        <v/>
      </c>
      <c r="B4081" s="38"/>
      <c r="C4081" s="23" t="s">
        <v>1857</v>
      </c>
      <c r="D4081" s="23" t="s">
        <v>21</v>
      </c>
      <c r="E4081" s="24">
        <v>45457.0</v>
      </c>
      <c r="F4081" s="25">
        <v>0.25277777777777777</v>
      </c>
      <c r="G4081" s="25">
        <v>0.6854166666666667</v>
      </c>
      <c r="H4081" s="27">
        <f t="shared" si="2"/>
        <v>0.4326388889</v>
      </c>
      <c r="I4081" s="28">
        <v>3.0</v>
      </c>
      <c r="J4081" s="39" t="s">
        <v>1842</v>
      </c>
      <c r="K4081" s="30" t="s">
        <v>23</v>
      </c>
      <c r="L4081" s="31" t="str">
        <f>IFERROR(__xludf.DUMMYFUNCTION("IF(OR(E4081="""",K4081=""""),"""",IFERROR(IF(K4081="""","""",query('tbl user'!$A$2:$D10975,""SELECT A WHERE D = '""&amp;K4081&amp;""'"")),""USER TIDAK DIKETAHUI""))"),"#REF!")</f>
        <v>#REF!</v>
      </c>
    </row>
    <row r="4082">
      <c r="A4082" s="21" t="str">
        <f t="shared" si="1"/>
        <v/>
      </c>
      <c r="B4082" s="38"/>
      <c r="C4082" s="23" t="s">
        <v>1858</v>
      </c>
      <c r="D4082" s="23" t="s">
        <v>21</v>
      </c>
      <c r="E4082" s="24">
        <v>45457.0</v>
      </c>
      <c r="F4082" s="25">
        <v>0.22916666666666666</v>
      </c>
      <c r="G4082" s="25">
        <v>0.6388888888888888</v>
      </c>
      <c r="H4082" s="27">
        <f t="shared" si="2"/>
        <v>0.4097222222</v>
      </c>
      <c r="I4082" s="28">
        <v>3.0</v>
      </c>
      <c r="J4082" s="39" t="s">
        <v>1859</v>
      </c>
      <c r="K4082" s="30" t="s">
        <v>23</v>
      </c>
      <c r="L4082" s="31" t="str">
        <f>IFERROR(__xludf.DUMMYFUNCTION("IF(OR(E4082="""",K4082=""""),"""",IFERROR(IF(K4082="""","""",query('tbl user'!$A$2:$D10975,""SELECT A WHERE D = '""&amp;K4082&amp;""'"")),""USER TIDAK DIKETAHUI""))"),"#REF!")</f>
        <v>#REF!</v>
      </c>
    </row>
    <row r="4083">
      <c r="A4083" s="21" t="str">
        <f t="shared" si="1"/>
        <v/>
      </c>
      <c r="B4083" s="38"/>
      <c r="C4083" s="23" t="s">
        <v>1860</v>
      </c>
      <c r="D4083" s="23" t="s">
        <v>58</v>
      </c>
      <c r="E4083" s="24">
        <v>45457.0</v>
      </c>
      <c r="F4083" s="25">
        <v>0.2791666666666667</v>
      </c>
      <c r="G4083" s="25">
        <v>0.4173611111111111</v>
      </c>
      <c r="H4083" s="27">
        <f t="shared" si="2"/>
        <v>0.1381944444</v>
      </c>
      <c r="I4083" s="28">
        <v>1.0</v>
      </c>
      <c r="J4083" s="39" t="s">
        <v>1285</v>
      </c>
      <c r="K4083" s="30" t="s">
        <v>23</v>
      </c>
      <c r="L4083" s="31" t="str">
        <f>IFERROR(__xludf.DUMMYFUNCTION("IF(OR(E4083="""",K4083=""""),"""",IFERROR(IF(K4083="""","""",query('tbl user'!$A$2:$D10975,""SELECT A WHERE D = '""&amp;K4083&amp;""'"")),""USER TIDAK DIKETAHUI""))"),"#REF!")</f>
        <v>#REF!</v>
      </c>
    </row>
    <row r="4084">
      <c r="A4084" s="21" t="str">
        <f t="shared" si="1"/>
        <v/>
      </c>
      <c r="B4084" s="38"/>
      <c r="C4084" s="23" t="s">
        <v>1861</v>
      </c>
      <c r="D4084" s="23" t="s">
        <v>58</v>
      </c>
      <c r="E4084" s="24">
        <v>45457.0</v>
      </c>
      <c r="F4084" s="25">
        <v>0.2777777777777778</v>
      </c>
      <c r="G4084" s="25">
        <v>0.41458333333333336</v>
      </c>
      <c r="H4084" s="27">
        <f t="shared" si="2"/>
        <v>0.1368055556</v>
      </c>
      <c r="I4084" s="28">
        <v>1.0</v>
      </c>
      <c r="J4084" s="39" t="s">
        <v>1862</v>
      </c>
      <c r="K4084" s="30" t="s">
        <v>23</v>
      </c>
      <c r="L4084" s="31" t="str">
        <f>IFERROR(__xludf.DUMMYFUNCTION("IF(OR(E4084="""",K4084=""""),"""",IFERROR(IF(K4084="""","""",query('tbl user'!$A$2:$D10975,""SELECT A WHERE D = '""&amp;K4084&amp;""'"")),""USER TIDAK DIKETAHUI""))"),"#REF!")</f>
        <v>#REF!</v>
      </c>
    </row>
    <row r="4085">
      <c r="A4085" s="21" t="str">
        <f t="shared" si="1"/>
        <v/>
      </c>
      <c r="B4085" s="38"/>
      <c r="C4085" s="23" t="s">
        <v>1863</v>
      </c>
      <c r="D4085" s="23" t="s">
        <v>58</v>
      </c>
      <c r="E4085" s="24">
        <v>45457.0</v>
      </c>
      <c r="F4085" s="25">
        <v>0.575</v>
      </c>
      <c r="G4085" s="25">
        <v>0.6513888888888889</v>
      </c>
      <c r="H4085" s="27">
        <f t="shared" si="2"/>
        <v>0.07638888889</v>
      </c>
      <c r="I4085" s="28">
        <v>1.0</v>
      </c>
      <c r="J4085" s="39" t="s">
        <v>1864</v>
      </c>
      <c r="K4085" s="30" t="s">
        <v>23</v>
      </c>
      <c r="L4085" s="31" t="str">
        <f>IFERROR(__xludf.DUMMYFUNCTION("IF(OR(E4085="""",K4085=""""),"""",IFERROR(IF(K4085="""","""",query('tbl user'!$A$2:$D10975,""SELECT A WHERE D = '""&amp;K4085&amp;""'"")),""USER TIDAK DIKETAHUI""))"),"#REF!")</f>
        <v>#REF!</v>
      </c>
    </row>
    <row r="4086">
      <c r="A4086" s="21" t="str">
        <f t="shared" si="1"/>
        <v/>
      </c>
      <c r="B4086" s="38"/>
      <c r="C4086" s="23" t="s">
        <v>1865</v>
      </c>
      <c r="D4086" s="23" t="s">
        <v>58</v>
      </c>
      <c r="E4086" s="24">
        <v>45457.0</v>
      </c>
      <c r="F4086" s="25">
        <v>0.2791666666666667</v>
      </c>
      <c r="G4086" s="25">
        <v>0.6090277777777777</v>
      </c>
      <c r="H4086" s="27">
        <f t="shared" si="2"/>
        <v>0.3298611111</v>
      </c>
      <c r="I4086" s="28">
        <v>2.0</v>
      </c>
      <c r="J4086" s="39" t="s">
        <v>1866</v>
      </c>
      <c r="K4086" s="30" t="s">
        <v>23</v>
      </c>
      <c r="L4086" s="31" t="str">
        <f>IFERROR(__xludf.DUMMYFUNCTION("IF(OR(E4086="""",K4086=""""),"""",IFERROR(IF(K4086="""","""",query('tbl user'!$A$2:$D10975,""SELECT A WHERE D = '""&amp;K4086&amp;""'"")),""USER TIDAK DIKETAHUI""))"),"#REF!")</f>
        <v>#REF!</v>
      </c>
    </row>
    <row r="4087">
      <c r="A4087" s="21" t="str">
        <f t="shared" si="1"/>
        <v/>
      </c>
      <c r="B4087" s="38"/>
      <c r="C4087" s="23" t="s">
        <v>1867</v>
      </c>
      <c r="D4087" s="23" t="s">
        <v>58</v>
      </c>
      <c r="E4087" s="24">
        <v>45457.0</v>
      </c>
      <c r="F4087" s="25">
        <v>0.26458333333333334</v>
      </c>
      <c r="G4087" s="25">
        <v>0.7430555555555556</v>
      </c>
      <c r="H4087" s="27">
        <f t="shared" si="2"/>
        <v>0.4784722222</v>
      </c>
      <c r="I4087" s="28">
        <v>2.0</v>
      </c>
      <c r="J4087" s="39" t="s">
        <v>1868</v>
      </c>
      <c r="K4087" s="30" t="s">
        <v>23</v>
      </c>
      <c r="L4087" s="31" t="str">
        <f>IFERROR(__xludf.DUMMYFUNCTION("IF(OR(E4087="""",K4087=""""),"""",IFERROR(IF(K4087="""","""",query('tbl user'!$A$2:$D10975,""SELECT A WHERE D = '""&amp;K4087&amp;""'"")),""USER TIDAK DIKETAHUI""))"),"#REF!")</f>
        <v>#REF!</v>
      </c>
    </row>
    <row r="4088">
      <c r="A4088" s="21" t="str">
        <f t="shared" si="1"/>
        <v/>
      </c>
      <c r="B4088" s="38"/>
      <c r="C4088" s="23" t="s">
        <v>1869</v>
      </c>
      <c r="D4088" s="23" t="s">
        <v>58</v>
      </c>
      <c r="E4088" s="24">
        <v>45457.0</v>
      </c>
      <c r="F4088" s="25">
        <v>0.29375</v>
      </c>
      <c r="G4088" s="25">
        <v>0.5833333333333334</v>
      </c>
      <c r="H4088" s="27">
        <f t="shared" si="2"/>
        <v>0.2895833333</v>
      </c>
      <c r="I4088" s="28">
        <v>2.0</v>
      </c>
      <c r="J4088" s="39" t="s">
        <v>1870</v>
      </c>
      <c r="K4088" s="30" t="s">
        <v>23</v>
      </c>
      <c r="L4088" s="31" t="str">
        <f>IFERROR(__xludf.DUMMYFUNCTION("IF(OR(E4088="""",K4088=""""),"""",IFERROR(IF(K4088="""","""",query('tbl user'!$A$2:$D10975,""SELECT A WHERE D = '""&amp;K4088&amp;""'"")),""USER TIDAK DIKETAHUI""))"),"#REF!")</f>
        <v>#REF!</v>
      </c>
    </row>
    <row r="4089">
      <c r="A4089" s="21" t="str">
        <f t="shared" si="1"/>
        <v/>
      </c>
      <c r="B4089" s="38"/>
      <c r="C4089" s="23" t="s">
        <v>1871</v>
      </c>
      <c r="D4089" s="23" t="s">
        <v>58</v>
      </c>
      <c r="E4089" s="24">
        <v>45457.0</v>
      </c>
      <c r="F4089" s="25">
        <v>0.2777777777777778</v>
      </c>
      <c r="G4089" s="28" t="s">
        <v>1817</v>
      </c>
      <c r="H4089" s="27" t="str">
        <f t="shared" si="2"/>
        <v/>
      </c>
      <c r="I4089" s="28">
        <v>2.0</v>
      </c>
      <c r="J4089" s="39" t="s">
        <v>1870</v>
      </c>
      <c r="K4089" s="30" t="s">
        <v>23</v>
      </c>
      <c r="L4089" s="31" t="str">
        <f>IFERROR(__xludf.DUMMYFUNCTION("IF(OR(E4089="""",K4089=""""),"""",IFERROR(IF(K4089="""","""",query('tbl user'!$A$2:$D10975,""SELECT A WHERE D = '""&amp;K4089&amp;""'"")),""USER TIDAK DIKETAHUI""))"),"#REF!")</f>
        <v>#REF!</v>
      </c>
    </row>
    <row r="4090">
      <c r="A4090" s="21" t="str">
        <f t="shared" si="1"/>
        <v/>
      </c>
      <c r="B4090" s="38"/>
      <c r="C4090" s="23" t="s">
        <v>1872</v>
      </c>
      <c r="D4090" s="23" t="s">
        <v>58</v>
      </c>
      <c r="E4090" s="24">
        <v>45457.0</v>
      </c>
      <c r="F4090" s="25">
        <v>0.26875</v>
      </c>
      <c r="G4090" s="25">
        <v>0.7368055555555556</v>
      </c>
      <c r="H4090" s="27">
        <f t="shared" si="2"/>
        <v>0.4680555556</v>
      </c>
      <c r="I4090" s="28">
        <v>2.0</v>
      </c>
      <c r="J4090" s="39" t="s">
        <v>1873</v>
      </c>
      <c r="K4090" s="30" t="s">
        <v>23</v>
      </c>
      <c r="L4090" s="31" t="str">
        <f>IFERROR(__xludf.DUMMYFUNCTION("IF(OR(E4090="""",K4090=""""),"""",IFERROR(IF(K4090="""","""",query('tbl user'!$A$2:$D10975,""SELECT A WHERE D = '""&amp;K4090&amp;""'"")),""USER TIDAK DIKETAHUI""))"),"#REF!")</f>
        <v>#REF!</v>
      </c>
    </row>
    <row r="4091">
      <c r="A4091" s="21" t="str">
        <f t="shared" si="1"/>
        <v/>
      </c>
      <c r="B4091" s="38"/>
      <c r="C4091" s="23" t="s">
        <v>1874</v>
      </c>
      <c r="D4091" s="23" t="s">
        <v>58</v>
      </c>
      <c r="E4091" s="24">
        <v>45457.0</v>
      </c>
      <c r="F4091" s="25">
        <v>0.28958333333333336</v>
      </c>
      <c r="G4091" s="25">
        <v>0.7479166666666667</v>
      </c>
      <c r="H4091" s="27">
        <f t="shared" si="2"/>
        <v>0.4583333333</v>
      </c>
      <c r="I4091" s="28">
        <v>3.0</v>
      </c>
      <c r="J4091" s="39" t="s">
        <v>1842</v>
      </c>
      <c r="K4091" s="30" t="s">
        <v>23</v>
      </c>
      <c r="L4091" s="31" t="str">
        <f>IFERROR(__xludf.DUMMYFUNCTION("IF(OR(E4091="""",K4091=""""),"""",IFERROR(IF(K4091="""","""",query('tbl user'!$A$2:$D10975,""SELECT A WHERE D = '""&amp;K4091&amp;""'"")),""USER TIDAK DIKETAHUI""))"),"#REF!")</f>
        <v>#REF!</v>
      </c>
    </row>
    <row r="4092">
      <c r="A4092" s="21" t="str">
        <f t="shared" si="1"/>
        <v/>
      </c>
      <c r="B4092" s="38"/>
      <c r="C4092" s="23" t="s">
        <v>1875</v>
      </c>
      <c r="D4092" s="23" t="s">
        <v>58</v>
      </c>
      <c r="E4092" s="24">
        <v>45457.0</v>
      </c>
      <c r="F4092" s="25">
        <v>0.24305555555555555</v>
      </c>
      <c r="G4092" s="25">
        <v>0.6548611111111111</v>
      </c>
      <c r="H4092" s="27">
        <f t="shared" si="2"/>
        <v>0.4118055556</v>
      </c>
      <c r="I4092" s="28">
        <v>3.0</v>
      </c>
      <c r="J4092" s="39" t="s">
        <v>1876</v>
      </c>
      <c r="K4092" s="30" t="s">
        <v>23</v>
      </c>
      <c r="L4092" s="31" t="str">
        <f>IFERROR(__xludf.DUMMYFUNCTION("IF(OR(E4092="""",K4092=""""),"""",IFERROR(IF(K4092="""","""",query('tbl user'!$A$2:$D10975,""SELECT A WHERE D = '""&amp;K4092&amp;""'"")),""USER TIDAK DIKETAHUI""))"),"#REF!")</f>
        <v>#REF!</v>
      </c>
    </row>
    <row r="4093">
      <c r="A4093" s="21" t="str">
        <f t="shared" si="1"/>
        <v/>
      </c>
      <c r="B4093" s="38"/>
      <c r="C4093" s="23" t="s">
        <v>1877</v>
      </c>
      <c r="D4093" s="23" t="s">
        <v>58</v>
      </c>
      <c r="E4093" s="24">
        <v>45457.0</v>
      </c>
      <c r="F4093" s="25">
        <v>0.24027777777777778</v>
      </c>
      <c r="G4093" s="25">
        <v>0.7416666666666667</v>
      </c>
      <c r="H4093" s="27">
        <f t="shared" si="2"/>
        <v>0.5013888889</v>
      </c>
      <c r="I4093" s="28">
        <v>3.0</v>
      </c>
      <c r="J4093" s="39" t="s">
        <v>1842</v>
      </c>
      <c r="K4093" s="30" t="s">
        <v>23</v>
      </c>
      <c r="L4093" s="31" t="str">
        <f>IFERROR(__xludf.DUMMYFUNCTION("IF(OR(E4093="""",K4093=""""),"""",IFERROR(IF(K4093="""","""",query('tbl user'!$A$2:$D10975,""SELECT A WHERE D = '""&amp;K4093&amp;""'"")),""USER TIDAK DIKETAHUI""))"),"#REF!")</f>
        <v>#REF!</v>
      </c>
    </row>
    <row r="4094">
      <c r="A4094" s="21" t="str">
        <f t="shared" si="1"/>
        <v/>
      </c>
      <c r="B4094" s="38"/>
      <c r="C4094" s="23" t="s">
        <v>1878</v>
      </c>
      <c r="D4094" s="23" t="s">
        <v>58</v>
      </c>
      <c r="E4094" s="24">
        <v>45457.0</v>
      </c>
      <c r="F4094" s="25">
        <v>0.2875</v>
      </c>
      <c r="G4094" s="25">
        <v>0.7388888888888889</v>
      </c>
      <c r="H4094" s="27">
        <f t="shared" si="2"/>
        <v>0.4513888889</v>
      </c>
      <c r="I4094" s="28">
        <v>3.0</v>
      </c>
      <c r="J4094" s="39" t="s">
        <v>1842</v>
      </c>
      <c r="K4094" s="30" t="s">
        <v>23</v>
      </c>
      <c r="L4094" s="31" t="str">
        <f>IFERROR(__xludf.DUMMYFUNCTION("IF(OR(E4094="""",K4094=""""),"""",IFERROR(IF(K4094="""","""",query('tbl user'!$A$2:$D10975,""SELECT A WHERE D = '""&amp;K4094&amp;""'"")),""USER TIDAK DIKETAHUI""))"),"#REF!")</f>
        <v>#REF!</v>
      </c>
    </row>
    <row r="4095">
      <c r="A4095" s="21" t="str">
        <f t="shared" si="1"/>
        <v/>
      </c>
      <c r="B4095" s="38"/>
      <c r="C4095" s="23" t="s">
        <v>1879</v>
      </c>
      <c r="D4095" s="23" t="s">
        <v>58</v>
      </c>
      <c r="E4095" s="24">
        <v>45457.0</v>
      </c>
      <c r="F4095" s="25">
        <v>0.24305555555555555</v>
      </c>
      <c r="G4095" s="25">
        <v>0.6395833333333333</v>
      </c>
      <c r="H4095" s="27">
        <f t="shared" si="2"/>
        <v>0.3965277778</v>
      </c>
      <c r="I4095" s="28">
        <v>3.0</v>
      </c>
      <c r="J4095" s="39" t="s">
        <v>1880</v>
      </c>
      <c r="K4095" s="30" t="s">
        <v>23</v>
      </c>
      <c r="L4095" s="31" t="str">
        <f>IFERROR(__xludf.DUMMYFUNCTION("IF(OR(E4095="""",K4095=""""),"""",IFERROR(IF(K4095="""","""",query('tbl user'!$A$2:$D10975,""SELECT A WHERE D = '""&amp;K4095&amp;""'"")),""USER TIDAK DIKETAHUI""))"),"#REF!")</f>
        <v>#REF!</v>
      </c>
    </row>
    <row r="4096">
      <c r="A4096" s="21" t="str">
        <f t="shared" si="1"/>
        <v/>
      </c>
      <c r="B4096" s="38"/>
      <c r="C4096" s="23" t="s">
        <v>1881</v>
      </c>
      <c r="D4096" s="23" t="s">
        <v>58</v>
      </c>
      <c r="E4096" s="24">
        <v>45457.0</v>
      </c>
      <c r="F4096" s="25">
        <v>0.24027777777777778</v>
      </c>
      <c r="G4096" s="25">
        <v>0.6368055555555555</v>
      </c>
      <c r="H4096" s="27">
        <f t="shared" si="2"/>
        <v>0.3965277778</v>
      </c>
      <c r="I4096" s="28">
        <v>3.0</v>
      </c>
      <c r="J4096" s="39" t="s">
        <v>1842</v>
      </c>
      <c r="K4096" s="30" t="s">
        <v>23</v>
      </c>
      <c r="L4096" s="31" t="str">
        <f>IFERROR(__xludf.DUMMYFUNCTION("IF(OR(E4096="""",K4096=""""),"""",IFERROR(IF(K4096="""","""",query('tbl user'!$A$2:$D10975,""SELECT A WHERE D = '""&amp;K4096&amp;""'"")),""USER TIDAK DIKETAHUI""))"),"#REF!")</f>
        <v>#REF!</v>
      </c>
    </row>
    <row r="4097">
      <c r="A4097" s="21" t="str">
        <f t="shared" si="1"/>
        <v/>
      </c>
      <c r="B4097" s="38"/>
      <c r="C4097" s="23" t="s">
        <v>1882</v>
      </c>
      <c r="D4097" s="23" t="s">
        <v>58</v>
      </c>
      <c r="E4097" s="24">
        <v>45457.0</v>
      </c>
      <c r="F4097" s="25">
        <v>0.23194444444444445</v>
      </c>
      <c r="G4097" s="25">
        <v>0.7284722222222222</v>
      </c>
      <c r="H4097" s="27">
        <f t="shared" si="2"/>
        <v>0.4965277778</v>
      </c>
      <c r="I4097" s="28">
        <v>3.0</v>
      </c>
      <c r="J4097" s="39" t="s">
        <v>1842</v>
      </c>
      <c r="K4097" s="30" t="s">
        <v>23</v>
      </c>
      <c r="L4097" s="31" t="str">
        <f>IFERROR(__xludf.DUMMYFUNCTION("IF(OR(E4097="""",K4097=""""),"""",IFERROR(IF(K4097="""","""",query('tbl user'!$A$2:$D10975,""SELECT A WHERE D = '""&amp;K4097&amp;""'"")),""USER TIDAK DIKETAHUI""))"),"#REF!")</f>
        <v>#REF!</v>
      </c>
    </row>
    <row r="4098">
      <c r="A4098" s="21" t="str">
        <f t="shared" si="1"/>
        <v/>
      </c>
      <c r="B4098" s="38"/>
      <c r="C4098" s="23" t="s">
        <v>1883</v>
      </c>
      <c r="D4098" s="23" t="s">
        <v>58</v>
      </c>
      <c r="E4098" s="24">
        <v>45457.0</v>
      </c>
      <c r="F4098" s="25">
        <v>0.26805555555555555</v>
      </c>
      <c r="G4098" s="25">
        <v>0.7361111111111112</v>
      </c>
      <c r="H4098" s="27">
        <f t="shared" si="2"/>
        <v>0.4680555556</v>
      </c>
      <c r="I4098" s="28">
        <v>3.0</v>
      </c>
      <c r="J4098" s="39" t="s">
        <v>1842</v>
      </c>
      <c r="K4098" s="30" t="s">
        <v>23</v>
      </c>
      <c r="L4098" s="31" t="str">
        <f>IFERROR(__xludf.DUMMYFUNCTION("IF(OR(E4098="""",K4098=""""),"""",IFERROR(IF(K4098="""","""",query('tbl user'!$A$2:$D10975,""SELECT A WHERE D = '""&amp;K4098&amp;""'"")),""USER TIDAK DIKETAHUI""))"),"#REF!")</f>
        <v>#REF!</v>
      </c>
    </row>
    <row r="4099">
      <c r="A4099" s="21" t="str">
        <f t="shared" si="1"/>
        <v/>
      </c>
      <c r="B4099" s="38"/>
      <c r="C4099" s="23" t="s">
        <v>1884</v>
      </c>
      <c r="D4099" s="23" t="s">
        <v>58</v>
      </c>
      <c r="E4099" s="24">
        <v>45457.0</v>
      </c>
      <c r="F4099" s="25">
        <v>0.2361111111111111</v>
      </c>
      <c r="G4099" s="25">
        <v>0.6090277777777777</v>
      </c>
      <c r="H4099" s="27">
        <f t="shared" si="2"/>
        <v>0.3729166667</v>
      </c>
      <c r="I4099" s="28">
        <v>3.0</v>
      </c>
      <c r="J4099" s="39" t="s">
        <v>1885</v>
      </c>
      <c r="K4099" s="30" t="s">
        <v>23</v>
      </c>
      <c r="L4099" s="31" t="str">
        <f>IFERROR(__xludf.DUMMYFUNCTION("IF(OR(E4099="""",K4099=""""),"""",IFERROR(IF(K4099="""","""",query('tbl user'!$A$2:$D10975,""SELECT A WHERE D = '""&amp;K4099&amp;""'"")),""USER TIDAK DIKETAHUI""))"),"#REF!")</f>
        <v>#REF!</v>
      </c>
    </row>
    <row r="4100">
      <c r="A4100" s="21" t="str">
        <f t="shared" si="1"/>
        <v/>
      </c>
      <c r="B4100" s="38"/>
      <c r="C4100" s="23" t="s">
        <v>1886</v>
      </c>
      <c r="D4100" s="23" t="s">
        <v>58</v>
      </c>
      <c r="E4100" s="24">
        <v>45457.0</v>
      </c>
      <c r="F4100" s="25">
        <v>0.26180555555555557</v>
      </c>
      <c r="G4100" s="25">
        <v>0.6111111111111112</v>
      </c>
      <c r="H4100" s="27">
        <f t="shared" si="2"/>
        <v>0.3493055556</v>
      </c>
      <c r="I4100" s="28">
        <v>3.0</v>
      </c>
      <c r="J4100" s="39" t="s">
        <v>1842</v>
      </c>
      <c r="K4100" s="30" t="s">
        <v>23</v>
      </c>
      <c r="L4100" s="31" t="str">
        <f>IFERROR(__xludf.DUMMYFUNCTION("IF(OR(E4100="""",K4100=""""),"""",IFERROR(IF(K4100="""","""",query('tbl user'!$A$2:$D10975,""SELECT A WHERE D = '""&amp;K4100&amp;""'"")),""USER TIDAK DIKETAHUI""))"),"#REF!")</f>
        <v>#REF!</v>
      </c>
    </row>
    <row r="4101">
      <c r="A4101" s="21" t="str">
        <f t="shared" si="1"/>
        <v/>
      </c>
      <c r="B4101" s="38"/>
      <c r="C4101" s="23" t="s">
        <v>1887</v>
      </c>
      <c r="D4101" s="23" t="s">
        <v>58</v>
      </c>
      <c r="E4101" s="24">
        <v>45457.0</v>
      </c>
      <c r="F4101" s="25">
        <v>0.23333333333333334</v>
      </c>
      <c r="G4101" s="25">
        <v>0.7444444444444445</v>
      </c>
      <c r="H4101" s="27">
        <f t="shared" si="2"/>
        <v>0.5111111111</v>
      </c>
      <c r="I4101" s="28">
        <v>3.0</v>
      </c>
      <c r="J4101" s="39" t="s">
        <v>1842</v>
      </c>
      <c r="K4101" s="30" t="s">
        <v>23</v>
      </c>
      <c r="L4101" s="31" t="str">
        <f>IFERROR(__xludf.DUMMYFUNCTION("IF(OR(E4101="""",K4101=""""),"""",IFERROR(IF(K4101="""","""",query('tbl user'!$A$2:$D10975,""SELECT A WHERE D = '""&amp;K4101&amp;""'"")),""USER TIDAK DIKETAHUI""))"),"#REF!")</f>
        <v>#REF!</v>
      </c>
    </row>
    <row r="4102">
      <c r="A4102" s="21" t="str">
        <f t="shared" si="1"/>
        <v/>
      </c>
      <c r="B4102" s="38"/>
      <c r="C4102" s="23" t="s">
        <v>1888</v>
      </c>
      <c r="D4102" s="23" t="s">
        <v>58</v>
      </c>
      <c r="E4102" s="24">
        <v>45457.0</v>
      </c>
      <c r="F4102" s="25">
        <v>0.2625</v>
      </c>
      <c r="G4102" s="25">
        <v>0.7319444444444444</v>
      </c>
      <c r="H4102" s="27">
        <f t="shared" si="2"/>
        <v>0.4694444444</v>
      </c>
      <c r="I4102" s="28">
        <v>3.0</v>
      </c>
      <c r="J4102" s="39" t="s">
        <v>1842</v>
      </c>
      <c r="K4102" s="30" t="s">
        <v>23</v>
      </c>
      <c r="L4102" s="31" t="str">
        <f>IFERROR(__xludf.DUMMYFUNCTION("IF(OR(E4102="""",K4102=""""),"""",IFERROR(IF(K4102="""","""",query('tbl user'!$A$2:$D10975,""SELECT A WHERE D = '""&amp;K4102&amp;""'"")),""USER TIDAK DIKETAHUI""))"),"#REF!")</f>
        <v>#REF!</v>
      </c>
    </row>
    <row r="4103">
      <c r="A4103" s="21" t="str">
        <f t="shared" si="1"/>
        <v/>
      </c>
      <c r="B4103" s="38"/>
      <c r="C4103" s="23" t="s">
        <v>1889</v>
      </c>
      <c r="D4103" s="23" t="s">
        <v>58</v>
      </c>
      <c r="E4103" s="24">
        <v>45457.0</v>
      </c>
      <c r="F4103" s="25">
        <v>0.23194444444444445</v>
      </c>
      <c r="G4103" s="25">
        <v>0.5881944444444445</v>
      </c>
      <c r="H4103" s="27">
        <f t="shared" si="2"/>
        <v>0.35625</v>
      </c>
      <c r="I4103" s="28">
        <v>3.0</v>
      </c>
      <c r="J4103" s="39" t="s">
        <v>1648</v>
      </c>
      <c r="K4103" s="30" t="s">
        <v>23</v>
      </c>
      <c r="L4103" s="31" t="str">
        <f>IFERROR(__xludf.DUMMYFUNCTION("IF(OR(E4103="""",K4103=""""),"""",IFERROR(IF(K4103="""","""",query('tbl user'!$A$2:$D10975,""SELECT A WHERE D = '""&amp;K4103&amp;""'"")),""USER TIDAK DIKETAHUI""))"),"#REF!")</f>
        <v>#REF!</v>
      </c>
    </row>
    <row r="4104">
      <c r="A4104" s="21" t="str">
        <f t="shared" si="1"/>
        <v/>
      </c>
      <c r="B4104" s="38"/>
      <c r="C4104" s="23" t="s">
        <v>1890</v>
      </c>
      <c r="D4104" s="23" t="s">
        <v>58</v>
      </c>
      <c r="E4104" s="24">
        <v>45457.0</v>
      </c>
      <c r="F4104" s="25">
        <v>0.22708333333333333</v>
      </c>
      <c r="G4104" s="25">
        <v>0.74375</v>
      </c>
      <c r="H4104" s="27">
        <f t="shared" si="2"/>
        <v>0.5166666667</v>
      </c>
      <c r="I4104" s="28">
        <v>3.0</v>
      </c>
      <c r="J4104" s="39" t="s">
        <v>1842</v>
      </c>
      <c r="K4104" s="30" t="s">
        <v>23</v>
      </c>
      <c r="L4104" s="31" t="str">
        <f>IFERROR(__xludf.DUMMYFUNCTION("IF(OR(E4104="""",K4104=""""),"""",IFERROR(IF(K4104="""","""",query('tbl user'!$A$2:$D10975,""SELECT A WHERE D = '""&amp;K4104&amp;""'"")),""USER TIDAK DIKETAHUI""))"),"#REF!")</f>
        <v>#REF!</v>
      </c>
    </row>
    <row r="4105">
      <c r="A4105" s="21" t="str">
        <f t="shared" si="1"/>
        <v/>
      </c>
      <c r="B4105" s="38"/>
      <c r="C4105" s="23" t="s">
        <v>1891</v>
      </c>
      <c r="D4105" s="23" t="s">
        <v>58</v>
      </c>
      <c r="E4105" s="24">
        <v>45457.0</v>
      </c>
      <c r="F4105" s="25">
        <v>0.22916666666666666</v>
      </c>
      <c r="G4105" s="25">
        <v>0.7375</v>
      </c>
      <c r="H4105" s="27">
        <f t="shared" si="2"/>
        <v>0.5083333333</v>
      </c>
      <c r="I4105" s="28">
        <v>3.0</v>
      </c>
      <c r="J4105" s="39" t="s">
        <v>1842</v>
      </c>
      <c r="K4105" s="30" t="s">
        <v>23</v>
      </c>
      <c r="L4105" s="31" t="str">
        <f>IFERROR(__xludf.DUMMYFUNCTION("IF(OR(E4105="""",K4105=""""),"""",IFERROR(IF(K4105="""","""",query('tbl user'!$A$2:$D10975,""SELECT A WHERE D = '""&amp;K4105&amp;""'"")),""USER TIDAK DIKETAHUI""))"),"#REF!")</f>
        <v>#REF!</v>
      </c>
    </row>
    <row r="4106">
      <c r="A4106" s="21" t="str">
        <f t="shared" si="1"/>
        <v/>
      </c>
      <c r="B4106" s="38"/>
      <c r="C4106" s="23" t="s">
        <v>1892</v>
      </c>
      <c r="D4106" s="23" t="s">
        <v>58</v>
      </c>
      <c r="E4106" s="24">
        <v>45457.0</v>
      </c>
      <c r="F4106" s="25">
        <v>0.2111111111111111</v>
      </c>
      <c r="G4106" s="25">
        <v>0.7243055555555555</v>
      </c>
      <c r="H4106" s="27">
        <f t="shared" si="2"/>
        <v>0.5131944444</v>
      </c>
      <c r="I4106" s="28">
        <v>4.0</v>
      </c>
      <c r="J4106" s="39" t="s">
        <v>55</v>
      </c>
      <c r="K4106" s="30" t="s">
        <v>23</v>
      </c>
      <c r="L4106" s="31" t="str">
        <f>IFERROR(__xludf.DUMMYFUNCTION("IF(OR(E4106="""",K4106=""""),"""",IFERROR(IF(K4106="""","""",query('tbl user'!$A$2:$D10975,""SELECT A WHERE D = '""&amp;K4106&amp;""'"")),""USER TIDAK DIKETAHUI""))"),"#REF!")</f>
        <v>#REF!</v>
      </c>
    </row>
    <row r="4107">
      <c r="A4107" s="21" t="str">
        <f t="shared" si="1"/>
        <v/>
      </c>
      <c r="B4107" s="38"/>
      <c r="C4107" s="23" t="s">
        <v>1893</v>
      </c>
      <c r="D4107" s="23" t="s">
        <v>58</v>
      </c>
      <c r="E4107" s="24">
        <v>45457.0</v>
      </c>
      <c r="F4107" s="25">
        <v>0.20902777777777778</v>
      </c>
      <c r="G4107" s="25">
        <v>0.7381944444444445</v>
      </c>
      <c r="H4107" s="27">
        <f t="shared" si="2"/>
        <v>0.5291666667</v>
      </c>
      <c r="I4107" s="28">
        <v>4.0</v>
      </c>
      <c r="J4107" s="39" t="s">
        <v>55</v>
      </c>
      <c r="K4107" s="30" t="s">
        <v>23</v>
      </c>
      <c r="L4107" s="31" t="str">
        <f>IFERROR(__xludf.DUMMYFUNCTION("IF(OR(E4107="""",K4107=""""),"""",IFERROR(IF(K4107="""","""",query('tbl user'!$A$2:$D10975,""SELECT A WHERE D = '""&amp;K4107&amp;""'"")),""USER TIDAK DIKETAHUI""))"),"#REF!")</f>
        <v>#REF!</v>
      </c>
    </row>
    <row r="4108">
      <c r="A4108" s="21" t="str">
        <f t="shared" si="1"/>
        <v/>
      </c>
      <c r="B4108" s="38"/>
      <c r="C4108" s="23" t="s">
        <v>1894</v>
      </c>
      <c r="D4108" s="23" t="s">
        <v>32</v>
      </c>
      <c r="E4108" s="24">
        <v>45457.0</v>
      </c>
      <c r="F4108" s="25">
        <v>0.30069444444444443</v>
      </c>
      <c r="G4108" s="25">
        <v>0.5694444444444444</v>
      </c>
      <c r="H4108" s="27">
        <f t="shared" si="2"/>
        <v>0.26875</v>
      </c>
      <c r="I4108" s="28">
        <v>1.0</v>
      </c>
      <c r="J4108" s="39" t="s">
        <v>1895</v>
      </c>
      <c r="K4108" s="30" t="s">
        <v>23</v>
      </c>
      <c r="L4108" s="31" t="str">
        <f>IFERROR(__xludf.DUMMYFUNCTION("IF(OR(E4108="""",K4108=""""),"""",IFERROR(IF(K4108="""","""",query('tbl user'!$A$2:$D10975,""SELECT A WHERE D = '""&amp;K4108&amp;""'"")),""USER TIDAK DIKETAHUI""))"),"#REF!")</f>
        <v>#REF!</v>
      </c>
    </row>
    <row r="4109">
      <c r="A4109" s="21" t="str">
        <f t="shared" si="1"/>
        <v/>
      </c>
      <c r="B4109" s="38"/>
      <c r="C4109" s="23" t="s">
        <v>1896</v>
      </c>
      <c r="D4109" s="23" t="s">
        <v>32</v>
      </c>
      <c r="E4109" s="24">
        <v>45457.0</v>
      </c>
      <c r="F4109" s="25">
        <v>0.29305555555555557</v>
      </c>
      <c r="G4109" s="25">
        <v>0.4354166666666667</v>
      </c>
      <c r="H4109" s="27">
        <f t="shared" si="2"/>
        <v>0.1423611111</v>
      </c>
      <c r="I4109" s="28">
        <v>1.0</v>
      </c>
      <c r="J4109" s="39" t="s">
        <v>1897</v>
      </c>
      <c r="K4109" s="30" t="s">
        <v>23</v>
      </c>
      <c r="L4109" s="31" t="str">
        <f>IFERROR(__xludf.DUMMYFUNCTION("IF(OR(E4109="""",K4109=""""),"""",IFERROR(IF(K4109="""","""",query('tbl user'!$A$2:$D10975,""SELECT A WHERE D = '""&amp;K4109&amp;""'"")),""USER TIDAK DIKETAHUI""))"),"#REF!")</f>
        <v>#REF!</v>
      </c>
    </row>
    <row r="4110">
      <c r="A4110" s="21" t="str">
        <f t="shared" si="1"/>
        <v/>
      </c>
      <c r="B4110" s="38"/>
      <c r="C4110" s="23" t="s">
        <v>1898</v>
      </c>
      <c r="D4110" s="23" t="s">
        <v>32</v>
      </c>
      <c r="E4110" s="24">
        <v>45457.0</v>
      </c>
      <c r="F4110" s="25">
        <v>0.2875</v>
      </c>
      <c r="G4110" s="25">
        <v>0.6548611111111111</v>
      </c>
      <c r="H4110" s="27">
        <f t="shared" si="2"/>
        <v>0.3673611111</v>
      </c>
      <c r="I4110" s="28">
        <v>2.0</v>
      </c>
      <c r="J4110" s="39" t="s">
        <v>1899</v>
      </c>
      <c r="K4110" s="30" t="s">
        <v>23</v>
      </c>
      <c r="L4110" s="31" t="str">
        <f>IFERROR(__xludf.DUMMYFUNCTION("IF(OR(E4110="""",K4110=""""),"""",IFERROR(IF(K4110="""","""",query('tbl user'!$A$2:$D10975,""SELECT A WHERE D = '""&amp;K4110&amp;""'"")),""USER TIDAK DIKETAHUI""))"),"#REF!")</f>
        <v>#REF!</v>
      </c>
    </row>
    <row r="4111">
      <c r="A4111" s="21" t="str">
        <f t="shared" si="1"/>
        <v/>
      </c>
      <c r="B4111" s="38"/>
      <c r="C4111" s="23" t="s">
        <v>1900</v>
      </c>
      <c r="D4111" s="23" t="s">
        <v>32</v>
      </c>
      <c r="E4111" s="24">
        <v>45457.0</v>
      </c>
      <c r="F4111" s="25">
        <v>0.24375</v>
      </c>
      <c r="G4111" s="25">
        <v>0.43819444444444444</v>
      </c>
      <c r="H4111" s="27">
        <f t="shared" si="2"/>
        <v>0.1944444444</v>
      </c>
      <c r="I4111" s="28">
        <v>2.0</v>
      </c>
      <c r="J4111" s="39" t="s">
        <v>177</v>
      </c>
      <c r="K4111" s="30" t="s">
        <v>23</v>
      </c>
      <c r="L4111" s="31" t="str">
        <f>IFERROR(__xludf.DUMMYFUNCTION("IF(OR(E4111="""",K4111=""""),"""",IFERROR(IF(K4111="""","""",query('tbl user'!$A$2:$D10975,""SELECT A WHERE D = '""&amp;K4111&amp;""'"")),""USER TIDAK DIKETAHUI""))"),"#REF!")</f>
        <v>#REF!</v>
      </c>
    </row>
    <row r="4112">
      <c r="A4112" s="21" t="str">
        <f t="shared" si="1"/>
        <v/>
      </c>
      <c r="B4112" s="38"/>
      <c r="C4112" s="23" t="s">
        <v>1901</v>
      </c>
      <c r="D4112" s="23" t="s">
        <v>32</v>
      </c>
      <c r="E4112" s="24">
        <v>45457.0</v>
      </c>
      <c r="F4112" s="25">
        <v>0.2875</v>
      </c>
      <c r="G4112" s="25">
        <v>0.6618055555555555</v>
      </c>
      <c r="H4112" s="27">
        <f t="shared" si="2"/>
        <v>0.3743055556</v>
      </c>
      <c r="I4112" s="28">
        <v>3.0</v>
      </c>
      <c r="J4112" s="39" t="s">
        <v>171</v>
      </c>
      <c r="K4112" s="30" t="s">
        <v>23</v>
      </c>
      <c r="L4112" s="31" t="str">
        <f>IFERROR(__xludf.DUMMYFUNCTION("IF(OR(E4112="""",K4112=""""),"""",IFERROR(IF(K4112="""","""",query('tbl user'!$A$2:$D10975,""SELECT A WHERE D = '""&amp;K4112&amp;""'"")),""USER TIDAK DIKETAHUI""))"),"#REF!")</f>
        <v>#REF!</v>
      </c>
    </row>
    <row r="4113">
      <c r="A4113" s="21" t="str">
        <f t="shared" si="1"/>
        <v/>
      </c>
      <c r="B4113" s="38"/>
      <c r="C4113" s="23" t="s">
        <v>1902</v>
      </c>
      <c r="D4113" s="23" t="s">
        <v>32</v>
      </c>
      <c r="E4113" s="24">
        <v>45457.0</v>
      </c>
      <c r="F4113" s="25">
        <v>0.28958333333333336</v>
      </c>
      <c r="G4113" s="25">
        <v>0.6756944444444445</v>
      </c>
      <c r="H4113" s="27">
        <f t="shared" si="2"/>
        <v>0.3861111111</v>
      </c>
      <c r="I4113" s="28">
        <v>3.0</v>
      </c>
      <c r="J4113" s="39" t="s">
        <v>171</v>
      </c>
      <c r="K4113" s="30" t="s">
        <v>23</v>
      </c>
      <c r="L4113" s="31" t="str">
        <f>IFERROR(__xludf.DUMMYFUNCTION("IF(OR(E4113="""",K4113=""""),"""",IFERROR(IF(K4113="""","""",query('tbl user'!$A$2:$D10975,""SELECT A WHERE D = '""&amp;K4113&amp;""'"")),""USER TIDAK DIKETAHUI""))"),"#REF!")</f>
        <v>#REF!</v>
      </c>
    </row>
    <row r="4114">
      <c r="A4114" s="21" t="str">
        <f t="shared" si="1"/>
        <v/>
      </c>
      <c r="B4114" s="38"/>
      <c r="C4114" s="23" t="s">
        <v>1903</v>
      </c>
      <c r="D4114" s="23" t="s">
        <v>32</v>
      </c>
      <c r="E4114" s="24">
        <v>45457.0</v>
      </c>
      <c r="F4114" s="25">
        <v>0.2875</v>
      </c>
      <c r="G4114" s="25">
        <v>0.7208333333333333</v>
      </c>
      <c r="H4114" s="27">
        <f t="shared" si="2"/>
        <v>0.4333333333</v>
      </c>
      <c r="I4114" s="28">
        <v>3.0</v>
      </c>
      <c r="J4114" s="39" t="s">
        <v>680</v>
      </c>
      <c r="K4114" s="30" t="s">
        <v>23</v>
      </c>
      <c r="L4114" s="31" t="str">
        <f>IFERROR(__xludf.DUMMYFUNCTION("IF(OR(E4114="""",K4114=""""),"""",IFERROR(IF(K4114="""","""",query('tbl user'!$A$2:$D10975,""SELECT A WHERE D = '""&amp;K4114&amp;""'"")),""USER TIDAK DIKETAHUI""))"),"#REF!")</f>
        <v>#REF!</v>
      </c>
    </row>
    <row r="4115">
      <c r="A4115" s="21" t="str">
        <f t="shared" si="1"/>
        <v/>
      </c>
      <c r="B4115" s="38"/>
      <c r="C4115" s="23" t="s">
        <v>1904</v>
      </c>
      <c r="D4115" s="23" t="s">
        <v>32</v>
      </c>
      <c r="E4115" s="24">
        <v>45457.0</v>
      </c>
      <c r="F4115" s="25">
        <v>0.25069444444444444</v>
      </c>
      <c r="G4115" s="25">
        <v>0.6277777777777778</v>
      </c>
      <c r="H4115" s="27">
        <f t="shared" si="2"/>
        <v>0.3770833333</v>
      </c>
      <c r="I4115" s="28">
        <v>3.0</v>
      </c>
      <c r="J4115" s="39" t="s">
        <v>171</v>
      </c>
      <c r="K4115" s="30" t="s">
        <v>23</v>
      </c>
      <c r="L4115" s="31" t="str">
        <f>IFERROR(__xludf.DUMMYFUNCTION("IF(OR(E4115="""",K4115=""""),"""",IFERROR(IF(K4115="""","""",query('tbl user'!$A$2:$D10975,""SELECT A WHERE D = '""&amp;K4115&amp;""'"")),""USER TIDAK DIKETAHUI""))"),"#REF!")</f>
        <v>#REF!</v>
      </c>
    </row>
    <row r="4116">
      <c r="A4116" s="21" t="str">
        <f t="shared" si="1"/>
        <v/>
      </c>
      <c r="B4116" s="38"/>
      <c r="C4116" s="23" t="s">
        <v>1905</v>
      </c>
      <c r="D4116" s="23" t="s">
        <v>32</v>
      </c>
      <c r="E4116" s="24">
        <v>45457.0</v>
      </c>
      <c r="F4116" s="25">
        <v>0.24305555555555555</v>
      </c>
      <c r="G4116" s="25">
        <v>0.6</v>
      </c>
      <c r="H4116" s="27">
        <f t="shared" si="2"/>
        <v>0.3569444444</v>
      </c>
      <c r="I4116" s="28">
        <v>3.0</v>
      </c>
      <c r="J4116" s="39" t="s">
        <v>1906</v>
      </c>
      <c r="K4116" s="30" t="s">
        <v>23</v>
      </c>
      <c r="L4116" s="31" t="str">
        <f>IFERROR(__xludf.DUMMYFUNCTION("IF(OR(E4116="""",K4116=""""),"""",IFERROR(IF(K4116="""","""",query('tbl user'!$A$2:$D10975,""SELECT A WHERE D = '""&amp;K4116&amp;""'"")),""USER TIDAK DIKETAHUI""))"),"#REF!")</f>
        <v>#REF!</v>
      </c>
    </row>
    <row r="4117">
      <c r="A4117" s="21" t="str">
        <f t="shared" si="1"/>
        <v/>
      </c>
      <c r="B4117" s="38"/>
      <c r="C4117" s="23" t="s">
        <v>1907</v>
      </c>
      <c r="D4117" s="23" t="s">
        <v>32</v>
      </c>
      <c r="E4117" s="24">
        <v>45457.0</v>
      </c>
      <c r="F4117" s="25">
        <v>0.2763888888888889</v>
      </c>
      <c r="G4117" s="25">
        <v>0.6583333333333333</v>
      </c>
      <c r="H4117" s="27">
        <f t="shared" si="2"/>
        <v>0.3819444444</v>
      </c>
      <c r="I4117" s="28">
        <v>3.0</v>
      </c>
      <c r="J4117" s="39" t="s">
        <v>791</v>
      </c>
      <c r="K4117" s="30" t="s">
        <v>23</v>
      </c>
      <c r="L4117" s="31" t="str">
        <f>IFERROR(__xludf.DUMMYFUNCTION("IF(OR(E4117="""",K4117=""""),"""",IFERROR(IF(K4117="""","""",query('tbl user'!$A$2:$D10975,""SELECT A WHERE D = '""&amp;K4117&amp;""'"")),""USER TIDAK DIKETAHUI""))"),"#REF!")</f>
        <v>#REF!</v>
      </c>
    </row>
    <row r="4118">
      <c r="A4118" s="21" t="str">
        <f t="shared" si="1"/>
        <v/>
      </c>
      <c r="B4118" s="38"/>
      <c r="C4118" s="23" t="s">
        <v>1908</v>
      </c>
      <c r="D4118" s="23" t="s">
        <v>32</v>
      </c>
      <c r="E4118" s="24">
        <v>45457.0</v>
      </c>
      <c r="F4118" s="25">
        <v>0.2791666666666667</v>
      </c>
      <c r="G4118" s="25">
        <v>0.6541666666666667</v>
      </c>
      <c r="H4118" s="27">
        <f t="shared" si="2"/>
        <v>0.375</v>
      </c>
      <c r="I4118" s="28">
        <v>3.0</v>
      </c>
      <c r="J4118" s="39" t="s">
        <v>171</v>
      </c>
      <c r="K4118" s="30" t="s">
        <v>23</v>
      </c>
      <c r="L4118" s="31" t="str">
        <f>IFERROR(__xludf.DUMMYFUNCTION("IF(OR(E4118="""",K4118=""""),"""",IFERROR(IF(K4118="""","""",query('tbl user'!$A$2:$D10975,""SELECT A WHERE D = '""&amp;K4118&amp;""'"")),""USER TIDAK DIKETAHUI""))"),"#REF!")</f>
        <v>#REF!</v>
      </c>
    </row>
    <row r="4119">
      <c r="A4119" s="21" t="str">
        <f t="shared" si="1"/>
        <v/>
      </c>
      <c r="B4119" s="38"/>
      <c r="C4119" s="23" t="s">
        <v>1909</v>
      </c>
      <c r="D4119" s="23" t="s">
        <v>32</v>
      </c>
      <c r="E4119" s="24">
        <v>45457.0</v>
      </c>
      <c r="F4119" s="25">
        <v>0.26875</v>
      </c>
      <c r="G4119" s="25">
        <v>0.5881944444444445</v>
      </c>
      <c r="H4119" s="27">
        <f t="shared" si="2"/>
        <v>0.3194444444</v>
      </c>
      <c r="I4119" s="28">
        <v>3.0</v>
      </c>
      <c r="J4119" s="39" t="s">
        <v>171</v>
      </c>
      <c r="K4119" s="30" t="s">
        <v>23</v>
      </c>
      <c r="L4119" s="31" t="str">
        <f>IFERROR(__xludf.DUMMYFUNCTION("IF(OR(E4119="""",K4119=""""),"""",IFERROR(IF(K4119="""","""",query('tbl user'!$A$2:$D10975,""SELECT A WHERE D = '""&amp;K4119&amp;""'"")),""USER TIDAK DIKETAHUI""))"),"#REF!")</f>
        <v>#REF!</v>
      </c>
    </row>
    <row r="4120">
      <c r="A4120" s="21" t="str">
        <f t="shared" si="1"/>
        <v/>
      </c>
      <c r="B4120" s="38"/>
      <c r="C4120" s="23" t="s">
        <v>1910</v>
      </c>
      <c r="D4120" s="23" t="s">
        <v>32</v>
      </c>
      <c r="E4120" s="24">
        <v>45457.0</v>
      </c>
      <c r="F4120" s="25">
        <v>0.20694444444444443</v>
      </c>
      <c r="G4120" s="25">
        <v>0.6756944444444445</v>
      </c>
      <c r="H4120" s="27">
        <f t="shared" si="2"/>
        <v>0.46875</v>
      </c>
      <c r="I4120" s="28">
        <v>4.0</v>
      </c>
      <c r="J4120" s="39" t="s">
        <v>55</v>
      </c>
      <c r="K4120" s="30" t="s">
        <v>23</v>
      </c>
      <c r="L4120" s="31" t="str">
        <f>IFERROR(__xludf.DUMMYFUNCTION("IF(OR(E4120="""",K4120=""""),"""",IFERROR(IF(K4120="""","""",query('tbl user'!$A$2:$D10975,""SELECT A WHERE D = '""&amp;K4120&amp;""'"")),""USER TIDAK DIKETAHUI""))"),"#REF!")</f>
        <v>#REF!</v>
      </c>
    </row>
    <row r="4121">
      <c r="A4121" s="21" t="str">
        <f t="shared" si="1"/>
        <v/>
      </c>
      <c r="B4121" s="38"/>
      <c r="C4121" s="23" t="s">
        <v>1911</v>
      </c>
      <c r="D4121" s="23" t="s">
        <v>32</v>
      </c>
      <c r="E4121" s="24">
        <v>45457.0</v>
      </c>
      <c r="F4121" s="25">
        <v>0.23402777777777778</v>
      </c>
      <c r="G4121" s="25">
        <v>0.71875</v>
      </c>
      <c r="H4121" s="27">
        <f t="shared" si="2"/>
        <v>0.4847222222</v>
      </c>
      <c r="I4121" s="28">
        <v>4.0</v>
      </c>
      <c r="J4121" s="39" t="s">
        <v>55</v>
      </c>
      <c r="K4121" s="30" t="s">
        <v>23</v>
      </c>
      <c r="L4121" s="31" t="str">
        <f>IFERROR(__xludf.DUMMYFUNCTION("IF(OR(E4121="""",K4121=""""),"""",IFERROR(IF(K4121="""","""",query('tbl user'!$A$2:$D10975,""SELECT A WHERE D = '""&amp;K4121&amp;""'"")),""USER TIDAK DIKETAHUI""))"),"#REF!")</f>
        <v>#REF!</v>
      </c>
    </row>
    <row r="4122">
      <c r="A4122" s="21" t="str">
        <f t="shared" si="1"/>
        <v/>
      </c>
      <c r="B4122" s="38"/>
      <c r="C4122" s="23" t="s">
        <v>1912</v>
      </c>
      <c r="D4122" s="23" t="s">
        <v>32</v>
      </c>
      <c r="E4122" s="24">
        <v>45457.0</v>
      </c>
      <c r="F4122" s="25">
        <v>0.2875</v>
      </c>
      <c r="G4122" s="25">
        <v>0.7090277777777778</v>
      </c>
      <c r="H4122" s="27">
        <f t="shared" si="2"/>
        <v>0.4215277778</v>
      </c>
      <c r="I4122" s="28">
        <v>4.0</v>
      </c>
      <c r="J4122" s="39" t="s">
        <v>55</v>
      </c>
      <c r="K4122" s="30" t="s">
        <v>23</v>
      </c>
      <c r="L4122" s="31" t="str">
        <f>IFERROR(__xludf.DUMMYFUNCTION("IF(OR(E4122="""",K4122=""""),"""",IFERROR(IF(K4122="""","""",query('tbl user'!$A$2:$D10975,""SELECT A WHERE D = '""&amp;K4122&amp;""'"")),""USER TIDAK DIKETAHUI""))"),"#REF!")</f>
        <v>#REF!</v>
      </c>
    </row>
    <row r="4123">
      <c r="A4123" s="21" t="str">
        <f t="shared" si="1"/>
        <v/>
      </c>
      <c r="B4123" s="38"/>
      <c r="C4123" s="23" t="s">
        <v>1913</v>
      </c>
      <c r="D4123" s="23" t="s">
        <v>32</v>
      </c>
      <c r="E4123" s="24">
        <v>45457.0</v>
      </c>
      <c r="F4123" s="25">
        <v>0.25277777777777777</v>
      </c>
      <c r="G4123" s="25">
        <v>0.7138888888888889</v>
      </c>
      <c r="H4123" s="27">
        <f t="shared" si="2"/>
        <v>0.4611111111</v>
      </c>
      <c r="I4123" s="28">
        <v>4.0</v>
      </c>
      <c r="J4123" s="39" t="s">
        <v>55</v>
      </c>
      <c r="K4123" s="30" t="s">
        <v>23</v>
      </c>
      <c r="L4123" s="31" t="str">
        <f>IFERROR(__xludf.DUMMYFUNCTION("IF(OR(E4123="""",K4123=""""),"""",IFERROR(IF(K4123="""","""",query('tbl user'!$A$2:$D10975,""SELECT A WHERE D = '""&amp;K4123&amp;""'"")),""USER TIDAK DIKETAHUI""))"),"#REF!")</f>
        <v>#REF!</v>
      </c>
    </row>
    <row r="4124">
      <c r="A4124" s="21" t="str">
        <f t="shared" si="1"/>
        <v/>
      </c>
      <c r="B4124" s="38"/>
      <c r="C4124" s="23" t="s">
        <v>1852</v>
      </c>
      <c r="D4124" s="23" t="s">
        <v>21</v>
      </c>
      <c r="E4124" s="24">
        <v>45458.0</v>
      </c>
      <c r="F4124" s="25">
        <v>0.3263888888888889</v>
      </c>
      <c r="G4124" s="25">
        <v>0.5972222222222222</v>
      </c>
      <c r="H4124" s="27">
        <f t="shared" si="2"/>
        <v>0.2708333333</v>
      </c>
      <c r="I4124" s="28">
        <v>1.0</v>
      </c>
      <c r="J4124" s="39" t="s">
        <v>1914</v>
      </c>
      <c r="K4124" s="30" t="s">
        <v>23</v>
      </c>
      <c r="L4124" s="31" t="str">
        <f>IFERROR(__xludf.DUMMYFUNCTION("IF(OR(E4124="""",K4124=""""),"""",IFERROR(IF(K4124="""","""",query('tbl user'!$A$2:$D10975,""SELECT A WHERE D = '""&amp;K4124&amp;""'"")),""USER TIDAK DIKETAHUI""))"),"#REF!")</f>
        <v>#REF!</v>
      </c>
    </row>
    <row r="4125">
      <c r="A4125" s="21" t="str">
        <f t="shared" si="1"/>
        <v/>
      </c>
      <c r="B4125" s="38"/>
      <c r="C4125" s="23" t="s">
        <v>1841</v>
      </c>
      <c r="D4125" s="23" t="s">
        <v>21</v>
      </c>
      <c r="E4125" s="24">
        <v>45458.0</v>
      </c>
      <c r="F4125" s="25">
        <v>0.29305555555555557</v>
      </c>
      <c r="G4125" s="25">
        <v>0.6152777777777778</v>
      </c>
      <c r="H4125" s="27">
        <f t="shared" si="2"/>
        <v>0.3222222222</v>
      </c>
      <c r="I4125" s="28">
        <v>1.0</v>
      </c>
      <c r="J4125" s="39" t="s">
        <v>1915</v>
      </c>
      <c r="K4125" s="30" t="s">
        <v>23</v>
      </c>
      <c r="L4125" s="31" t="str">
        <f>IFERROR(__xludf.DUMMYFUNCTION("IF(OR(E4125="""",K4125=""""),"""",IFERROR(IF(K4125="""","""",query('tbl user'!$A$2:$D10975,""SELECT A WHERE D = '""&amp;K4125&amp;""'"")),""USER TIDAK DIKETAHUI""))"),"#REF!")</f>
        <v>#REF!</v>
      </c>
    </row>
    <row r="4126">
      <c r="A4126" s="21" t="str">
        <f t="shared" si="1"/>
        <v/>
      </c>
      <c r="B4126" s="38"/>
      <c r="C4126" s="23" t="s">
        <v>1834</v>
      </c>
      <c r="D4126" s="23" t="s">
        <v>21</v>
      </c>
      <c r="E4126" s="24">
        <v>45458.0</v>
      </c>
      <c r="F4126" s="25">
        <v>0.43125</v>
      </c>
      <c r="G4126" s="25">
        <v>0.6340277777777777</v>
      </c>
      <c r="H4126" s="27">
        <f t="shared" si="2"/>
        <v>0.2027777778</v>
      </c>
      <c r="I4126" s="28">
        <v>1.0</v>
      </c>
      <c r="J4126" s="39" t="s">
        <v>1916</v>
      </c>
      <c r="K4126" s="30" t="s">
        <v>23</v>
      </c>
      <c r="L4126" s="31" t="str">
        <f>IFERROR(__xludf.DUMMYFUNCTION("IF(OR(E4126="""",K4126=""""),"""",IFERROR(IF(K4126="""","""",query('tbl user'!$A$2:$D10975,""SELECT A WHERE D = '""&amp;K4126&amp;""'"")),""USER TIDAK DIKETAHUI""))"),"#REF!")</f>
        <v>#REF!</v>
      </c>
    </row>
    <row r="4127">
      <c r="A4127" s="21" t="str">
        <f t="shared" si="1"/>
        <v/>
      </c>
      <c r="B4127" s="38"/>
      <c r="C4127" s="23" t="s">
        <v>1829</v>
      </c>
      <c r="D4127" s="23" t="s">
        <v>21</v>
      </c>
      <c r="E4127" s="24">
        <v>45458.0</v>
      </c>
      <c r="F4127" s="25">
        <v>0.3451388888888889</v>
      </c>
      <c r="G4127" s="25">
        <v>0.6777777777777778</v>
      </c>
      <c r="H4127" s="27">
        <f t="shared" si="2"/>
        <v>0.3326388889</v>
      </c>
      <c r="I4127" s="28">
        <v>2.0</v>
      </c>
      <c r="J4127" s="39" t="s">
        <v>309</v>
      </c>
      <c r="K4127" s="30" t="s">
        <v>23</v>
      </c>
      <c r="L4127" s="31" t="str">
        <f>IFERROR(__xludf.DUMMYFUNCTION("IF(OR(E4127="""",K4127=""""),"""",IFERROR(IF(K4127="""","""",query('tbl user'!$A$2:$D10975,""SELECT A WHERE D = '""&amp;K4127&amp;""'"")),""USER TIDAK DIKETAHUI""))"),"#REF!")</f>
        <v>#REF!</v>
      </c>
    </row>
    <row r="4128">
      <c r="A4128" s="21" t="str">
        <f t="shared" si="1"/>
        <v/>
      </c>
      <c r="B4128" s="38"/>
      <c r="C4128" s="23" t="s">
        <v>1917</v>
      </c>
      <c r="D4128" s="23" t="s">
        <v>21</v>
      </c>
      <c r="E4128" s="24">
        <v>45458.0</v>
      </c>
      <c r="F4128" s="25">
        <v>0.2923611111111111</v>
      </c>
      <c r="G4128" s="25">
        <v>0.6319444444444444</v>
      </c>
      <c r="H4128" s="27">
        <f t="shared" si="2"/>
        <v>0.3395833333</v>
      </c>
      <c r="I4128" s="28">
        <v>2.0</v>
      </c>
      <c r="J4128" s="39" t="s">
        <v>1918</v>
      </c>
      <c r="K4128" s="30" t="s">
        <v>23</v>
      </c>
      <c r="L4128" s="31" t="str">
        <f>IFERROR(__xludf.DUMMYFUNCTION("IF(OR(E4128="""",K4128=""""),"""",IFERROR(IF(K4128="""","""",query('tbl user'!$A$2:$D10975,""SELECT A WHERE D = '""&amp;K4128&amp;""'"")),""USER TIDAK DIKETAHUI""))"),"#REF!")</f>
        <v>#REF!</v>
      </c>
    </row>
    <row r="4129">
      <c r="A4129" s="21" t="str">
        <f t="shared" si="1"/>
        <v/>
      </c>
      <c r="B4129" s="38"/>
      <c r="C4129" s="23" t="s">
        <v>1853</v>
      </c>
      <c r="D4129" s="23" t="s">
        <v>21</v>
      </c>
      <c r="E4129" s="24">
        <v>45458.0</v>
      </c>
      <c r="F4129" s="25">
        <v>0.28888888888888886</v>
      </c>
      <c r="G4129" s="25">
        <v>0.5930555555555556</v>
      </c>
      <c r="H4129" s="27">
        <f t="shared" si="2"/>
        <v>0.3041666667</v>
      </c>
      <c r="I4129" s="28">
        <v>2.0</v>
      </c>
      <c r="J4129" s="39" t="s">
        <v>1919</v>
      </c>
      <c r="K4129" s="30" t="s">
        <v>23</v>
      </c>
      <c r="L4129" s="31" t="str">
        <f>IFERROR(__xludf.DUMMYFUNCTION("IF(OR(E4129="""",K4129=""""),"""",IFERROR(IF(K4129="""","""",query('tbl user'!$A$2:$D10975,""SELECT A WHERE D = '""&amp;K4129&amp;""'"")),""USER TIDAK DIKETAHUI""))"),"#REF!")</f>
        <v>#REF!</v>
      </c>
    </row>
    <row r="4130">
      <c r="A4130" s="21" t="str">
        <f t="shared" si="1"/>
        <v/>
      </c>
      <c r="B4130" s="38"/>
      <c r="C4130" s="23" t="s">
        <v>1920</v>
      </c>
      <c r="D4130" s="23" t="s">
        <v>21</v>
      </c>
      <c r="E4130" s="24">
        <v>45458.0</v>
      </c>
      <c r="F4130" s="25">
        <v>0.28402777777777777</v>
      </c>
      <c r="G4130" s="25">
        <v>0.6333333333333333</v>
      </c>
      <c r="H4130" s="27">
        <f t="shared" si="2"/>
        <v>0.3493055556</v>
      </c>
      <c r="I4130" s="28">
        <v>2.0</v>
      </c>
      <c r="J4130" s="39" t="s">
        <v>1918</v>
      </c>
      <c r="K4130" s="30" t="s">
        <v>23</v>
      </c>
      <c r="L4130" s="31" t="str">
        <f>IFERROR(__xludf.DUMMYFUNCTION("IF(OR(E4130="""",K4130=""""),"""",IFERROR(IF(K4130="""","""",query('tbl user'!$A$2:$D10975,""SELECT A WHERE D = '""&amp;K4130&amp;""'"")),""USER TIDAK DIKETAHUI""))"),"#REF!")</f>
        <v>#REF!</v>
      </c>
    </row>
    <row r="4131">
      <c r="A4131" s="21" t="str">
        <f t="shared" si="1"/>
        <v/>
      </c>
      <c r="B4131" s="38"/>
      <c r="C4131" s="23" t="s">
        <v>1830</v>
      </c>
      <c r="D4131" s="23" t="s">
        <v>21</v>
      </c>
      <c r="E4131" s="24">
        <v>45458.0</v>
      </c>
      <c r="F4131" s="25">
        <v>0.2569444444444444</v>
      </c>
      <c r="G4131" s="25">
        <v>0.6041666666666666</v>
      </c>
      <c r="H4131" s="27">
        <f t="shared" si="2"/>
        <v>0.3472222222</v>
      </c>
      <c r="I4131" s="28">
        <v>2.0</v>
      </c>
      <c r="J4131" s="39" t="s">
        <v>1921</v>
      </c>
      <c r="K4131" s="30" t="s">
        <v>23</v>
      </c>
      <c r="L4131" s="31" t="str">
        <f>IFERROR(__xludf.DUMMYFUNCTION("IF(OR(E4131="""",K4131=""""),"""",IFERROR(IF(K4131="""","""",query('tbl user'!$A$2:$D10975,""SELECT A WHERE D = '""&amp;K4131&amp;""'"")),""USER TIDAK DIKETAHUI""))"),"#REF!")</f>
        <v>#REF!</v>
      </c>
    </row>
    <row r="4132">
      <c r="A4132" s="21" t="str">
        <f t="shared" si="1"/>
        <v/>
      </c>
      <c r="B4132" s="38"/>
      <c r="C4132" s="23" t="s">
        <v>1832</v>
      </c>
      <c r="D4132" s="23" t="s">
        <v>21</v>
      </c>
      <c r="E4132" s="24">
        <v>45458.0</v>
      </c>
      <c r="F4132" s="25">
        <v>0.2923611111111111</v>
      </c>
      <c r="G4132" s="25">
        <v>0.6493055555555556</v>
      </c>
      <c r="H4132" s="27">
        <f t="shared" si="2"/>
        <v>0.3569444444</v>
      </c>
      <c r="I4132" s="28">
        <v>2.0</v>
      </c>
      <c r="J4132" s="39" t="s">
        <v>1918</v>
      </c>
      <c r="K4132" s="30" t="s">
        <v>23</v>
      </c>
      <c r="L4132" s="31" t="str">
        <f>IFERROR(__xludf.DUMMYFUNCTION("IF(OR(E4132="""",K4132=""""),"""",IFERROR(IF(K4132="""","""",query('tbl user'!$A$2:$D10975,""SELECT A WHERE D = '""&amp;K4132&amp;""'"")),""USER TIDAK DIKETAHUI""))"),"#REF!")</f>
        <v>#REF!</v>
      </c>
    </row>
    <row r="4133">
      <c r="A4133" s="21" t="str">
        <f t="shared" si="1"/>
        <v/>
      </c>
      <c r="B4133" s="38"/>
      <c r="C4133" s="23" t="s">
        <v>1922</v>
      </c>
      <c r="D4133" s="23" t="s">
        <v>21</v>
      </c>
      <c r="E4133" s="24">
        <v>45458.0</v>
      </c>
      <c r="F4133" s="25">
        <v>0.2923611111111111</v>
      </c>
      <c r="G4133" s="25">
        <v>0.6388888888888888</v>
      </c>
      <c r="H4133" s="27">
        <f t="shared" si="2"/>
        <v>0.3465277778</v>
      </c>
      <c r="I4133" s="28">
        <v>2.0</v>
      </c>
      <c r="J4133" s="39" t="s">
        <v>1918</v>
      </c>
      <c r="K4133" s="30" t="s">
        <v>23</v>
      </c>
      <c r="L4133" s="31" t="str">
        <f>IFERROR(__xludf.DUMMYFUNCTION("IF(OR(E4133="""",K4133=""""),"""",IFERROR(IF(K4133="""","""",query('tbl user'!$A$2:$D10975,""SELECT A WHERE D = '""&amp;K4133&amp;""'"")),""USER TIDAK DIKETAHUI""))"),"#REF!")</f>
        <v>#REF!</v>
      </c>
    </row>
    <row r="4134">
      <c r="A4134" s="21" t="str">
        <f t="shared" si="1"/>
        <v/>
      </c>
      <c r="B4134" s="38"/>
      <c r="C4134" s="23" t="s">
        <v>1923</v>
      </c>
      <c r="D4134" s="23" t="s">
        <v>21</v>
      </c>
      <c r="E4134" s="24">
        <v>45458.0</v>
      </c>
      <c r="F4134" s="25">
        <v>0.275</v>
      </c>
      <c r="G4134" s="25">
        <v>0.6486111111111111</v>
      </c>
      <c r="H4134" s="27">
        <f t="shared" si="2"/>
        <v>0.3736111111</v>
      </c>
      <c r="I4134" s="28">
        <v>2.0</v>
      </c>
      <c r="J4134" s="39" t="s">
        <v>1918</v>
      </c>
      <c r="K4134" s="30" t="s">
        <v>23</v>
      </c>
      <c r="L4134" s="31" t="str">
        <f>IFERROR(__xludf.DUMMYFUNCTION("IF(OR(E4134="""",K4134=""""),"""",IFERROR(IF(K4134="""","""",query('tbl user'!$A$2:$D10975,""SELECT A WHERE D = '""&amp;K4134&amp;""'"")),""USER TIDAK DIKETAHUI""))"),"#REF!")</f>
        <v>#REF!</v>
      </c>
    </row>
    <row r="4135">
      <c r="A4135" s="21" t="str">
        <f t="shared" si="1"/>
        <v/>
      </c>
      <c r="B4135" s="38"/>
      <c r="C4135" s="23" t="s">
        <v>1833</v>
      </c>
      <c r="D4135" s="23" t="s">
        <v>21</v>
      </c>
      <c r="E4135" s="24">
        <v>45458.0</v>
      </c>
      <c r="F4135" s="25">
        <v>0.26875</v>
      </c>
      <c r="G4135" s="25">
        <v>0.6458333333333334</v>
      </c>
      <c r="H4135" s="27">
        <f t="shared" si="2"/>
        <v>0.3770833333</v>
      </c>
      <c r="I4135" s="28">
        <v>2.0</v>
      </c>
      <c r="J4135" s="39" t="s">
        <v>1924</v>
      </c>
      <c r="K4135" s="30" t="s">
        <v>23</v>
      </c>
      <c r="L4135" s="31" t="str">
        <f>IFERROR(__xludf.DUMMYFUNCTION("IF(OR(E4135="""",K4135=""""),"""",IFERROR(IF(K4135="""","""",query('tbl user'!$A$2:$D10975,""SELECT A WHERE D = '""&amp;K4135&amp;""'"")),""USER TIDAK DIKETAHUI""))"),"#REF!")</f>
        <v>#REF!</v>
      </c>
    </row>
    <row r="4136">
      <c r="A4136" s="21" t="str">
        <f t="shared" si="1"/>
        <v/>
      </c>
      <c r="B4136" s="38"/>
      <c r="C4136" s="23" t="s">
        <v>1844</v>
      </c>
      <c r="D4136" s="23" t="s">
        <v>21</v>
      </c>
      <c r="E4136" s="24">
        <v>45458.0</v>
      </c>
      <c r="F4136" s="25">
        <v>0.28958333333333336</v>
      </c>
      <c r="G4136" s="25">
        <v>0.6145833333333334</v>
      </c>
      <c r="H4136" s="27">
        <f t="shared" si="2"/>
        <v>0.325</v>
      </c>
      <c r="I4136" s="28">
        <v>2.0</v>
      </c>
      <c r="J4136" s="39" t="s">
        <v>1918</v>
      </c>
      <c r="K4136" s="30" t="s">
        <v>23</v>
      </c>
      <c r="L4136" s="31" t="str">
        <f>IFERROR(__xludf.DUMMYFUNCTION("IF(OR(E4136="""",K4136=""""),"""",IFERROR(IF(K4136="""","""",query('tbl user'!$A$2:$D10975,""SELECT A WHERE D = '""&amp;K4136&amp;""'"")),""USER TIDAK DIKETAHUI""))"),"#REF!")</f>
        <v>#REF!</v>
      </c>
    </row>
    <row r="4137">
      <c r="A4137" s="21" t="str">
        <f t="shared" si="1"/>
        <v/>
      </c>
      <c r="B4137" s="38"/>
      <c r="C4137" s="23" t="s">
        <v>1925</v>
      </c>
      <c r="D4137" s="23" t="s">
        <v>21</v>
      </c>
      <c r="E4137" s="24">
        <v>45458.0</v>
      </c>
      <c r="F4137" s="25">
        <v>0.26458333333333334</v>
      </c>
      <c r="G4137" s="25">
        <v>0.6319444444444444</v>
      </c>
      <c r="H4137" s="27">
        <f t="shared" si="2"/>
        <v>0.3673611111</v>
      </c>
      <c r="I4137" s="28">
        <v>2.0</v>
      </c>
      <c r="J4137" s="39" t="s">
        <v>1926</v>
      </c>
      <c r="K4137" s="30" t="s">
        <v>23</v>
      </c>
      <c r="L4137" s="31" t="str">
        <f>IFERROR(__xludf.DUMMYFUNCTION("IF(OR(E4137="""",K4137=""""),"""",IFERROR(IF(K4137="""","""",query('tbl user'!$A$2:$D10975,""SELECT A WHERE D = '""&amp;K4137&amp;""'"")),""USER TIDAK DIKETAHUI""))"),"#REF!")</f>
        <v>#REF!</v>
      </c>
    </row>
    <row r="4138">
      <c r="A4138" s="21" t="str">
        <f t="shared" si="1"/>
        <v/>
      </c>
      <c r="B4138" s="38"/>
      <c r="C4138" s="23" t="s">
        <v>1845</v>
      </c>
      <c r="D4138" s="23" t="s">
        <v>21</v>
      </c>
      <c r="E4138" s="24">
        <v>45458.0</v>
      </c>
      <c r="F4138" s="25">
        <v>0.28958333333333336</v>
      </c>
      <c r="G4138" s="25">
        <v>0.6145833333333334</v>
      </c>
      <c r="H4138" s="27">
        <f t="shared" si="2"/>
        <v>0.325</v>
      </c>
      <c r="I4138" s="28">
        <v>2.0</v>
      </c>
      <c r="J4138" s="39" t="s">
        <v>1918</v>
      </c>
      <c r="K4138" s="30" t="s">
        <v>23</v>
      </c>
      <c r="L4138" s="31" t="str">
        <f>IFERROR(__xludf.DUMMYFUNCTION("IF(OR(E4138="""",K4138=""""),"""",IFERROR(IF(K4138="""","""",query('tbl user'!$A$2:$D10975,""SELECT A WHERE D = '""&amp;K4138&amp;""'"")),""USER TIDAK DIKETAHUI""))"),"#REF!")</f>
        <v>#REF!</v>
      </c>
    </row>
    <row r="4139">
      <c r="A4139" s="21" t="str">
        <f t="shared" si="1"/>
        <v/>
      </c>
      <c r="B4139" s="38"/>
      <c r="C4139" s="23" t="s">
        <v>1858</v>
      </c>
      <c r="D4139" s="23" t="s">
        <v>21</v>
      </c>
      <c r="E4139" s="24">
        <v>45458.0</v>
      </c>
      <c r="F4139" s="25">
        <v>0.28680555555555554</v>
      </c>
      <c r="G4139" s="25">
        <v>0.5694444444444444</v>
      </c>
      <c r="H4139" s="27">
        <f t="shared" si="2"/>
        <v>0.2826388889</v>
      </c>
      <c r="I4139" s="28">
        <v>2.0</v>
      </c>
      <c r="J4139" s="39" t="s">
        <v>1927</v>
      </c>
      <c r="K4139" s="30" t="s">
        <v>23</v>
      </c>
      <c r="L4139" s="31" t="str">
        <f>IFERROR(__xludf.DUMMYFUNCTION("IF(OR(E4139="""",K4139=""""),"""",IFERROR(IF(K4139="""","""",query('tbl user'!$A$2:$D10975,""SELECT A WHERE D = '""&amp;K4139&amp;""'"")),""USER TIDAK DIKETAHUI""))"),"#REF!")</f>
        <v>#REF!</v>
      </c>
    </row>
    <row r="4140">
      <c r="A4140" s="21" t="str">
        <f t="shared" si="1"/>
        <v/>
      </c>
      <c r="B4140" s="38"/>
      <c r="C4140" s="23" t="s">
        <v>1928</v>
      </c>
      <c r="D4140" s="23" t="s">
        <v>21</v>
      </c>
      <c r="E4140" s="24">
        <v>45458.0</v>
      </c>
      <c r="F4140" s="25">
        <v>0.2875</v>
      </c>
      <c r="G4140" s="25">
        <v>0.6513888888888889</v>
      </c>
      <c r="H4140" s="27">
        <f t="shared" si="2"/>
        <v>0.3638888889</v>
      </c>
      <c r="I4140" s="28">
        <v>2.0</v>
      </c>
      <c r="J4140" s="39" t="s">
        <v>1918</v>
      </c>
      <c r="K4140" s="30" t="s">
        <v>23</v>
      </c>
      <c r="L4140" s="31" t="str">
        <f>IFERROR(__xludf.DUMMYFUNCTION("IF(OR(E4140="""",K4140=""""),"""",IFERROR(IF(K4140="""","""",query('tbl user'!$A$2:$D10975,""SELECT A WHERE D = '""&amp;K4140&amp;""'"")),""USER TIDAK DIKETAHUI""))"),"#REF!")</f>
        <v>#REF!</v>
      </c>
    </row>
    <row r="4141">
      <c r="A4141" s="21" t="str">
        <f t="shared" si="1"/>
        <v/>
      </c>
      <c r="B4141" s="38"/>
      <c r="C4141" s="23" t="s">
        <v>1850</v>
      </c>
      <c r="D4141" s="23" t="s">
        <v>21</v>
      </c>
      <c r="E4141" s="24">
        <v>45458.0</v>
      </c>
      <c r="F4141" s="25">
        <v>0.3125</v>
      </c>
      <c r="G4141" s="25">
        <v>0.65</v>
      </c>
      <c r="H4141" s="27">
        <f t="shared" si="2"/>
        <v>0.3375</v>
      </c>
      <c r="I4141" s="28">
        <v>2.0</v>
      </c>
      <c r="J4141" s="39" t="s">
        <v>1918</v>
      </c>
      <c r="K4141" s="30" t="s">
        <v>23</v>
      </c>
      <c r="L4141" s="31" t="str">
        <f>IFERROR(__xludf.DUMMYFUNCTION("IF(OR(E4141="""",K4141=""""),"""",IFERROR(IF(K4141="""","""",query('tbl user'!$A$2:$D10975,""SELECT A WHERE D = '""&amp;K4141&amp;""'"")),""USER TIDAK DIKETAHUI""))"),"#REF!")</f>
        <v>#REF!</v>
      </c>
    </row>
    <row r="4142">
      <c r="A4142" s="21" t="str">
        <f t="shared" si="1"/>
        <v/>
      </c>
      <c r="B4142" s="38"/>
      <c r="C4142" s="23" t="s">
        <v>1851</v>
      </c>
      <c r="D4142" s="23" t="s">
        <v>21</v>
      </c>
      <c r="E4142" s="24">
        <v>45458.0</v>
      </c>
      <c r="F4142" s="25">
        <v>0.29444444444444445</v>
      </c>
      <c r="G4142" s="25">
        <v>0.675</v>
      </c>
      <c r="H4142" s="27">
        <f t="shared" si="2"/>
        <v>0.3805555556</v>
      </c>
      <c r="I4142" s="28">
        <v>3.0</v>
      </c>
      <c r="J4142" s="39" t="s">
        <v>1918</v>
      </c>
      <c r="K4142" s="30" t="s">
        <v>23</v>
      </c>
      <c r="L4142" s="31" t="str">
        <f>IFERROR(__xludf.DUMMYFUNCTION("IF(OR(E4142="""",K4142=""""),"""",IFERROR(IF(K4142="""","""",query('tbl user'!$A$2:$D10975,""SELECT A WHERE D = '""&amp;K4142&amp;""'"")),""USER TIDAK DIKETAHUI""))"),"#REF!")</f>
        <v>#REF!</v>
      </c>
    </row>
    <row r="4143">
      <c r="A4143" s="21" t="str">
        <f t="shared" si="1"/>
        <v/>
      </c>
      <c r="B4143" s="38"/>
      <c r="C4143" s="23" t="s">
        <v>1839</v>
      </c>
      <c r="D4143" s="23" t="s">
        <v>21</v>
      </c>
      <c r="E4143" s="24">
        <v>45458.0</v>
      </c>
      <c r="F4143" s="25">
        <v>0.2798611111111111</v>
      </c>
      <c r="G4143" s="25">
        <v>0.6861111111111111</v>
      </c>
      <c r="H4143" s="27">
        <f t="shared" si="2"/>
        <v>0.40625</v>
      </c>
      <c r="I4143" s="28">
        <v>3.0</v>
      </c>
      <c r="J4143" s="39" t="s">
        <v>1918</v>
      </c>
      <c r="K4143" s="30" t="s">
        <v>23</v>
      </c>
      <c r="L4143" s="31" t="str">
        <f>IFERROR(__xludf.DUMMYFUNCTION("IF(OR(E4143="""",K4143=""""),"""",IFERROR(IF(K4143="""","""",query('tbl user'!$A$2:$D10975,""SELECT A WHERE D = '""&amp;K4143&amp;""'"")),""USER TIDAK DIKETAHUI""))"),"#REF!")</f>
        <v>#REF!</v>
      </c>
    </row>
    <row r="4144">
      <c r="A4144" s="21" t="str">
        <f t="shared" si="1"/>
        <v/>
      </c>
      <c r="B4144" s="38"/>
      <c r="C4144" s="23" t="s">
        <v>1929</v>
      </c>
      <c r="D4144" s="23" t="s">
        <v>21</v>
      </c>
      <c r="E4144" s="24">
        <v>45458.0</v>
      </c>
      <c r="F4144" s="25">
        <v>0.2722222222222222</v>
      </c>
      <c r="G4144" s="25">
        <v>0.7152777777777778</v>
      </c>
      <c r="H4144" s="27">
        <f t="shared" si="2"/>
        <v>0.4430555556</v>
      </c>
      <c r="I4144" s="28">
        <v>3.0</v>
      </c>
      <c r="J4144" s="39" t="s">
        <v>1918</v>
      </c>
      <c r="K4144" s="30" t="s">
        <v>23</v>
      </c>
      <c r="L4144" s="31" t="str">
        <f>IFERROR(__xludf.DUMMYFUNCTION("IF(OR(E4144="""",K4144=""""),"""",IFERROR(IF(K4144="""","""",query('tbl user'!$A$2:$D10975,""SELECT A WHERE D = '""&amp;K4144&amp;""'"")),""USER TIDAK DIKETAHUI""))"),"#REF!")</f>
        <v>#REF!</v>
      </c>
    </row>
    <row r="4145">
      <c r="A4145" s="21" t="str">
        <f t="shared" si="1"/>
        <v/>
      </c>
      <c r="B4145" s="38"/>
      <c r="C4145" s="23" t="s">
        <v>1854</v>
      </c>
      <c r="D4145" s="23" t="s">
        <v>21</v>
      </c>
      <c r="E4145" s="24">
        <v>45458.0</v>
      </c>
      <c r="F4145" s="25">
        <v>0.2361111111111111</v>
      </c>
      <c r="G4145" s="25">
        <v>0.6875</v>
      </c>
      <c r="H4145" s="27">
        <f t="shared" si="2"/>
        <v>0.4513888889</v>
      </c>
      <c r="I4145" s="28">
        <v>3.0</v>
      </c>
      <c r="J4145" s="39" t="s">
        <v>1918</v>
      </c>
      <c r="K4145" s="30" t="s">
        <v>23</v>
      </c>
      <c r="L4145" s="31" t="str">
        <f>IFERROR(__xludf.DUMMYFUNCTION("IF(OR(E4145="""",K4145=""""),"""",IFERROR(IF(K4145="""","""",query('tbl user'!$A$2:$D10975,""SELECT A WHERE D = '""&amp;K4145&amp;""'"")),""USER TIDAK DIKETAHUI""))"),"#REF!")</f>
        <v>#REF!</v>
      </c>
    </row>
    <row r="4146">
      <c r="A4146" s="21" t="str">
        <f t="shared" si="1"/>
        <v/>
      </c>
      <c r="B4146" s="38"/>
      <c r="C4146" s="23" t="s">
        <v>1930</v>
      </c>
      <c r="D4146" s="23" t="s">
        <v>21</v>
      </c>
      <c r="E4146" s="24">
        <v>45458.0</v>
      </c>
      <c r="F4146" s="25">
        <v>0.2875</v>
      </c>
      <c r="G4146" s="25">
        <v>0.6930555555555555</v>
      </c>
      <c r="H4146" s="27">
        <f t="shared" si="2"/>
        <v>0.4055555556</v>
      </c>
      <c r="I4146" s="28">
        <v>3.0</v>
      </c>
      <c r="J4146" s="39" t="s">
        <v>1931</v>
      </c>
      <c r="K4146" s="30" t="s">
        <v>23</v>
      </c>
      <c r="L4146" s="31" t="str">
        <f>IFERROR(__xludf.DUMMYFUNCTION("IF(OR(E4146="""",K4146=""""),"""",IFERROR(IF(K4146="""","""",query('tbl user'!$A$2:$D10975,""SELECT A WHERE D = '""&amp;K4146&amp;""'"")),""USER TIDAK DIKETAHUI""))"),"#REF!")</f>
        <v>#REF!</v>
      </c>
    </row>
    <row r="4147">
      <c r="A4147" s="21" t="str">
        <f t="shared" si="1"/>
        <v/>
      </c>
      <c r="B4147" s="38"/>
      <c r="C4147" s="23" t="s">
        <v>1856</v>
      </c>
      <c r="D4147" s="23" t="s">
        <v>21</v>
      </c>
      <c r="E4147" s="24">
        <v>45458.0</v>
      </c>
      <c r="F4147" s="25">
        <v>0.24027777777777778</v>
      </c>
      <c r="G4147" s="25">
        <v>0.6604166666666667</v>
      </c>
      <c r="H4147" s="27">
        <f t="shared" si="2"/>
        <v>0.4201388889</v>
      </c>
      <c r="I4147" s="28">
        <v>3.0</v>
      </c>
      <c r="J4147" s="39" t="s">
        <v>1932</v>
      </c>
      <c r="K4147" s="30" t="s">
        <v>23</v>
      </c>
      <c r="L4147" s="31" t="str">
        <f>IFERROR(__xludf.DUMMYFUNCTION("IF(OR(E4147="""",K4147=""""),"""",IFERROR(IF(K4147="""","""",query('tbl user'!$A$2:$D10975,""SELECT A WHERE D = '""&amp;K4147&amp;""'"")),""USER TIDAK DIKETAHUI""))"),"#REF!")</f>
        <v>#REF!</v>
      </c>
    </row>
    <row r="4148">
      <c r="A4148" s="21" t="str">
        <f t="shared" si="1"/>
        <v/>
      </c>
      <c r="B4148" s="38"/>
      <c r="C4148" s="23" t="s">
        <v>1857</v>
      </c>
      <c r="D4148" s="23" t="s">
        <v>21</v>
      </c>
      <c r="E4148" s="24">
        <v>45458.0</v>
      </c>
      <c r="F4148" s="25">
        <v>0.2569444444444444</v>
      </c>
      <c r="G4148" s="25">
        <v>0.6631944444444444</v>
      </c>
      <c r="H4148" s="27">
        <f t="shared" si="2"/>
        <v>0.40625</v>
      </c>
      <c r="I4148" s="28">
        <v>3.0</v>
      </c>
      <c r="J4148" s="39" t="s">
        <v>1918</v>
      </c>
      <c r="K4148" s="30" t="s">
        <v>23</v>
      </c>
      <c r="L4148" s="31" t="str">
        <f>IFERROR(__xludf.DUMMYFUNCTION("IF(OR(E4148="""",K4148=""""),"""",IFERROR(IF(K4148="""","""",query('tbl user'!$A$2:$D10975,""SELECT A WHERE D = '""&amp;K4148&amp;""'"")),""USER TIDAK DIKETAHUI""))"),"#REF!")</f>
        <v>#REF!</v>
      </c>
    </row>
    <row r="4149">
      <c r="A4149" s="21" t="str">
        <f t="shared" si="1"/>
        <v/>
      </c>
      <c r="B4149" s="38"/>
      <c r="C4149" s="23" t="s">
        <v>1837</v>
      </c>
      <c r="D4149" s="23" t="s">
        <v>21</v>
      </c>
      <c r="E4149" s="24">
        <v>45458.0</v>
      </c>
      <c r="F4149" s="25">
        <v>0.2375</v>
      </c>
      <c r="G4149" s="25">
        <v>0.6548611111111111</v>
      </c>
      <c r="H4149" s="27">
        <f t="shared" si="2"/>
        <v>0.4173611111</v>
      </c>
      <c r="I4149" s="28">
        <v>3.0</v>
      </c>
      <c r="J4149" s="39" t="s">
        <v>1933</v>
      </c>
      <c r="K4149" s="30" t="s">
        <v>23</v>
      </c>
      <c r="L4149" s="31" t="str">
        <f>IFERROR(__xludf.DUMMYFUNCTION("IF(OR(E4149="""",K4149=""""),"""",IFERROR(IF(K4149="""","""",query('tbl user'!$A$2:$D10975,""SELECT A WHERE D = '""&amp;K4149&amp;""'"")),""USER TIDAK DIKETAHUI""))"),"#REF!")</f>
        <v>#REF!</v>
      </c>
    </row>
    <row r="4150">
      <c r="A4150" s="21" t="str">
        <f t="shared" si="1"/>
        <v/>
      </c>
      <c r="B4150" s="38"/>
      <c r="C4150" s="23" t="s">
        <v>1847</v>
      </c>
      <c r="D4150" s="23" t="s">
        <v>21</v>
      </c>
      <c r="E4150" s="24">
        <v>45458.0</v>
      </c>
      <c r="F4150" s="25">
        <v>0.23680555555555555</v>
      </c>
      <c r="G4150" s="25">
        <v>0.68125</v>
      </c>
      <c r="H4150" s="27">
        <f t="shared" si="2"/>
        <v>0.4444444444</v>
      </c>
      <c r="I4150" s="28">
        <v>3.0</v>
      </c>
      <c r="J4150" s="39" t="s">
        <v>1934</v>
      </c>
      <c r="K4150" s="30" t="s">
        <v>23</v>
      </c>
      <c r="L4150" s="31" t="str">
        <f>IFERROR(__xludf.DUMMYFUNCTION("IF(OR(E4150="""",K4150=""""),"""",IFERROR(IF(K4150="""","""",query('tbl user'!$A$2:$D10975,""SELECT A WHERE D = '""&amp;K4150&amp;""'"")),""USER TIDAK DIKETAHUI""))"),"#REF!")</f>
        <v>#REF!</v>
      </c>
    </row>
    <row r="4151">
      <c r="A4151" s="21" t="str">
        <f t="shared" si="1"/>
        <v/>
      </c>
      <c r="B4151" s="38"/>
      <c r="C4151" s="23" t="s">
        <v>1935</v>
      </c>
      <c r="D4151" s="23" t="s">
        <v>21</v>
      </c>
      <c r="E4151" s="24">
        <v>45458.0</v>
      </c>
      <c r="F4151" s="25">
        <v>0.2625</v>
      </c>
      <c r="G4151" s="25">
        <v>0.6666666666666666</v>
      </c>
      <c r="H4151" s="27">
        <f t="shared" si="2"/>
        <v>0.4041666667</v>
      </c>
      <c r="I4151" s="28">
        <v>3.0</v>
      </c>
      <c r="J4151" s="39" t="s">
        <v>1918</v>
      </c>
      <c r="K4151" s="30" t="s">
        <v>23</v>
      </c>
      <c r="L4151" s="31" t="str">
        <f>IFERROR(__xludf.DUMMYFUNCTION("IF(OR(E4151="""",K4151=""""),"""",IFERROR(IF(K4151="""","""",query('tbl user'!$A$2:$D10975,""SELECT A WHERE D = '""&amp;K4151&amp;""'"")),""USER TIDAK DIKETAHUI""))"),"#REF!")</f>
        <v>#REF!</v>
      </c>
    </row>
    <row r="4152">
      <c r="A4152" s="21" t="str">
        <f t="shared" si="1"/>
        <v/>
      </c>
      <c r="B4152" s="38"/>
      <c r="C4152" s="23" t="s">
        <v>1878</v>
      </c>
      <c r="D4152" s="23" t="s">
        <v>58</v>
      </c>
      <c r="E4152" s="24">
        <v>45458.0</v>
      </c>
      <c r="F4152" s="25">
        <v>0.29444444444444445</v>
      </c>
      <c r="G4152" s="25">
        <v>0.5444444444444444</v>
      </c>
      <c r="H4152" s="27">
        <f t="shared" si="2"/>
        <v>0.25</v>
      </c>
      <c r="I4152" s="28">
        <v>1.0</v>
      </c>
      <c r="J4152" s="39" t="s">
        <v>1936</v>
      </c>
      <c r="K4152" s="30" t="s">
        <v>23</v>
      </c>
      <c r="L4152" s="31" t="str">
        <f>IFERROR(__xludf.DUMMYFUNCTION("IF(OR(E4152="""",K4152=""""),"""",IFERROR(IF(K4152="""","""",query('tbl user'!$A$2:$D10975,""SELECT A WHERE D = '""&amp;K4152&amp;""'"")),""USER TIDAK DIKETAHUI""))"),"#REF!")</f>
        <v>#REF!</v>
      </c>
    </row>
    <row r="4153">
      <c r="A4153" s="21" t="str">
        <f t="shared" si="1"/>
        <v/>
      </c>
      <c r="B4153" s="38"/>
      <c r="C4153" s="23" t="s">
        <v>1869</v>
      </c>
      <c r="D4153" s="23" t="s">
        <v>58</v>
      </c>
      <c r="E4153" s="24">
        <v>45458.0</v>
      </c>
      <c r="F4153" s="25">
        <v>0.2923611111111111</v>
      </c>
      <c r="G4153" s="25">
        <v>0.6180555555555556</v>
      </c>
      <c r="H4153" s="27">
        <f t="shared" si="2"/>
        <v>0.3256944444</v>
      </c>
      <c r="I4153" s="28">
        <v>1.0</v>
      </c>
      <c r="J4153" s="39" t="s">
        <v>1937</v>
      </c>
      <c r="K4153" s="30" t="s">
        <v>23</v>
      </c>
      <c r="L4153" s="31" t="str">
        <f>IFERROR(__xludf.DUMMYFUNCTION("IF(OR(E4153="""",K4153=""""),"""",IFERROR(IF(K4153="""","""",query('tbl user'!$A$2:$D10975,""SELECT A WHERE D = '""&amp;K4153&amp;""'"")),""USER TIDAK DIKETAHUI""))"),"#REF!")</f>
        <v>#REF!</v>
      </c>
    </row>
    <row r="4154">
      <c r="A4154" s="21" t="str">
        <f t="shared" si="1"/>
        <v/>
      </c>
      <c r="B4154" s="38"/>
      <c r="C4154" s="23" t="s">
        <v>1881</v>
      </c>
      <c r="D4154" s="23" t="s">
        <v>58</v>
      </c>
      <c r="E4154" s="24">
        <v>45458.0</v>
      </c>
      <c r="F4154" s="25">
        <v>0.275</v>
      </c>
      <c r="G4154" s="25">
        <v>0.5201388888888889</v>
      </c>
      <c r="H4154" s="27">
        <f t="shared" si="2"/>
        <v>0.2451388889</v>
      </c>
      <c r="I4154" s="28">
        <v>1.0</v>
      </c>
      <c r="J4154" s="39" t="s">
        <v>1938</v>
      </c>
      <c r="K4154" s="30" t="s">
        <v>23</v>
      </c>
      <c r="L4154" s="31" t="str">
        <f>IFERROR(__xludf.DUMMYFUNCTION("IF(OR(E4154="""",K4154=""""),"""",IFERROR(IF(K4154="""","""",query('tbl user'!$A$2:$D10975,""SELECT A WHERE D = '""&amp;K4154&amp;""'"")),""USER TIDAK DIKETAHUI""))"),"#REF!")</f>
        <v>#REF!</v>
      </c>
    </row>
    <row r="4155">
      <c r="A4155" s="21" t="str">
        <f t="shared" si="1"/>
        <v/>
      </c>
      <c r="B4155" s="38"/>
      <c r="C4155" s="23" t="s">
        <v>1887</v>
      </c>
      <c r="D4155" s="23" t="s">
        <v>58</v>
      </c>
      <c r="E4155" s="24">
        <v>45458.0</v>
      </c>
      <c r="F4155" s="25">
        <v>0.29097222222222224</v>
      </c>
      <c r="G4155" s="25">
        <v>0.5840277777777778</v>
      </c>
      <c r="H4155" s="27">
        <f t="shared" si="2"/>
        <v>0.2930555556</v>
      </c>
      <c r="I4155" s="28">
        <v>1.0</v>
      </c>
      <c r="J4155" s="39" t="s">
        <v>1939</v>
      </c>
      <c r="K4155" s="30" t="s">
        <v>23</v>
      </c>
      <c r="L4155" s="31" t="str">
        <f>IFERROR(__xludf.DUMMYFUNCTION("IF(OR(E4155="""",K4155=""""),"""",IFERROR(IF(K4155="""","""",query('tbl user'!$A$2:$D10975,""SELECT A WHERE D = '""&amp;K4155&amp;""'"")),""USER TIDAK DIKETAHUI""))"),"#REF!")</f>
        <v>#REF!</v>
      </c>
    </row>
    <row r="4156">
      <c r="A4156" s="21" t="str">
        <f t="shared" si="1"/>
        <v/>
      </c>
      <c r="B4156" s="38"/>
      <c r="C4156" s="23" t="s">
        <v>1861</v>
      </c>
      <c r="D4156" s="23" t="s">
        <v>58</v>
      </c>
      <c r="E4156" s="24">
        <v>45458.0</v>
      </c>
      <c r="F4156" s="25">
        <v>0.27569444444444446</v>
      </c>
      <c r="G4156" s="25">
        <v>0.3854166666666667</v>
      </c>
      <c r="H4156" s="27">
        <f t="shared" si="2"/>
        <v>0.1097222222</v>
      </c>
      <c r="I4156" s="28">
        <v>1.0</v>
      </c>
      <c r="J4156" s="39" t="s">
        <v>1940</v>
      </c>
      <c r="K4156" s="30" t="s">
        <v>23</v>
      </c>
      <c r="L4156" s="31" t="str">
        <f>IFERROR(__xludf.DUMMYFUNCTION("IF(OR(E4156="""",K4156=""""),"""",IFERROR(IF(K4156="""","""",query('tbl user'!$A$2:$D10975,""SELECT A WHERE D = '""&amp;K4156&amp;""'"")),""USER TIDAK DIKETAHUI""))"),"#REF!")</f>
        <v>#REF!</v>
      </c>
    </row>
    <row r="4157">
      <c r="A4157" s="21" t="str">
        <f t="shared" si="1"/>
        <v/>
      </c>
      <c r="B4157" s="38"/>
      <c r="C4157" s="23" t="s">
        <v>1941</v>
      </c>
      <c r="D4157" s="23" t="s">
        <v>58</v>
      </c>
      <c r="E4157" s="24">
        <v>45458.0</v>
      </c>
      <c r="F4157" s="25">
        <v>0.2520833333333333</v>
      </c>
      <c r="G4157" s="25">
        <v>0.5208333333333334</v>
      </c>
      <c r="H4157" s="27">
        <f t="shared" si="2"/>
        <v>0.26875</v>
      </c>
      <c r="I4157" s="28">
        <v>2.0</v>
      </c>
      <c r="J4157" s="39" t="s">
        <v>1942</v>
      </c>
      <c r="K4157" s="30" t="s">
        <v>23</v>
      </c>
      <c r="L4157" s="31" t="str">
        <f>IFERROR(__xludf.DUMMYFUNCTION("IF(OR(E4157="""",K4157=""""),"""",IFERROR(IF(K4157="""","""",query('tbl user'!$A$2:$D10975,""SELECT A WHERE D = '""&amp;K4157&amp;""'"")),""USER TIDAK DIKETAHUI""))"),"#REF!")</f>
        <v>#REF!</v>
      </c>
    </row>
    <row r="4158">
      <c r="A4158" s="21" t="str">
        <f t="shared" si="1"/>
        <v/>
      </c>
      <c r="B4158" s="38"/>
      <c r="C4158" s="23" t="s">
        <v>1879</v>
      </c>
      <c r="D4158" s="23" t="s">
        <v>58</v>
      </c>
      <c r="E4158" s="24">
        <v>45458.0</v>
      </c>
      <c r="F4158" s="25">
        <v>0.22847222222222222</v>
      </c>
      <c r="G4158" s="25">
        <v>0.475</v>
      </c>
      <c r="H4158" s="27">
        <f t="shared" si="2"/>
        <v>0.2465277778</v>
      </c>
      <c r="I4158" s="28">
        <v>2.0</v>
      </c>
      <c r="J4158" s="39" t="s">
        <v>1943</v>
      </c>
      <c r="K4158" s="30" t="s">
        <v>23</v>
      </c>
      <c r="L4158" s="31" t="str">
        <f>IFERROR(__xludf.DUMMYFUNCTION("IF(OR(E4158="""",K4158=""""),"""",IFERROR(IF(K4158="""","""",query('tbl user'!$A$2:$D10975,""SELECT A WHERE D = '""&amp;K4158&amp;""'"")),""USER TIDAK DIKETAHUI""))"),"#REF!")</f>
        <v>#REF!</v>
      </c>
    </row>
    <row r="4159">
      <c r="A4159" s="21" t="str">
        <f t="shared" si="1"/>
        <v/>
      </c>
      <c r="B4159" s="38"/>
      <c r="C4159" s="23" t="s">
        <v>1886</v>
      </c>
      <c r="D4159" s="23" t="s">
        <v>58</v>
      </c>
      <c r="E4159" s="24">
        <v>45458.0</v>
      </c>
      <c r="F4159" s="25">
        <v>0.2152777777777778</v>
      </c>
      <c r="G4159" s="25">
        <v>0.4305555555555556</v>
      </c>
      <c r="H4159" s="27">
        <f t="shared" si="2"/>
        <v>0.2152777778</v>
      </c>
      <c r="I4159" s="28">
        <v>2.0</v>
      </c>
      <c r="J4159" s="39" t="s">
        <v>1944</v>
      </c>
      <c r="K4159" s="30" t="s">
        <v>23</v>
      </c>
      <c r="L4159" s="31" t="str">
        <f>IFERROR(__xludf.DUMMYFUNCTION("IF(OR(E4159="""",K4159=""""),"""",IFERROR(IF(K4159="""","""",query('tbl user'!$A$2:$D10975,""SELECT A WHERE D = '""&amp;K4159&amp;""'"")),""USER TIDAK DIKETAHUI""))"),"#REF!")</f>
        <v>#REF!</v>
      </c>
    </row>
    <row r="4160">
      <c r="A4160" s="21" t="str">
        <f t="shared" si="1"/>
        <v/>
      </c>
      <c r="B4160" s="38"/>
      <c r="C4160" s="23" t="s">
        <v>1890</v>
      </c>
      <c r="D4160" s="23" t="s">
        <v>58</v>
      </c>
      <c r="E4160" s="24">
        <v>45458.0</v>
      </c>
      <c r="F4160" s="25">
        <v>0.5277777777777778</v>
      </c>
      <c r="G4160" s="25">
        <v>0.6277777777777778</v>
      </c>
      <c r="H4160" s="27">
        <f t="shared" si="2"/>
        <v>0.1</v>
      </c>
      <c r="I4160" s="28">
        <v>2.0</v>
      </c>
      <c r="J4160" s="39" t="s">
        <v>1945</v>
      </c>
      <c r="K4160" s="30" t="s">
        <v>23</v>
      </c>
      <c r="L4160" s="31" t="str">
        <f>IFERROR(__xludf.DUMMYFUNCTION("IF(OR(E4160="""",K4160=""""),"""",IFERROR(IF(K4160="""","""",query('tbl user'!$A$2:$D10975,""SELECT A WHERE D = '""&amp;K4160&amp;""'"")),""USER TIDAK DIKETAHUI""))"),"#REF!")</f>
        <v>#REF!</v>
      </c>
    </row>
    <row r="4161">
      <c r="A4161" s="21" t="str">
        <f t="shared" si="1"/>
        <v/>
      </c>
      <c r="B4161" s="38"/>
      <c r="C4161" s="23" t="s">
        <v>1860</v>
      </c>
      <c r="D4161" s="23" t="s">
        <v>58</v>
      </c>
      <c r="E4161" s="24">
        <v>45458.0</v>
      </c>
      <c r="F4161" s="25">
        <v>0.28125</v>
      </c>
      <c r="G4161" s="25">
        <v>0.6430555555555556</v>
      </c>
      <c r="H4161" s="27">
        <f t="shared" si="2"/>
        <v>0.3618055556</v>
      </c>
      <c r="I4161" s="28">
        <v>3.0</v>
      </c>
      <c r="J4161" s="39" t="s">
        <v>171</v>
      </c>
      <c r="K4161" s="30" t="s">
        <v>23</v>
      </c>
      <c r="L4161" s="31" t="str">
        <f>IFERROR(__xludf.DUMMYFUNCTION("IF(OR(E4161="""",K4161=""""),"""",IFERROR(IF(K4161="""","""",query('tbl user'!$A$2:$D10975,""SELECT A WHERE D = '""&amp;K4161&amp;""'"")),""USER TIDAK DIKETAHUI""))"),"#REF!")</f>
        <v>#REF!</v>
      </c>
    </row>
    <row r="4162">
      <c r="A4162" s="21" t="str">
        <f t="shared" si="1"/>
        <v/>
      </c>
      <c r="B4162" s="38"/>
      <c r="C4162" s="23" t="s">
        <v>1874</v>
      </c>
      <c r="D4162" s="23" t="s">
        <v>58</v>
      </c>
      <c r="E4162" s="24">
        <v>45458.0</v>
      </c>
      <c r="F4162" s="25">
        <v>0.2777777777777778</v>
      </c>
      <c r="G4162" s="25">
        <v>0.6347222222222222</v>
      </c>
      <c r="H4162" s="27">
        <f t="shared" si="2"/>
        <v>0.3569444444</v>
      </c>
      <c r="I4162" s="28">
        <v>3.0</v>
      </c>
      <c r="J4162" s="39" t="s">
        <v>1946</v>
      </c>
      <c r="K4162" s="30" t="s">
        <v>23</v>
      </c>
      <c r="L4162" s="31" t="str">
        <f>IFERROR(__xludf.DUMMYFUNCTION("IF(OR(E4162="""",K4162=""""),"""",IFERROR(IF(K4162="""","""",query('tbl user'!$A$2:$D10975,""SELECT A WHERE D = '""&amp;K4162&amp;""'"")),""USER TIDAK DIKETAHUI""))"),"#REF!")</f>
        <v>#REF!</v>
      </c>
    </row>
    <row r="4163">
      <c r="A4163" s="21" t="str">
        <f t="shared" si="1"/>
        <v/>
      </c>
      <c r="B4163" s="38"/>
      <c r="C4163" s="23" t="s">
        <v>1877</v>
      </c>
      <c r="D4163" s="23" t="s">
        <v>58</v>
      </c>
      <c r="E4163" s="24">
        <v>45458.0</v>
      </c>
      <c r="F4163" s="25">
        <v>0.21319444444444444</v>
      </c>
      <c r="G4163" s="25">
        <v>0.725</v>
      </c>
      <c r="H4163" s="27">
        <f t="shared" si="2"/>
        <v>0.5118055556</v>
      </c>
      <c r="I4163" s="28">
        <v>3.0</v>
      </c>
      <c r="J4163" s="39" t="s">
        <v>1947</v>
      </c>
      <c r="K4163" s="30" t="s">
        <v>23</v>
      </c>
      <c r="L4163" s="31" t="str">
        <f>IFERROR(__xludf.DUMMYFUNCTION("IF(OR(E4163="""",K4163=""""),"""",IFERROR(IF(K4163="""","""",query('tbl user'!$A$2:$D10975,""SELECT A WHERE D = '""&amp;K4163&amp;""'"")),""USER TIDAK DIKETAHUI""))"),"#REF!")</f>
        <v>#REF!</v>
      </c>
    </row>
    <row r="4164">
      <c r="A4164" s="21" t="str">
        <f t="shared" si="1"/>
        <v/>
      </c>
      <c r="B4164" s="38"/>
      <c r="C4164" s="23" t="s">
        <v>1948</v>
      </c>
      <c r="D4164" s="23" t="s">
        <v>58</v>
      </c>
      <c r="E4164" s="24">
        <v>45458.0</v>
      </c>
      <c r="F4164" s="25">
        <v>0.29097222222222224</v>
      </c>
      <c r="G4164" s="25">
        <v>0.6659722222222222</v>
      </c>
      <c r="H4164" s="27">
        <f t="shared" si="2"/>
        <v>0.375</v>
      </c>
      <c r="I4164" s="28">
        <v>3.0</v>
      </c>
      <c r="J4164" s="39" t="s">
        <v>171</v>
      </c>
      <c r="K4164" s="30" t="s">
        <v>23</v>
      </c>
      <c r="L4164" s="31" t="str">
        <f>IFERROR(__xludf.DUMMYFUNCTION("IF(OR(E4164="""",K4164=""""),"""",IFERROR(IF(K4164="""","""",query('tbl user'!$A$2:$D10975,""SELECT A WHERE D = '""&amp;K4164&amp;""'"")),""USER TIDAK DIKETAHUI""))"),"#REF!")</f>
        <v>#REF!</v>
      </c>
    </row>
    <row r="4165">
      <c r="A4165" s="21" t="str">
        <f t="shared" si="1"/>
        <v/>
      </c>
      <c r="B4165" s="38"/>
      <c r="C4165" s="23" t="s">
        <v>1882</v>
      </c>
      <c r="D4165" s="23" t="s">
        <v>58</v>
      </c>
      <c r="E4165" s="24">
        <v>45458.0</v>
      </c>
      <c r="F4165" s="25">
        <v>0.25972222222222224</v>
      </c>
      <c r="G4165" s="25">
        <v>0.6347222222222222</v>
      </c>
      <c r="H4165" s="27">
        <f t="shared" si="2"/>
        <v>0.375</v>
      </c>
      <c r="I4165" s="28">
        <v>3.0</v>
      </c>
      <c r="J4165" s="39" t="s">
        <v>171</v>
      </c>
      <c r="K4165" s="30" t="s">
        <v>23</v>
      </c>
      <c r="L4165" s="31" t="str">
        <f>IFERROR(__xludf.DUMMYFUNCTION("IF(OR(E4165="""",K4165=""""),"""",IFERROR(IF(K4165="""","""",query('tbl user'!$A$2:$D10975,""SELECT A WHERE D = '""&amp;K4165&amp;""'"")),""USER TIDAK DIKETAHUI""))"),"#REF!")</f>
        <v>#REF!</v>
      </c>
    </row>
    <row r="4166">
      <c r="A4166" s="21" t="str">
        <f t="shared" si="1"/>
        <v/>
      </c>
      <c r="B4166" s="38"/>
      <c r="C4166" s="23" t="s">
        <v>1863</v>
      </c>
      <c r="D4166" s="23" t="s">
        <v>58</v>
      </c>
      <c r="E4166" s="24">
        <v>45458.0</v>
      </c>
      <c r="F4166" s="25">
        <v>0.2861111111111111</v>
      </c>
      <c r="G4166" s="25">
        <v>0.6597222222222222</v>
      </c>
      <c r="H4166" s="27">
        <f t="shared" si="2"/>
        <v>0.3736111111</v>
      </c>
      <c r="I4166" s="28">
        <v>3.0</v>
      </c>
      <c r="J4166" s="39" t="s">
        <v>171</v>
      </c>
      <c r="K4166" s="30" t="s">
        <v>23</v>
      </c>
      <c r="L4166" s="31" t="str">
        <f>IFERROR(__xludf.DUMMYFUNCTION("IF(OR(E4166="""",K4166=""""),"""",IFERROR(IF(K4166="""","""",query('tbl user'!$A$2:$D10975,""SELECT A WHERE D = '""&amp;K4166&amp;""'"")),""USER TIDAK DIKETAHUI""))"),"#REF!")</f>
        <v>#REF!</v>
      </c>
    </row>
    <row r="4167">
      <c r="A4167" s="21" t="str">
        <f t="shared" si="1"/>
        <v/>
      </c>
      <c r="B4167" s="38"/>
      <c r="C4167" s="23" t="s">
        <v>1893</v>
      </c>
      <c r="D4167" s="23" t="s">
        <v>58</v>
      </c>
      <c r="E4167" s="24">
        <v>45458.0</v>
      </c>
      <c r="F4167" s="25">
        <v>0.21041666666666667</v>
      </c>
      <c r="G4167" s="25">
        <v>0.5694444444444444</v>
      </c>
      <c r="H4167" s="27">
        <f t="shared" si="2"/>
        <v>0.3590277778</v>
      </c>
      <c r="I4167" s="28">
        <v>3.0</v>
      </c>
      <c r="J4167" s="39" t="s">
        <v>1949</v>
      </c>
      <c r="K4167" s="30" t="s">
        <v>23</v>
      </c>
      <c r="L4167" s="31" t="str">
        <f>IFERROR(__xludf.DUMMYFUNCTION("IF(OR(E4167="""",K4167=""""),"""",IFERROR(IF(K4167="""","""",query('tbl user'!$A$2:$D10975,""SELECT A WHERE D = '""&amp;K4167&amp;""'"")),""USER TIDAK DIKETAHUI""))"),"#REF!")</f>
        <v>#REF!</v>
      </c>
    </row>
    <row r="4168">
      <c r="A4168" s="21" t="str">
        <f t="shared" si="1"/>
        <v/>
      </c>
      <c r="B4168" s="38"/>
      <c r="C4168" s="23" t="s">
        <v>1875</v>
      </c>
      <c r="D4168" s="23" t="s">
        <v>58</v>
      </c>
      <c r="E4168" s="24">
        <v>45458.0</v>
      </c>
      <c r="F4168" s="25">
        <v>0.24305555555555555</v>
      </c>
      <c r="G4168" s="25">
        <v>0.7131944444444445</v>
      </c>
      <c r="H4168" s="27">
        <f t="shared" si="2"/>
        <v>0.4701388889</v>
      </c>
      <c r="I4168" s="28">
        <v>4.0</v>
      </c>
      <c r="J4168" s="39" t="s">
        <v>55</v>
      </c>
      <c r="K4168" s="30" t="s">
        <v>23</v>
      </c>
      <c r="L4168" s="31" t="str">
        <f>IFERROR(__xludf.DUMMYFUNCTION("IF(OR(E4168="""",K4168=""""),"""",IFERROR(IF(K4168="""","""",query('tbl user'!$A$2:$D10975,""SELECT A WHERE D = '""&amp;K4168&amp;""'"")),""USER TIDAK DIKETAHUI""))"),"#REF!")</f>
        <v>#REF!</v>
      </c>
    </row>
    <row r="4169">
      <c r="A4169" s="21" t="str">
        <f t="shared" si="1"/>
        <v/>
      </c>
      <c r="B4169" s="38"/>
      <c r="C4169" s="23" t="s">
        <v>1883</v>
      </c>
      <c r="D4169" s="23" t="s">
        <v>58</v>
      </c>
      <c r="E4169" s="24">
        <v>45458.0</v>
      </c>
      <c r="F4169" s="25">
        <v>0.2590277777777778</v>
      </c>
      <c r="G4169" s="25">
        <v>0.6888888888888889</v>
      </c>
      <c r="H4169" s="27">
        <f t="shared" si="2"/>
        <v>0.4298611111</v>
      </c>
      <c r="I4169" s="28">
        <v>4.0</v>
      </c>
      <c r="J4169" s="39" t="s">
        <v>55</v>
      </c>
      <c r="K4169" s="30" t="s">
        <v>23</v>
      </c>
      <c r="L4169" s="31" t="str">
        <f>IFERROR(__xludf.DUMMYFUNCTION("IF(OR(E4169="""",K4169=""""),"""",IFERROR(IF(K4169="""","""",query('tbl user'!$A$2:$D10975,""SELECT A WHERE D = '""&amp;K4169&amp;""'"")),""USER TIDAK DIKETAHUI""))"),"#REF!")</f>
        <v>#REF!</v>
      </c>
    </row>
    <row r="4170">
      <c r="A4170" s="21" t="str">
        <f t="shared" si="1"/>
        <v/>
      </c>
      <c r="B4170" s="38"/>
      <c r="C4170" s="23" t="s">
        <v>1884</v>
      </c>
      <c r="D4170" s="23" t="s">
        <v>58</v>
      </c>
      <c r="E4170" s="24">
        <v>45458.0</v>
      </c>
      <c r="F4170" s="25">
        <v>0.225</v>
      </c>
      <c r="G4170" s="25">
        <v>0.6576388888888889</v>
      </c>
      <c r="H4170" s="27">
        <f t="shared" si="2"/>
        <v>0.4326388889</v>
      </c>
      <c r="I4170" s="28">
        <v>4.0</v>
      </c>
      <c r="J4170" s="39" t="s">
        <v>55</v>
      </c>
      <c r="K4170" s="30" t="s">
        <v>23</v>
      </c>
      <c r="L4170" s="31" t="str">
        <f>IFERROR(__xludf.DUMMYFUNCTION("IF(OR(E4170="""",K4170=""""),"""",IFERROR(IF(K4170="""","""",query('tbl user'!$A$2:$D10975,""SELECT A WHERE D = '""&amp;K4170&amp;""'"")),""USER TIDAK DIKETAHUI""))"),"#REF!")</f>
        <v>#REF!</v>
      </c>
    </row>
    <row r="4171">
      <c r="A4171" s="21" t="str">
        <f t="shared" si="1"/>
        <v/>
      </c>
      <c r="B4171" s="38"/>
      <c r="C4171" s="23" t="s">
        <v>1950</v>
      </c>
      <c r="D4171" s="23" t="s">
        <v>58</v>
      </c>
      <c r="E4171" s="24">
        <v>45458.0</v>
      </c>
      <c r="F4171" s="25">
        <v>0.26875</v>
      </c>
      <c r="G4171" s="25">
        <v>0.6972222222222222</v>
      </c>
      <c r="H4171" s="27">
        <f t="shared" si="2"/>
        <v>0.4284722222</v>
      </c>
      <c r="I4171" s="28">
        <v>4.0</v>
      </c>
      <c r="J4171" s="39" t="s">
        <v>55</v>
      </c>
      <c r="K4171" s="30" t="s">
        <v>23</v>
      </c>
      <c r="L4171" s="31" t="str">
        <f>IFERROR(__xludf.DUMMYFUNCTION("IF(OR(E4171="""",K4171=""""),"""",IFERROR(IF(K4171="""","""",query('tbl user'!$A$2:$D10975,""SELECT A WHERE D = '""&amp;K4171&amp;""'"")),""USER TIDAK DIKETAHUI""))"),"#REF!")</f>
        <v>#REF!</v>
      </c>
    </row>
    <row r="4172">
      <c r="A4172" s="21" t="str">
        <f t="shared" si="1"/>
        <v/>
      </c>
      <c r="B4172" s="38"/>
      <c r="C4172" s="23" t="s">
        <v>1888</v>
      </c>
      <c r="D4172" s="23" t="s">
        <v>58</v>
      </c>
      <c r="E4172" s="24">
        <v>45458.0</v>
      </c>
      <c r="F4172" s="25">
        <v>0.25833333333333336</v>
      </c>
      <c r="G4172" s="25">
        <v>0.6673611111111111</v>
      </c>
      <c r="H4172" s="27">
        <f t="shared" si="2"/>
        <v>0.4090277778</v>
      </c>
      <c r="I4172" s="28">
        <v>4.0</v>
      </c>
      <c r="J4172" s="39" t="s">
        <v>55</v>
      </c>
      <c r="K4172" s="30" t="s">
        <v>23</v>
      </c>
      <c r="L4172" s="31" t="str">
        <f>IFERROR(__xludf.DUMMYFUNCTION("IF(OR(E4172="""",K4172=""""),"""",IFERROR(IF(K4172="""","""",query('tbl user'!$A$2:$D10975,""SELECT A WHERE D = '""&amp;K4172&amp;""'"")),""USER TIDAK DIKETAHUI""))"),"#REF!")</f>
        <v>#REF!</v>
      </c>
    </row>
    <row r="4173">
      <c r="A4173" s="21" t="str">
        <f t="shared" si="1"/>
        <v/>
      </c>
      <c r="B4173" s="38"/>
      <c r="C4173" s="23" t="s">
        <v>1889</v>
      </c>
      <c r="D4173" s="23" t="s">
        <v>58</v>
      </c>
      <c r="E4173" s="24">
        <v>45458.0</v>
      </c>
      <c r="F4173" s="25">
        <v>0.22708333333333333</v>
      </c>
      <c r="G4173" s="25">
        <v>0.6659722222222222</v>
      </c>
      <c r="H4173" s="27">
        <f t="shared" si="2"/>
        <v>0.4388888889</v>
      </c>
      <c r="I4173" s="28">
        <v>4.0</v>
      </c>
      <c r="J4173" s="39" t="s">
        <v>55</v>
      </c>
      <c r="K4173" s="30" t="s">
        <v>23</v>
      </c>
      <c r="L4173" s="31" t="str">
        <f>IFERROR(__xludf.DUMMYFUNCTION("IF(OR(E4173="""",K4173=""""),"""",IFERROR(IF(K4173="""","""",query('tbl user'!$A$2:$D10975,""SELECT A WHERE D = '""&amp;K4173&amp;""'"")),""USER TIDAK DIKETAHUI""))"),"#REF!")</f>
        <v>#REF!</v>
      </c>
    </row>
    <row r="4174">
      <c r="A4174" s="21" t="str">
        <f t="shared" si="1"/>
        <v/>
      </c>
      <c r="B4174" s="38"/>
      <c r="C4174" s="23" t="s">
        <v>1892</v>
      </c>
      <c r="D4174" s="23" t="s">
        <v>58</v>
      </c>
      <c r="E4174" s="24">
        <v>45458.0</v>
      </c>
      <c r="F4174" s="25">
        <v>0.20416666666666666</v>
      </c>
      <c r="G4174" s="25">
        <v>0.6513888888888889</v>
      </c>
      <c r="H4174" s="27">
        <f t="shared" si="2"/>
        <v>0.4472222222</v>
      </c>
      <c r="I4174" s="28">
        <v>4.0</v>
      </c>
      <c r="J4174" s="39" t="s">
        <v>55</v>
      </c>
      <c r="K4174" s="30" t="s">
        <v>23</v>
      </c>
      <c r="L4174" s="31" t="str">
        <f>IFERROR(__xludf.DUMMYFUNCTION("IF(OR(E4174="""",K4174=""""),"""",IFERROR(IF(K4174="""","""",query('tbl user'!$A$2:$D10975,""SELECT A WHERE D = '""&amp;K4174&amp;""'"")),""USER TIDAK DIKETAHUI""))"),"#REF!")</f>
        <v>#REF!</v>
      </c>
    </row>
    <row r="4175">
      <c r="A4175" s="21" t="str">
        <f t="shared" si="1"/>
        <v/>
      </c>
      <c r="B4175" s="38"/>
      <c r="C4175" s="23" t="s">
        <v>1891</v>
      </c>
      <c r="D4175" s="23" t="s">
        <v>58</v>
      </c>
      <c r="E4175" s="24">
        <v>45458.0</v>
      </c>
      <c r="F4175" s="25">
        <v>0.22569444444444445</v>
      </c>
      <c r="G4175" s="25">
        <v>0.6701388888888888</v>
      </c>
      <c r="H4175" s="27">
        <f t="shared" si="2"/>
        <v>0.4444444444</v>
      </c>
      <c r="I4175" s="28">
        <v>4.0</v>
      </c>
      <c r="J4175" s="39" t="s">
        <v>55</v>
      </c>
      <c r="K4175" s="30" t="s">
        <v>23</v>
      </c>
      <c r="L4175" s="31" t="str">
        <f>IFERROR(__xludf.DUMMYFUNCTION("IF(OR(E4175="""",K4175=""""),"""",IFERROR(IF(K4175="""","""",query('tbl user'!$A$2:$D10975,""SELECT A WHERE D = '""&amp;K4175&amp;""'"")),""USER TIDAK DIKETAHUI""))"),"#REF!")</f>
        <v>#REF!</v>
      </c>
    </row>
    <row r="4176">
      <c r="A4176" s="21" t="str">
        <f t="shared" si="1"/>
        <v/>
      </c>
      <c r="B4176" s="38"/>
      <c r="C4176" s="23" t="s">
        <v>1951</v>
      </c>
      <c r="D4176" s="23" t="s">
        <v>32</v>
      </c>
      <c r="E4176" s="24">
        <v>45458.0</v>
      </c>
      <c r="F4176" s="25">
        <v>0.2652777777777778</v>
      </c>
      <c r="G4176" s="25">
        <v>0.4027777777777778</v>
      </c>
      <c r="H4176" s="27">
        <f t="shared" si="2"/>
        <v>0.1375</v>
      </c>
      <c r="I4176" s="28">
        <v>1.0</v>
      </c>
      <c r="J4176" s="39" t="s">
        <v>1952</v>
      </c>
      <c r="K4176" s="30" t="s">
        <v>23</v>
      </c>
      <c r="L4176" s="31" t="str">
        <f>IFERROR(__xludf.DUMMYFUNCTION("IF(OR(E4176="""",K4176=""""),"""",IFERROR(IF(K4176="""","""",query('tbl user'!$A$2:$D10975,""SELECT A WHERE D = '""&amp;K4176&amp;""'"")),""USER TIDAK DIKETAHUI""))"),"#REF!")</f>
        <v>#REF!</v>
      </c>
    </row>
    <row r="4177">
      <c r="A4177" s="21" t="str">
        <f t="shared" si="1"/>
        <v/>
      </c>
      <c r="B4177" s="38"/>
      <c r="C4177" s="23" t="s">
        <v>1898</v>
      </c>
      <c r="D4177" s="23" t="s">
        <v>32</v>
      </c>
      <c r="E4177" s="24">
        <v>45458.0</v>
      </c>
      <c r="F4177" s="25">
        <v>0.21736111111111112</v>
      </c>
      <c r="G4177" s="25">
        <v>0.41944444444444445</v>
      </c>
      <c r="H4177" s="27">
        <f t="shared" si="2"/>
        <v>0.2020833333</v>
      </c>
      <c r="I4177" s="28">
        <v>1.0</v>
      </c>
      <c r="J4177" s="39" t="s">
        <v>1953</v>
      </c>
      <c r="K4177" s="30" t="s">
        <v>23</v>
      </c>
      <c r="L4177" s="31" t="str">
        <f>IFERROR(__xludf.DUMMYFUNCTION("IF(OR(E4177="""",K4177=""""),"""",IFERROR(IF(K4177="""","""",query('tbl user'!$A$2:$D10975,""SELECT A WHERE D = '""&amp;K4177&amp;""'"")),""USER TIDAK DIKETAHUI""))"),"#REF!")</f>
        <v>#REF!</v>
      </c>
    </row>
    <row r="4178">
      <c r="A4178" s="21" t="str">
        <f t="shared" si="1"/>
        <v/>
      </c>
      <c r="B4178" s="38"/>
      <c r="C4178" s="23" t="s">
        <v>1901</v>
      </c>
      <c r="D4178" s="23" t="s">
        <v>32</v>
      </c>
      <c r="E4178" s="24">
        <v>45458.0</v>
      </c>
      <c r="F4178" s="25">
        <v>0.29375</v>
      </c>
      <c r="G4178" s="25">
        <v>0.5840277777777778</v>
      </c>
      <c r="H4178" s="27">
        <f t="shared" si="2"/>
        <v>0.2902777778</v>
      </c>
      <c r="I4178" s="28">
        <v>2.0</v>
      </c>
      <c r="J4178" s="39" t="s">
        <v>218</v>
      </c>
      <c r="K4178" s="30" t="s">
        <v>23</v>
      </c>
      <c r="L4178" s="31" t="str">
        <f>IFERROR(__xludf.DUMMYFUNCTION("IF(OR(E4178="""",K4178=""""),"""",IFERROR(IF(K4178="""","""",query('tbl user'!$A$2:$D10975,""SELECT A WHERE D = '""&amp;K4178&amp;""'"")),""USER TIDAK DIKETAHUI""))"),"#REF!")</f>
        <v>#REF!</v>
      </c>
    </row>
    <row r="4179">
      <c r="A4179" s="21" t="str">
        <f t="shared" si="1"/>
        <v/>
      </c>
      <c r="B4179" s="38"/>
      <c r="C4179" s="23" t="s">
        <v>1954</v>
      </c>
      <c r="D4179" s="23" t="s">
        <v>32</v>
      </c>
      <c r="E4179" s="24">
        <v>45458.0</v>
      </c>
      <c r="F4179" s="25">
        <v>0.29305555555555557</v>
      </c>
      <c r="G4179" s="25">
        <v>0.6368055555555555</v>
      </c>
      <c r="H4179" s="27">
        <f t="shared" si="2"/>
        <v>0.34375</v>
      </c>
      <c r="I4179" s="28">
        <v>2.0</v>
      </c>
      <c r="J4179" s="39" t="s">
        <v>1955</v>
      </c>
      <c r="K4179" s="30" t="s">
        <v>23</v>
      </c>
      <c r="L4179" s="31" t="str">
        <f>IFERROR(__xludf.DUMMYFUNCTION("IF(OR(E4179="""",K4179=""""),"""",IFERROR(IF(K4179="""","""",query('tbl user'!$A$2:$D10975,""SELECT A WHERE D = '""&amp;K4179&amp;""'"")),""USER TIDAK DIKETAHUI""))"),"#REF!")</f>
        <v>#REF!</v>
      </c>
    </row>
    <row r="4180">
      <c r="A4180" s="21" t="str">
        <f t="shared" si="1"/>
        <v/>
      </c>
      <c r="B4180" s="38"/>
      <c r="C4180" s="23" t="s">
        <v>1907</v>
      </c>
      <c r="D4180" s="23" t="s">
        <v>32</v>
      </c>
      <c r="E4180" s="24">
        <v>45458.0</v>
      </c>
      <c r="F4180" s="25">
        <v>0.28680555555555554</v>
      </c>
      <c r="G4180" s="25">
        <v>0.6979166666666666</v>
      </c>
      <c r="H4180" s="27">
        <f t="shared" si="2"/>
        <v>0.4111111111</v>
      </c>
      <c r="I4180" s="28">
        <v>2.0</v>
      </c>
      <c r="J4180" s="39" t="s">
        <v>1956</v>
      </c>
      <c r="K4180" s="30" t="s">
        <v>23</v>
      </c>
      <c r="L4180" s="31" t="str">
        <f>IFERROR(__xludf.DUMMYFUNCTION("IF(OR(E4180="""",K4180=""""),"""",IFERROR(IF(K4180="""","""",query('tbl user'!$A$2:$D10975,""SELECT A WHERE D = '""&amp;K4180&amp;""'"")),""USER TIDAK DIKETAHUI""))"),"#REF!")</f>
        <v>#REF!</v>
      </c>
    </row>
    <row r="4181">
      <c r="A4181" s="21" t="str">
        <f t="shared" si="1"/>
        <v/>
      </c>
      <c r="B4181" s="38"/>
      <c r="C4181" s="23" t="s">
        <v>1957</v>
      </c>
      <c r="D4181" s="23" t="s">
        <v>32</v>
      </c>
      <c r="E4181" s="24">
        <v>45458.0</v>
      </c>
      <c r="F4181" s="25">
        <v>0.2965277777777778</v>
      </c>
      <c r="G4181" s="25">
        <v>0.6347222222222222</v>
      </c>
      <c r="H4181" s="27">
        <f t="shared" si="2"/>
        <v>0.3381944444</v>
      </c>
      <c r="I4181" s="28">
        <v>3.0</v>
      </c>
      <c r="J4181" s="39" t="s">
        <v>1958</v>
      </c>
      <c r="K4181" s="30" t="s">
        <v>23</v>
      </c>
      <c r="L4181" s="31" t="str">
        <f>IFERROR(__xludf.DUMMYFUNCTION("IF(OR(E4181="""",K4181=""""),"""",IFERROR(IF(K4181="""","""",query('tbl user'!$A$2:$D10975,""SELECT A WHERE D = '""&amp;K4181&amp;""'"")),""USER TIDAK DIKETAHUI""))"),"#REF!")</f>
        <v>#REF!</v>
      </c>
    </row>
    <row r="4182">
      <c r="A4182" s="21" t="str">
        <f t="shared" si="1"/>
        <v/>
      </c>
      <c r="B4182" s="38"/>
      <c r="C4182" s="23" t="s">
        <v>1959</v>
      </c>
      <c r="D4182" s="23" t="s">
        <v>32</v>
      </c>
      <c r="E4182" s="24">
        <v>45458.0</v>
      </c>
      <c r="F4182" s="25">
        <v>0.29583333333333334</v>
      </c>
      <c r="G4182" s="25">
        <v>0.6875</v>
      </c>
      <c r="H4182" s="27">
        <f t="shared" si="2"/>
        <v>0.3916666667</v>
      </c>
      <c r="I4182" s="28">
        <v>3.0</v>
      </c>
      <c r="J4182" s="39" t="s">
        <v>1960</v>
      </c>
      <c r="K4182" s="30" t="s">
        <v>23</v>
      </c>
      <c r="L4182" s="31" t="str">
        <f>IFERROR(__xludf.DUMMYFUNCTION("IF(OR(E4182="""",K4182=""""),"""",IFERROR(IF(K4182="""","""",query('tbl user'!$A$2:$D10975,""SELECT A WHERE D = '""&amp;K4182&amp;""'"")),""USER TIDAK DIKETAHUI""))"),"#REF!")</f>
        <v>#REF!</v>
      </c>
    </row>
    <row r="4183">
      <c r="A4183" s="21" t="str">
        <f t="shared" si="1"/>
        <v/>
      </c>
      <c r="B4183" s="38"/>
      <c r="C4183" s="23" t="s">
        <v>1961</v>
      </c>
      <c r="D4183" s="23" t="s">
        <v>32</v>
      </c>
      <c r="E4183" s="24">
        <v>45458.0</v>
      </c>
      <c r="F4183" s="25">
        <v>0.2923611111111111</v>
      </c>
      <c r="G4183" s="25">
        <v>0.7361111111111112</v>
      </c>
      <c r="H4183" s="27">
        <f t="shared" si="2"/>
        <v>0.44375</v>
      </c>
      <c r="I4183" s="28">
        <v>4.0</v>
      </c>
      <c r="J4183" s="39" t="s">
        <v>55</v>
      </c>
      <c r="K4183" s="30" t="s">
        <v>23</v>
      </c>
      <c r="L4183" s="31" t="str">
        <f>IFERROR(__xludf.DUMMYFUNCTION("IF(OR(E4183="""",K4183=""""),"""",IFERROR(IF(K4183="""","""",query('tbl user'!$A$2:$D10975,""SELECT A WHERE D = '""&amp;K4183&amp;""'"")),""USER TIDAK DIKETAHUI""))"),"#REF!")</f>
        <v>#REF!</v>
      </c>
    </row>
    <row r="4184">
      <c r="A4184" s="21" t="str">
        <f t="shared" si="1"/>
        <v/>
      </c>
      <c r="B4184" s="38"/>
      <c r="C4184" s="23" t="s">
        <v>1962</v>
      </c>
      <c r="D4184" s="23" t="s">
        <v>32</v>
      </c>
      <c r="E4184" s="24">
        <v>45458.0</v>
      </c>
      <c r="F4184" s="25">
        <v>0.23402777777777778</v>
      </c>
      <c r="G4184" s="25">
        <v>0.6763888888888889</v>
      </c>
      <c r="H4184" s="27">
        <f t="shared" si="2"/>
        <v>0.4423611111</v>
      </c>
      <c r="I4184" s="28">
        <v>4.0</v>
      </c>
      <c r="J4184" s="39" t="s">
        <v>55</v>
      </c>
      <c r="K4184" s="30" t="s">
        <v>23</v>
      </c>
      <c r="L4184" s="31" t="str">
        <f>IFERROR(__xludf.DUMMYFUNCTION("IF(OR(E4184="""",K4184=""""),"""",IFERROR(IF(K4184="""","""",query('tbl user'!$A$2:$D10975,""SELECT A WHERE D = '""&amp;K4184&amp;""'"")),""USER TIDAK DIKETAHUI""))"),"#REF!")</f>
        <v>#REF!</v>
      </c>
    </row>
    <row r="4185">
      <c r="A4185" s="21" t="str">
        <f t="shared" si="1"/>
        <v/>
      </c>
      <c r="B4185" s="38"/>
      <c r="C4185" s="23" t="s">
        <v>1910</v>
      </c>
      <c r="D4185" s="23" t="s">
        <v>32</v>
      </c>
      <c r="E4185" s="24">
        <v>45458.0</v>
      </c>
      <c r="F4185" s="25">
        <v>0.20902777777777778</v>
      </c>
      <c r="G4185" s="25">
        <v>0.6652777777777777</v>
      </c>
      <c r="H4185" s="27">
        <f t="shared" si="2"/>
        <v>0.45625</v>
      </c>
      <c r="I4185" s="28">
        <v>4.0</v>
      </c>
      <c r="J4185" s="39" t="s">
        <v>55</v>
      </c>
      <c r="K4185" s="30" t="s">
        <v>23</v>
      </c>
      <c r="L4185" s="31" t="str">
        <f>IFERROR(__xludf.DUMMYFUNCTION("IF(OR(E4185="""",K4185=""""),"""",IFERROR(IF(K4185="""","""",query('tbl user'!$A$2:$D10975,""SELECT A WHERE D = '""&amp;K4185&amp;""'"")),""USER TIDAK DIKETAHUI""))"),"#REF!")</f>
        <v>#REF!</v>
      </c>
    </row>
    <row r="4186">
      <c r="A4186" s="21" t="str">
        <f t="shared" si="1"/>
        <v/>
      </c>
      <c r="B4186" s="38"/>
      <c r="C4186" s="23" t="s">
        <v>1963</v>
      </c>
      <c r="D4186" s="23" t="s">
        <v>32</v>
      </c>
      <c r="E4186" s="24">
        <v>45458.0</v>
      </c>
      <c r="F4186" s="25">
        <v>0.24305555555555555</v>
      </c>
      <c r="G4186" s="25">
        <v>0.6944444444444444</v>
      </c>
      <c r="H4186" s="27">
        <f t="shared" si="2"/>
        <v>0.4513888889</v>
      </c>
      <c r="I4186" s="28">
        <v>4.0</v>
      </c>
      <c r="J4186" s="39" t="s">
        <v>55</v>
      </c>
      <c r="K4186" s="30" t="s">
        <v>23</v>
      </c>
      <c r="L4186" s="31" t="str">
        <f>IFERROR(__xludf.DUMMYFUNCTION("IF(OR(E4186="""",K4186=""""),"""",IFERROR(IF(K4186="""","""",query('tbl user'!$A$2:$D10975,""SELECT A WHERE D = '""&amp;K4186&amp;""'"")),""USER TIDAK DIKETAHUI""))"),"#REF!")</f>
        <v>#REF!</v>
      </c>
    </row>
    <row r="4187">
      <c r="A4187" s="21" t="str">
        <f t="shared" si="1"/>
        <v/>
      </c>
      <c r="B4187" s="38"/>
      <c r="C4187" s="23" t="s">
        <v>1911</v>
      </c>
      <c r="D4187" s="23" t="s">
        <v>32</v>
      </c>
      <c r="E4187" s="24">
        <v>45458.0</v>
      </c>
      <c r="F4187" s="25">
        <v>0.23194444444444445</v>
      </c>
      <c r="G4187" s="25">
        <v>0.69375</v>
      </c>
      <c r="H4187" s="27">
        <f t="shared" si="2"/>
        <v>0.4618055556</v>
      </c>
      <c r="I4187" s="28">
        <v>4.0</v>
      </c>
      <c r="J4187" s="39" t="s">
        <v>55</v>
      </c>
      <c r="K4187" s="30" t="s">
        <v>23</v>
      </c>
      <c r="L4187" s="31" t="str">
        <f>IFERROR(__xludf.DUMMYFUNCTION("IF(OR(E4187="""",K4187=""""),"""",IFERROR(IF(K4187="""","""",query('tbl user'!$A$2:$D10975,""SELECT A WHERE D = '""&amp;K4187&amp;""'"")),""USER TIDAK DIKETAHUI""))"),"#REF!")</f>
        <v>#REF!</v>
      </c>
    </row>
    <row r="4188">
      <c r="A4188" s="21" t="str">
        <f t="shared" si="1"/>
        <v/>
      </c>
      <c r="B4188" s="38"/>
      <c r="C4188" s="23" t="s">
        <v>1964</v>
      </c>
      <c r="D4188" s="23" t="s">
        <v>32</v>
      </c>
      <c r="E4188" s="24">
        <v>45458.0</v>
      </c>
      <c r="F4188" s="25">
        <v>0.25833333333333336</v>
      </c>
      <c r="G4188" s="25">
        <v>0.7277777777777777</v>
      </c>
      <c r="H4188" s="27">
        <f t="shared" si="2"/>
        <v>0.4694444444</v>
      </c>
      <c r="I4188" s="28">
        <v>4.0</v>
      </c>
      <c r="J4188" s="39" t="s">
        <v>55</v>
      </c>
      <c r="K4188" s="30" t="s">
        <v>23</v>
      </c>
      <c r="L4188" s="31" t="str">
        <f>IFERROR(__xludf.DUMMYFUNCTION("IF(OR(E4188="""",K4188=""""),"""",IFERROR(IF(K4188="""","""",query('tbl user'!$A$2:$D10975,""SELECT A WHERE D = '""&amp;K4188&amp;""'"")),""USER TIDAK DIKETAHUI""))"),"#REF!")</f>
        <v>#REF!</v>
      </c>
    </row>
    <row r="4189">
      <c r="A4189" s="21" t="str">
        <f t="shared" si="1"/>
        <v/>
      </c>
      <c r="B4189" s="38"/>
      <c r="C4189" s="23" t="s">
        <v>1965</v>
      </c>
      <c r="D4189" s="23" t="s">
        <v>32</v>
      </c>
      <c r="E4189" s="24">
        <v>45458.0</v>
      </c>
      <c r="F4189" s="25">
        <v>0.25972222222222224</v>
      </c>
      <c r="G4189" s="25">
        <v>0.7229166666666667</v>
      </c>
      <c r="H4189" s="27">
        <f t="shared" si="2"/>
        <v>0.4631944444</v>
      </c>
      <c r="I4189" s="28">
        <v>4.0</v>
      </c>
      <c r="J4189" s="39" t="s">
        <v>55</v>
      </c>
      <c r="K4189" s="30" t="s">
        <v>23</v>
      </c>
      <c r="L4189" s="31" t="str">
        <f>IFERROR(__xludf.DUMMYFUNCTION("IF(OR(E4189="""",K4189=""""),"""",IFERROR(IF(K4189="""","""",query('tbl user'!$A$2:$D10975,""SELECT A WHERE D = '""&amp;K4189&amp;""'"")),""USER TIDAK DIKETAHUI""))"),"#REF!")</f>
        <v>#REF!</v>
      </c>
    </row>
    <row r="4190">
      <c r="A4190" s="21" t="str">
        <f t="shared" si="1"/>
        <v/>
      </c>
      <c r="B4190" s="38"/>
      <c r="C4190" s="23" t="s">
        <v>1966</v>
      </c>
      <c r="D4190" s="23" t="s">
        <v>32</v>
      </c>
      <c r="E4190" s="24">
        <v>45458.0</v>
      </c>
      <c r="F4190" s="25">
        <v>0.24166666666666667</v>
      </c>
      <c r="G4190" s="25">
        <v>0.73125</v>
      </c>
      <c r="H4190" s="27">
        <f t="shared" si="2"/>
        <v>0.4895833333</v>
      </c>
      <c r="I4190" s="28">
        <v>4.0</v>
      </c>
      <c r="J4190" s="39" t="s">
        <v>55</v>
      </c>
      <c r="K4190" s="30" t="s">
        <v>23</v>
      </c>
      <c r="L4190" s="31" t="str">
        <f>IFERROR(__xludf.DUMMYFUNCTION("IF(OR(E4190="""",K4190=""""),"""",IFERROR(IF(K4190="""","""",query('tbl user'!$A$2:$D10975,""SELECT A WHERE D = '""&amp;K4190&amp;""'"")),""USER TIDAK DIKETAHUI""))"),"#REF!")</f>
        <v>#REF!</v>
      </c>
    </row>
    <row r="4191">
      <c r="A4191" s="21" t="str">
        <f t="shared" si="1"/>
        <v/>
      </c>
      <c r="B4191" s="38"/>
      <c r="C4191" s="23" t="s">
        <v>1894</v>
      </c>
      <c r="D4191" s="23" t="s">
        <v>32</v>
      </c>
      <c r="E4191" s="24">
        <v>45458.0</v>
      </c>
      <c r="F4191" s="25">
        <v>0.24375</v>
      </c>
      <c r="G4191" s="25">
        <v>0.6993055555555555</v>
      </c>
      <c r="H4191" s="27">
        <f t="shared" si="2"/>
        <v>0.4555555556</v>
      </c>
      <c r="I4191" s="28">
        <v>4.0</v>
      </c>
      <c r="J4191" s="39" t="s">
        <v>55</v>
      </c>
      <c r="K4191" s="30" t="s">
        <v>23</v>
      </c>
      <c r="L4191" s="31" t="str">
        <f>IFERROR(__xludf.DUMMYFUNCTION("IF(OR(E4191="""",K4191=""""),"""",IFERROR(IF(K4191="""","""",query('tbl user'!$A$2:$D10975,""SELECT A WHERE D = '""&amp;K4191&amp;""'"")),""USER TIDAK DIKETAHUI""))"),"#REF!")</f>
        <v>#REF!</v>
      </c>
    </row>
    <row r="4192">
      <c r="A4192" s="21" t="str">
        <f t="shared" si="1"/>
        <v/>
      </c>
      <c r="B4192" s="38"/>
      <c r="C4192" s="23" t="s">
        <v>1967</v>
      </c>
      <c r="D4192" s="23" t="s">
        <v>32</v>
      </c>
      <c r="E4192" s="24">
        <v>45458.0</v>
      </c>
      <c r="F4192" s="25">
        <v>0.21805555555555556</v>
      </c>
      <c r="G4192" s="25">
        <v>0.6569444444444444</v>
      </c>
      <c r="H4192" s="27">
        <f t="shared" si="2"/>
        <v>0.4388888889</v>
      </c>
      <c r="I4192" s="28">
        <v>4.0</v>
      </c>
      <c r="J4192" s="39" t="s">
        <v>55</v>
      </c>
      <c r="K4192" s="30" t="s">
        <v>23</v>
      </c>
      <c r="L4192" s="31" t="str">
        <f>IFERROR(__xludf.DUMMYFUNCTION("IF(OR(E4192="""",K4192=""""),"""",IFERROR(IF(K4192="""","""",query('tbl user'!$A$2:$D10975,""SELECT A WHERE D = '""&amp;K4192&amp;""'"")),""USER TIDAK DIKETAHUI""))"),"#REF!")</f>
        <v>#REF!</v>
      </c>
    </row>
    <row r="4193">
      <c r="A4193" s="21" t="str">
        <f t="shared" si="1"/>
        <v/>
      </c>
      <c r="B4193" s="38"/>
      <c r="C4193" s="23" t="s">
        <v>1852</v>
      </c>
      <c r="D4193" s="23" t="s">
        <v>21</v>
      </c>
      <c r="E4193" s="24">
        <v>45459.0</v>
      </c>
      <c r="F4193" s="25">
        <v>0.30625</v>
      </c>
      <c r="G4193" s="25">
        <v>0.6090277777777777</v>
      </c>
      <c r="H4193" s="27">
        <f t="shared" si="2"/>
        <v>0.3027777778</v>
      </c>
      <c r="I4193" s="28">
        <v>1.0</v>
      </c>
      <c r="J4193" s="39" t="s">
        <v>1968</v>
      </c>
      <c r="K4193" s="30" t="s">
        <v>23</v>
      </c>
      <c r="L4193" s="31" t="str">
        <f>IFERROR(__xludf.DUMMYFUNCTION("IF(OR(E4193="""",K4193=""""),"""",IFERROR(IF(K4193="""","""",query('tbl user'!$A$2:$D10975,""SELECT A WHERE D = '""&amp;K4193&amp;""'"")),""USER TIDAK DIKETAHUI""))"),"#REF!")</f>
        <v>#REF!</v>
      </c>
    </row>
    <row r="4194">
      <c r="A4194" s="21" t="str">
        <f t="shared" si="1"/>
        <v/>
      </c>
      <c r="B4194" s="38"/>
      <c r="C4194" s="23" t="s">
        <v>1917</v>
      </c>
      <c r="D4194" s="23" t="s">
        <v>21</v>
      </c>
      <c r="E4194" s="24">
        <v>45459.0</v>
      </c>
      <c r="F4194" s="25">
        <v>0.27569444444444446</v>
      </c>
      <c r="G4194" s="25">
        <v>0.4305555555555556</v>
      </c>
      <c r="H4194" s="27">
        <f t="shared" si="2"/>
        <v>0.1548611111</v>
      </c>
      <c r="I4194" s="28">
        <v>1.0</v>
      </c>
      <c r="J4194" s="39" t="s">
        <v>1968</v>
      </c>
      <c r="K4194" s="30" t="s">
        <v>23</v>
      </c>
      <c r="L4194" s="31" t="str">
        <f>IFERROR(__xludf.DUMMYFUNCTION("IF(OR(E4194="""",K4194=""""),"""",IFERROR(IF(K4194="""","""",query('tbl user'!$A$2:$D10975,""SELECT A WHERE D = '""&amp;K4194&amp;""'"")),""USER TIDAK DIKETAHUI""))"),"#REF!")</f>
        <v>#REF!</v>
      </c>
    </row>
    <row r="4195">
      <c r="A4195" s="21" t="str">
        <f t="shared" si="1"/>
        <v/>
      </c>
      <c r="B4195" s="38"/>
      <c r="C4195" s="23" t="s">
        <v>1833</v>
      </c>
      <c r="D4195" s="23" t="s">
        <v>21</v>
      </c>
      <c r="E4195" s="24">
        <v>45459.0</v>
      </c>
      <c r="F4195" s="25">
        <v>0.26944444444444443</v>
      </c>
      <c r="G4195" s="25">
        <v>0.43472222222222223</v>
      </c>
      <c r="H4195" s="27">
        <f t="shared" si="2"/>
        <v>0.1652777778</v>
      </c>
      <c r="I4195" s="28">
        <v>1.0</v>
      </c>
      <c r="J4195" s="39" t="s">
        <v>1969</v>
      </c>
      <c r="K4195" s="30" t="s">
        <v>23</v>
      </c>
      <c r="L4195" s="31" t="str">
        <f>IFERROR(__xludf.DUMMYFUNCTION("IF(OR(E4195="""",K4195=""""),"""",IFERROR(IF(K4195="""","""",query('tbl user'!$A$2:$D10975,""SELECT A WHERE D = '""&amp;K4195&amp;""'"")),""USER TIDAK DIKETAHUI""))"),"#REF!")</f>
        <v>#REF!</v>
      </c>
    </row>
    <row r="4196">
      <c r="A4196" s="21" t="str">
        <f t="shared" si="1"/>
        <v/>
      </c>
      <c r="B4196" s="38"/>
      <c r="C4196" s="23" t="s">
        <v>1834</v>
      </c>
      <c r="D4196" s="23" t="s">
        <v>21</v>
      </c>
      <c r="E4196" s="24">
        <v>45459.0</v>
      </c>
      <c r="F4196" s="25">
        <v>0.2611111111111111</v>
      </c>
      <c r="G4196" s="25">
        <v>0.4222222222222222</v>
      </c>
      <c r="H4196" s="27">
        <f t="shared" si="2"/>
        <v>0.1611111111</v>
      </c>
      <c r="I4196" s="28">
        <v>1.0</v>
      </c>
      <c r="J4196" s="39" t="s">
        <v>1968</v>
      </c>
      <c r="K4196" s="30" t="s">
        <v>23</v>
      </c>
      <c r="L4196" s="31" t="str">
        <f>IFERROR(__xludf.DUMMYFUNCTION("IF(OR(E4196="""",K4196=""""),"""",IFERROR(IF(K4196="""","""",query('tbl user'!$A$2:$D10975,""SELECT A WHERE D = '""&amp;K4196&amp;""'"")),""USER TIDAK DIKETAHUI""))"),"#REF!")</f>
        <v>#REF!</v>
      </c>
    </row>
    <row r="4197">
      <c r="A4197" s="21" t="str">
        <f t="shared" si="1"/>
        <v/>
      </c>
      <c r="B4197" s="38"/>
      <c r="C4197" s="23" t="s">
        <v>1925</v>
      </c>
      <c r="D4197" s="23" t="s">
        <v>21</v>
      </c>
      <c r="E4197" s="24">
        <v>45459.0</v>
      </c>
      <c r="F4197" s="25">
        <v>0.25833333333333336</v>
      </c>
      <c r="G4197" s="25">
        <v>0.5444444444444444</v>
      </c>
      <c r="H4197" s="27">
        <f t="shared" si="2"/>
        <v>0.2861111111</v>
      </c>
      <c r="I4197" s="28">
        <v>1.0</v>
      </c>
      <c r="J4197" s="39" t="s">
        <v>1970</v>
      </c>
      <c r="K4197" s="30" t="s">
        <v>23</v>
      </c>
      <c r="L4197" s="31" t="str">
        <f>IFERROR(__xludf.DUMMYFUNCTION("IF(OR(E4197="""",K4197=""""),"""",IFERROR(IF(K4197="""","""",query('tbl user'!$A$2:$D10975,""SELECT A WHERE D = '""&amp;K4197&amp;""'"")),""USER TIDAK DIKETAHUI""))"),"#REF!")</f>
        <v>#REF!</v>
      </c>
    </row>
    <row r="4198">
      <c r="A4198" s="21" t="str">
        <f t="shared" si="1"/>
        <v/>
      </c>
      <c r="B4198" s="38"/>
      <c r="C4198" s="23" t="s">
        <v>1847</v>
      </c>
      <c r="D4198" s="23" t="s">
        <v>21</v>
      </c>
      <c r="E4198" s="24">
        <v>45459.0</v>
      </c>
      <c r="F4198" s="25">
        <v>0.2708333333333333</v>
      </c>
      <c r="G4198" s="25">
        <v>0.41875</v>
      </c>
      <c r="H4198" s="27">
        <f t="shared" si="2"/>
        <v>0.1479166667</v>
      </c>
      <c r="I4198" s="28">
        <v>1.0</v>
      </c>
      <c r="J4198" s="39" t="s">
        <v>704</v>
      </c>
      <c r="K4198" s="30" t="s">
        <v>23</v>
      </c>
      <c r="L4198" s="31" t="str">
        <f>IFERROR(__xludf.DUMMYFUNCTION("IF(OR(E4198="""",K4198=""""),"""",IFERROR(IF(K4198="""","""",query('tbl user'!$A$2:$D10975,""SELECT A WHERE D = '""&amp;K4198&amp;""'"")),""USER TIDAK DIKETAHUI""))"),"#REF!")</f>
        <v>#REF!</v>
      </c>
    </row>
    <row r="4199">
      <c r="A4199" s="21" t="str">
        <f t="shared" si="1"/>
        <v/>
      </c>
      <c r="B4199" s="38"/>
      <c r="C4199" s="23" t="s">
        <v>1928</v>
      </c>
      <c r="D4199" s="23" t="s">
        <v>21</v>
      </c>
      <c r="E4199" s="24">
        <v>45459.0</v>
      </c>
      <c r="F4199" s="25">
        <v>0.28194444444444444</v>
      </c>
      <c r="G4199" s="25">
        <v>0.5423611111111111</v>
      </c>
      <c r="H4199" s="27">
        <f t="shared" si="2"/>
        <v>0.2604166667</v>
      </c>
      <c r="I4199" s="28">
        <v>1.0</v>
      </c>
      <c r="J4199" s="39" t="s">
        <v>1971</v>
      </c>
      <c r="K4199" s="30" t="s">
        <v>23</v>
      </c>
      <c r="L4199" s="31" t="str">
        <f>IFERROR(__xludf.DUMMYFUNCTION("IF(OR(E4199="""",K4199=""""),"""",IFERROR(IF(K4199="""","""",query('tbl user'!$A$2:$D10975,""SELECT A WHERE D = '""&amp;K4199&amp;""'"")),""USER TIDAK DIKETAHUI""))"),"#REF!")</f>
        <v>#REF!</v>
      </c>
    </row>
    <row r="4200">
      <c r="A4200" s="21" t="str">
        <f t="shared" si="1"/>
        <v/>
      </c>
      <c r="B4200" s="38"/>
      <c r="C4200" s="23" t="s">
        <v>1829</v>
      </c>
      <c r="D4200" s="23" t="s">
        <v>21</v>
      </c>
      <c r="E4200" s="24">
        <v>45459.0</v>
      </c>
      <c r="F4200" s="25">
        <v>0.30694444444444446</v>
      </c>
      <c r="G4200" s="25">
        <v>0.6027777777777777</v>
      </c>
      <c r="H4200" s="27">
        <f t="shared" si="2"/>
        <v>0.2958333333</v>
      </c>
      <c r="I4200" s="28">
        <v>2.0</v>
      </c>
      <c r="J4200" s="39" t="s">
        <v>1972</v>
      </c>
      <c r="K4200" s="30" t="s">
        <v>23</v>
      </c>
      <c r="L4200" s="31" t="str">
        <f>IFERROR(__xludf.DUMMYFUNCTION("IF(OR(E4200="""",K4200=""""),"""",IFERROR(IF(K4200="""","""",query('tbl user'!$A$2:$D10975,""SELECT A WHERE D = '""&amp;K4200&amp;""'"")),""USER TIDAK DIKETAHUI""))"),"#REF!")</f>
        <v>#REF!</v>
      </c>
    </row>
    <row r="4201">
      <c r="A4201" s="21" t="str">
        <f t="shared" si="1"/>
        <v/>
      </c>
      <c r="B4201" s="38"/>
      <c r="C4201" s="23" t="s">
        <v>1841</v>
      </c>
      <c r="D4201" s="23" t="s">
        <v>21</v>
      </c>
      <c r="E4201" s="24">
        <v>45459.0</v>
      </c>
      <c r="F4201" s="25">
        <v>0.3013888888888889</v>
      </c>
      <c r="G4201" s="25">
        <v>0.6097222222222223</v>
      </c>
      <c r="H4201" s="27">
        <f t="shared" si="2"/>
        <v>0.3083333333</v>
      </c>
      <c r="I4201" s="28">
        <v>2.0</v>
      </c>
      <c r="J4201" s="39" t="s">
        <v>1968</v>
      </c>
      <c r="K4201" s="30" t="s">
        <v>23</v>
      </c>
      <c r="L4201" s="31" t="str">
        <f>IFERROR(__xludf.DUMMYFUNCTION("IF(OR(E4201="""",K4201=""""),"""",IFERROR(IF(K4201="""","""",query('tbl user'!$A$2:$D10975,""SELECT A WHERE D = '""&amp;K4201&amp;""'"")),""USER TIDAK DIKETAHUI""))"),"#REF!")</f>
        <v>#REF!</v>
      </c>
    </row>
    <row r="4202">
      <c r="A4202" s="21" t="str">
        <f t="shared" si="1"/>
        <v/>
      </c>
      <c r="B4202" s="38"/>
      <c r="C4202" s="23" t="s">
        <v>1920</v>
      </c>
      <c r="D4202" s="23" t="s">
        <v>21</v>
      </c>
      <c r="E4202" s="24">
        <v>45459.0</v>
      </c>
      <c r="F4202" s="25">
        <v>0.2861111111111111</v>
      </c>
      <c r="G4202" s="25">
        <v>0.5979166666666667</v>
      </c>
      <c r="H4202" s="27">
        <f t="shared" si="2"/>
        <v>0.3118055556</v>
      </c>
      <c r="I4202" s="28">
        <v>2.0</v>
      </c>
      <c r="J4202" s="39" t="s">
        <v>1968</v>
      </c>
      <c r="K4202" s="30" t="s">
        <v>23</v>
      </c>
      <c r="L4202" s="31" t="str">
        <f>IFERROR(__xludf.DUMMYFUNCTION("IF(OR(E4202="""",K4202=""""),"""",IFERROR(IF(K4202="""","""",query('tbl user'!$A$2:$D10975,""SELECT A WHERE D = '""&amp;K4202&amp;""'"")),""USER TIDAK DIKETAHUI""))"),"#REF!")</f>
        <v>#REF!</v>
      </c>
    </row>
    <row r="4203">
      <c r="A4203" s="21" t="str">
        <f t="shared" si="1"/>
        <v/>
      </c>
      <c r="B4203" s="38"/>
      <c r="C4203" s="23" t="s">
        <v>1830</v>
      </c>
      <c r="D4203" s="23" t="s">
        <v>21</v>
      </c>
      <c r="E4203" s="24">
        <v>45459.0</v>
      </c>
      <c r="F4203" s="25">
        <v>0.29444444444444445</v>
      </c>
      <c r="G4203" s="25">
        <v>0.6395833333333333</v>
      </c>
      <c r="H4203" s="27">
        <f t="shared" si="2"/>
        <v>0.3451388889</v>
      </c>
      <c r="I4203" s="28">
        <v>2.0</v>
      </c>
      <c r="J4203" s="39" t="s">
        <v>1973</v>
      </c>
      <c r="K4203" s="30" t="s">
        <v>23</v>
      </c>
      <c r="L4203" s="31" t="str">
        <f>IFERROR(__xludf.DUMMYFUNCTION("IF(OR(E4203="""",K4203=""""),"""",IFERROR(IF(K4203="""","""",query('tbl user'!$A$2:$D10975,""SELECT A WHERE D = '""&amp;K4203&amp;""'"")),""USER TIDAK DIKETAHUI""))"),"#REF!")</f>
        <v>#REF!</v>
      </c>
    </row>
    <row r="4204">
      <c r="A4204" s="21" t="str">
        <f t="shared" si="1"/>
        <v/>
      </c>
      <c r="B4204" s="38"/>
      <c r="C4204" s="23" t="s">
        <v>1856</v>
      </c>
      <c r="D4204" s="23" t="s">
        <v>21</v>
      </c>
      <c r="E4204" s="24">
        <v>45459.0</v>
      </c>
      <c r="F4204" s="25">
        <v>0.24444444444444444</v>
      </c>
      <c r="G4204" s="25">
        <v>0.5138888888888888</v>
      </c>
      <c r="H4204" s="27">
        <f t="shared" si="2"/>
        <v>0.2694444444</v>
      </c>
      <c r="I4204" s="28">
        <v>2.0</v>
      </c>
      <c r="J4204" s="39" t="s">
        <v>1974</v>
      </c>
      <c r="K4204" s="30" t="s">
        <v>23</v>
      </c>
      <c r="L4204" s="31" t="str">
        <f>IFERROR(__xludf.DUMMYFUNCTION("IF(OR(E4204="""",K4204=""""),"""",IFERROR(IF(K4204="""","""",query('tbl user'!$A$2:$D10975,""SELECT A WHERE D = '""&amp;K4204&amp;""'"")),""USER TIDAK DIKETAHUI""))"),"#REF!")</f>
        <v>#REF!</v>
      </c>
    </row>
    <row r="4205">
      <c r="A4205" s="21" t="str">
        <f t="shared" si="1"/>
        <v/>
      </c>
      <c r="B4205" s="38"/>
      <c r="C4205" s="23" t="s">
        <v>1837</v>
      </c>
      <c r="D4205" s="23" t="s">
        <v>21</v>
      </c>
      <c r="E4205" s="24">
        <v>45459.0</v>
      </c>
      <c r="F4205" s="25">
        <v>0.2590277777777778</v>
      </c>
      <c r="G4205" s="25">
        <v>0.5979166666666667</v>
      </c>
      <c r="H4205" s="27">
        <f t="shared" si="2"/>
        <v>0.3388888889</v>
      </c>
      <c r="I4205" s="28">
        <v>2.0</v>
      </c>
      <c r="J4205" s="39" t="s">
        <v>1968</v>
      </c>
      <c r="K4205" s="30" t="s">
        <v>23</v>
      </c>
      <c r="L4205" s="31" t="str">
        <f>IFERROR(__xludf.DUMMYFUNCTION("IF(OR(E4205="""",K4205=""""),"""",IFERROR(IF(K4205="""","""",query('tbl user'!$A$2:$D10975,""SELECT A WHERE D = '""&amp;K4205&amp;""'"")),""USER TIDAK DIKETAHUI""))"),"#REF!")</f>
        <v>#REF!</v>
      </c>
    </row>
    <row r="4206">
      <c r="A4206" s="21" t="str">
        <f t="shared" si="1"/>
        <v/>
      </c>
      <c r="B4206" s="38"/>
      <c r="C4206" s="23" t="s">
        <v>1858</v>
      </c>
      <c r="D4206" s="23" t="s">
        <v>21</v>
      </c>
      <c r="E4206" s="24">
        <v>45459.0</v>
      </c>
      <c r="F4206" s="25">
        <v>0.24722222222222223</v>
      </c>
      <c r="G4206" s="25">
        <v>0.5555555555555556</v>
      </c>
      <c r="H4206" s="27">
        <f t="shared" si="2"/>
        <v>0.3083333333</v>
      </c>
      <c r="I4206" s="28">
        <v>2.0</v>
      </c>
      <c r="J4206" s="39" t="s">
        <v>1968</v>
      </c>
      <c r="K4206" s="30" t="s">
        <v>23</v>
      </c>
      <c r="L4206" s="31" t="str">
        <f>IFERROR(__xludf.DUMMYFUNCTION("IF(OR(E4206="""",K4206=""""),"""",IFERROR(IF(K4206="""","""",query('tbl user'!$A$2:$D10975,""SELECT A WHERE D = '""&amp;K4206&amp;""'"")),""USER TIDAK DIKETAHUI""))"),"#REF!")</f>
        <v>#REF!</v>
      </c>
    </row>
    <row r="4207">
      <c r="A4207" s="21" t="str">
        <f t="shared" si="1"/>
        <v/>
      </c>
      <c r="B4207" s="38"/>
      <c r="C4207" s="23" t="s">
        <v>1850</v>
      </c>
      <c r="D4207" s="23" t="s">
        <v>21</v>
      </c>
      <c r="E4207" s="24">
        <v>45459.0</v>
      </c>
      <c r="F4207" s="25">
        <v>0.3541666666666667</v>
      </c>
      <c r="G4207" s="25">
        <v>0.6458333333333334</v>
      </c>
      <c r="H4207" s="27">
        <f t="shared" si="2"/>
        <v>0.2916666667</v>
      </c>
      <c r="I4207" s="28">
        <v>2.0</v>
      </c>
      <c r="J4207" s="39" t="s">
        <v>1975</v>
      </c>
      <c r="K4207" s="30" t="s">
        <v>23</v>
      </c>
      <c r="L4207" s="31" t="str">
        <f>IFERROR(__xludf.DUMMYFUNCTION("IF(OR(E4207="""",K4207=""""),"""",IFERROR(IF(K4207="""","""",query('tbl user'!$A$2:$D10975,""SELECT A WHERE D = '""&amp;K4207&amp;""'"")),""USER TIDAK DIKETAHUI""))"),"#REF!")</f>
        <v>#REF!</v>
      </c>
    </row>
    <row r="4208">
      <c r="A4208" s="21" t="str">
        <f t="shared" si="1"/>
        <v/>
      </c>
      <c r="B4208" s="38"/>
      <c r="C4208" s="23" t="s">
        <v>1851</v>
      </c>
      <c r="D4208" s="23" t="s">
        <v>21</v>
      </c>
      <c r="E4208" s="24">
        <v>45459.0</v>
      </c>
      <c r="F4208" s="25">
        <v>0.2923611111111111</v>
      </c>
      <c r="G4208" s="25">
        <v>0.6194444444444445</v>
      </c>
      <c r="H4208" s="27">
        <f t="shared" si="2"/>
        <v>0.3270833333</v>
      </c>
      <c r="I4208" s="28">
        <v>3.0</v>
      </c>
      <c r="J4208" s="39" t="s">
        <v>1976</v>
      </c>
      <c r="K4208" s="30" t="s">
        <v>23</v>
      </c>
      <c r="L4208" s="31" t="str">
        <f>IFERROR(__xludf.DUMMYFUNCTION("IF(OR(E4208="""",K4208=""""),"""",IFERROR(IF(K4208="""","""",query('tbl user'!$A$2:$D10975,""SELECT A WHERE D = '""&amp;K4208&amp;""'"")),""USER TIDAK DIKETAHUI""))"),"#REF!")</f>
        <v>#REF!</v>
      </c>
    </row>
    <row r="4209">
      <c r="A4209" s="21" t="str">
        <f t="shared" si="1"/>
        <v/>
      </c>
      <c r="B4209" s="38"/>
      <c r="C4209" s="23" t="s">
        <v>1839</v>
      </c>
      <c r="D4209" s="23" t="s">
        <v>21</v>
      </c>
      <c r="E4209" s="24">
        <v>45459.0</v>
      </c>
      <c r="F4209" s="25">
        <v>0.25833333333333336</v>
      </c>
      <c r="G4209" s="25">
        <v>0.6256944444444444</v>
      </c>
      <c r="H4209" s="27">
        <f t="shared" si="2"/>
        <v>0.3673611111</v>
      </c>
      <c r="I4209" s="28">
        <v>3.0</v>
      </c>
      <c r="J4209" s="39" t="s">
        <v>1977</v>
      </c>
      <c r="K4209" s="30" t="s">
        <v>23</v>
      </c>
      <c r="L4209" s="31" t="str">
        <f>IFERROR(__xludf.DUMMYFUNCTION("IF(OR(E4209="""",K4209=""""),"""",IFERROR(IF(K4209="""","""",query('tbl user'!$A$2:$D10975,""SELECT A WHERE D = '""&amp;K4209&amp;""'"")),""USER TIDAK DIKETAHUI""))"),"#REF!")</f>
        <v>#REF!</v>
      </c>
    </row>
    <row r="4210">
      <c r="A4210" s="21" t="str">
        <f t="shared" si="1"/>
        <v/>
      </c>
      <c r="B4210" s="38"/>
      <c r="C4210" s="23" t="s">
        <v>1843</v>
      </c>
      <c r="D4210" s="23" t="s">
        <v>21</v>
      </c>
      <c r="E4210" s="24">
        <v>45459.0</v>
      </c>
      <c r="F4210" s="25">
        <v>0.2076388888888889</v>
      </c>
      <c r="G4210" s="25">
        <v>0.6083333333333333</v>
      </c>
      <c r="H4210" s="27">
        <f t="shared" si="2"/>
        <v>0.4006944444</v>
      </c>
      <c r="I4210" s="28">
        <v>3.0</v>
      </c>
      <c r="J4210" s="39" t="s">
        <v>1968</v>
      </c>
      <c r="K4210" s="30" t="s">
        <v>23</v>
      </c>
      <c r="L4210" s="31" t="str">
        <f>IFERROR(__xludf.DUMMYFUNCTION("IF(OR(E4210="""",K4210=""""),"""",IFERROR(IF(K4210="""","""",query('tbl user'!$A$2:$D10975,""SELECT A WHERE D = '""&amp;K4210&amp;""'"")),""USER TIDAK DIKETAHUI""))"),"#REF!")</f>
        <v>#REF!</v>
      </c>
    </row>
    <row r="4211">
      <c r="A4211" s="21" t="str">
        <f t="shared" si="1"/>
        <v/>
      </c>
      <c r="B4211" s="38"/>
      <c r="C4211" s="23" t="s">
        <v>1922</v>
      </c>
      <c r="D4211" s="23" t="s">
        <v>21</v>
      </c>
      <c r="E4211" s="24">
        <v>45459.0</v>
      </c>
      <c r="F4211" s="25">
        <v>0.2923611111111111</v>
      </c>
      <c r="G4211" s="25">
        <v>0.6340277777777777</v>
      </c>
      <c r="H4211" s="27">
        <f t="shared" si="2"/>
        <v>0.3416666667</v>
      </c>
      <c r="I4211" s="28">
        <v>3.0</v>
      </c>
      <c r="J4211" s="39" t="s">
        <v>1978</v>
      </c>
      <c r="K4211" s="30" t="s">
        <v>23</v>
      </c>
      <c r="L4211" s="31" t="str">
        <f>IFERROR(__xludf.DUMMYFUNCTION("IF(OR(E4211="""",K4211=""""),"""",IFERROR(IF(K4211="""","""",query('tbl user'!$A$2:$D10975,""SELECT A WHERE D = '""&amp;K4211&amp;""'"")),""USER TIDAK DIKETAHUI""))"),"#REF!")</f>
        <v>#REF!</v>
      </c>
    </row>
    <row r="4212">
      <c r="A4212" s="21" t="str">
        <f t="shared" si="1"/>
        <v/>
      </c>
      <c r="B4212" s="38"/>
      <c r="C4212" s="23" t="s">
        <v>1935</v>
      </c>
      <c r="D4212" s="23" t="s">
        <v>21</v>
      </c>
      <c r="E4212" s="24">
        <v>45459.0</v>
      </c>
      <c r="F4212" s="25">
        <v>0.24583333333333332</v>
      </c>
      <c r="G4212" s="25">
        <v>0.6111111111111112</v>
      </c>
      <c r="H4212" s="27">
        <f t="shared" si="2"/>
        <v>0.3652777778</v>
      </c>
      <c r="I4212" s="28">
        <v>3.0</v>
      </c>
      <c r="J4212" s="39" t="s">
        <v>1979</v>
      </c>
      <c r="K4212" s="30" t="s">
        <v>23</v>
      </c>
      <c r="L4212" s="31" t="str">
        <f>IFERROR(__xludf.DUMMYFUNCTION("IF(OR(E4212="""",K4212=""""),"""",IFERROR(IF(K4212="""","""",query('tbl user'!$A$2:$D10975,""SELECT A WHERE D = '""&amp;K4212&amp;""'"")),""USER TIDAK DIKETAHUI""))"),"#REF!")</f>
        <v>#REF!</v>
      </c>
    </row>
    <row r="4213">
      <c r="A4213" s="21" t="str">
        <f t="shared" si="1"/>
        <v/>
      </c>
      <c r="B4213" s="38"/>
      <c r="C4213" s="23" t="s">
        <v>1883</v>
      </c>
      <c r="D4213" s="23" t="s">
        <v>58</v>
      </c>
      <c r="E4213" s="24">
        <v>45459.0</v>
      </c>
      <c r="F4213" s="25">
        <v>0.27291666666666664</v>
      </c>
      <c r="G4213" s="25">
        <v>0.3923611111111111</v>
      </c>
      <c r="H4213" s="27">
        <f t="shared" si="2"/>
        <v>0.1194444444</v>
      </c>
      <c r="I4213" s="28">
        <v>1.0</v>
      </c>
      <c r="J4213" s="39" t="s">
        <v>1980</v>
      </c>
      <c r="K4213" s="30" t="s">
        <v>23</v>
      </c>
      <c r="L4213" s="31" t="str">
        <f>IFERROR(__xludf.DUMMYFUNCTION("IF(OR(E4213="""",K4213=""""),"""",IFERROR(IF(K4213="""","""",query('tbl user'!$A$2:$D10975,""SELECT A WHERE D = '""&amp;K4213&amp;""'"")),""USER TIDAK DIKETAHUI""))"),"#REF!")</f>
        <v>#REF!</v>
      </c>
    </row>
    <row r="4214">
      <c r="A4214" s="21" t="str">
        <f t="shared" si="1"/>
        <v/>
      </c>
      <c r="B4214" s="38"/>
      <c r="C4214" s="23" t="s">
        <v>1860</v>
      </c>
      <c r="D4214" s="23" t="s">
        <v>58</v>
      </c>
      <c r="E4214" s="24">
        <v>45459.0</v>
      </c>
      <c r="F4214" s="25">
        <v>0.27708333333333335</v>
      </c>
      <c r="G4214" s="25">
        <v>0.42291666666666666</v>
      </c>
      <c r="H4214" s="27">
        <f t="shared" si="2"/>
        <v>0.1458333333</v>
      </c>
      <c r="I4214" s="28">
        <v>1.0</v>
      </c>
      <c r="J4214" s="39" t="s">
        <v>1968</v>
      </c>
      <c r="K4214" s="30" t="s">
        <v>23</v>
      </c>
      <c r="L4214" s="31" t="str">
        <f>IFERROR(__xludf.DUMMYFUNCTION("IF(OR(E4214="""",K4214=""""),"""",IFERROR(IF(K4214="""","""",query('tbl user'!$A$2:$D10975,""SELECT A WHERE D = '""&amp;K4214&amp;""'"")),""USER TIDAK DIKETAHUI""))"),"#REF!")</f>
        <v>#REF!</v>
      </c>
    </row>
    <row r="4215">
      <c r="A4215" s="21" t="str">
        <f t="shared" si="1"/>
        <v/>
      </c>
      <c r="B4215" s="38"/>
      <c r="C4215" s="23" t="s">
        <v>1950</v>
      </c>
      <c r="D4215" s="23" t="s">
        <v>58</v>
      </c>
      <c r="E4215" s="24">
        <v>45459.0</v>
      </c>
      <c r="F4215" s="25">
        <v>0.24097222222222223</v>
      </c>
      <c r="G4215" s="25">
        <v>0.3888888888888889</v>
      </c>
      <c r="H4215" s="27">
        <f t="shared" si="2"/>
        <v>0.1479166667</v>
      </c>
      <c r="I4215" s="28">
        <v>1.0</v>
      </c>
      <c r="J4215" s="39" t="s">
        <v>1981</v>
      </c>
      <c r="K4215" s="30" t="s">
        <v>23</v>
      </c>
      <c r="L4215" s="31" t="str">
        <f>IFERROR(__xludf.DUMMYFUNCTION("IF(OR(E4215="""",K4215=""""),"""",IFERROR(IF(K4215="""","""",query('tbl user'!$A$2:$D10975,""SELECT A WHERE D = '""&amp;K4215&amp;""'"")),""USER TIDAK DIKETAHUI""))"),"#REF!")</f>
        <v>#REF!</v>
      </c>
    </row>
    <row r="4216">
      <c r="A4216" s="21" t="str">
        <f t="shared" si="1"/>
        <v/>
      </c>
      <c r="B4216" s="38"/>
      <c r="C4216" s="23" t="s">
        <v>1888</v>
      </c>
      <c r="D4216" s="23" t="s">
        <v>58</v>
      </c>
      <c r="E4216" s="24">
        <v>45459.0</v>
      </c>
      <c r="F4216" s="25">
        <v>0.2520833333333333</v>
      </c>
      <c r="G4216" s="25">
        <v>0.35138888888888886</v>
      </c>
      <c r="H4216" s="27">
        <f t="shared" si="2"/>
        <v>0.09930555556</v>
      </c>
      <c r="I4216" s="28">
        <v>1.0</v>
      </c>
      <c r="J4216" s="39" t="s">
        <v>1982</v>
      </c>
      <c r="K4216" s="30" t="s">
        <v>23</v>
      </c>
      <c r="L4216" s="31" t="str">
        <f>IFERROR(__xludf.DUMMYFUNCTION("IF(OR(E4216="""",K4216=""""),"""",IFERROR(IF(K4216="""","""",query('tbl user'!$A$2:$D10975,""SELECT A WHERE D = '""&amp;K4216&amp;""'"")),""USER TIDAK DIKETAHUI""))"),"#REF!")</f>
        <v>#REF!</v>
      </c>
    </row>
    <row r="4217">
      <c r="A4217" s="21" t="str">
        <f t="shared" si="1"/>
        <v/>
      </c>
      <c r="B4217" s="38"/>
      <c r="C4217" s="23" t="s">
        <v>1890</v>
      </c>
      <c r="D4217" s="23" t="s">
        <v>58</v>
      </c>
      <c r="E4217" s="24">
        <v>45459.0</v>
      </c>
      <c r="F4217" s="25">
        <v>0.25416666666666665</v>
      </c>
      <c r="G4217" s="25">
        <v>0.5763888888888888</v>
      </c>
      <c r="H4217" s="27">
        <f t="shared" si="2"/>
        <v>0.3222222222</v>
      </c>
      <c r="I4217" s="28">
        <v>1.0</v>
      </c>
      <c r="J4217" s="39" t="s">
        <v>1983</v>
      </c>
      <c r="K4217" s="30" t="s">
        <v>23</v>
      </c>
      <c r="L4217" s="31" t="str">
        <f>IFERROR(__xludf.DUMMYFUNCTION("IF(OR(E4217="""",K4217=""""),"""",IFERROR(IF(K4217="""","""",query('tbl user'!$A$2:$D10975,""SELECT A WHERE D = '""&amp;K4217&amp;""'"")),""USER TIDAK DIKETAHUI""))"),"#REF!")</f>
        <v>#REF!</v>
      </c>
    </row>
    <row r="4218">
      <c r="A4218" s="21" t="str">
        <f t="shared" si="1"/>
        <v/>
      </c>
      <c r="B4218" s="38"/>
      <c r="C4218" s="23" t="s">
        <v>1861</v>
      </c>
      <c r="D4218" s="23" t="s">
        <v>58</v>
      </c>
      <c r="E4218" s="24">
        <v>45459.0</v>
      </c>
      <c r="F4218" s="25">
        <v>0.3819444444444444</v>
      </c>
      <c r="G4218" s="25">
        <v>0.5701388888888889</v>
      </c>
      <c r="H4218" s="27">
        <f t="shared" si="2"/>
        <v>0.1881944444</v>
      </c>
      <c r="I4218" s="28">
        <v>1.0</v>
      </c>
      <c r="J4218" s="39" t="s">
        <v>1968</v>
      </c>
      <c r="K4218" s="30" t="s">
        <v>23</v>
      </c>
      <c r="L4218" s="31" t="str">
        <f>IFERROR(__xludf.DUMMYFUNCTION("IF(OR(E4218="""",K4218=""""),"""",IFERROR(IF(K4218="""","""",query('tbl user'!$A$2:$D10975,""SELECT A WHERE D = '""&amp;K4218&amp;""'"")),""USER TIDAK DIKETAHUI""))"),"#REF!")</f>
        <v>#REF!</v>
      </c>
    </row>
    <row r="4219">
      <c r="A4219" s="21" t="str">
        <f t="shared" si="1"/>
        <v/>
      </c>
      <c r="B4219" s="38"/>
      <c r="C4219" s="23" t="s">
        <v>1874</v>
      </c>
      <c r="D4219" s="23" t="s">
        <v>58</v>
      </c>
      <c r="E4219" s="24">
        <v>45459.0</v>
      </c>
      <c r="F4219" s="25">
        <v>0.3104166666666667</v>
      </c>
      <c r="G4219" s="25">
        <v>0.5694444444444444</v>
      </c>
      <c r="H4219" s="27">
        <f t="shared" si="2"/>
        <v>0.2590277778</v>
      </c>
      <c r="I4219" s="28">
        <v>2.0</v>
      </c>
      <c r="J4219" s="39" t="s">
        <v>1984</v>
      </c>
      <c r="K4219" s="30" t="s">
        <v>23</v>
      </c>
      <c r="L4219" s="31" t="str">
        <f>IFERROR(__xludf.DUMMYFUNCTION("IF(OR(E4219="""",K4219=""""),"""",IFERROR(IF(K4219="""","""",query('tbl user'!$A$2:$D10975,""SELECT A WHERE D = '""&amp;K4219&amp;""'"")),""USER TIDAK DIKETAHUI""))"),"#REF!")</f>
        <v>#REF!</v>
      </c>
    </row>
    <row r="4220">
      <c r="A4220" s="21" t="str">
        <f t="shared" si="1"/>
        <v/>
      </c>
      <c r="B4220" s="38"/>
      <c r="C4220" s="23" t="s">
        <v>1875</v>
      </c>
      <c r="D4220" s="23" t="s">
        <v>58</v>
      </c>
      <c r="E4220" s="24">
        <v>45459.0</v>
      </c>
      <c r="F4220" s="25">
        <v>0.2361111111111111</v>
      </c>
      <c r="G4220" s="25">
        <v>0.6048611111111111</v>
      </c>
      <c r="H4220" s="27">
        <f t="shared" si="2"/>
        <v>0.36875</v>
      </c>
      <c r="I4220" s="28">
        <v>2.0</v>
      </c>
      <c r="J4220" s="39" t="s">
        <v>1985</v>
      </c>
      <c r="K4220" s="30" t="s">
        <v>23</v>
      </c>
      <c r="L4220" s="31" t="str">
        <f>IFERROR(__xludf.DUMMYFUNCTION("IF(OR(E4220="""",K4220=""""),"""",IFERROR(IF(K4220="""","""",query('tbl user'!$A$2:$D10975,""SELECT A WHERE D = '""&amp;K4220&amp;""'"")),""USER TIDAK DIKETAHUI""))"),"#REF!")</f>
        <v>#REF!</v>
      </c>
    </row>
    <row r="4221">
      <c r="A4221" s="21" t="str">
        <f t="shared" si="1"/>
        <v/>
      </c>
      <c r="B4221" s="38"/>
      <c r="C4221" s="23" t="s">
        <v>1865</v>
      </c>
      <c r="D4221" s="23" t="s">
        <v>58</v>
      </c>
      <c r="E4221" s="24">
        <v>45459.0</v>
      </c>
      <c r="F4221" s="25">
        <v>0.2861111111111111</v>
      </c>
      <c r="G4221" s="25">
        <v>0.6173611111111111</v>
      </c>
      <c r="H4221" s="27">
        <f t="shared" si="2"/>
        <v>0.33125</v>
      </c>
      <c r="I4221" s="28">
        <v>2.0</v>
      </c>
      <c r="J4221" s="39" t="s">
        <v>1968</v>
      </c>
      <c r="K4221" s="30" t="s">
        <v>23</v>
      </c>
      <c r="L4221" s="31" t="str">
        <f>IFERROR(__xludf.DUMMYFUNCTION("IF(OR(E4221="""",K4221=""""),"""",IFERROR(IF(K4221="""","""",query('tbl user'!$A$2:$D10975,""SELECT A WHERE D = '""&amp;K4221&amp;""'"")),""USER TIDAK DIKETAHUI""))"),"#REF!")</f>
        <v>#REF!</v>
      </c>
    </row>
    <row r="4222">
      <c r="A4222" s="21" t="str">
        <f t="shared" si="1"/>
        <v/>
      </c>
      <c r="B4222" s="38"/>
      <c r="C4222" s="23" t="s">
        <v>1867</v>
      </c>
      <c r="D4222" s="23" t="s">
        <v>58</v>
      </c>
      <c r="E4222" s="24">
        <v>45459.0</v>
      </c>
      <c r="F4222" s="25">
        <v>0.2875</v>
      </c>
      <c r="G4222" s="25">
        <v>0.5763888888888888</v>
      </c>
      <c r="H4222" s="27">
        <f t="shared" si="2"/>
        <v>0.2888888889</v>
      </c>
      <c r="I4222" s="28">
        <v>2.0</v>
      </c>
      <c r="J4222" s="39" t="s">
        <v>1986</v>
      </c>
      <c r="K4222" s="30" t="s">
        <v>23</v>
      </c>
      <c r="L4222" s="31" t="str">
        <f>IFERROR(__xludf.DUMMYFUNCTION("IF(OR(E4222="""",K4222=""""),"""",IFERROR(IF(K4222="""","""",query('tbl user'!$A$2:$D10975,""SELECT A WHERE D = '""&amp;K4222&amp;""'"")),""USER TIDAK DIKETAHUI""))"),"#REF!")</f>
        <v>#REF!</v>
      </c>
    </row>
    <row r="4223">
      <c r="A4223" s="21" t="str">
        <f t="shared" si="1"/>
        <v/>
      </c>
      <c r="B4223" s="38"/>
      <c r="C4223" s="23" t="s">
        <v>1948</v>
      </c>
      <c r="D4223" s="23" t="s">
        <v>58</v>
      </c>
      <c r="E4223" s="24">
        <v>45459.0</v>
      </c>
      <c r="F4223" s="25">
        <v>0.30833333333333335</v>
      </c>
      <c r="G4223" s="25">
        <v>0.60625</v>
      </c>
      <c r="H4223" s="27">
        <f t="shared" si="2"/>
        <v>0.2979166667</v>
      </c>
      <c r="I4223" s="28">
        <v>2.0</v>
      </c>
      <c r="J4223" s="39" t="s">
        <v>1987</v>
      </c>
      <c r="K4223" s="30" t="s">
        <v>23</v>
      </c>
      <c r="L4223" s="31" t="str">
        <f>IFERROR(__xludf.DUMMYFUNCTION("IF(OR(E4223="""",K4223=""""),"""",IFERROR(IF(K4223="""","""",query('tbl user'!$A$2:$D10975,""SELECT A WHERE D = '""&amp;K4223&amp;""'"")),""USER TIDAK DIKETAHUI""))"),"#REF!")</f>
        <v>#REF!</v>
      </c>
    </row>
    <row r="4224">
      <c r="A4224" s="21" t="str">
        <f t="shared" si="1"/>
        <v/>
      </c>
      <c r="B4224" s="38"/>
      <c r="C4224" s="23" t="s">
        <v>1941</v>
      </c>
      <c r="D4224" s="23" t="s">
        <v>58</v>
      </c>
      <c r="E4224" s="24">
        <v>45459.0</v>
      </c>
      <c r="F4224" s="25">
        <v>0.2875</v>
      </c>
      <c r="G4224" s="25">
        <v>0.5673611111111111</v>
      </c>
      <c r="H4224" s="27">
        <f t="shared" si="2"/>
        <v>0.2798611111</v>
      </c>
      <c r="I4224" s="28">
        <v>2.0</v>
      </c>
      <c r="J4224" s="39" t="s">
        <v>1968</v>
      </c>
      <c r="K4224" s="30" t="s">
        <v>23</v>
      </c>
      <c r="L4224" s="31" t="str">
        <f>IFERROR(__xludf.DUMMYFUNCTION("IF(OR(E4224="""",K4224=""""),"""",IFERROR(IF(K4224="""","""",query('tbl user'!$A$2:$D10975,""SELECT A WHERE D = '""&amp;K4224&amp;""'"")),""USER TIDAK DIKETAHUI""))"),"#REF!")</f>
        <v>#REF!</v>
      </c>
    </row>
    <row r="4225">
      <c r="A4225" s="21" t="str">
        <f t="shared" si="1"/>
        <v/>
      </c>
      <c r="B4225" s="38"/>
      <c r="C4225" s="23" t="s">
        <v>1878</v>
      </c>
      <c r="D4225" s="23" t="s">
        <v>58</v>
      </c>
      <c r="E4225" s="24">
        <v>45459.0</v>
      </c>
      <c r="F4225" s="25">
        <v>0.2847222222222222</v>
      </c>
      <c r="G4225" s="25">
        <v>0.5763888888888888</v>
      </c>
      <c r="H4225" s="27">
        <f t="shared" si="2"/>
        <v>0.2916666667</v>
      </c>
      <c r="I4225" s="28">
        <v>2.0</v>
      </c>
      <c r="J4225" s="39" t="s">
        <v>1968</v>
      </c>
      <c r="K4225" s="30" t="s">
        <v>23</v>
      </c>
      <c r="L4225" s="31" t="str">
        <f>IFERROR(__xludf.DUMMYFUNCTION("IF(OR(E4225="""",K4225=""""),"""",IFERROR(IF(K4225="""","""",query('tbl user'!$A$2:$D10975,""SELECT A WHERE D = '""&amp;K4225&amp;""'"")),""USER TIDAK DIKETAHUI""))"),"#REF!")</f>
        <v>#REF!</v>
      </c>
    </row>
    <row r="4226">
      <c r="A4226" s="21" t="str">
        <f t="shared" si="1"/>
        <v/>
      </c>
      <c r="B4226" s="38"/>
      <c r="C4226" s="23" t="s">
        <v>1869</v>
      </c>
      <c r="D4226" s="23" t="s">
        <v>58</v>
      </c>
      <c r="E4226" s="24">
        <v>45459.0</v>
      </c>
      <c r="F4226" s="25">
        <v>0.29305555555555557</v>
      </c>
      <c r="G4226" s="25">
        <v>0.5951388888888889</v>
      </c>
      <c r="H4226" s="27">
        <f t="shared" si="2"/>
        <v>0.3020833333</v>
      </c>
      <c r="I4226" s="28">
        <v>2.0</v>
      </c>
      <c r="J4226" s="39" t="s">
        <v>1968</v>
      </c>
      <c r="K4226" s="30" t="s">
        <v>23</v>
      </c>
      <c r="L4226" s="31" t="str">
        <f>IFERROR(__xludf.DUMMYFUNCTION("IF(OR(E4226="""",K4226=""""),"""",IFERROR(IF(K4226="""","""",query('tbl user'!$A$2:$D10975,""SELECT A WHERE D = '""&amp;K4226&amp;""'"")),""USER TIDAK DIKETAHUI""))"),"#REF!")</f>
        <v>#REF!</v>
      </c>
    </row>
    <row r="4227">
      <c r="A4227" s="21" t="str">
        <f t="shared" si="1"/>
        <v/>
      </c>
      <c r="B4227" s="38"/>
      <c r="C4227" s="23" t="s">
        <v>1881</v>
      </c>
      <c r="D4227" s="23" t="s">
        <v>58</v>
      </c>
      <c r="E4227" s="24">
        <v>45459.0</v>
      </c>
      <c r="F4227" s="25">
        <v>0.21736111111111112</v>
      </c>
      <c r="G4227" s="25">
        <v>0.6041666666666666</v>
      </c>
      <c r="H4227" s="27">
        <f t="shared" si="2"/>
        <v>0.3868055556</v>
      </c>
      <c r="I4227" s="28">
        <v>2.0</v>
      </c>
      <c r="J4227" s="39" t="s">
        <v>1988</v>
      </c>
      <c r="K4227" s="30" t="s">
        <v>23</v>
      </c>
      <c r="L4227" s="31" t="str">
        <f>IFERROR(__xludf.DUMMYFUNCTION("IF(OR(E4227="""",K4227=""""),"""",IFERROR(IF(K4227="""","""",query('tbl user'!$A$2:$D10975,""SELECT A WHERE D = '""&amp;K4227&amp;""'"")),""USER TIDAK DIKETAHUI""))"),"#REF!")</f>
        <v>#REF!</v>
      </c>
    </row>
    <row r="4228">
      <c r="A4228" s="21" t="str">
        <f t="shared" si="1"/>
        <v/>
      </c>
      <c r="B4228" s="38"/>
      <c r="C4228" s="23" t="s">
        <v>1884</v>
      </c>
      <c r="D4228" s="23" t="s">
        <v>58</v>
      </c>
      <c r="E4228" s="24">
        <v>45459.0</v>
      </c>
      <c r="F4228" s="25">
        <v>0.21875</v>
      </c>
      <c r="G4228" s="25">
        <v>0.5979166666666667</v>
      </c>
      <c r="H4228" s="27">
        <f t="shared" si="2"/>
        <v>0.3791666667</v>
      </c>
      <c r="I4228" s="28">
        <v>2.0</v>
      </c>
      <c r="J4228" s="39" t="s">
        <v>1989</v>
      </c>
      <c r="K4228" s="30" t="s">
        <v>23</v>
      </c>
      <c r="L4228" s="31" t="str">
        <f>IFERROR(__xludf.DUMMYFUNCTION("IF(OR(E4228="""",K4228=""""),"""",IFERROR(IF(K4228="""","""",query('tbl user'!$A$2:$D10975,""SELECT A WHERE D = '""&amp;K4228&amp;""'"")),""USER TIDAK DIKETAHUI""))"),"#REF!")</f>
        <v>#REF!</v>
      </c>
    </row>
    <row r="4229">
      <c r="A4229" s="21" t="str">
        <f t="shared" si="1"/>
        <v/>
      </c>
      <c r="B4229" s="38"/>
      <c r="C4229" s="23" t="s">
        <v>1863</v>
      </c>
      <c r="D4229" s="23" t="s">
        <v>58</v>
      </c>
      <c r="E4229" s="24">
        <v>45459.0</v>
      </c>
      <c r="F4229" s="25">
        <v>0.2916666666666667</v>
      </c>
      <c r="G4229" s="25">
        <v>0.5583333333333333</v>
      </c>
      <c r="H4229" s="27">
        <f t="shared" si="2"/>
        <v>0.2666666667</v>
      </c>
      <c r="I4229" s="28">
        <v>2.0</v>
      </c>
      <c r="J4229" s="39" t="s">
        <v>1968</v>
      </c>
      <c r="K4229" s="30" t="s">
        <v>23</v>
      </c>
      <c r="L4229" s="31" t="str">
        <f>IFERROR(__xludf.DUMMYFUNCTION("IF(OR(E4229="""",K4229=""""),"""",IFERROR(IF(K4229="""","""",query('tbl user'!$A$2:$D10975,""SELECT A WHERE D = '""&amp;K4229&amp;""'"")),""USER TIDAK DIKETAHUI""))"),"#REF!")</f>
        <v>#REF!</v>
      </c>
    </row>
    <row r="4230">
      <c r="A4230" s="21" t="str">
        <f t="shared" si="1"/>
        <v/>
      </c>
      <c r="B4230" s="38"/>
      <c r="C4230" s="23" t="s">
        <v>1887</v>
      </c>
      <c r="D4230" s="23" t="s">
        <v>58</v>
      </c>
      <c r="E4230" s="24">
        <v>45459.0</v>
      </c>
      <c r="F4230" s="25">
        <v>0.25972222222222224</v>
      </c>
      <c r="G4230" s="25">
        <v>0.55625</v>
      </c>
      <c r="H4230" s="27">
        <f t="shared" si="2"/>
        <v>0.2965277778</v>
      </c>
      <c r="I4230" s="28">
        <v>2.0</v>
      </c>
      <c r="J4230" s="39" t="s">
        <v>1968</v>
      </c>
      <c r="K4230" s="30" t="s">
        <v>23</v>
      </c>
      <c r="L4230" s="31" t="str">
        <f>IFERROR(__xludf.DUMMYFUNCTION("IF(OR(E4230="""",K4230=""""),"""",IFERROR(IF(K4230="""","""",query('tbl user'!$A$2:$D10975,""SELECT A WHERE D = '""&amp;K4230&amp;""'"")),""USER TIDAK DIKETAHUI""))"),"#REF!")</f>
        <v>#REF!</v>
      </c>
    </row>
    <row r="4231">
      <c r="A4231" s="21" t="str">
        <f t="shared" si="1"/>
        <v/>
      </c>
      <c r="B4231" s="38"/>
      <c r="C4231" s="23" t="s">
        <v>1889</v>
      </c>
      <c r="D4231" s="23" t="s">
        <v>58</v>
      </c>
      <c r="E4231" s="24">
        <v>45459.0</v>
      </c>
      <c r="F4231" s="25">
        <v>0.22013888888888888</v>
      </c>
      <c r="G4231" s="25">
        <v>0.5631944444444444</v>
      </c>
      <c r="H4231" s="27">
        <f t="shared" si="2"/>
        <v>0.3430555556</v>
      </c>
      <c r="I4231" s="28">
        <v>2.0</v>
      </c>
      <c r="J4231" s="39" t="s">
        <v>1968</v>
      </c>
      <c r="K4231" s="30" t="s">
        <v>23</v>
      </c>
      <c r="L4231" s="31" t="str">
        <f>IFERROR(__xludf.DUMMYFUNCTION("IF(OR(E4231="""",K4231=""""),"""",IFERROR(IF(K4231="""","""",query('tbl user'!$A$2:$D10975,""SELECT A WHERE D = '""&amp;K4231&amp;""'"")),""USER TIDAK DIKETAHUI""))"),"#REF!")</f>
        <v>#REF!</v>
      </c>
    </row>
    <row r="4232">
      <c r="A4232" s="21" t="str">
        <f t="shared" si="1"/>
        <v/>
      </c>
      <c r="B4232" s="38"/>
      <c r="C4232" s="23" t="s">
        <v>1872</v>
      </c>
      <c r="D4232" s="23" t="s">
        <v>58</v>
      </c>
      <c r="E4232" s="24">
        <v>45459.0</v>
      </c>
      <c r="F4232" s="25">
        <v>0.2569444444444444</v>
      </c>
      <c r="G4232" s="25">
        <v>0.5284722222222222</v>
      </c>
      <c r="H4232" s="27">
        <f t="shared" si="2"/>
        <v>0.2715277778</v>
      </c>
      <c r="I4232" s="28">
        <v>2.0</v>
      </c>
      <c r="J4232" s="39" t="s">
        <v>1968</v>
      </c>
      <c r="K4232" s="30" t="s">
        <v>23</v>
      </c>
      <c r="L4232" s="31" t="str">
        <f>IFERROR(__xludf.DUMMYFUNCTION("IF(OR(E4232="""",K4232=""""),"""",IFERROR(IF(K4232="""","""",query('tbl user'!$A$2:$D10975,""SELECT A WHERE D = '""&amp;K4232&amp;""'"")),""USER TIDAK DIKETAHUI""))"),"#REF!")</f>
        <v>#REF!</v>
      </c>
    </row>
    <row r="4233">
      <c r="A4233" s="21" t="str">
        <f t="shared" si="1"/>
        <v/>
      </c>
      <c r="B4233" s="38"/>
      <c r="C4233" s="23" t="s">
        <v>1891</v>
      </c>
      <c r="D4233" s="23" t="s">
        <v>58</v>
      </c>
      <c r="E4233" s="24">
        <v>45459.0</v>
      </c>
      <c r="F4233" s="25">
        <v>0.2604166666666667</v>
      </c>
      <c r="G4233" s="25">
        <v>0.5368055555555555</v>
      </c>
      <c r="H4233" s="27">
        <f t="shared" si="2"/>
        <v>0.2763888889</v>
      </c>
      <c r="I4233" s="28">
        <v>2.0</v>
      </c>
      <c r="J4233" s="39" t="s">
        <v>1968</v>
      </c>
      <c r="K4233" s="30" t="s">
        <v>23</v>
      </c>
      <c r="L4233" s="31" t="str">
        <f>IFERROR(__xludf.DUMMYFUNCTION("IF(OR(E4233="""",K4233=""""),"""",IFERROR(IF(K4233="""","""",query('tbl user'!$A$2:$D10975,""SELECT A WHERE D = '""&amp;K4233&amp;""'"")),""USER TIDAK DIKETAHUI""))"),"#REF!")</f>
        <v>#REF!</v>
      </c>
    </row>
    <row r="4234">
      <c r="A4234" s="21" t="str">
        <f t="shared" si="1"/>
        <v/>
      </c>
      <c r="B4234" s="38"/>
      <c r="C4234" s="23" t="s">
        <v>1882</v>
      </c>
      <c r="D4234" s="23" t="s">
        <v>58</v>
      </c>
      <c r="E4234" s="24">
        <v>45459.0</v>
      </c>
      <c r="F4234" s="25">
        <v>0.24791666666666667</v>
      </c>
      <c r="G4234" s="25">
        <v>0.5875</v>
      </c>
      <c r="H4234" s="27">
        <f t="shared" si="2"/>
        <v>0.3395833333</v>
      </c>
      <c r="I4234" s="28">
        <v>3.0</v>
      </c>
      <c r="J4234" s="39" t="s">
        <v>1968</v>
      </c>
      <c r="K4234" s="30" t="s">
        <v>23</v>
      </c>
      <c r="L4234" s="31" t="str">
        <f>IFERROR(__xludf.DUMMYFUNCTION("IF(OR(E4234="""",K4234=""""),"""",IFERROR(IF(K4234="""","""",query('tbl user'!$A$2:$D10975,""SELECT A WHERE D = '""&amp;K4234&amp;""'"")),""USER TIDAK DIKETAHUI""))"),"#REF!")</f>
        <v>#REF!</v>
      </c>
    </row>
    <row r="4235">
      <c r="A4235" s="21" t="str">
        <f t="shared" si="1"/>
        <v/>
      </c>
      <c r="B4235" s="38"/>
      <c r="C4235" s="23" t="s">
        <v>1990</v>
      </c>
      <c r="D4235" s="23" t="s">
        <v>32</v>
      </c>
      <c r="E4235" s="24">
        <v>45459.0</v>
      </c>
      <c r="F4235" s="25">
        <v>0.24513888888888888</v>
      </c>
      <c r="G4235" s="25">
        <v>0.4305555555555556</v>
      </c>
      <c r="H4235" s="27">
        <f t="shared" si="2"/>
        <v>0.1854166667</v>
      </c>
      <c r="I4235" s="28"/>
      <c r="J4235" s="39"/>
      <c r="K4235" s="41"/>
      <c r="L4235" s="31" t="str">
        <f>IFERROR(__xludf.DUMMYFUNCTION("IF(OR(E4235="""",K4235=""""),"""",IFERROR(IF(K4235="""","""",query('tbl user'!$A$2:$D10975,""SELECT A WHERE D = '""&amp;K4235&amp;""'"")),""USER TIDAK DIKETAHUI""))"),"")</f>
        <v/>
      </c>
    </row>
    <row r="4236">
      <c r="A4236" s="21" t="str">
        <f t="shared" si="1"/>
        <v/>
      </c>
      <c r="B4236" s="40"/>
      <c r="C4236" s="23" t="s">
        <v>1904</v>
      </c>
      <c r="D4236" s="23" t="s">
        <v>32</v>
      </c>
      <c r="E4236" s="24">
        <v>45459.0</v>
      </c>
      <c r="F4236" s="25">
        <v>0.2548611111111111</v>
      </c>
      <c r="G4236" s="25">
        <v>0.5625</v>
      </c>
      <c r="H4236" s="27">
        <f t="shared" si="2"/>
        <v>0.3076388889</v>
      </c>
      <c r="I4236" s="28">
        <v>1.0</v>
      </c>
      <c r="J4236" s="39" t="s">
        <v>1991</v>
      </c>
      <c r="K4236" s="41"/>
      <c r="L4236" s="31" t="str">
        <f>IFERROR(__xludf.DUMMYFUNCTION("IF(OR(E4236="""",K4236=""""),"""",IFERROR(IF(K4236="""","""",query('tbl user'!$A$2:$D10975,""SELECT A WHERE D = '""&amp;K4236&amp;""'"")),""USER TIDAK DIKETAHUI""))"),"")</f>
        <v/>
      </c>
    </row>
    <row r="4237">
      <c r="A4237" s="21" t="str">
        <f t="shared" si="1"/>
        <v/>
      </c>
      <c r="B4237" s="38"/>
      <c r="C4237" s="23" t="s">
        <v>1961</v>
      </c>
      <c r="D4237" s="23" t="s">
        <v>32</v>
      </c>
      <c r="E4237" s="24">
        <v>45459.0</v>
      </c>
      <c r="F4237" s="25">
        <v>0.2923611111111111</v>
      </c>
      <c r="G4237" s="25">
        <v>0.5763888888888888</v>
      </c>
      <c r="H4237" s="27">
        <f t="shared" si="2"/>
        <v>0.2840277778</v>
      </c>
      <c r="I4237" s="28">
        <v>1.0</v>
      </c>
      <c r="J4237" s="39" t="s">
        <v>1968</v>
      </c>
      <c r="K4237" s="41"/>
      <c r="L4237" s="31" t="str">
        <f>IFERROR(__xludf.DUMMYFUNCTION("IF(OR(E4237="""",K4237=""""),"""",IFERROR(IF(K4237="""","""",query('tbl user'!$A$2:$D10975,""SELECT A WHERE D = '""&amp;K4237&amp;""'"")),""USER TIDAK DIKETAHUI""))"),"")</f>
        <v/>
      </c>
    </row>
    <row r="4238">
      <c r="A4238" s="21" t="str">
        <f t="shared" si="1"/>
        <v/>
      </c>
      <c r="B4238" s="38"/>
      <c r="C4238" s="23" t="s">
        <v>1957</v>
      </c>
      <c r="D4238" s="23" t="s">
        <v>32</v>
      </c>
      <c r="E4238" s="24">
        <v>45459.0</v>
      </c>
      <c r="F4238" s="25">
        <v>0.28958333333333336</v>
      </c>
      <c r="G4238" s="25">
        <v>0.5694444444444444</v>
      </c>
      <c r="H4238" s="27">
        <f t="shared" si="2"/>
        <v>0.2798611111</v>
      </c>
      <c r="I4238" s="28">
        <v>2.0</v>
      </c>
      <c r="J4238" s="39" t="s">
        <v>1968</v>
      </c>
      <c r="K4238" s="41"/>
      <c r="L4238" s="31" t="str">
        <f>IFERROR(__xludf.DUMMYFUNCTION("IF(OR(E4238="""",K4238=""""),"""",IFERROR(IF(K4238="""","""",query('tbl user'!$A$2:$D10975,""SELECT A WHERE D = '""&amp;K4238&amp;""'"")),""USER TIDAK DIKETAHUI""))"),"")</f>
        <v/>
      </c>
    </row>
    <row r="4239">
      <c r="A4239" s="21" t="str">
        <f t="shared" si="1"/>
        <v/>
      </c>
      <c r="B4239" s="38"/>
      <c r="C4239" s="23" t="s">
        <v>1894</v>
      </c>
      <c r="D4239" s="23" t="s">
        <v>32</v>
      </c>
      <c r="E4239" s="24">
        <v>45459.0</v>
      </c>
      <c r="F4239" s="25">
        <v>0.2986111111111111</v>
      </c>
      <c r="G4239" s="25">
        <v>0.6111111111111112</v>
      </c>
      <c r="H4239" s="27">
        <f t="shared" si="2"/>
        <v>0.3125</v>
      </c>
      <c r="I4239" s="28">
        <v>2.0</v>
      </c>
      <c r="J4239" s="39" t="s">
        <v>1968</v>
      </c>
      <c r="K4239" s="41"/>
      <c r="L4239" s="31" t="str">
        <f>IFERROR(__xludf.DUMMYFUNCTION("IF(OR(E4239="""",K4239=""""),"""",IFERROR(IF(K4239="""","""",query('tbl user'!$A$2:$D10975,""SELECT A WHERE D = '""&amp;K4239&amp;""'"")),""USER TIDAK DIKETAHUI""))"),"")</f>
        <v/>
      </c>
    </row>
    <row r="4240">
      <c r="A4240" s="21" t="str">
        <f t="shared" si="1"/>
        <v/>
      </c>
      <c r="B4240" s="38"/>
      <c r="C4240" s="23" t="s">
        <v>1967</v>
      </c>
      <c r="D4240" s="23" t="s">
        <v>32</v>
      </c>
      <c r="E4240" s="24">
        <v>45459.0</v>
      </c>
      <c r="F4240" s="25">
        <v>0.28125</v>
      </c>
      <c r="G4240" s="25">
        <v>0.5555555555555556</v>
      </c>
      <c r="H4240" s="27">
        <f t="shared" si="2"/>
        <v>0.2743055556</v>
      </c>
      <c r="I4240" s="28">
        <v>2.0</v>
      </c>
      <c r="J4240" s="39" t="s">
        <v>1968</v>
      </c>
      <c r="K4240" s="41"/>
      <c r="L4240" s="31" t="str">
        <f>IFERROR(__xludf.DUMMYFUNCTION("IF(OR(E4240="""",K4240=""""),"""",IFERROR(IF(K4240="""","""",query('tbl user'!$A$2:$D10975,""SELECT A WHERE D = '""&amp;K4240&amp;""'"")),""USER TIDAK DIKETAHUI""))"),"")</f>
        <v/>
      </c>
    </row>
    <row r="4241">
      <c r="A4241" s="21" t="str">
        <f t="shared" si="1"/>
        <v/>
      </c>
      <c r="B4241" s="38"/>
      <c r="C4241" s="23" t="s">
        <v>1902</v>
      </c>
      <c r="D4241" s="23" t="s">
        <v>32</v>
      </c>
      <c r="E4241" s="24">
        <v>45459.0</v>
      </c>
      <c r="F4241" s="25">
        <v>0.2965277777777778</v>
      </c>
      <c r="G4241" s="25">
        <v>0.5972222222222222</v>
      </c>
      <c r="H4241" s="27">
        <f t="shared" si="2"/>
        <v>0.3006944444</v>
      </c>
      <c r="I4241" s="28">
        <v>2.0</v>
      </c>
      <c r="J4241" s="39" t="s">
        <v>1992</v>
      </c>
      <c r="K4241" s="41"/>
      <c r="L4241" s="31" t="str">
        <f>IFERROR(__xludf.DUMMYFUNCTION("IF(OR(E4241="""",K4241=""""),"""",IFERROR(IF(K4241="""","""",query('tbl user'!$A$2:$D10975,""SELECT A WHERE D = '""&amp;K4241&amp;""'"")),""USER TIDAK DIKETAHUI""))"),"")</f>
        <v/>
      </c>
    </row>
    <row r="4242">
      <c r="A4242" s="21" t="str">
        <f t="shared" si="1"/>
        <v/>
      </c>
      <c r="B4242" s="38"/>
      <c r="C4242" s="23" t="s">
        <v>1896</v>
      </c>
      <c r="D4242" s="23" t="s">
        <v>32</v>
      </c>
      <c r="E4242" s="24">
        <v>45459.0</v>
      </c>
      <c r="F4242" s="25">
        <v>0.26180555555555557</v>
      </c>
      <c r="G4242" s="25">
        <v>0.6041666666666666</v>
      </c>
      <c r="H4242" s="27">
        <f t="shared" si="2"/>
        <v>0.3423611111</v>
      </c>
      <c r="I4242" s="28">
        <v>2.0</v>
      </c>
      <c r="J4242" s="39" t="s">
        <v>1968</v>
      </c>
      <c r="K4242" s="41"/>
      <c r="L4242" s="31" t="str">
        <f>IFERROR(__xludf.DUMMYFUNCTION("IF(OR(E4242="""",K4242=""""),"""",IFERROR(IF(K4242="""","""",query('tbl user'!$A$2:$D10975,""SELECT A WHERE D = '""&amp;K4242&amp;""'"")),""USER TIDAK DIKETAHUI""))"),"")</f>
        <v/>
      </c>
    </row>
    <row r="4243">
      <c r="A4243" s="21" t="str">
        <f t="shared" si="1"/>
        <v/>
      </c>
      <c r="B4243" s="38"/>
      <c r="C4243" s="23" t="s">
        <v>1903</v>
      </c>
      <c r="D4243" s="23" t="s">
        <v>32</v>
      </c>
      <c r="E4243" s="24">
        <v>45459.0</v>
      </c>
      <c r="F4243" s="25">
        <v>0.2777777777777778</v>
      </c>
      <c r="G4243" s="25">
        <v>0.6090277777777777</v>
      </c>
      <c r="H4243" s="27">
        <f t="shared" si="2"/>
        <v>0.33125</v>
      </c>
      <c r="I4243" s="28">
        <v>2.0</v>
      </c>
      <c r="J4243" s="39" t="s">
        <v>1968</v>
      </c>
      <c r="K4243" s="41"/>
      <c r="L4243" s="31" t="str">
        <f>IFERROR(__xludf.DUMMYFUNCTION("IF(OR(E4243="""",K4243=""""),"""",IFERROR(IF(K4243="""","""",query('tbl user'!$A$2:$D10975,""SELECT A WHERE D = '""&amp;K4243&amp;""'"")),""USER TIDAK DIKETAHUI""))"),"")</f>
        <v/>
      </c>
    </row>
    <row r="4244">
      <c r="A4244" s="21" t="str">
        <f t="shared" si="1"/>
        <v/>
      </c>
      <c r="B4244" s="38"/>
      <c r="C4244" s="23" t="s">
        <v>1954</v>
      </c>
      <c r="D4244" s="23" t="s">
        <v>32</v>
      </c>
      <c r="E4244" s="24">
        <v>45459.0</v>
      </c>
      <c r="F4244" s="25">
        <v>0.2875</v>
      </c>
      <c r="G4244" s="25">
        <v>0.6055555555555555</v>
      </c>
      <c r="H4244" s="27">
        <f t="shared" si="2"/>
        <v>0.3180555556</v>
      </c>
      <c r="I4244" s="28">
        <v>2.0</v>
      </c>
      <c r="J4244" s="39" t="s">
        <v>1968</v>
      </c>
      <c r="K4244" s="41"/>
      <c r="L4244" s="31" t="str">
        <f>IFERROR(__xludf.DUMMYFUNCTION("IF(OR(E4244="""",K4244=""""),"""",IFERROR(IF(K4244="""","""",query('tbl user'!$A$2:$D10975,""SELECT A WHERE D = '""&amp;K4244&amp;""'"")),""USER TIDAK DIKETAHUI""))"),"")</f>
        <v/>
      </c>
    </row>
    <row r="4245">
      <c r="A4245" s="21" t="str">
        <f t="shared" si="1"/>
        <v/>
      </c>
      <c r="B4245" s="38"/>
      <c r="C4245" s="23" t="s">
        <v>1909</v>
      </c>
      <c r="D4245" s="23" t="s">
        <v>32</v>
      </c>
      <c r="E4245" s="24">
        <v>45459.0</v>
      </c>
      <c r="F4245" s="25">
        <v>0.27291666666666664</v>
      </c>
      <c r="G4245" s="25">
        <v>0.6180555555555556</v>
      </c>
      <c r="H4245" s="27">
        <f t="shared" si="2"/>
        <v>0.3451388889</v>
      </c>
      <c r="I4245" s="28">
        <v>2.0</v>
      </c>
      <c r="J4245" s="39" t="s">
        <v>1968</v>
      </c>
      <c r="K4245" s="41"/>
      <c r="L4245" s="31" t="str">
        <f>IFERROR(__xludf.DUMMYFUNCTION("IF(OR(E4245="""",K4245=""""),"""",IFERROR(IF(K4245="""","""",query('tbl user'!$A$2:$D10975,""SELECT A WHERE D = '""&amp;K4245&amp;""'"")),""USER TIDAK DIKETAHUI""))"),"")</f>
        <v/>
      </c>
    </row>
    <row r="4246">
      <c r="A4246" s="21" t="str">
        <f t="shared" si="1"/>
        <v/>
      </c>
      <c r="B4246" s="38"/>
      <c r="C4246" s="23" t="s">
        <v>1908</v>
      </c>
      <c r="D4246" s="23" t="s">
        <v>32</v>
      </c>
      <c r="E4246" s="24">
        <v>45459.0</v>
      </c>
      <c r="F4246" s="25">
        <v>0.27291666666666664</v>
      </c>
      <c r="G4246" s="25">
        <v>0.6465277777777778</v>
      </c>
      <c r="H4246" s="27">
        <f t="shared" si="2"/>
        <v>0.3736111111</v>
      </c>
      <c r="I4246" s="28">
        <v>2.0</v>
      </c>
      <c r="J4246" s="39" t="s">
        <v>1968</v>
      </c>
      <c r="K4246" s="41"/>
      <c r="L4246" s="31" t="str">
        <f>IFERROR(__xludf.DUMMYFUNCTION("IF(OR(E4246="""",K4246=""""),"""",IFERROR(IF(K4246="""","""",query('tbl user'!$A$2:$D10975,""SELECT A WHERE D = '""&amp;K4246&amp;""'"")),""USER TIDAK DIKETAHUI""))"),"")</f>
        <v/>
      </c>
    </row>
    <row r="4247">
      <c r="A4247" s="21" t="str">
        <f t="shared" si="1"/>
        <v/>
      </c>
      <c r="B4247" s="38"/>
      <c r="C4247" s="23" t="s">
        <v>1913</v>
      </c>
      <c r="D4247" s="23" t="s">
        <v>32</v>
      </c>
      <c r="E4247" s="24">
        <v>45459.0</v>
      </c>
      <c r="F4247" s="25">
        <v>0.23402777777777778</v>
      </c>
      <c r="G4247" s="25">
        <v>0.6097222222222223</v>
      </c>
      <c r="H4247" s="27">
        <f t="shared" si="2"/>
        <v>0.3756944444</v>
      </c>
      <c r="I4247" s="28">
        <v>3.0</v>
      </c>
      <c r="J4247" s="39" t="s">
        <v>1993</v>
      </c>
      <c r="K4247" s="41"/>
      <c r="L4247" s="31" t="str">
        <f>IFERROR(__xludf.DUMMYFUNCTION("IF(OR(E4247="""",K4247=""""),"""",IFERROR(IF(K4247="""","""",query('tbl user'!$A$2:$D10975,""SELECT A WHERE D = '""&amp;K4247&amp;""'"")),""USER TIDAK DIKETAHUI""))"),"")</f>
        <v/>
      </c>
    </row>
    <row r="4248">
      <c r="A4248" s="21" t="str">
        <f t="shared" si="1"/>
        <v/>
      </c>
      <c r="B4248" s="38"/>
      <c r="C4248" s="23" t="s">
        <v>1900</v>
      </c>
      <c r="D4248" s="23" t="s">
        <v>32</v>
      </c>
      <c r="E4248" s="24">
        <v>45459.0</v>
      </c>
      <c r="F4248" s="25">
        <v>0.2263888888888889</v>
      </c>
      <c r="G4248" s="25">
        <v>0.5895833333333333</v>
      </c>
      <c r="H4248" s="27">
        <f t="shared" si="2"/>
        <v>0.3631944444</v>
      </c>
      <c r="I4248" s="28">
        <v>3.0</v>
      </c>
      <c r="J4248" s="39" t="s">
        <v>1968</v>
      </c>
      <c r="K4248" s="41"/>
      <c r="L4248" s="31" t="str">
        <f>IFERROR(__xludf.DUMMYFUNCTION("IF(OR(E4248="""",K4248=""""),"""",IFERROR(IF(K4248="""","""",query('tbl user'!$A$2:$D10975,""SELECT A WHERE D = '""&amp;K4248&amp;""'"")),""USER TIDAK DIKETAHUI""))"),"")</f>
        <v/>
      </c>
    </row>
    <row r="4249">
      <c r="A4249" s="21" t="str">
        <f t="shared" si="1"/>
        <v/>
      </c>
      <c r="B4249" s="38"/>
      <c r="C4249" s="23" t="s">
        <v>1912</v>
      </c>
      <c r="D4249" s="23" t="s">
        <v>32</v>
      </c>
      <c r="E4249" s="24">
        <v>45459.0</v>
      </c>
      <c r="F4249" s="25">
        <v>0.2152777777777778</v>
      </c>
      <c r="G4249" s="25">
        <v>0.6847222222222222</v>
      </c>
      <c r="H4249" s="27">
        <f t="shared" si="2"/>
        <v>0.4694444444</v>
      </c>
      <c r="I4249" s="28">
        <v>3.0</v>
      </c>
      <c r="J4249" s="39" t="s">
        <v>1968</v>
      </c>
      <c r="K4249" s="41"/>
      <c r="L4249" s="31" t="str">
        <f>IFERROR(__xludf.DUMMYFUNCTION("IF(OR(E4249="""",K4249=""""),"""",IFERROR(IF(K4249="""","""",query('tbl user'!$A$2:$D10975,""SELECT A WHERE D = '""&amp;K4249&amp;""'"")),""USER TIDAK DIKETAHUI""))"),"")</f>
        <v/>
      </c>
    </row>
    <row r="4250">
      <c r="A4250" s="21" t="str">
        <f t="shared" si="1"/>
        <v/>
      </c>
      <c r="B4250" s="38"/>
      <c r="C4250" s="23" t="s">
        <v>1907</v>
      </c>
      <c r="D4250" s="23" t="s">
        <v>32</v>
      </c>
      <c r="E4250" s="24">
        <v>45459.0</v>
      </c>
      <c r="F4250" s="25">
        <v>0.2548611111111111</v>
      </c>
      <c r="G4250" s="25">
        <v>0.7229166666666667</v>
      </c>
      <c r="H4250" s="27">
        <f t="shared" si="2"/>
        <v>0.4680555556</v>
      </c>
      <c r="I4250" s="28">
        <v>4.0</v>
      </c>
      <c r="J4250" s="39" t="s">
        <v>55</v>
      </c>
      <c r="K4250" s="41"/>
      <c r="L4250" s="31" t="str">
        <f>IFERROR(__xludf.DUMMYFUNCTION("IF(OR(E4250="""",K4250=""""),"""",IFERROR(IF(K4250="""","""",query('tbl user'!$A$2:$D10975,""SELECT A WHERE D = '""&amp;K4250&amp;""'"")),""USER TIDAK DIKETAHUI""))"),"")</f>
        <v/>
      </c>
    </row>
    <row r="4251">
      <c r="A4251" s="21" t="str">
        <f t="shared" si="1"/>
        <v/>
      </c>
      <c r="B4251" s="38"/>
      <c r="C4251" s="23" t="s">
        <v>1851</v>
      </c>
      <c r="D4251" s="23" t="s">
        <v>21</v>
      </c>
      <c r="E4251" s="24">
        <v>45461.0</v>
      </c>
      <c r="F4251" s="25">
        <v>0.28958333333333336</v>
      </c>
      <c r="G4251" s="25">
        <v>0.6402777777777777</v>
      </c>
      <c r="H4251" s="27">
        <f t="shared" si="2"/>
        <v>0.3506944444</v>
      </c>
      <c r="I4251" s="28">
        <v>1.0</v>
      </c>
      <c r="J4251" s="39" t="s">
        <v>1994</v>
      </c>
      <c r="K4251" s="41"/>
      <c r="L4251" s="31" t="str">
        <f>IFERROR(__xludf.DUMMYFUNCTION("IF(OR(E4251="""",K4251=""""),"""",IFERROR(IF(K4251="""","""",query('tbl user'!$A$2:$D10975,""SELECT A WHERE D = '""&amp;K4251&amp;""'"")),""USER TIDAK DIKETAHUI""))"),"")</f>
        <v/>
      </c>
    </row>
    <row r="4252">
      <c r="A4252" s="21" t="str">
        <f t="shared" si="1"/>
        <v/>
      </c>
      <c r="B4252" s="38"/>
      <c r="C4252" s="23" t="s">
        <v>1839</v>
      </c>
      <c r="D4252" s="23" t="s">
        <v>21</v>
      </c>
      <c r="E4252" s="24">
        <v>45461.0</v>
      </c>
      <c r="F4252" s="25">
        <v>0.28958333333333336</v>
      </c>
      <c r="G4252" s="25">
        <v>0.6645833333333333</v>
      </c>
      <c r="H4252" s="27">
        <f t="shared" si="2"/>
        <v>0.375</v>
      </c>
      <c r="I4252" s="28">
        <v>1.0</v>
      </c>
      <c r="J4252" s="39" t="s">
        <v>1995</v>
      </c>
      <c r="K4252" s="41"/>
      <c r="L4252" s="31" t="str">
        <f>IFERROR(__xludf.DUMMYFUNCTION("IF(OR(E4252="""",K4252=""""),"""",IFERROR(IF(K4252="""","""",query('tbl user'!$A$2:$D10975,""SELECT A WHERE D = '""&amp;K4252&amp;""'"")),""USER TIDAK DIKETAHUI""))"),"")</f>
        <v/>
      </c>
    </row>
    <row r="4253">
      <c r="A4253" s="21" t="str">
        <f t="shared" si="1"/>
        <v/>
      </c>
      <c r="B4253" s="38"/>
      <c r="C4253" s="23" t="s">
        <v>1853</v>
      </c>
      <c r="D4253" s="23" t="s">
        <v>21</v>
      </c>
      <c r="E4253" s="24">
        <v>45461.0</v>
      </c>
      <c r="F4253" s="25">
        <v>0.3020833333333333</v>
      </c>
      <c r="G4253" s="25">
        <v>0.6798611111111111</v>
      </c>
      <c r="H4253" s="27">
        <f t="shared" si="2"/>
        <v>0.3777777778</v>
      </c>
      <c r="I4253" s="28">
        <v>1.0</v>
      </c>
      <c r="J4253" s="39" t="s">
        <v>1996</v>
      </c>
      <c r="K4253" s="41"/>
      <c r="L4253" s="31" t="str">
        <f>IFERROR(__xludf.DUMMYFUNCTION("IF(OR(E4253="""",K4253=""""),"""",IFERROR(IF(K4253="""","""",query('tbl user'!$A$2:$D10975,""SELECT A WHERE D = '""&amp;K4253&amp;""'"")),""USER TIDAK DIKETAHUI""))"),"")</f>
        <v/>
      </c>
    </row>
    <row r="4254">
      <c r="A4254" s="21" t="str">
        <f t="shared" si="1"/>
        <v/>
      </c>
      <c r="B4254" s="38"/>
      <c r="C4254" s="23" t="s">
        <v>1832</v>
      </c>
      <c r="D4254" s="23" t="s">
        <v>21</v>
      </c>
      <c r="E4254" s="24">
        <v>45461.0</v>
      </c>
      <c r="F4254" s="25">
        <v>0.29097222222222224</v>
      </c>
      <c r="G4254" s="25">
        <v>0.68125</v>
      </c>
      <c r="H4254" s="27">
        <f t="shared" si="2"/>
        <v>0.3902777778</v>
      </c>
      <c r="I4254" s="28">
        <v>1.0</v>
      </c>
      <c r="J4254" s="39" t="s">
        <v>1996</v>
      </c>
      <c r="K4254" s="41"/>
      <c r="L4254" s="31" t="str">
        <f>IFERROR(__xludf.DUMMYFUNCTION("IF(OR(E4254="""",K4254=""""),"""",IFERROR(IF(K4254="""","""",query('tbl user'!$A$2:$D10975,""SELECT A WHERE D = '""&amp;K4254&amp;""'"")),""USER TIDAK DIKETAHUI""))"),"")</f>
        <v/>
      </c>
    </row>
    <row r="4255">
      <c r="A4255" s="21" t="str">
        <f t="shared" si="1"/>
        <v/>
      </c>
      <c r="B4255" s="38"/>
      <c r="C4255" s="23" t="s">
        <v>1922</v>
      </c>
      <c r="D4255" s="23" t="s">
        <v>21</v>
      </c>
      <c r="E4255" s="24">
        <v>45461.0</v>
      </c>
      <c r="F4255" s="25">
        <v>0.2861111111111111</v>
      </c>
      <c r="G4255" s="25">
        <v>0.5555555555555556</v>
      </c>
      <c r="H4255" s="27">
        <f t="shared" si="2"/>
        <v>0.2694444444</v>
      </c>
      <c r="I4255" s="28">
        <v>1.0</v>
      </c>
      <c r="J4255" s="39" t="s">
        <v>1997</v>
      </c>
      <c r="K4255" s="41"/>
      <c r="L4255" s="31" t="str">
        <f>IFERROR(__xludf.DUMMYFUNCTION("IF(OR(E4255="""",K4255=""""),"""",IFERROR(IF(K4255="""","""",query('tbl user'!$A$2:$D10975,""SELECT A WHERE D = '""&amp;K4255&amp;""'"")),""USER TIDAK DIKETAHUI""))"),"")</f>
        <v/>
      </c>
    </row>
    <row r="4256">
      <c r="A4256" s="21" t="str">
        <f t="shared" si="1"/>
        <v/>
      </c>
      <c r="B4256" s="38"/>
      <c r="C4256" s="23" t="s">
        <v>1833</v>
      </c>
      <c r="D4256" s="23" t="s">
        <v>21</v>
      </c>
      <c r="E4256" s="24">
        <v>45461.0</v>
      </c>
      <c r="F4256" s="25">
        <v>0.28402777777777777</v>
      </c>
      <c r="G4256" s="25">
        <v>0.6965277777777777</v>
      </c>
      <c r="H4256" s="27">
        <f t="shared" si="2"/>
        <v>0.4125</v>
      </c>
      <c r="I4256" s="28">
        <v>1.0</v>
      </c>
      <c r="J4256" s="39" t="s">
        <v>1998</v>
      </c>
      <c r="K4256" s="41"/>
      <c r="L4256" s="31" t="str">
        <f>IFERROR(__xludf.DUMMYFUNCTION("IF(OR(E4256="""",K4256=""""),"""",IFERROR(IF(K4256="""","""",query('tbl user'!$A$2:$D10975,""SELECT A WHERE D = '""&amp;K4256&amp;""'"")),""USER TIDAK DIKETAHUI""))"),"")</f>
        <v/>
      </c>
    </row>
    <row r="4257">
      <c r="A4257" s="21" t="str">
        <f t="shared" si="1"/>
        <v/>
      </c>
      <c r="B4257" s="38"/>
      <c r="C4257" s="23" t="s">
        <v>1857</v>
      </c>
      <c r="D4257" s="23" t="s">
        <v>21</v>
      </c>
      <c r="E4257" s="24">
        <v>45461.0</v>
      </c>
      <c r="F4257" s="25">
        <v>0.2777777777777778</v>
      </c>
      <c r="G4257" s="25">
        <v>0.5486111111111112</v>
      </c>
      <c r="H4257" s="27">
        <f t="shared" si="2"/>
        <v>0.2708333333</v>
      </c>
      <c r="I4257" s="28">
        <v>1.0</v>
      </c>
      <c r="J4257" s="39" t="s">
        <v>1999</v>
      </c>
      <c r="K4257" s="41"/>
      <c r="L4257" s="31" t="str">
        <f>IFERROR(__xludf.DUMMYFUNCTION("IF(OR(E4257="""",K4257=""""),"""",IFERROR(IF(K4257="""","""",query('tbl user'!$A$2:$D10975,""SELECT A WHERE D = '""&amp;K4257&amp;""'"")),""USER TIDAK DIKETAHUI""))"),"")</f>
        <v/>
      </c>
    </row>
    <row r="4258">
      <c r="A4258" s="21" t="str">
        <f t="shared" si="1"/>
        <v/>
      </c>
      <c r="B4258" s="38"/>
      <c r="C4258" s="23" t="s">
        <v>1845</v>
      </c>
      <c r="D4258" s="23" t="s">
        <v>21</v>
      </c>
      <c r="E4258" s="24">
        <v>45461.0</v>
      </c>
      <c r="F4258" s="25">
        <v>0.29375</v>
      </c>
      <c r="G4258" s="25">
        <v>0.66875</v>
      </c>
      <c r="H4258" s="27">
        <f t="shared" si="2"/>
        <v>0.375</v>
      </c>
      <c r="I4258" s="28">
        <v>1.0</v>
      </c>
      <c r="J4258" s="39" t="s">
        <v>1996</v>
      </c>
      <c r="K4258" s="41"/>
      <c r="L4258" s="31" t="str">
        <f>IFERROR(__xludf.DUMMYFUNCTION("IF(OR(E4258="""",K4258=""""),"""",IFERROR(IF(K4258="""","""",query('tbl user'!$A$2:$D10975,""SELECT A WHERE D = '""&amp;K4258&amp;""'"")),""USER TIDAK DIKETAHUI""))"),"")</f>
        <v/>
      </c>
    </row>
    <row r="4259">
      <c r="A4259" s="21" t="str">
        <f t="shared" si="1"/>
        <v/>
      </c>
      <c r="B4259" s="38"/>
      <c r="C4259" s="23" t="s">
        <v>1858</v>
      </c>
      <c r="D4259" s="23" t="s">
        <v>21</v>
      </c>
      <c r="E4259" s="24">
        <v>45461.0</v>
      </c>
      <c r="F4259" s="25">
        <v>0.2923611111111111</v>
      </c>
      <c r="G4259" s="25">
        <v>0.6513888888888889</v>
      </c>
      <c r="H4259" s="27">
        <f t="shared" si="2"/>
        <v>0.3590277778</v>
      </c>
      <c r="I4259" s="28">
        <v>1.0</v>
      </c>
      <c r="J4259" s="39" t="s">
        <v>1996</v>
      </c>
      <c r="K4259" s="41"/>
      <c r="L4259" s="31" t="str">
        <f>IFERROR(__xludf.DUMMYFUNCTION("IF(OR(E4259="""",K4259=""""),"""",IFERROR(IF(K4259="""","""",query('tbl user'!$A$2:$D10975,""SELECT A WHERE D = '""&amp;K4259&amp;""'"")),""USER TIDAK DIKETAHUI""))"),"")</f>
        <v/>
      </c>
    </row>
    <row r="4260">
      <c r="A4260" s="21" t="str">
        <f t="shared" si="1"/>
        <v/>
      </c>
      <c r="B4260" s="38"/>
      <c r="C4260" s="23" t="s">
        <v>1847</v>
      </c>
      <c r="D4260" s="23" t="s">
        <v>21</v>
      </c>
      <c r="E4260" s="24">
        <v>45461.0</v>
      </c>
      <c r="F4260" s="25">
        <v>0.2951388888888889</v>
      </c>
      <c r="G4260" s="25">
        <v>0.6729166666666667</v>
      </c>
      <c r="H4260" s="27">
        <f t="shared" si="2"/>
        <v>0.3777777778</v>
      </c>
      <c r="I4260" s="28">
        <v>1.0</v>
      </c>
      <c r="J4260" s="39" t="s">
        <v>2000</v>
      </c>
      <c r="K4260" s="41"/>
      <c r="L4260" s="31" t="str">
        <f>IFERROR(__xludf.DUMMYFUNCTION("IF(OR(E4260="""",K4260=""""),"""",IFERROR(IF(K4260="""","""",query('tbl user'!$A$2:$D10975,""SELECT A WHERE D = '""&amp;K4260&amp;""'"")),""USER TIDAK DIKETAHUI""))"),"")</f>
        <v/>
      </c>
    </row>
    <row r="4261">
      <c r="A4261" s="21" t="str">
        <f t="shared" si="1"/>
        <v/>
      </c>
      <c r="B4261" s="38"/>
      <c r="C4261" s="23" t="s">
        <v>1850</v>
      </c>
      <c r="D4261" s="23" t="s">
        <v>21</v>
      </c>
      <c r="E4261" s="24">
        <v>45461.0</v>
      </c>
      <c r="F4261" s="25">
        <v>0.2875</v>
      </c>
      <c r="G4261" s="28" t="s">
        <v>1817</v>
      </c>
      <c r="H4261" s="27" t="str">
        <f t="shared" si="2"/>
        <v/>
      </c>
      <c r="I4261" s="28">
        <v>1.0</v>
      </c>
      <c r="J4261" s="39" t="s">
        <v>2001</v>
      </c>
      <c r="K4261" s="41"/>
      <c r="L4261" s="31" t="str">
        <f>IFERROR(__xludf.DUMMYFUNCTION("IF(OR(E4261="""",K4261=""""),"""",IFERROR(IF(K4261="""","""",query('tbl user'!$A$2:$D10975,""SELECT A WHERE D = '""&amp;K4261&amp;""'"")),""USER TIDAK DIKETAHUI""))"),"")</f>
        <v/>
      </c>
    </row>
    <row r="4262">
      <c r="A4262" s="21" t="str">
        <f t="shared" si="1"/>
        <v/>
      </c>
      <c r="B4262" s="38"/>
      <c r="C4262" s="23" t="s">
        <v>2002</v>
      </c>
      <c r="D4262" s="23" t="s">
        <v>21</v>
      </c>
      <c r="E4262" s="24">
        <v>45461.0</v>
      </c>
      <c r="F4262" s="25">
        <v>0.28125</v>
      </c>
      <c r="G4262" s="25">
        <v>0.7263888888888889</v>
      </c>
      <c r="H4262" s="27">
        <f t="shared" si="2"/>
        <v>0.4451388889</v>
      </c>
      <c r="I4262" s="28">
        <v>2.0</v>
      </c>
      <c r="J4262" s="39" t="s">
        <v>1996</v>
      </c>
      <c r="K4262" s="41"/>
      <c r="L4262" s="31" t="str">
        <f>IFERROR(__xludf.DUMMYFUNCTION("IF(OR(E4262="""",K4262=""""),"""",IFERROR(IF(K4262="""","""",query('tbl user'!$A$2:$D10975,""SELECT A WHERE D = '""&amp;K4262&amp;""'"")),""USER TIDAK DIKETAHUI""))"),"")</f>
        <v/>
      </c>
    </row>
    <row r="4263">
      <c r="A4263" s="21" t="str">
        <f t="shared" si="1"/>
        <v/>
      </c>
      <c r="B4263" s="38"/>
      <c r="C4263" s="23" t="s">
        <v>1829</v>
      </c>
      <c r="D4263" s="23" t="s">
        <v>21</v>
      </c>
      <c r="E4263" s="24">
        <v>45461.0</v>
      </c>
      <c r="F4263" s="25">
        <v>0.2923611111111111</v>
      </c>
      <c r="G4263" s="25">
        <v>0.6444444444444445</v>
      </c>
      <c r="H4263" s="27">
        <f t="shared" si="2"/>
        <v>0.3520833333</v>
      </c>
      <c r="I4263" s="28">
        <v>2.0</v>
      </c>
      <c r="J4263" s="39" t="s">
        <v>1996</v>
      </c>
      <c r="K4263" s="41"/>
      <c r="L4263" s="31" t="str">
        <f>IFERROR(__xludf.DUMMYFUNCTION("IF(OR(E4263="""",K4263=""""),"""",IFERROR(IF(K4263="""","""",query('tbl user'!$A$2:$D10975,""SELECT A WHERE D = '""&amp;K4263&amp;""'"")),""USER TIDAK DIKETAHUI""))"),"")</f>
        <v/>
      </c>
    </row>
    <row r="4264">
      <c r="A4264" s="21" t="str">
        <f t="shared" si="1"/>
        <v/>
      </c>
      <c r="B4264" s="38"/>
      <c r="C4264" s="23" t="s">
        <v>1917</v>
      </c>
      <c r="D4264" s="23" t="s">
        <v>21</v>
      </c>
      <c r="E4264" s="24">
        <v>45461.0</v>
      </c>
      <c r="F4264" s="25">
        <v>0.2604166666666667</v>
      </c>
      <c r="G4264" s="25">
        <v>0.6236111111111111</v>
      </c>
      <c r="H4264" s="27">
        <f t="shared" si="2"/>
        <v>0.3631944444</v>
      </c>
      <c r="I4264" s="28">
        <v>2.0</v>
      </c>
      <c r="J4264" s="39" t="s">
        <v>1996</v>
      </c>
      <c r="K4264" s="41"/>
      <c r="L4264" s="31" t="str">
        <f>IFERROR(__xludf.DUMMYFUNCTION("IF(OR(E4264="""",K4264=""""),"""",IFERROR(IF(K4264="""","""",query('tbl user'!$A$2:$D10975,""SELECT A WHERE D = '""&amp;K4264&amp;""'"")),""USER TIDAK DIKETAHUI""))"),"")</f>
        <v/>
      </c>
    </row>
    <row r="4265">
      <c r="A4265" s="21" t="str">
        <f t="shared" si="1"/>
        <v/>
      </c>
      <c r="B4265" s="38"/>
      <c r="C4265" s="23" t="s">
        <v>1841</v>
      </c>
      <c r="D4265" s="23" t="s">
        <v>21</v>
      </c>
      <c r="E4265" s="24">
        <v>45461.0</v>
      </c>
      <c r="F4265" s="25">
        <v>0.2902777777777778</v>
      </c>
      <c r="G4265" s="25">
        <v>0.6486111111111111</v>
      </c>
      <c r="H4265" s="27">
        <f t="shared" si="2"/>
        <v>0.3583333333</v>
      </c>
      <c r="I4265" s="28">
        <v>2.0</v>
      </c>
      <c r="J4265" s="39" t="s">
        <v>1996</v>
      </c>
      <c r="K4265" s="41"/>
      <c r="L4265" s="31" t="str">
        <f>IFERROR(__xludf.DUMMYFUNCTION("IF(OR(E4265="""",K4265=""""),"""",IFERROR(IF(K4265="""","""",query('tbl user'!$A$2:$D10975,""SELECT A WHERE D = '""&amp;K4265&amp;""'"")),""USER TIDAK DIKETAHUI""))"),"")</f>
        <v/>
      </c>
    </row>
    <row r="4266">
      <c r="A4266" s="21" t="str">
        <f t="shared" si="1"/>
        <v/>
      </c>
      <c r="B4266" s="38"/>
      <c r="C4266" s="23" t="s">
        <v>1830</v>
      </c>
      <c r="D4266" s="23" t="s">
        <v>21</v>
      </c>
      <c r="E4266" s="24">
        <v>45461.0</v>
      </c>
      <c r="F4266" s="25">
        <v>0.2659722222222222</v>
      </c>
      <c r="G4266" s="25">
        <v>0.7256944444444444</v>
      </c>
      <c r="H4266" s="27">
        <f t="shared" si="2"/>
        <v>0.4597222222</v>
      </c>
      <c r="I4266" s="28">
        <v>2.0</v>
      </c>
      <c r="J4266" s="39" t="s">
        <v>2003</v>
      </c>
      <c r="K4266" s="41"/>
      <c r="L4266" s="31" t="str">
        <f>IFERROR(__xludf.DUMMYFUNCTION("IF(OR(E4266="""",K4266=""""),"""",IFERROR(IF(K4266="""","""",query('tbl user'!$A$2:$D10975,""SELECT A WHERE D = '""&amp;K4266&amp;""'"")),""USER TIDAK DIKETAHUI""))"),"")</f>
        <v/>
      </c>
    </row>
    <row r="4267">
      <c r="A4267" s="21" t="str">
        <f t="shared" si="1"/>
        <v/>
      </c>
      <c r="B4267" s="38"/>
      <c r="C4267" s="23" t="s">
        <v>1843</v>
      </c>
      <c r="D4267" s="23" t="s">
        <v>21</v>
      </c>
      <c r="E4267" s="24">
        <v>45461.0</v>
      </c>
      <c r="F4267" s="25">
        <v>0.2534722222222222</v>
      </c>
      <c r="G4267" s="25">
        <v>0.6875</v>
      </c>
      <c r="H4267" s="27">
        <f t="shared" si="2"/>
        <v>0.4340277778</v>
      </c>
      <c r="I4267" s="28">
        <v>2.0</v>
      </c>
      <c r="J4267" s="39" t="s">
        <v>1996</v>
      </c>
      <c r="K4267" s="41"/>
      <c r="L4267" s="31" t="str">
        <f>IFERROR(__xludf.DUMMYFUNCTION("IF(OR(E4267="""",K4267=""""),"""",IFERROR(IF(K4267="""","""",query('tbl user'!$A$2:$D10975,""SELECT A WHERE D = '""&amp;K4267&amp;""'"")),""USER TIDAK DIKETAHUI""))"),"")</f>
        <v/>
      </c>
    </row>
    <row r="4268">
      <c r="A4268" s="21" t="str">
        <f t="shared" si="1"/>
        <v/>
      </c>
      <c r="B4268" s="38"/>
      <c r="C4268" s="23" t="s">
        <v>1923</v>
      </c>
      <c r="D4268" s="23" t="s">
        <v>21</v>
      </c>
      <c r="E4268" s="24">
        <v>45461.0</v>
      </c>
      <c r="F4268" s="25">
        <v>0.25833333333333336</v>
      </c>
      <c r="G4268" s="25">
        <v>0.7402777777777778</v>
      </c>
      <c r="H4268" s="27">
        <f t="shared" si="2"/>
        <v>0.4819444444</v>
      </c>
      <c r="I4268" s="28">
        <v>2.0</v>
      </c>
      <c r="J4268" s="39" t="s">
        <v>555</v>
      </c>
      <c r="K4268" s="41"/>
      <c r="L4268" s="31" t="str">
        <f>IFERROR(__xludf.DUMMYFUNCTION("IF(OR(E4268="""",K4268=""""),"""",IFERROR(IF(K4268="""","""",query('tbl user'!$A$2:$D10975,""SELECT A WHERE D = '""&amp;K4268&amp;""'"")),""USER TIDAK DIKETAHUI""))"),"")</f>
        <v/>
      </c>
    </row>
    <row r="4269">
      <c r="A4269" s="21" t="str">
        <f t="shared" si="1"/>
        <v/>
      </c>
      <c r="B4269" s="38"/>
      <c r="C4269" s="23" t="s">
        <v>1854</v>
      </c>
      <c r="D4269" s="23" t="s">
        <v>21</v>
      </c>
      <c r="E4269" s="24">
        <v>45461.0</v>
      </c>
      <c r="F4269" s="25">
        <v>0.24166666666666667</v>
      </c>
      <c r="G4269" s="25">
        <v>0.6979166666666666</v>
      </c>
      <c r="H4269" s="27">
        <f t="shared" si="2"/>
        <v>0.45625</v>
      </c>
      <c r="I4269" s="28">
        <v>2.0</v>
      </c>
      <c r="J4269" s="39" t="s">
        <v>1996</v>
      </c>
      <c r="K4269" s="41"/>
      <c r="L4269" s="31" t="str">
        <f>IFERROR(__xludf.DUMMYFUNCTION("IF(OR(E4269="""",K4269=""""),"""",IFERROR(IF(K4269="""","""",query('tbl user'!$A$2:$D10975,""SELECT A WHERE D = '""&amp;K4269&amp;""'"")),""USER TIDAK DIKETAHUI""))"),"")</f>
        <v/>
      </c>
    </row>
    <row r="4270">
      <c r="A4270" s="21" t="str">
        <f t="shared" si="1"/>
        <v/>
      </c>
      <c r="B4270" s="38"/>
      <c r="C4270" s="23" t="s">
        <v>1925</v>
      </c>
      <c r="D4270" s="23" t="s">
        <v>21</v>
      </c>
      <c r="E4270" s="24">
        <v>45461.0</v>
      </c>
      <c r="F4270" s="25">
        <v>0.2590277777777778</v>
      </c>
      <c r="G4270" s="25">
        <v>0.6986111111111111</v>
      </c>
      <c r="H4270" s="27">
        <f t="shared" si="2"/>
        <v>0.4395833333</v>
      </c>
      <c r="I4270" s="28">
        <v>2.0</v>
      </c>
      <c r="J4270" s="39" t="s">
        <v>1996</v>
      </c>
      <c r="K4270" s="41"/>
      <c r="L4270" s="31" t="str">
        <f>IFERROR(__xludf.DUMMYFUNCTION("IF(OR(E4270="""",K4270=""""),"""",IFERROR(IF(K4270="""","""",query('tbl user'!$A$2:$D10975,""SELECT A WHERE D = '""&amp;K4270&amp;""'"")),""USER TIDAK DIKETAHUI""))"),"")</f>
        <v/>
      </c>
    </row>
    <row r="4271">
      <c r="A4271" s="21" t="str">
        <f t="shared" si="1"/>
        <v/>
      </c>
      <c r="B4271" s="38"/>
      <c r="C4271" s="23" t="s">
        <v>1930</v>
      </c>
      <c r="D4271" s="23" t="s">
        <v>21</v>
      </c>
      <c r="E4271" s="24">
        <v>45461.0</v>
      </c>
      <c r="F4271" s="25">
        <v>0.26875</v>
      </c>
      <c r="G4271" s="25">
        <v>0.7097222222222223</v>
      </c>
      <c r="H4271" s="27">
        <f t="shared" si="2"/>
        <v>0.4409722222</v>
      </c>
      <c r="I4271" s="28">
        <v>2.0</v>
      </c>
      <c r="J4271" s="39" t="s">
        <v>1996</v>
      </c>
      <c r="K4271" s="41"/>
      <c r="L4271" s="31" t="str">
        <f>IFERROR(__xludf.DUMMYFUNCTION("IF(OR(E4271="""",K4271=""""),"""",IFERROR(IF(K4271="""","""",query('tbl user'!$A$2:$D10975,""SELECT A WHERE D = '""&amp;K4271&amp;""'"")),""USER TIDAK DIKETAHUI""))"),"")</f>
        <v/>
      </c>
    </row>
    <row r="4272">
      <c r="A4272" s="21" t="str">
        <f t="shared" si="1"/>
        <v/>
      </c>
      <c r="B4272" s="38"/>
      <c r="C4272" s="23" t="s">
        <v>1856</v>
      </c>
      <c r="D4272" s="23" t="s">
        <v>21</v>
      </c>
      <c r="E4272" s="24">
        <v>45461.0</v>
      </c>
      <c r="F4272" s="25">
        <v>0.2534722222222222</v>
      </c>
      <c r="G4272" s="25">
        <v>0.6979166666666666</v>
      </c>
      <c r="H4272" s="27">
        <f t="shared" si="2"/>
        <v>0.4444444444</v>
      </c>
      <c r="I4272" s="28">
        <v>2.0</v>
      </c>
      <c r="J4272" s="39" t="s">
        <v>1996</v>
      </c>
      <c r="K4272" s="41"/>
      <c r="L4272" s="31" t="str">
        <f>IFERROR(__xludf.DUMMYFUNCTION("IF(OR(E4272="""",K4272=""""),"""",IFERROR(IF(K4272="""","""",query('tbl user'!$A$2:$D10975,""SELECT A WHERE D = '""&amp;K4272&amp;""'"")),""USER TIDAK DIKETAHUI""))"),"")</f>
        <v/>
      </c>
    </row>
    <row r="4273">
      <c r="A4273" s="21" t="str">
        <f t="shared" si="1"/>
        <v/>
      </c>
      <c r="B4273" s="38"/>
      <c r="C4273" s="23" t="s">
        <v>1837</v>
      </c>
      <c r="D4273" s="23" t="s">
        <v>21</v>
      </c>
      <c r="E4273" s="24">
        <v>45461.0</v>
      </c>
      <c r="F4273" s="25">
        <v>0.2777777777777778</v>
      </c>
      <c r="G4273" s="25">
        <v>0.725</v>
      </c>
      <c r="H4273" s="27">
        <f t="shared" si="2"/>
        <v>0.4472222222</v>
      </c>
      <c r="I4273" s="28">
        <v>2.0</v>
      </c>
      <c r="J4273" s="39" t="s">
        <v>2004</v>
      </c>
      <c r="K4273" s="41"/>
      <c r="L4273" s="31" t="str">
        <f>IFERROR(__xludf.DUMMYFUNCTION("IF(OR(E4273="""",K4273=""""),"""",IFERROR(IF(K4273="""","""",query('tbl user'!$A$2:$D10975,""SELECT A WHERE D = '""&amp;K4273&amp;""'"")),""USER TIDAK DIKETAHUI""))"),"")</f>
        <v/>
      </c>
    </row>
    <row r="4274">
      <c r="A4274" s="21" t="str">
        <f t="shared" si="1"/>
        <v/>
      </c>
      <c r="B4274" s="38"/>
      <c r="C4274" s="23" t="s">
        <v>2005</v>
      </c>
      <c r="D4274" s="23" t="s">
        <v>21</v>
      </c>
      <c r="E4274" s="24">
        <v>45461.0</v>
      </c>
      <c r="F4274" s="25">
        <v>0.2638888888888889</v>
      </c>
      <c r="G4274" s="25">
        <v>0.7090277777777778</v>
      </c>
      <c r="H4274" s="27">
        <f t="shared" si="2"/>
        <v>0.4451388889</v>
      </c>
      <c r="I4274" s="28">
        <v>2.0</v>
      </c>
      <c r="J4274" s="39" t="s">
        <v>2006</v>
      </c>
      <c r="K4274" s="41"/>
      <c r="L4274" s="31" t="str">
        <f>IFERROR(__xludf.DUMMYFUNCTION("IF(OR(E4274="""",K4274=""""),"""",IFERROR(IF(K4274="""","""",query('tbl user'!$A$2:$D10975,""SELECT A WHERE D = '""&amp;K4274&amp;""'"")),""USER TIDAK DIKETAHUI""))"),"")</f>
        <v/>
      </c>
    </row>
    <row r="4275">
      <c r="A4275" s="21" t="str">
        <f t="shared" si="1"/>
        <v/>
      </c>
      <c r="B4275" s="38"/>
      <c r="C4275" s="23" t="s">
        <v>1928</v>
      </c>
      <c r="D4275" s="23" t="s">
        <v>21</v>
      </c>
      <c r="E4275" s="24">
        <v>45461.0</v>
      </c>
      <c r="F4275" s="25">
        <v>0.2569444444444444</v>
      </c>
      <c r="G4275" s="25">
        <v>0.7222222222222222</v>
      </c>
      <c r="H4275" s="27">
        <f t="shared" si="2"/>
        <v>0.4652777778</v>
      </c>
      <c r="I4275" s="28">
        <v>2.0</v>
      </c>
      <c r="J4275" s="39" t="s">
        <v>2007</v>
      </c>
      <c r="K4275" s="41"/>
      <c r="L4275" s="31" t="str">
        <f>IFERROR(__xludf.DUMMYFUNCTION("IF(OR(E4275="""",K4275=""""),"""",IFERROR(IF(K4275="""","""",query('tbl user'!$A$2:$D10975,""SELECT A WHERE D = '""&amp;K4275&amp;""'"")),""USER TIDAK DIKETAHUI""))"),"")</f>
        <v/>
      </c>
    </row>
    <row r="4276">
      <c r="A4276" s="21" t="str">
        <f t="shared" si="1"/>
        <v/>
      </c>
      <c r="B4276" s="38"/>
      <c r="C4276" s="23" t="s">
        <v>1865</v>
      </c>
      <c r="D4276" s="23" t="s">
        <v>58</v>
      </c>
      <c r="E4276" s="24">
        <v>45461.0</v>
      </c>
      <c r="F4276" s="25">
        <v>0.28888888888888886</v>
      </c>
      <c r="G4276" s="25">
        <v>0.4486111111111111</v>
      </c>
      <c r="H4276" s="27">
        <f t="shared" si="2"/>
        <v>0.1597222222</v>
      </c>
      <c r="I4276" s="28">
        <v>1.0</v>
      </c>
      <c r="J4276" s="39" t="s">
        <v>2008</v>
      </c>
      <c r="K4276" s="41"/>
      <c r="L4276" s="31" t="str">
        <f>IFERROR(__xludf.DUMMYFUNCTION("IF(OR(E4276="""",K4276=""""),"""",IFERROR(IF(K4276="""","""",query('tbl user'!$A$2:$D10975,""SELECT A WHERE D = '""&amp;K4276&amp;""'"")),""USER TIDAK DIKETAHUI""))"),"")</f>
        <v/>
      </c>
    </row>
    <row r="4277">
      <c r="A4277" s="21" t="str">
        <f t="shared" si="1"/>
        <v/>
      </c>
      <c r="B4277" s="38"/>
      <c r="C4277" s="23" t="s">
        <v>1886</v>
      </c>
      <c r="D4277" s="23" t="s">
        <v>58</v>
      </c>
      <c r="E4277" s="24">
        <v>45461.0</v>
      </c>
      <c r="F4277" s="25">
        <v>0.4840277777777778</v>
      </c>
      <c r="G4277" s="25">
        <v>0.6701388888888888</v>
      </c>
      <c r="H4277" s="27">
        <f t="shared" si="2"/>
        <v>0.1861111111</v>
      </c>
      <c r="I4277" s="28">
        <v>1.0</v>
      </c>
      <c r="J4277" s="39" t="s">
        <v>2009</v>
      </c>
      <c r="K4277" s="41"/>
      <c r="L4277" s="31" t="str">
        <f>IFERROR(__xludf.DUMMYFUNCTION("IF(OR(E4277="""",K4277=""""),"""",IFERROR(IF(K4277="""","""",query('tbl user'!$A$2:$D10975,""SELECT A WHERE D = '""&amp;K4277&amp;""'"")),""USER TIDAK DIKETAHUI""))"),"")</f>
        <v/>
      </c>
    </row>
    <row r="4278">
      <c r="A4278" s="21" t="str">
        <f t="shared" si="1"/>
        <v/>
      </c>
      <c r="B4278" s="38"/>
      <c r="C4278" s="23" t="s">
        <v>1871</v>
      </c>
      <c r="D4278" s="23" t="s">
        <v>58</v>
      </c>
      <c r="E4278" s="24">
        <v>45461.0</v>
      </c>
      <c r="F4278" s="25">
        <v>0.2847222222222222</v>
      </c>
      <c r="G4278" s="25">
        <v>0.73125</v>
      </c>
      <c r="H4278" s="27">
        <f t="shared" si="2"/>
        <v>0.4465277778</v>
      </c>
      <c r="I4278" s="28">
        <v>1.0</v>
      </c>
      <c r="J4278" s="39" t="s">
        <v>2010</v>
      </c>
      <c r="K4278" s="41"/>
      <c r="L4278" s="31" t="str">
        <f>IFERROR(__xludf.DUMMYFUNCTION("IF(OR(E4278="""",K4278=""""),"""",IFERROR(IF(K4278="""","""",query('tbl user'!$A$2:$D10975,""SELECT A WHERE D = '""&amp;K4278&amp;""'"")),""USER TIDAK DIKETAHUI""))"),"")</f>
        <v/>
      </c>
    </row>
    <row r="4279">
      <c r="A4279" s="21" t="str">
        <f t="shared" si="1"/>
        <v/>
      </c>
      <c r="B4279" s="38"/>
      <c r="C4279" s="23" t="s">
        <v>1875</v>
      </c>
      <c r="D4279" s="23" t="s">
        <v>58</v>
      </c>
      <c r="E4279" s="24">
        <v>45461.0</v>
      </c>
      <c r="F4279" s="25">
        <v>0.24027777777777778</v>
      </c>
      <c r="G4279" s="25">
        <v>0.5604166666666667</v>
      </c>
      <c r="H4279" s="27">
        <f t="shared" si="2"/>
        <v>0.3201388889</v>
      </c>
      <c r="I4279" s="28">
        <v>2.0</v>
      </c>
      <c r="J4279" s="39" t="s">
        <v>2011</v>
      </c>
      <c r="K4279" s="41"/>
      <c r="L4279" s="31" t="str">
        <f>IFERROR(__xludf.DUMMYFUNCTION("IF(OR(E4279="""",K4279=""""),"""",IFERROR(IF(K4279="""","""",query('tbl user'!$A$2:$D10975,""SELECT A WHERE D = '""&amp;K4279&amp;""'"")),""USER TIDAK DIKETAHUI""))"),"")</f>
        <v/>
      </c>
    </row>
    <row r="4280">
      <c r="A4280" s="21" t="str">
        <f t="shared" si="1"/>
        <v/>
      </c>
      <c r="B4280" s="38"/>
      <c r="C4280" s="23" t="s">
        <v>1881</v>
      </c>
      <c r="D4280" s="23" t="s">
        <v>58</v>
      </c>
      <c r="E4280" s="24">
        <v>45461.0</v>
      </c>
      <c r="F4280" s="25">
        <v>0.2520833333333333</v>
      </c>
      <c r="G4280" s="25">
        <v>0.6180555555555556</v>
      </c>
      <c r="H4280" s="27">
        <f t="shared" si="2"/>
        <v>0.3659722222</v>
      </c>
      <c r="I4280" s="28">
        <v>2.0</v>
      </c>
      <c r="J4280" s="39" t="s">
        <v>2012</v>
      </c>
      <c r="K4280" s="41"/>
      <c r="L4280" s="31" t="str">
        <f>IFERROR(__xludf.DUMMYFUNCTION("IF(OR(E4280="""",K4280=""""),"""",IFERROR(IF(K4280="""","""",query('tbl user'!$A$2:$D10975,""SELECT A WHERE D = '""&amp;K4280&amp;""'"")),""USER TIDAK DIKETAHUI""))"),"")</f>
        <v/>
      </c>
    </row>
    <row r="4281">
      <c r="A4281" s="21" t="str">
        <f t="shared" si="1"/>
        <v/>
      </c>
      <c r="B4281" s="38"/>
      <c r="C4281" s="23" t="s">
        <v>1860</v>
      </c>
      <c r="D4281" s="23" t="s">
        <v>58</v>
      </c>
      <c r="E4281" s="24">
        <v>45461.0</v>
      </c>
      <c r="F4281" s="25">
        <v>0.28125</v>
      </c>
      <c r="G4281" s="25">
        <v>0.58125</v>
      </c>
      <c r="H4281" s="27">
        <f t="shared" si="2"/>
        <v>0.3</v>
      </c>
      <c r="I4281" s="28">
        <v>2.0</v>
      </c>
      <c r="J4281" s="39" t="s">
        <v>2013</v>
      </c>
      <c r="K4281" s="41"/>
      <c r="L4281" s="31" t="str">
        <f>IFERROR(__xludf.DUMMYFUNCTION("IF(OR(E4281="""",K4281=""""),"""",IFERROR(IF(K4281="""","""",query('tbl user'!$A$2:$D10975,""SELECT A WHERE D = '""&amp;K4281&amp;""'"")),""USER TIDAK DIKETAHUI""))"),"")</f>
        <v/>
      </c>
    </row>
    <row r="4282">
      <c r="A4282" s="21" t="str">
        <f t="shared" si="1"/>
        <v/>
      </c>
      <c r="B4282" s="38"/>
      <c r="C4282" s="23" t="s">
        <v>1892</v>
      </c>
      <c r="D4282" s="23" t="s">
        <v>58</v>
      </c>
      <c r="E4282" s="24">
        <v>45461.0</v>
      </c>
      <c r="F4282" s="25">
        <v>0.28125</v>
      </c>
      <c r="G4282" s="25">
        <v>0.5680555555555555</v>
      </c>
      <c r="H4282" s="27">
        <f t="shared" si="2"/>
        <v>0.2868055556</v>
      </c>
      <c r="I4282" s="28">
        <v>2.0</v>
      </c>
      <c r="J4282" s="39" t="s">
        <v>1982</v>
      </c>
      <c r="K4282" s="41"/>
      <c r="L4282" s="31" t="str">
        <f>IFERROR(__xludf.DUMMYFUNCTION("IF(OR(E4282="""",K4282=""""),"""",IFERROR(IF(K4282="""","""",query('tbl user'!$A$2:$D10975,""SELECT A WHERE D = '""&amp;K4282&amp;""'"")),""USER TIDAK DIKETAHUI""))"),"")</f>
        <v/>
      </c>
    </row>
    <row r="4283">
      <c r="A4283" s="21" t="str">
        <f t="shared" si="1"/>
        <v/>
      </c>
      <c r="B4283" s="38"/>
      <c r="C4283" s="23" t="s">
        <v>1861</v>
      </c>
      <c r="D4283" s="23" t="s">
        <v>58</v>
      </c>
      <c r="E4283" s="24">
        <v>45461.0</v>
      </c>
      <c r="F4283" s="25">
        <v>0.275</v>
      </c>
      <c r="G4283" s="25">
        <v>0.5743055555555555</v>
      </c>
      <c r="H4283" s="27">
        <f t="shared" si="2"/>
        <v>0.2993055556</v>
      </c>
      <c r="I4283" s="28">
        <v>2.0</v>
      </c>
      <c r="J4283" s="39" t="s">
        <v>2014</v>
      </c>
      <c r="K4283" s="41"/>
      <c r="L4283" s="31" t="str">
        <f>IFERROR(__xludf.DUMMYFUNCTION("IF(OR(E4283="""",K4283=""""),"""",IFERROR(IF(K4283="""","""",query('tbl user'!$A$2:$D10975,""SELECT A WHERE D = '""&amp;K4283&amp;""'"")),""USER TIDAK DIKETAHUI""))"),"")</f>
        <v/>
      </c>
    </row>
    <row r="4284">
      <c r="A4284" s="21" t="str">
        <f t="shared" si="1"/>
        <v/>
      </c>
      <c r="B4284" s="38"/>
      <c r="C4284" s="23" t="s">
        <v>1891</v>
      </c>
      <c r="D4284" s="23" t="s">
        <v>58</v>
      </c>
      <c r="E4284" s="24">
        <v>45461.0</v>
      </c>
      <c r="F4284" s="25">
        <v>0.24027777777777778</v>
      </c>
      <c r="G4284" s="25">
        <v>0.6854166666666667</v>
      </c>
      <c r="H4284" s="27">
        <f t="shared" si="2"/>
        <v>0.4451388889</v>
      </c>
      <c r="I4284" s="28">
        <v>2.0</v>
      </c>
      <c r="J4284" s="39" t="s">
        <v>2015</v>
      </c>
      <c r="K4284" s="41"/>
      <c r="L4284" s="31" t="str">
        <f>IFERROR(__xludf.DUMMYFUNCTION("IF(OR(E4284="""",K4284=""""),"""",IFERROR(IF(K4284="""","""",query('tbl user'!$A$2:$D10975,""SELECT A WHERE D = '""&amp;K4284&amp;""'"")),""USER TIDAK DIKETAHUI""))"),"")</f>
        <v/>
      </c>
    </row>
    <row r="4285">
      <c r="A4285" s="21" t="str">
        <f t="shared" si="1"/>
        <v/>
      </c>
      <c r="B4285" s="38"/>
      <c r="C4285" s="23" t="s">
        <v>1874</v>
      </c>
      <c r="D4285" s="23" t="s">
        <v>58</v>
      </c>
      <c r="E4285" s="24">
        <v>45461.0</v>
      </c>
      <c r="F4285" s="25">
        <v>0.28958333333333336</v>
      </c>
      <c r="G4285" s="25">
        <v>0.6680555555555555</v>
      </c>
      <c r="H4285" s="27">
        <f t="shared" si="2"/>
        <v>0.3784722222</v>
      </c>
      <c r="I4285" s="28">
        <v>3.0</v>
      </c>
      <c r="J4285" s="39" t="s">
        <v>2016</v>
      </c>
      <c r="K4285" s="41"/>
      <c r="L4285" s="31" t="str">
        <f>IFERROR(__xludf.DUMMYFUNCTION("IF(OR(E4285="""",K4285=""""),"""",IFERROR(IF(K4285="""","""",query('tbl user'!$A$2:$D10975,""SELECT A WHERE D = '""&amp;K4285&amp;""'"")),""USER TIDAK DIKETAHUI""))"),"")</f>
        <v/>
      </c>
    </row>
    <row r="4286">
      <c r="A4286" s="21" t="str">
        <f t="shared" si="1"/>
        <v/>
      </c>
      <c r="B4286" s="38"/>
      <c r="C4286" s="23" t="s">
        <v>1867</v>
      </c>
      <c r="D4286" s="23" t="s">
        <v>58</v>
      </c>
      <c r="E4286" s="24">
        <v>45461.0</v>
      </c>
      <c r="F4286" s="25">
        <v>0.2604166666666667</v>
      </c>
      <c r="G4286" s="25">
        <v>0.6576388888888889</v>
      </c>
      <c r="H4286" s="27">
        <f t="shared" si="2"/>
        <v>0.3972222222</v>
      </c>
      <c r="I4286" s="28">
        <v>3.0</v>
      </c>
      <c r="J4286" s="39" t="s">
        <v>2016</v>
      </c>
      <c r="K4286" s="41"/>
      <c r="L4286" s="31" t="str">
        <f>IFERROR(__xludf.DUMMYFUNCTION("IF(OR(E4286="""",K4286=""""),"""",IFERROR(IF(K4286="""","""",query('tbl user'!$A$2:$D10975,""SELECT A WHERE D = '""&amp;K4286&amp;""'"")),""USER TIDAK DIKETAHUI""))"),"")</f>
        <v/>
      </c>
    </row>
    <row r="4287">
      <c r="A4287" s="21" t="str">
        <f t="shared" si="1"/>
        <v/>
      </c>
      <c r="B4287" s="38"/>
      <c r="C4287" s="23" t="s">
        <v>1941</v>
      </c>
      <c r="D4287" s="23" t="s">
        <v>58</v>
      </c>
      <c r="E4287" s="24">
        <v>45461.0</v>
      </c>
      <c r="F4287" s="25">
        <v>0.2763888888888889</v>
      </c>
      <c r="G4287" s="25">
        <v>0.6527777777777778</v>
      </c>
      <c r="H4287" s="27">
        <f t="shared" si="2"/>
        <v>0.3763888889</v>
      </c>
      <c r="I4287" s="28">
        <v>3.0</v>
      </c>
      <c r="J4287" s="39" t="s">
        <v>2017</v>
      </c>
      <c r="K4287" s="41"/>
      <c r="L4287" s="31" t="str">
        <f>IFERROR(__xludf.DUMMYFUNCTION("IF(OR(E4287="""",K4287=""""),"""",IFERROR(IF(K4287="""","""",query('tbl user'!$A$2:$D10975,""SELECT A WHERE D = '""&amp;K4287&amp;""'"")),""USER TIDAK DIKETAHUI""))"),"")</f>
        <v/>
      </c>
    </row>
    <row r="4288">
      <c r="A4288" s="21" t="str">
        <f t="shared" si="1"/>
        <v/>
      </c>
      <c r="B4288" s="38"/>
      <c r="C4288" s="23" t="s">
        <v>1878</v>
      </c>
      <c r="D4288" s="23" t="s">
        <v>58</v>
      </c>
      <c r="E4288" s="24">
        <v>45461.0</v>
      </c>
      <c r="F4288" s="25">
        <v>0.29097222222222224</v>
      </c>
      <c r="G4288" s="25">
        <v>0.6590277777777778</v>
      </c>
      <c r="H4288" s="27">
        <f t="shared" si="2"/>
        <v>0.3680555556</v>
      </c>
      <c r="I4288" s="28">
        <v>3.0</v>
      </c>
      <c r="J4288" s="39" t="s">
        <v>2016</v>
      </c>
      <c r="K4288" s="41"/>
      <c r="L4288" s="31" t="str">
        <f>IFERROR(__xludf.DUMMYFUNCTION("IF(OR(E4288="""",K4288=""""),"""",IFERROR(IF(K4288="""","""",query('tbl user'!$A$2:$D10975,""SELECT A WHERE D = '""&amp;K4288&amp;""'"")),""USER TIDAK DIKETAHUI""))"),"")</f>
        <v/>
      </c>
    </row>
    <row r="4289">
      <c r="A4289" s="21" t="str">
        <f t="shared" si="1"/>
        <v/>
      </c>
      <c r="B4289" s="38"/>
      <c r="C4289" s="23" t="s">
        <v>1869</v>
      </c>
      <c r="D4289" s="23" t="s">
        <v>58</v>
      </c>
      <c r="E4289" s="24">
        <v>45461.0</v>
      </c>
      <c r="F4289" s="25">
        <v>0.2847222222222222</v>
      </c>
      <c r="G4289" s="25">
        <v>0.6541666666666667</v>
      </c>
      <c r="H4289" s="27">
        <f t="shared" si="2"/>
        <v>0.3694444444</v>
      </c>
      <c r="I4289" s="28">
        <v>3.0</v>
      </c>
      <c r="J4289" s="39" t="s">
        <v>2016</v>
      </c>
      <c r="K4289" s="41"/>
      <c r="L4289" s="31" t="str">
        <f>IFERROR(__xludf.DUMMYFUNCTION("IF(OR(E4289="""",K4289=""""),"""",IFERROR(IF(K4289="""","""",query('tbl user'!$A$2:$D10975,""SELECT A WHERE D = '""&amp;K4289&amp;""'"")),""USER TIDAK DIKETAHUI""))"),"")</f>
        <v/>
      </c>
    </row>
    <row r="4290">
      <c r="A4290" s="21" t="str">
        <f t="shared" si="1"/>
        <v/>
      </c>
      <c r="B4290" s="38"/>
      <c r="C4290" s="23" t="s">
        <v>1879</v>
      </c>
      <c r="D4290" s="23" t="s">
        <v>58</v>
      </c>
      <c r="E4290" s="24">
        <v>45461.0</v>
      </c>
      <c r="F4290" s="25">
        <v>0.27361111111111114</v>
      </c>
      <c r="G4290" s="25">
        <v>0.6465277777777778</v>
      </c>
      <c r="H4290" s="27">
        <f t="shared" si="2"/>
        <v>0.3729166667</v>
      </c>
      <c r="I4290" s="28">
        <v>3.0</v>
      </c>
      <c r="J4290" s="39" t="s">
        <v>2018</v>
      </c>
      <c r="K4290" s="41"/>
      <c r="L4290" s="31" t="str">
        <f>IFERROR(__xludf.DUMMYFUNCTION("IF(OR(E4290="""",K4290=""""),"""",IFERROR(IF(K4290="""","""",query('tbl user'!$A$2:$D10975,""SELECT A WHERE D = '""&amp;K4290&amp;""'"")),""USER TIDAK DIKETAHUI""))"),"")</f>
        <v/>
      </c>
    </row>
    <row r="4291">
      <c r="A4291" s="21" t="str">
        <f t="shared" si="1"/>
        <v/>
      </c>
      <c r="B4291" s="38"/>
      <c r="C4291" s="23" t="s">
        <v>1882</v>
      </c>
      <c r="D4291" s="23" t="s">
        <v>58</v>
      </c>
      <c r="E4291" s="24">
        <v>45461.0</v>
      </c>
      <c r="F4291" s="25">
        <v>0.23680555555555555</v>
      </c>
      <c r="G4291" s="25">
        <v>0.6381944444444444</v>
      </c>
      <c r="H4291" s="27">
        <f t="shared" si="2"/>
        <v>0.4013888889</v>
      </c>
      <c r="I4291" s="28">
        <v>3.0</v>
      </c>
      <c r="J4291" s="39" t="s">
        <v>2019</v>
      </c>
      <c r="K4291" s="41"/>
      <c r="L4291" s="31" t="str">
        <f>IFERROR(__xludf.DUMMYFUNCTION("IF(OR(E4291="""",K4291=""""),"""",IFERROR(IF(K4291="""","""",query('tbl user'!$A$2:$D10975,""SELECT A WHERE D = '""&amp;K4291&amp;""'"")),""USER TIDAK DIKETAHUI""))"),"")</f>
        <v/>
      </c>
    </row>
    <row r="4292">
      <c r="A4292" s="21" t="str">
        <f t="shared" si="1"/>
        <v/>
      </c>
      <c r="B4292" s="38"/>
      <c r="C4292" s="23" t="s">
        <v>1883</v>
      </c>
      <c r="D4292" s="23" t="s">
        <v>58</v>
      </c>
      <c r="E4292" s="24">
        <v>45461.0</v>
      </c>
      <c r="F4292" s="25">
        <v>0.29305555555555557</v>
      </c>
      <c r="G4292" s="25">
        <v>0.6770833333333334</v>
      </c>
      <c r="H4292" s="27">
        <f t="shared" si="2"/>
        <v>0.3840277778</v>
      </c>
      <c r="I4292" s="28">
        <v>3.0</v>
      </c>
      <c r="J4292" s="39" t="s">
        <v>2016</v>
      </c>
      <c r="K4292" s="41"/>
      <c r="L4292" s="31" t="str">
        <f>IFERROR(__xludf.DUMMYFUNCTION("IF(OR(E4292="""",K4292=""""),"""",IFERROR(IF(K4292="""","""",query('tbl user'!$A$2:$D10975,""SELECT A WHERE D = '""&amp;K4292&amp;""'"")),""USER TIDAK DIKETAHUI""))"),"")</f>
        <v/>
      </c>
    </row>
    <row r="4293">
      <c r="A4293" s="21" t="str">
        <f t="shared" si="1"/>
        <v/>
      </c>
      <c r="B4293" s="38"/>
      <c r="C4293" s="23" t="s">
        <v>1863</v>
      </c>
      <c r="D4293" s="23" t="s">
        <v>58</v>
      </c>
      <c r="E4293" s="24">
        <v>45461.0</v>
      </c>
      <c r="F4293" s="25">
        <v>0.3055555555555556</v>
      </c>
      <c r="G4293" s="25">
        <v>0.66875</v>
      </c>
      <c r="H4293" s="27">
        <f t="shared" si="2"/>
        <v>0.3631944444</v>
      </c>
      <c r="I4293" s="28">
        <v>3.0</v>
      </c>
      <c r="J4293" s="39" t="s">
        <v>2016</v>
      </c>
      <c r="K4293" s="41"/>
      <c r="L4293" s="31" t="str">
        <f>IFERROR(__xludf.DUMMYFUNCTION("IF(OR(E4293="""",K4293=""""),"""",IFERROR(IF(K4293="""","""",query('tbl user'!$A$2:$D10975,""SELECT A WHERE D = '""&amp;K4293&amp;""'"")),""USER TIDAK DIKETAHUI""))"),"")</f>
        <v/>
      </c>
    </row>
    <row r="4294">
      <c r="A4294" s="21" t="str">
        <f t="shared" si="1"/>
        <v/>
      </c>
      <c r="B4294" s="38"/>
      <c r="C4294" s="23" t="s">
        <v>1887</v>
      </c>
      <c r="D4294" s="23" t="s">
        <v>58</v>
      </c>
      <c r="E4294" s="24">
        <v>45461.0</v>
      </c>
      <c r="F4294" s="25">
        <v>0.27847222222222223</v>
      </c>
      <c r="G4294" s="25">
        <v>0.6673611111111111</v>
      </c>
      <c r="H4294" s="27">
        <f t="shared" si="2"/>
        <v>0.3888888889</v>
      </c>
      <c r="I4294" s="28">
        <v>3.0</v>
      </c>
      <c r="J4294" s="39" t="s">
        <v>2016</v>
      </c>
      <c r="K4294" s="41"/>
      <c r="L4294" s="31" t="str">
        <f>IFERROR(__xludf.DUMMYFUNCTION("IF(OR(E4294="""",K4294=""""),"""",IFERROR(IF(K4294="""","""",query('tbl user'!$A$2:$D10975,""SELECT A WHERE D = '""&amp;K4294&amp;""'"")),""USER TIDAK DIKETAHUI""))"),"")</f>
        <v/>
      </c>
    </row>
    <row r="4295">
      <c r="A4295" s="21" t="str">
        <f t="shared" si="1"/>
        <v/>
      </c>
      <c r="B4295" s="38"/>
      <c r="C4295" s="23" t="s">
        <v>1888</v>
      </c>
      <c r="D4295" s="23" t="s">
        <v>58</v>
      </c>
      <c r="E4295" s="24">
        <v>45461.0</v>
      </c>
      <c r="F4295" s="25">
        <v>0.275</v>
      </c>
      <c r="G4295" s="25">
        <v>0.6680555555555555</v>
      </c>
      <c r="H4295" s="27">
        <f t="shared" si="2"/>
        <v>0.3930555556</v>
      </c>
      <c r="I4295" s="28">
        <v>3.0</v>
      </c>
      <c r="J4295" s="39" t="s">
        <v>2020</v>
      </c>
      <c r="K4295" s="41"/>
      <c r="L4295" s="31" t="str">
        <f>IFERROR(__xludf.DUMMYFUNCTION("IF(OR(E4295="""",K4295=""""),"""",IFERROR(IF(K4295="""","""",query('tbl user'!$A$2:$D10975,""SELECT A WHERE D = '""&amp;K4295&amp;""'"")),""USER TIDAK DIKETAHUI""))"),"")</f>
        <v/>
      </c>
    </row>
    <row r="4296">
      <c r="A4296" s="21" t="str">
        <f t="shared" si="1"/>
        <v/>
      </c>
      <c r="B4296" s="38"/>
      <c r="C4296" s="23" t="s">
        <v>1889</v>
      </c>
      <c r="D4296" s="23" t="s">
        <v>58</v>
      </c>
      <c r="E4296" s="24">
        <v>45461.0</v>
      </c>
      <c r="F4296" s="25">
        <v>0.21319444444444444</v>
      </c>
      <c r="G4296" s="25">
        <v>0.5847222222222223</v>
      </c>
      <c r="H4296" s="27">
        <f t="shared" si="2"/>
        <v>0.3715277778</v>
      </c>
      <c r="I4296" s="28">
        <v>3.0</v>
      </c>
      <c r="J4296" s="39" t="s">
        <v>1458</v>
      </c>
      <c r="K4296" s="41"/>
      <c r="L4296" s="31" t="str">
        <f>IFERROR(__xludf.DUMMYFUNCTION("IF(OR(E4296="""",K4296=""""),"""",IFERROR(IF(K4296="""","""",query('tbl user'!$A$2:$D10975,""SELECT A WHERE D = '""&amp;K4296&amp;""'"")),""USER TIDAK DIKETAHUI""))"),"")</f>
        <v/>
      </c>
    </row>
    <row r="4297">
      <c r="A4297" s="21" t="str">
        <f t="shared" si="1"/>
        <v/>
      </c>
      <c r="B4297" s="38"/>
      <c r="C4297" s="23" t="s">
        <v>1893</v>
      </c>
      <c r="D4297" s="23" t="s">
        <v>58</v>
      </c>
      <c r="E4297" s="24">
        <v>45461.0</v>
      </c>
      <c r="F4297" s="25">
        <v>0.20902777777777778</v>
      </c>
      <c r="G4297" s="25">
        <v>0.5972222222222222</v>
      </c>
      <c r="H4297" s="27">
        <f t="shared" si="2"/>
        <v>0.3881944444</v>
      </c>
      <c r="I4297" s="28">
        <v>3.0</v>
      </c>
      <c r="J4297" s="39" t="s">
        <v>2021</v>
      </c>
      <c r="K4297" s="41"/>
      <c r="L4297" s="31" t="str">
        <f>IFERROR(__xludf.DUMMYFUNCTION("IF(OR(E4297="""",K4297=""""),"""",IFERROR(IF(K4297="""","""",query('tbl user'!$A$2:$D10975,""SELECT A WHERE D = '""&amp;K4297&amp;""'"")),""USER TIDAK DIKETAHUI""))"),"")</f>
        <v/>
      </c>
    </row>
    <row r="4298">
      <c r="A4298" s="21" t="str">
        <f t="shared" si="1"/>
        <v/>
      </c>
      <c r="B4298" s="38"/>
      <c r="C4298" s="23" t="s">
        <v>1872</v>
      </c>
      <c r="D4298" s="23" t="s">
        <v>58</v>
      </c>
      <c r="E4298" s="24">
        <v>45461.0</v>
      </c>
      <c r="F4298" s="25">
        <v>0.275</v>
      </c>
      <c r="G4298" s="25">
        <v>0.6645833333333333</v>
      </c>
      <c r="H4298" s="27">
        <f t="shared" si="2"/>
        <v>0.3895833333</v>
      </c>
      <c r="I4298" s="28">
        <v>3.0</v>
      </c>
      <c r="J4298" s="39" t="s">
        <v>2016</v>
      </c>
      <c r="K4298" s="41"/>
      <c r="L4298" s="31" t="str">
        <f>IFERROR(__xludf.DUMMYFUNCTION("IF(OR(E4298="""",K4298=""""),"""",IFERROR(IF(K4298="""","""",query('tbl user'!$A$2:$D10975,""SELECT A WHERE D = '""&amp;K4298&amp;""'"")),""USER TIDAK DIKETAHUI""))"),"")</f>
        <v/>
      </c>
    </row>
    <row r="4299">
      <c r="A4299" s="21" t="str">
        <f t="shared" si="1"/>
        <v/>
      </c>
      <c r="B4299" s="38"/>
      <c r="C4299" s="23" t="s">
        <v>1877</v>
      </c>
      <c r="D4299" s="23" t="s">
        <v>58</v>
      </c>
      <c r="E4299" s="24">
        <v>45461.0</v>
      </c>
      <c r="F4299" s="25">
        <v>0.2569444444444444</v>
      </c>
      <c r="G4299" s="25">
        <v>0.7166666666666667</v>
      </c>
      <c r="H4299" s="27">
        <f t="shared" si="2"/>
        <v>0.4597222222</v>
      </c>
      <c r="I4299" s="28">
        <v>4.0</v>
      </c>
      <c r="J4299" s="39" t="s">
        <v>55</v>
      </c>
      <c r="K4299" s="41"/>
      <c r="L4299" s="31" t="str">
        <f>IFERROR(__xludf.DUMMYFUNCTION("IF(OR(E4299="""",K4299=""""),"""",IFERROR(IF(K4299="""","""",query('tbl user'!$A$2:$D10975,""SELECT A WHERE D = '""&amp;K4299&amp;""'"")),""USER TIDAK DIKETAHUI""))"),"")</f>
        <v/>
      </c>
    </row>
    <row r="4300">
      <c r="A4300" s="21" t="str">
        <f t="shared" si="1"/>
        <v/>
      </c>
      <c r="B4300" s="38"/>
      <c r="C4300" s="23" t="s">
        <v>1884</v>
      </c>
      <c r="D4300" s="23" t="s">
        <v>58</v>
      </c>
      <c r="E4300" s="24">
        <v>45461.0</v>
      </c>
      <c r="F4300" s="25">
        <v>0.21736111111111112</v>
      </c>
      <c r="G4300" s="25">
        <v>0.7013888888888888</v>
      </c>
      <c r="H4300" s="27">
        <f t="shared" si="2"/>
        <v>0.4840277778</v>
      </c>
      <c r="I4300" s="28">
        <v>4.0</v>
      </c>
      <c r="J4300" s="39" t="s">
        <v>55</v>
      </c>
      <c r="K4300" s="41"/>
      <c r="L4300" s="31" t="str">
        <f>IFERROR(__xludf.DUMMYFUNCTION("IF(OR(E4300="""",K4300=""""),"""",IFERROR(IF(K4300="""","""",query('tbl user'!$A$2:$D10975,""SELECT A WHERE D = '""&amp;K4300&amp;""'"")),""USER TIDAK DIKETAHUI""))"),"")</f>
        <v/>
      </c>
    </row>
    <row r="4301">
      <c r="A4301" s="21" t="str">
        <f t="shared" si="1"/>
        <v/>
      </c>
      <c r="B4301" s="38"/>
      <c r="C4301" s="23" t="s">
        <v>1898</v>
      </c>
      <c r="D4301" s="23" t="s">
        <v>32</v>
      </c>
      <c r="E4301" s="24">
        <v>45461.0</v>
      </c>
      <c r="F4301" s="25">
        <v>0.26319444444444445</v>
      </c>
      <c r="G4301" s="25">
        <v>0.4173611111111111</v>
      </c>
      <c r="H4301" s="27">
        <f t="shared" si="2"/>
        <v>0.1541666667</v>
      </c>
      <c r="I4301" s="28">
        <v>1.0</v>
      </c>
      <c r="J4301" s="39" t="s">
        <v>2022</v>
      </c>
      <c r="K4301" s="41"/>
      <c r="L4301" s="31" t="str">
        <f>IFERROR(__xludf.DUMMYFUNCTION("IF(OR(E4301="""",K4301=""""),"""",IFERROR(IF(K4301="""","""",query('tbl user'!$A$2:$D10975,""SELECT A WHERE D = '""&amp;K4301&amp;""'"")),""USER TIDAK DIKETAHUI""))"),"")</f>
        <v/>
      </c>
    </row>
    <row r="4302">
      <c r="A4302" s="21" t="str">
        <f t="shared" si="1"/>
        <v/>
      </c>
      <c r="B4302" s="38"/>
      <c r="C4302" s="23" t="s">
        <v>1894</v>
      </c>
      <c r="D4302" s="23" t="s">
        <v>32</v>
      </c>
      <c r="E4302" s="24">
        <v>45461.0</v>
      </c>
      <c r="F4302" s="25">
        <v>0.24791666666666667</v>
      </c>
      <c r="G4302" s="25">
        <v>0.41805555555555557</v>
      </c>
      <c r="H4302" s="27">
        <f t="shared" si="2"/>
        <v>0.1701388889</v>
      </c>
      <c r="I4302" s="28">
        <v>1.0</v>
      </c>
      <c r="J4302" s="39" t="s">
        <v>2023</v>
      </c>
      <c r="K4302" s="41"/>
      <c r="L4302" s="31" t="str">
        <f>IFERROR(__xludf.DUMMYFUNCTION("IF(OR(E4302="""",K4302=""""),"""",IFERROR(IF(K4302="""","""",query('tbl user'!$A$2:$D10975,""SELECT A WHERE D = '""&amp;K4302&amp;""'"")),""USER TIDAK DIKETAHUI""))"),"")</f>
        <v/>
      </c>
    </row>
    <row r="4303">
      <c r="A4303" s="21" t="str">
        <f t="shared" si="1"/>
        <v/>
      </c>
      <c r="B4303" s="38"/>
      <c r="C4303" s="23" t="s">
        <v>1957</v>
      </c>
      <c r="D4303" s="23" t="s">
        <v>32</v>
      </c>
      <c r="E4303" s="24">
        <v>45461.0</v>
      </c>
      <c r="F4303" s="25">
        <v>0.29375</v>
      </c>
      <c r="G4303" s="25">
        <v>0.5486111111111112</v>
      </c>
      <c r="H4303" s="27">
        <f t="shared" si="2"/>
        <v>0.2548611111</v>
      </c>
      <c r="I4303" s="28">
        <v>2.0</v>
      </c>
      <c r="J4303" s="39" t="s">
        <v>2024</v>
      </c>
      <c r="K4303" s="41"/>
      <c r="L4303" s="31" t="str">
        <f>IFERROR(__xludf.DUMMYFUNCTION("IF(OR(E4303="""",K4303=""""),"""",IFERROR(IF(K4303="""","""",query('tbl user'!$A$2:$D10975,""SELECT A WHERE D = '""&amp;K4303&amp;""'"")),""USER TIDAK DIKETAHUI""))"),"")</f>
        <v/>
      </c>
    </row>
    <row r="4304">
      <c r="A4304" s="21" t="str">
        <f t="shared" si="1"/>
        <v/>
      </c>
      <c r="B4304" s="38"/>
      <c r="C4304" s="23" t="s">
        <v>1963</v>
      </c>
      <c r="D4304" s="23" t="s">
        <v>32</v>
      </c>
      <c r="E4304" s="24">
        <v>45461.0</v>
      </c>
      <c r="F4304" s="25">
        <v>0.2833333333333333</v>
      </c>
      <c r="G4304" s="25">
        <v>0.4340277777777778</v>
      </c>
      <c r="H4304" s="27">
        <f t="shared" si="2"/>
        <v>0.1506944444</v>
      </c>
      <c r="I4304" s="28">
        <v>2.0</v>
      </c>
      <c r="J4304" s="39" t="s">
        <v>2025</v>
      </c>
      <c r="K4304" s="41"/>
      <c r="L4304" s="31" t="str">
        <f>IFERROR(__xludf.DUMMYFUNCTION("IF(OR(E4304="""",K4304=""""),"""",IFERROR(IF(K4304="""","""",query('tbl user'!$A$2:$D10975,""SELECT A WHERE D = '""&amp;K4304&amp;""'"")),""USER TIDAK DIKETAHUI""))"),"")</f>
        <v/>
      </c>
    </row>
    <row r="4305">
      <c r="A4305" s="21" t="str">
        <f t="shared" si="1"/>
        <v/>
      </c>
      <c r="B4305" s="38"/>
      <c r="C4305" s="23" t="s">
        <v>1911</v>
      </c>
      <c r="D4305" s="23" t="s">
        <v>32</v>
      </c>
      <c r="E4305" s="24">
        <v>45461.0</v>
      </c>
      <c r="F4305" s="25">
        <v>0.25277777777777777</v>
      </c>
      <c r="G4305" s="25">
        <v>0.6833333333333333</v>
      </c>
      <c r="H4305" s="27">
        <f t="shared" si="2"/>
        <v>0.4305555556</v>
      </c>
      <c r="I4305" s="28">
        <v>2.0</v>
      </c>
      <c r="J4305" s="39" t="s">
        <v>2026</v>
      </c>
      <c r="K4305" s="41"/>
      <c r="L4305" s="31" t="str">
        <f>IFERROR(__xludf.DUMMYFUNCTION("IF(OR(E4305="""",K4305=""""),"""",IFERROR(IF(K4305="""","""",query('tbl user'!$A$2:$D10975,""SELECT A WHERE D = '""&amp;K4305&amp;""'"")),""USER TIDAK DIKETAHUI""))"),"")</f>
        <v/>
      </c>
    </row>
    <row r="4306">
      <c r="A4306" s="21" t="str">
        <f t="shared" si="1"/>
        <v/>
      </c>
      <c r="B4306" s="38"/>
      <c r="C4306" s="23" t="s">
        <v>1951</v>
      </c>
      <c r="D4306" s="23" t="s">
        <v>32</v>
      </c>
      <c r="E4306" s="24">
        <v>45461.0</v>
      </c>
      <c r="F4306" s="25">
        <v>0.2965277777777778</v>
      </c>
      <c r="G4306" s="25">
        <v>0.5930555555555556</v>
      </c>
      <c r="H4306" s="27">
        <f t="shared" si="2"/>
        <v>0.2965277778</v>
      </c>
      <c r="I4306" s="28">
        <v>2.0</v>
      </c>
      <c r="J4306" s="39" t="s">
        <v>2027</v>
      </c>
      <c r="K4306" s="41"/>
      <c r="L4306" s="31" t="str">
        <f>IFERROR(__xludf.DUMMYFUNCTION("IF(OR(E4306="""",K4306=""""),"""",IFERROR(IF(K4306="""","""",query('tbl user'!$A$2:$D10975,""SELECT A WHERE D = '""&amp;K4306&amp;""'"")),""USER TIDAK DIKETAHUI""))"),"")</f>
        <v/>
      </c>
    </row>
    <row r="4307">
      <c r="A4307" s="21" t="str">
        <f t="shared" si="1"/>
        <v/>
      </c>
      <c r="B4307" s="38"/>
      <c r="C4307" s="23" t="s">
        <v>1896</v>
      </c>
      <c r="D4307" s="23" t="s">
        <v>32</v>
      </c>
      <c r="E4307" s="24">
        <v>45461.0</v>
      </c>
      <c r="F4307" s="25">
        <v>0.275</v>
      </c>
      <c r="G4307" s="25">
        <v>0.69375</v>
      </c>
      <c r="H4307" s="27">
        <f t="shared" si="2"/>
        <v>0.41875</v>
      </c>
      <c r="I4307" s="28">
        <v>2.0</v>
      </c>
      <c r="J4307" s="39" t="s">
        <v>1939</v>
      </c>
      <c r="K4307" s="41"/>
      <c r="L4307" s="31" t="str">
        <f>IFERROR(__xludf.DUMMYFUNCTION("IF(OR(E4307="""",K4307=""""),"""",IFERROR(IF(K4307="""","""",query('tbl user'!$A$2:$D10975,""SELECT A WHERE D = '""&amp;K4307&amp;""'"")),""USER TIDAK DIKETAHUI""))"),"")</f>
        <v/>
      </c>
    </row>
    <row r="4308">
      <c r="A4308" s="21" t="str">
        <f t="shared" si="1"/>
        <v/>
      </c>
      <c r="B4308" s="38"/>
      <c r="C4308" s="23" t="s">
        <v>1910</v>
      </c>
      <c r="D4308" s="23" t="s">
        <v>32</v>
      </c>
      <c r="E4308" s="24">
        <v>45461.0</v>
      </c>
      <c r="F4308" s="25">
        <v>0.2520833333333333</v>
      </c>
      <c r="G4308" s="25">
        <v>0.7520833333333333</v>
      </c>
      <c r="H4308" s="27">
        <f t="shared" si="2"/>
        <v>0.5</v>
      </c>
      <c r="I4308" s="28">
        <v>2.0</v>
      </c>
      <c r="J4308" s="39" t="s">
        <v>2028</v>
      </c>
      <c r="K4308" s="41"/>
      <c r="L4308" s="31" t="str">
        <f>IFERROR(__xludf.DUMMYFUNCTION("IF(OR(E4308="""",K4308=""""),"""",IFERROR(IF(K4308="""","""",query('tbl user'!$A$2:$D10975,""SELECT A WHERE D = '""&amp;K4308&amp;""'"")),""USER TIDAK DIKETAHUI""))"),"")</f>
        <v/>
      </c>
    </row>
    <row r="4309">
      <c r="A4309" s="21" t="str">
        <f t="shared" si="1"/>
        <v/>
      </c>
      <c r="B4309" s="38"/>
      <c r="C4309" s="23" t="s">
        <v>1901</v>
      </c>
      <c r="D4309" s="23" t="s">
        <v>32</v>
      </c>
      <c r="E4309" s="24">
        <v>45461.0</v>
      </c>
      <c r="F4309" s="25">
        <v>0.3194444444444444</v>
      </c>
      <c r="G4309" s="25">
        <v>0.6965277777777777</v>
      </c>
      <c r="H4309" s="27">
        <f t="shared" si="2"/>
        <v>0.3770833333</v>
      </c>
      <c r="I4309" s="28">
        <v>3.0</v>
      </c>
      <c r="J4309" s="39" t="s">
        <v>2029</v>
      </c>
      <c r="K4309" s="41"/>
      <c r="L4309" s="31" t="str">
        <f>IFERROR(__xludf.DUMMYFUNCTION("IF(OR(E4309="""",K4309=""""),"""",IFERROR(IF(K4309="""","""",query('tbl user'!$A$2:$D10975,""SELECT A WHERE D = '""&amp;K4309&amp;""'"")),""USER TIDAK DIKETAHUI""))"),"")</f>
        <v/>
      </c>
    </row>
    <row r="4310">
      <c r="A4310" s="21" t="str">
        <f t="shared" si="1"/>
        <v/>
      </c>
      <c r="B4310" s="38"/>
      <c r="C4310" s="23" t="s">
        <v>1964</v>
      </c>
      <c r="D4310" s="23" t="s">
        <v>32</v>
      </c>
      <c r="E4310" s="24">
        <v>45461.0</v>
      </c>
      <c r="F4310" s="25">
        <v>0.2638888888888889</v>
      </c>
      <c r="G4310" s="25">
        <v>0.6243055555555556</v>
      </c>
      <c r="H4310" s="27">
        <f t="shared" si="2"/>
        <v>0.3604166667</v>
      </c>
      <c r="I4310" s="28">
        <v>3.0</v>
      </c>
      <c r="J4310" s="39" t="s">
        <v>2030</v>
      </c>
      <c r="K4310" s="41"/>
      <c r="L4310" s="31" t="str">
        <f>IFERROR(__xludf.DUMMYFUNCTION("IF(OR(E4310="""",K4310=""""),"""",IFERROR(IF(K4310="""","""",query('tbl user'!$A$2:$D10975,""SELECT A WHERE D = '""&amp;K4310&amp;""'"")),""USER TIDAK DIKETAHUI""))"),"")</f>
        <v/>
      </c>
    </row>
    <row r="4311">
      <c r="A4311" s="21" t="str">
        <f t="shared" si="1"/>
        <v/>
      </c>
      <c r="B4311" s="38"/>
      <c r="C4311" s="23" t="s">
        <v>1959</v>
      </c>
      <c r="D4311" s="23" t="s">
        <v>32</v>
      </c>
      <c r="E4311" s="24">
        <v>45461.0</v>
      </c>
      <c r="F4311" s="25">
        <v>0.2534722222222222</v>
      </c>
      <c r="G4311" s="25">
        <v>0.7006944444444444</v>
      </c>
      <c r="H4311" s="27">
        <f t="shared" si="2"/>
        <v>0.4472222222</v>
      </c>
      <c r="I4311" s="28">
        <v>3.0</v>
      </c>
      <c r="J4311" s="39" t="s">
        <v>2031</v>
      </c>
      <c r="K4311" s="41"/>
      <c r="L4311" s="31" t="str">
        <f>IFERROR(__xludf.DUMMYFUNCTION("IF(OR(E4311="""",K4311=""""),"""",IFERROR(IF(K4311="""","""",query('tbl user'!$A$2:$D10975,""SELECT A WHERE D = '""&amp;K4311&amp;""'"")),""USER TIDAK DIKETAHUI""))"),"")</f>
        <v/>
      </c>
    </row>
    <row r="4312">
      <c r="A4312" s="21" t="str">
        <f t="shared" si="1"/>
        <v/>
      </c>
      <c r="B4312" s="38"/>
      <c r="C4312" s="23" t="s">
        <v>1907</v>
      </c>
      <c r="D4312" s="23" t="s">
        <v>32</v>
      </c>
      <c r="E4312" s="24">
        <v>45461.0</v>
      </c>
      <c r="F4312" s="25">
        <v>0.33402777777777776</v>
      </c>
      <c r="G4312" s="25">
        <v>0.6868055555555556</v>
      </c>
      <c r="H4312" s="27">
        <f t="shared" si="2"/>
        <v>0.3527777778</v>
      </c>
      <c r="I4312" s="28">
        <v>3.0</v>
      </c>
      <c r="J4312" s="39" t="s">
        <v>2032</v>
      </c>
      <c r="K4312" s="41"/>
      <c r="L4312" s="31" t="str">
        <f>IFERROR(__xludf.DUMMYFUNCTION("IF(OR(E4312="""",K4312=""""),"""",IFERROR(IF(K4312="""","""",query('tbl user'!$A$2:$D10975,""SELECT A WHERE D = '""&amp;K4312&amp;""'"")),""USER TIDAK DIKETAHUI""))"),"")</f>
        <v/>
      </c>
    </row>
    <row r="4313">
      <c r="A4313" s="21" t="str">
        <f t="shared" si="1"/>
        <v/>
      </c>
      <c r="B4313" s="38"/>
      <c r="C4313" s="23" t="s">
        <v>1966</v>
      </c>
      <c r="D4313" s="23" t="s">
        <v>32</v>
      </c>
      <c r="E4313" s="24">
        <v>45461.0</v>
      </c>
      <c r="F4313" s="25">
        <v>0.275</v>
      </c>
      <c r="G4313" s="25">
        <v>0.7152777777777778</v>
      </c>
      <c r="H4313" s="27">
        <f t="shared" si="2"/>
        <v>0.4402777778</v>
      </c>
      <c r="I4313" s="28">
        <v>4.0</v>
      </c>
      <c r="J4313" s="39" t="s">
        <v>55</v>
      </c>
      <c r="K4313" s="41"/>
      <c r="L4313" s="31" t="str">
        <f>IFERROR(__xludf.DUMMYFUNCTION("IF(OR(E4313="""",K4313=""""),"""",IFERROR(IF(K4313="""","""",query('tbl user'!$A$2:$D10975,""SELECT A WHERE D = '""&amp;K4313&amp;""'"")),""USER TIDAK DIKETAHUI""))"),"")</f>
        <v/>
      </c>
    </row>
    <row r="4314">
      <c r="A4314" s="21" t="str">
        <f t="shared" si="1"/>
        <v/>
      </c>
      <c r="B4314" s="38"/>
      <c r="C4314" s="23" t="s">
        <v>1967</v>
      </c>
      <c r="D4314" s="23" t="s">
        <v>32</v>
      </c>
      <c r="E4314" s="24">
        <v>45461.0</v>
      </c>
      <c r="F4314" s="25">
        <v>0.24027777777777778</v>
      </c>
      <c r="G4314" s="25">
        <v>0.71875</v>
      </c>
      <c r="H4314" s="27">
        <f t="shared" si="2"/>
        <v>0.4784722222</v>
      </c>
      <c r="I4314" s="28">
        <v>4.0</v>
      </c>
      <c r="J4314" s="39" t="s">
        <v>55</v>
      </c>
      <c r="K4314" s="41"/>
      <c r="L4314" s="31" t="str">
        <f>IFERROR(__xludf.DUMMYFUNCTION("IF(OR(E4314="""",K4314=""""),"""",IFERROR(IF(K4314="""","""",query('tbl user'!$A$2:$D10975,""SELECT A WHERE D = '""&amp;K4314&amp;""'"")),""USER TIDAK DIKETAHUI""))"),"")</f>
        <v/>
      </c>
    </row>
    <row r="4315">
      <c r="A4315" s="21" t="str">
        <f t="shared" si="1"/>
        <v/>
      </c>
      <c r="B4315" s="38"/>
      <c r="C4315" s="23" t="s">
        <v>1912</v>
      </c>
      <c r="D4315" s="23" t="s">
        <v>32</v>
      </c>
      <c r="E4315" s="24">
        <v>45461.0</v>
      </c>
      <c r="F4315" s="25">
        <v>0.24166666666666667</v>
      </c>
      <c r="G4315" s="25">
        <v>0.7638888888888888</v>
      </c>
      <c r="H4315" s="27">
        <f t="shared" si="2"/>
        <v>0.5222222222</v>
      </c>
      <c r="I4315" s="28">
        <v>4.0</v>
      </c>
      <c r="J4315" s="39" t="s">
        <v>55</v>
      </c>
      <c r="K4315" s="41"/>
      <c r="L4315" s="31" t="str">
        <f>IFERROR(__xludf.DUMMYFUNCTION("IF(OR(E4315="""",K4315=""""),"""",IFERROR(IF(K4315="""","""",query('tbl user'!$A$2:$D10975,""SELECT A WHERE D = '""&amp;K4315&amp;""'"")),""USER TIDAK DIKETAHUI""))"),"")</f>
        <v/>
      </c>
    </row>
    <row r="4316">
      <c r="A4316" s="21" t="str">
        <f t="shared" si="1"/>
        <v/>
      </c>
      <c r="B4316" s="38"/>
      <c r="C4316" s="23" t="s">
        <v>2002</v>
      </c>
      <c r="D4316" s="23" t="s">
        <v>21</v>
      </c>
      <c r="E4316" s="24">
        <v>45462.0</v>
      </c>
      <c r="F4316" s="25">
        <v>0.2791666666666667</v>
      </c>
      <c r="G4316" s="25">
        <v>0.4673611111111111</v>
      </c>
      <c r="H4316" s="27">
        <f t="shared" si="2"/>
        <v>0.1881944444</v>
      </c>
      <c r="I4316" s="28">
        <v>1.0</v>
      </c>
      <c r="J4316" s="39" t="s">
        <v>2033</v>
      </c>
      <c r="K4316" s="41"/>
      <c r="L4316" s="31" t="str">
        <f>IFERROR(__xludf.DUMMYFUNCTION("IF(OR(E4316="""",K4316=""""),"""",IFERROR(IF(K4316="""","""",query('tbl user'!$A$2:$D10975,""SELECT A WHERE D = '""&amp;K4316&amp;""'"")),""USER TIDAK DIKETAHUI""))"),"")</f>
        <v/>
      </c>
    </row>
    <row r="4317">
      <c r="A4317" s="21" t="str">
        <f t="shared" si="1"/>
        <v/>
      </c>
      <c r="B4317" s="38"/>
      <c r="C4317" s="23" t="s">
        <v>1925</v>
      </c>
      <c r="D4317" s="23" t="s">
        <v>21</v>
      </c>
      <c r="E4317" s="24">
        <v>45462.0</v>
      </c>
      <c r="F4317" s="25">
        <v>0.3055555555555556</v>
      </c>
      <c r="G4317" s="25">
        <v>0.6048611111111111</v>
      </c>
      <c r="H4317" s="27">
        <f t="shared" si="2"/>
        <v>0.2993055556</v>
      </c>
      <c r="I4317" s="28">
        <v>1.0</v>
      </c>
      <c r="J4317" s="39" t="s">
        <v>2034</v>
      </c>
      <c r="K4317" s="41"/>
      <c r="L4317" s="31" t="str">
        <f>IFERROR(__xludf.DUMMYFUNCTION("IF(OR(E4317="""",K4317=""""),"""",IFERROR(IF(K4317="""","""",query('tbl user'!$A$2:$D10975,""SELECT A WHERE D = '""&amp;K4317&amp;""'"")),""USER TIDAK DIKETAHUI""))"),"")</f>
        <v/>
      </c>
    </row>
    <row r="4318">
      <c r="A4318" s="21" t="str">
        <f t="shared" si="1"/>
        <v/>
      </c>
      <c r="B4318" s="38"/>
      <c r="C4318" s="23" t="s">
        <v>1837</v>
      </c>
      <c r="D4318" s="23" t="s">
        <v>21</v>
      </c>
      <c r="E4318" s="24">
        <v>45462.0</v>
      </c>
      <c r="F4318" s="25">
        <v>0.3368055555555556</v>
      </c>
      <c r="G4318" s="25">
        <v>0.5861111111111111</v>
      </c>
      <c r="H4318" s="27">
        <f t="shared" si="2"/>
        <v>0.2493055556</v>
      </c>
      <c r="I4318" s="28">
        <v>1.0</v>
      </c>
      <c r="J4318" s="39" t="s">
        <v>2035</v>
      </c>
      <c r="K4318" s="41"/>
      <c r="L4318" s="31" t="str">
        <f>IFERROR(__xludf.DUMMYFUNCTION("IF(OR(E4318="""",K4318=""""),"""",IFERROR(IF(K4318="""","""",query('tbl user'!$A$2:$D10975,""SELECT A WHERE D = '""&amp;K4318&amp;""'"")),""USER TIDAK DIKETAHUI""))"),"")</f>
        <v/>
      </c>
    </row>
    <row r="4319">
      <c r="A4319" s="21" t="str">
        <f t="shared" si="1"/>
        <v/>
      </c>
      <c r="B4319" s="38"/>
      <c r="C4319" s="23" t="s">
        <v>1928</v>
      </c>
      <c r="D4319" s="23" t="s">
        <v>21</v>
      </c>
      <c r="E4319" s="24">
        <v>45462.0</v>
      </c>
      <c r="F4319" s="25">
        <v>0.2763888888888889</v>
      </c>
      <c r="G4319" s="25">
        <v>0.6020833333333333</v>
      </c>
      <c r="H4319" s="27">
        <f t="shared" si="2"/>
        <v>0.3256944444</v>
      </c>
      <c r="I4319" s="28">
        <v>1.0</v>
      </c>
      <c r="J4319" s="39" t="s">
        <v>2036</v>
      </c>
      <c r="K4319" s="41"/>
      <c r="L4319" s="31" t="str">
        <f>IFERROR(__xludf.DUMMYFUNCTION("IF(OR(E4319="""",K4319=""""),"""",IFERROR(IF(K4319="""","""",query('tbl user'!$A$2:$D10975,""SELECT A WHERE D = '""&amp;K4319&amp;""'"")),""USER TIDAK DIKETAHUI""))"),"")</f>
        <v/>
      </c>
    </row>
    <row r="4320">
      <c r="A4320" s="21" t="str">
        <f t="shared" si="1"/>
        <v/>
      </c>
      <c r="B4320" s="38"/>
      <c r="C4320" s="23" t="s">
        <v>1851</v>
      </c>
      <c r="D4320" s="23" t="s">
        <v>21</v>
      </c>
      <c r="E4320" s="24">
        <v>45462.0</v>
      </c>
      <c r="F4320" s="25">
        <v>0.3861111111111111</v>
      </c>
      <c r="G4320" s="25">
        <v>0.6458333333333334</v>
      </c>
      <c r="H4320" s="27">
        <f t="shared" si="2"/>
        <v>0.2597222222</v>
      </c>
      <c r="I4320" s="28">
        <v>2.0</v>
      </c>
      <c r="J4320" s="39" t="s">
        <v>2037</v>
      </c>
      <c r="K4320" s="41"/>
      <c r="L4320" s="31" t="str">
        <f>IFERROR(__xludf.DUMMYFUNCTION("IF(OR(E4320="""",K4320=""""),"""",IFERROR(IF(K4320="""","""",query('tbl user'!$A$2:$D10975,""SELECT A WHERE D = '""&amp;K4320&amp;""'"")),""USER TIDAK DIKETAHUI""))"),"")</f>
        <v/>
      </c>
    </row>
    <row r="4321">
      <c r="A4321" s="21" t="str">
        <f t="shared" si="1"/>
        <v/>
      </c>
      <c r="B4321" s="38"/>
      <c r="C4321" s="23" t="s">
        <v>1853</v>
      </c>
      <c r="D4321" s="23" t="s">
        <v>21</v>
      </c>
      <c r="E4321" s="24">
        <v>45462.0</v>
      </c>
      <c r="F4321" s="25">
        <v>0.30069444444444443</v>
      </c>
      <c r="G4321" s="25">
        <v>0.6284722222222222</v>
      </c>
      <c r="H4321" s="27">
        <f t="shared" si="2"/>
        <v>0.3277777778</v>
      </c>
      <c r="I4321" s="28">
        <v>2.0</v>
      </c>
      <c r="J4321" s="39" t="s">
        <v>2038</v>
      </c>
      <c r="K4321" s="41"/>
      <c r="L4321" s="31" t="str">
        <f>IFERROR(__xludf.DUMMYFUNCTION("IF(OR(E4321="""",K4321=""""),"""",IFERROR(IF(K4321="""","""",query('tbl user'!$A$2:$D10975,""SELECT A WHERE D = '""&amp;K4321&amp;""'"")),""USER TIDAK DIKETAHUI""))"),"")</f>
        <v/>
      </c>
    </row>
    <row r="4322">
      <c r="A4322" s="21" t="str">
        <f t="shared" si="1"/>
        <v/>
      </c>
      <c r="B4322" s="38"/>
      <c r="C4322" s="23" t="s">
        <v>1920</v>
      </c>
      <c r="D4322" s="23" t="s">
        <v>21</v>
      </c>
      <c r="E4322" s="24">
        <v>45462.0</v>
      </c>
      <c r="F4322" s="25">
        <v>0.2875</v>
      </c>
      <c r="G4322" s="25">
        <v>0.6111111111111112</v>
      </c>
      <c r="H4322" s="27">
        <f t="shared" si="2"/>
        <v>0.3236111111</v>
      </c>
      <c r="I4322" s="28">
        <v>2.0</v>
      </c>
      <c r="J4322" s="39" t="s">
        <v>2038</v>
      </c>
      <c r="K4322" s="41"/>
      <c r="L4322" s="31" t="str">
        <f>IFERROR(__xludf.DUMMYFUNCTION("IF(OR(E4322="""",K4322=""""),"""",IFERROR(IF(K4322="""","""",query('tbl user'!$A$2:$D10975,""SELECT A WHERE D = '""&amp;K4322&amp;""'"")),""USER TIDAK DIKETAHUI""))"),"")</f>
        <v/>
      </c>
    </row>
    <row r="4323">
      <c r="A4323" s="21" t="str">
        <f t="shared" si="1"/>
        <v/>
      </c>
      <c r="B4323" s="38"/>
      <c r="C4323" s="23" t="s">
        <v>1830</v>
      </c>
      <c r="D4323" s="23" t="s">
        <v>21</v>
      </c>
      <c r="E4323" s="24">
        <v>45462.0</v>
      </c>
      <c r="F4323" s="25">
        <v>0.26319444444444445</v>
      </c>
      <c r="G4323" s="25">
        <v>0.5208333333333334</v>
      </c>
      <c r="H4323" s="27">
        <f t="shared" si="2"/>
        <v>0.2576388889</v>
      </c>
      <c r="I4323" s="28">
        <v>2.0</v>
      </c>
      <c r="J4323" s="39" t="s">
        <v>2039</v>
      </c>
      <c r="K4323" s="41"/>
      <c r="L4323" s="31" t="str">
        <f>IFERROR(__xludf.DUMMYFUNCTION("IF(OR(E4323="""",K4323=""""),"""",IFERROR(IF(K4323="""","""",query('tbl user'!$A$2:$D10975,""SELECT A WHERE D = '""&amp;K4323&amp;""'"")),""USER TIDAK DIKETAHUI""))"),"")</f>
        <v/>
      </c>
    </row>
    <row r="4324">
      <c r="A4324" s="21" t="str">
        <f t="shared" si="1"/>
        <v/>
      </c>
      <c r="B4324" s="38"/>
      <c r="C4324" s="23" t="s">
        <v>1832</v>
      </c>
      <c r="D4324" s="23" t="s">
        <v>21</v>
      </c>
      <c r="E4324" s="24">
        <v>45462.0</v>
      </c>
      <c r="F4324" s="25">
        <v>0.27361111111111114</v>
      </c>
      <c r="G4324" s="25">
        <v>0.5972222222222222</v>
      </c>
      <c r="H4324" s="27">
        <f t="shared" si="2"/>
        <v>0.3236111111</v>
      </c>
      <c r="I4324" s="28">
        <v>2.0</v>
      </c>
      <c r="J4324" s="39" t="s">
        <v>2040</v>
      </c>
      <c r="K4324" s="41"/>
      <c r="L4324" s="31" t="str">
        <f>IFERROR(__xludf.DUMMYFUNCTION("IF(OR(E4324="""",K4324=""""),"""",IFERROR(IF(K4324="""","""",query('tbl user'!$A$2:$D10975,""SELECT A WHERE D = '""&amp;K4324&amp;""'"")),""USER TIDAK DIKETAHUI""))"),"")</f>
        <v/>
      </c>
    </row>
    <row r="4325">
      <c r="A4325" s="21" t="str">
        <f t="shared" si="1"/>
        <v/>
      </c>
      <c r="B4325" s="38"/>
      <c r="C4325" s="23" t="s">
        <v>2041</v>
      </c>
      <c r="D4325" s="23" t="s">
        <v>21</v>
      </c>
      <c r="E4325" s="24">
        <v>45462.0</v>
      </c>
      <c r="F4325" s="25">
        <v>0.2875</v>
      </c>
      <c r="G4325" s="25">
        <v>0.6201388888888889</v>
      </c>
      <c r="H4325" s="27">
        <f t="shared" si="2"/>
        <v>0.3326388889</v>
      </c>
      <c r="I4325" s="28">
        <v>2.0</v>
      </c>
      <c r="J4325" s="39" t="s">
        <v>2038</v>
      </c>
      <c r="K4325" s="41"/>
      <c r="L4325" s="31" t="str">
        <f>IFERROR(__xludf.DUMMYFUNCTION("IF(OR(E4325="""",K4325=""""),"""",IFERROR(IF(K4325="""","""",query('tbl user'!$A$2:$D10975,""SELECT A WHERE D = '""&amp;K4325&amp;""'"")),""USER TIDAK DIKETAHUI""))"),"")</f>
        <v/>
      </c>
    </row>
    <row r="4326">
      <c r="A4326" s="21" t="str">
        <f t="shared" si="1"/>
        <v/>
      </c>
      <c r="B4326" s="38"/>
      <c r="C4326" s="23" t="s">
        <v>1856</v>
      </c>
      <c r="D4326" s="23" t="s">
        <v>21</v>
      </c>
      <c r="E4326" s="24">
        <v>45462.0</v>
      </c>
      <c r="F4326" s="25">
        <v>0.2673611111111111</v>
      </c>
      <c r="G4326" s="25">
        <v>0.6208333333333333</v>
      </c>
      <c r="H4326" s="27">
        <f t="shared" si="2"/>
        <v>0.3534722222</v>
      </c>
      <c r="I4326" s="28">
        <v>2.0</v>
      </c>
      <c r="J4326" s="39" t="s">
        <v>2042</v>
      </c>
      <c r="K4326" s="41"/>
      <c r="L4326" s="31" t="str">
        <f>IFERROR(__xludf.DUMMYFUNCTION("IF(OR(E4326="""",K4326=""""),"""",IFERROR(IF(K4326="""","""",query('tbl user'!$A$2:$D10975,""SELECT A WHERE D = '""&amp;K4326&amp;""'"")),""USER TIDAK DIKETAHUI""))"),"")</f>
        <v/>
      </c>
    </row>
    <row r="4327">
      <c r="A4327" s="21" t="str">
        <f t="shared" si="1"/>
        <v/>
      </c>
      <c r="B4327" s="38"/>
      <c r="C4327" s="23" t="s">
        <v>1845</v>
      </c>
      <c r="D4327" s="23" t="s">
        <v>21</v>
      </c>
      <c r="E4327" s="24">
        <v>45462.0</v>
      </c>
      <c r="F4327" s="25">
        <v>0.28194444444444444</v>
      </c>
      <c r="G4327" s="25">
        <v>0.5534722222222223</v>
      </c>
      <c r="H4327" s="27">
        <f t="shared" si="2"/>
        <v>0.2715277778</v>
      </c>
      <c r="I4327" s="28">
        <v>2.0</v>
      </c>
      <c r="J4327" s="39" t="s">
        <v>2043</v>
      </c>
      <c r="K4327" s="41"/>
      <c r="L4327" s="31" t="str">
        <f>IFERROR(__xludf.DUMMYFUNCTION("IF(OR(E4327="""",K4327=""""),"""",IFERROR(IF(K4327="""","""",query('tbl user'!$A$2:$D10975,""SELECT A WHERE D = '""&amp;K4327&amp;""'"")),""USER TIDAK DIKETAHUI""))"),"")</f>
        <v/>
      </c>
    </row>
    <row r="4328">
      <c r="A4328" s="21" t="str">
        <f t="shared" si="1"/>
        <v/>
      </c>
      <c r="B4328" s="38"/>
      <c r="C4328" s="23" t="s">
        <v>1850</v>
      </c>
      <c r="D4328" s="23" t="s">
        <v>21</v>
      </c>
      <c r="E4328" s="24">
        <v>45462.0</v>
      </c>
      <c r="F4328" s="25">
        <v>0.2875</v>
      </c>
      <c r="G4328" s="25">
        <v>0.6694444444444444</v>
      </c>
      <c r="H4328" s="27">
        <f t="shared" si="2"/>
        <v>0.3819444444</v>
      </c>
      <c r="I4328" s="28">
        <v>2.0</v>
      </c>
      <c r="J4328" s="39" t="s">
        <v>2044</v>
      </c>
      <c r="K4328" s="41"/>
      <c r="L4328" s="31" t="str">
        <f>IFERROR(__xludf.DUMMYFUNCTION("IF(OR(E4328="""",K4328=""""),"""",IFERROR(IF(K4328="""","""",query('tbl user'!$A$2:$D10975,""SELECT A WHERE D = '""&amp;K4328&amp;""'"")),""USER TIDAK DIKETAHUI""))"),"")</f>
        <v/>
      </c>
    </row>
    <row r="4329">
      <c r="A4329" s="21" t="str">
        <f t="shared" si="1"/>
        <v/>
      </c>
      <c r="B4329" s="38"/>
      <c r="C4329" s="23" t="s">
        <v>1839</v>
      </c>
      <c r="D4329" s="23" t="s">
        <v>21</v>
      </c>
      <c r="E4329" s="24">
        <v>45462.0</v>
      </c>
      <c r="F4329" s="25">
        <v>0.2701388888888889</v>
      </c>
      <c r="G4329" s="25">
        <v>0.6583333333333333</v>
      </c>
      <c r="H4329" s="27">
        <f t="shared" si="2"/>
        <v>0.3881944444</v>
      </c>
      <c r="I4329" s="28">
        <v>3.0</v>
      </c>
      <c r="J4329" s="39" t="s">
        <v>2045</v>
      </c>
      <c r="K4329" s="41"/>
      <c r="L4329" s="31" t="str">
        <f>IFERROR(__xludf.DUMMYFUNCTION("IF(OR(E4329="""",K4329=""""),"""",IFERROR(IF(K4329="""","""",query('tbl user'!$A$2:$D10975,""SELECT A WHERE D = '""&amp;K4329&amp;""'"")),""USER TIDAK DIKETAHUI""))"),"")</f>
        <v/>
      </c>
    </row>
    <row r="4330">
      <c r="A4330" s="21" t="str">
        <f t="shared" si="1"/>
        <v/>
      </c>
      <c r="B4330" s="38"/>
      <c r="C4330" s="23" t="s">
        <v>1852</v>
      </c>
      <c r="D4330" s="23" t="s">
        <v>21</v>
      </c>
      <c r="E4330" s="24">
        <v>45462.0</v>
      </c>
      <c r="F4330" s="25">
        <v>0.2951388888888889</v>
      </c>
      <c r="G4330" s="25">
        <v>0.6777777777777778</v>
      </c>
      <c r="H4330" s="27">
        <f t="shared" si="2"/>
        <v>0.3826388889</v>
      </c>
      <c r="I4330" s="28">
        <v>3.0</v>
      </c>
      <c r="J4330" s="39" t="s">
        <v>2038</v>
      </c>
      <c r="K4330" s="41"/>
      <c r="L4330" s="31" t="str">
        <f>IFERROR(__xludf.DUMMYFUNCTION("IF(OR(E4330="""",K4330=""""),"""",IFERROR(IF(K4330="""","""",query('tbl user'!$A$2:$D10975,""SELECT A WHERE D = '""&amp;K4330&amp;""'"")),""USER TIDAK DIKETAHUI""))"),"")</f>
        <v/>
      </c>
    </row>
    <row r="4331">
      <c r="A4331" s="21" t="str">
        <f t="shared" si="1"/>
        <v/>
      </c>
      <c r="B4331" s="38"/>
      <c r="C4331" s="23" t="s">
        <v>1843</v>
      </c>
      <c r="D4331" s="23" t="s">
        <v>21</v>
      </c>
      <c r="E4331" s="24">
        <v>45462.0</v>
      </c>
      <c r="F4331" s="25">
        <v>0.26180555555555557</v>
      </c>
      <c r="G4331" s="25">
        <v>0.6270833333333333</v>
      </c>
      <c r="H4331" s="27">
        <f t="shared" si="2"/>
        <v>0.3652777778</v>
      </c>
      <c r="I4331" s="28">
        <v>3.0</v>
      </c>
      <c r="J4331" s="39" t="s">
        <v>2046</v>
      </c>
      <c r="K4331" s="41"/>
      <c r="L4331" s="31" t="str">
        <f>IFERROR(__xludf.DUMMYFUNCTION("IF(OR(E4331="""",K4331=""""),"""",IFERROR(IF(K4331="""","""",query('tbl user'!$A$2:$D10975,""SELECT A WHERE D = '""&amp;K4331&amp;""'"")),""USER TIDAK DIKETAHUI""))"),"")</f>
        <v/>
      </c>
    </row>
    <row r="4332">
      <c r="A4332" s="21" t="str">
        <f t="shared" si="1"/>
        <v/>
      </c>
      <c r="B4332" s="38"/>
      <c r="C4332" s="23" t="s">
        <v>1833</v>
      </c>
      <c r="D4332" s="23" t="s">
        <v>21</v>
      </c>
      <c r="E4332" s="24">
        <v>45462.0</v>
      </c>
      <c r="F4332" s="25">
        <v>0.2798611111111111</v>
      </c>
      <c r="G4332" s="25">
        <v>0.6527777777777778</v>
      </c>
      <c r="H4332" s="27">
        <f t="shared" si="2"/>
        <v>0.3729166667</v>
      </c>
      <c r="I4332" s="28">
        <v>3.0</v>
      </c>
      <c r="J4332" s="39" t="s">
        <v>2047</v>
      </c>
      <c r="K4332" s="41"/>
      <c r="L4332" s="31" t="str">
        <f>IFERROR(__xludf.DUMMYFUNCTION("IF(OR(E4332="""",K4332=""""),"""",IFERROR(IF(K4332="""","""",query('tbl user'!$A$2:$D10975,""SELECT A WHERE D = '""&amp;K4332&amp;""'"")),""USER TIDAK DIKETAHUI""))"),"")</f>
        <v/>
      </c>
    </row>
    <row r="4333">
      <c r="A4333" s="21" t="str">
        <f t="shared" si="1"/>
        <v/>
      </c>
      <c r="B4333" s="38"/>
      <c r="C4333" s="23" t="s">
        <v>1854</v>
      </c>
      <c r="D4333" s="23" t="s">
        <v>21</v>
      </c>
      <c r="E4333" s="24">
        <v>45462.0</v>
      </c>
      <c r="F4333" s="25">
        <v>0.2722222222222222</v>
      </c>
      <c r="G4333" s="25">
        <v>0.6736111111111112</v>
      </c>
      <c r="H4333" s="27">
        <f t="shared" si="2"/>
        <v>0.4013888889</v>
      </c>
      <c r="I4333" s="28">
        <v>3.0</v>
      </c>
      <c r="J4333" s="39" t="s">
        <v>2038</v>
      </c>
      <c r="K4333" s="41"/>
      <c r="L4333" s="31" t="str">
        <f>IFERROR(__xludf.DUMMYFUNCTION("IF(OR(E4333="""",K4333=""""),"""",IFERROR(IF(K4333="""","""",query('tbl user'!$A$2:$D10975,""SELECT A WHERE D = '""&amp;K4333&amp;""'"")),""USER TIDAK DIKETAHUI""))"),"")</f>
        <v/>
      </c>
    </row>
    <row r="4334">
      <c r="A4334" s="21" t="str">
        <f t="shared" si="1"/>
        <v/>
      </c>
      <c r="B4334" s="38"/>
      <c r="C4334" s="23" t="s">
        <v>1930</v>
      </c>
      <c r="D4334" s="23" t="s">
        <v>21</v>
      </c>
      <c r="E4334" s="24">
        <v>45462.0</v>
      </c>
      <c r="F4334" s="25">
        <v>0.26666666666666666</v>
      </c>
      <c r="G4334" s="25">
        <v>0.6333333333333333</v>
      </c>
      <c r="H4334" s="27">
        <f t="shared" si="2"/>
        <v>0.3666666667</v>
      </c>
      <c r="I4334" s="28">
        <v>3.0</v>
      </c>
      <c r="J4334" s="39" t="s">
        <v>2048</v>
      </c>
      <c r="K4334" s="41"/>
      <c r="L4334" s="31" t="str">
        <f>IFERROR(__xludf.DUMMYFUNCTION("IF(OR(E4334="""",K4334=""""),"""",IFERROR(IF(K4334="""","""",query('tbl user'!$A$2:$D10975,""SELECT A WHERE D = '""&amp;K4334&amp;""'"")),""USER TIDAK DIKETAHUI""))"),"")</f>
        <v/>
      </c>
    </row>
    <row r="4335">
      <c r="A4335" s="21" t="str">
        <f t="shared" si="1"/>
        <v/>
      </c>
      <c r="B4335" s="38"/>
      <c r="C4335" s="23" t="s">
        <v>1857</v>
      </c>
      <c r="D4335" s="23" t="s">
        <v>21</v>
      </c>
      <c r="E4335" s="24">
        <v>45462.0</v>
      </c>
      <c r="F4335" s="25">
        <v>0.26875</v>
      </c>
      <c r="G4335" s="25">
        <v>0.6451388888888889</v>
      </c>
      <c r="H4335" s="27">
        <f t="shared" si="2"/>
        <v>0.3763888889</v>
      </c>
      <c r="I4335" s="28">
        <v>3.0</v>
      </c>
      <c r="J4335" s="39" t="s">
        <v>1109</v>
      </c>
      <c r="K4335" s="41"/>
      <c r="L4335" s="31" t="str">
        <f>IFERROR(__xludf.DUMMYFUNCTION("IF(OR(E4335="""",K4335=""""),"""",IFERROR(IF(K4335="""","""",query('tbl user'!$A$2:$D10975,""SELECT A WHERE D = '""&amp;K4335&amp;""'"")),""USER TIDAK DIKETAHUI""))"),"")</f>
        <v/>
      </c>
    </row>
    <row r="4336">
      <c r="A4336" s="21" t="str">
        <f t="shared" si="1"/>
        <v/>
      </c>
      <c r="B4336" s="38"/>
      <c r="C4336" s="23" t="s">
        <v>2049</v>
      </c>
      <c r="D4336" s="23" t="s">
        <v>21</v>
      </c>
      <c r="E4336" s="24">
        <v>45462.0</v>
      </c>
      <c r="F4336" s="25">
        <v>0.29583333333333334</v>
      </c>
      <c r="G4336" s="25">
        <v>0.6847222222222222</v>
      </c>
      <c r="H4336" s="27">
        <f t="shared" si="2"/>
        <v>0.3888888889</v>
      </c>
      <c r="I4336" s="28">
        <v>3.0</v>
      </c>
      <c r="J4336" s="39" t="s">
        <v>1617</v>
      </c>
      <c r="K4336" s="41"/>
      <c r="L4336" s="31" t="str">
        <f>IFERROR(__xludf.DUMMYFUNCTION("IF(OR(E4336="""",K4336=""""),"""",IFERROR(IF(K4336="""","""",query('tbl user'!$A$2:$D10975,""SELECT A WHERE D = '""&amp;K4336&amp;""'"")),""USER TIDAK DIKETAHUI""))"),"")</f>
        <v/>
      </c>
    </row>
    <row r="4337">
      <c r="A4337" s="21" t="str">
        <f t="shared" si="1"/>
        <v/>
      </c>
      <c r="B4337" s="38"/>
      <c r="C4337" s="23" t="s">
        <v>1858</v>
      </c>
      <c r="D4337" s="23" t="s">
        <v>21</v>
      </c>
      <c r="E4337" s="24">
        <v>45462.0</v>
      </c>
      <c r="F4337" s="25">
        <v>0.2611111111111111</v>
      </c>
      <c r="G4337" s="25">
        <v>0.6243055555555556</v>
      </c>
      <c r="H4337" s="27">
        <f t="shared" si="2"/>
        <v>0.3631944444</v>
      </c>
      <c r="I4337" s="28">
        <v>3.0</v>
      </c>
      <c r="J4337" s="39" t="s">
        <v>2050</v>
      </c>
      <c r="K4337" s="41"/>
      <c r="L4337" s="31" t="str">
        <f>IFERROR(__xludf.DUMMYFUNCTION("IF(OR(E4337="""",K4337=""""),"""",IFERROR(IF(K4337="""","""",query('tbl user'!$A$2:$D10975,""SELECT A WHERE D = '""&amp;K4337&amp;""'"")),""USER TIDAK DIKETAHUI""))"),"")</f>
        <v/>
      </c>
    </row>
    <row r="4338">
      <c r="A4338" s="21" t="str">
        <f t="shared" si="1"/>
        <v/>
      </c>
      <c r="B4338" s="38"/>
      <c r="C4338" s="23" t="s">
        <v>1847</v>
      </c>
      <c r="D4338" s="23" t="s">
        <v>21</v>
      </c>
      <c r="E4338" s="24">
        <v>45462.0</v>
      </c>
      <c r="F4338" s="25">
        <v>0.2604166666666667</v>
      </c>
      <c r="G4338" s="25">
        <v>0.6180555555555556</v>
      </c>
      <c r="H4338" s="27">
        <f t="shared" si="2"/>
        <v>0.3576388889</v>
      </c>
      <c r="I4338" s="28">
        <v>3.0</v>
      </c>
      <c r="J4338" s="39" t="s">
        <v>2051</v>
      </c>
      <c r="K4338" s="41"/>
      <c r="L4338" s="31" t="str">
        <f>IFERROR(__xludf.DUMMYFUNCTION("IF(OR(E4338="""",K4338=""""),"""",IFERROR(IF(K4338="""","""",query('tbl user'!$A$2:$D10975,""SELECT A WHERE D = '""&amp;K4338&amp;""'"")),""USER TIDAK DIKETAHUI""))"),"")</f>
        <v/>
      </c>
    </row>
    <row r="4339">
      <c r="A4339" s="21" t="str">
        <f t="shared" si="1"/>
        <v/>
      </c>
      <c r="B4339" s="38"/>
      <c r="C4339" s="23" t="s">
        <v>1935</v>
      </c>
      <c r="D4339" s="23" t="s">
        <v>21</v>
      </c>
      <c r="E4339" s="24">
        <v>45462.0</v>
      </c>
      <c r="F4339" s="25">
        <v>0.27152777777777776</v>
      </c>
      <c r="G4339" s="25">
        <v>0.6472222222222223</v>
      </c>
      <c r="H4339" s="27">
        <f t="shared" si="2"/>
        <v>0.3756944444</v>
      </c>
      <c r="I4339" s="28">
        <v>3.0</v>
      </c>
      <c r="J4339" s="39" t="s">
        <v>2038</v>
      </c>
      <c r="K4339" s="41"/>
      <c r="L4339" s="31" t="str">
        <f>IFERROR(__xludf.DUMMYFUNCTION("IF(OR(E4339="""",K4339=""""),"""",IFERROR(IF(K4339="""","""",query('tbl user'!$A$2:$D10975,""SELECT A WHERE D = '""&amp;K4339&amp;""'"")),""USER TIDAK DIKETAHUI""))"),"")</f>
        <v/>
      </c>
    </row>
    <row r="4340">
      <c r="A4340" s="21" t="str">
        <f t="shared" si="1"/>
        <v/>
      </c>
      <c r="B4340" s="38"/>
      <c r="C4340" s="23" t="s">
        <v>1829</v>
      </c>
      <c r="D4340" s="23" t="s">
        <v>21</v>
      </c>
      <c r="E4340" s="24">
        <v>45462.0</v>
      </c>
      <c r="F4340" s="25">
        <v>0.2777777777777778</v>
      </c>
      <c r="G4340" s="25">
        <v>0.6923611111111111</v>
      </c>
      <c r="H4340" s="27">
        <f t="shared" si="2"/>
        <v>0.4145833333</v>
      </c>
      <c r="I4340" s="28">
        <v>4.0</v>
      </c>
      <c r="J4340" s="39" t="s">
        <v>55</v>
      </c>
      <c r="K4340" s="41"/>
      <c r="L4340" s="31" t="str">
        <f>IFERROR(__xludf.DUMMYFUNCTION("IF(OR(E4340="""",K4340=""""),"""",IFERROR(IF(K4340="""","""",query('tbl user'!$A$2:$D10975,""SELECT A WHERE D = '""&amp;K4340&amp;""'"")),""USER TIDAK DIKETAHUI""))"),"")</f>
        <v/>
      </c>
    </row>
    <row r="4341">
      <c r="A4341" s="21" t="str">
        <f t="shared" si="1"/>
        <v/>
      </c>
      <c r="B4341" s="38"/>
      <c r="C4341" s="23" t="s">
        <v>1841</v>
      </c>
      <c r="D4341" s="23" t="s">
        <v>21</v>
      </c>
      <c r="E4341" s="24">
        <v>45462.0</v>
      </c>
      <c r="F4341" s="25">
        <v>0.29583333333333334</v>
      </c>
      <c r="G4341" s="25">
        <v>0.7104166666666667</v>
      </c>
      <c r="H4341" s="27">
        <f t="shared" si="2"/>
        <v>0.4145833333</v>
      </c>
      <c r="I4341" s="28">
        <v>4.0</v>
      </c>
      <c r="J4341" s="39" t="s">
        <v>55</v>
      </c>
      <c r="K4341" s="41"/>
      <c r="L4341" s="31" t="str">
        <f>IFERROR(__xludf.DUMMYFUNCTION("IF(OR(E4341="""",K4341=""""),"""",IFERROR(IF(K4341="""","""",query('tbl user'!$A$2:$D10975,""SELECT A WHERE D = '""&amp;K4341&amp;""'"")),""USER TIDAK DIKETAHUI""))"),"")</f>
        <v/>
      </c>
    </row>
    <row r="4342">
      <c r="A4342" s="21" t="str">
        <f t="shared" si="1"/>
        <v/>
      </c>
      <c r="B4342" s="38"/>
      <c r="C4342" s="23" t="s">
        <v>1874</v>
      </c>
      <c r="D4342" s="23" t="s">
        <v>58</v>
      </c>
      <c r="E4342" s="24">
        <v>45462.0</v>
      </c>
      <c r="F4342" s="25">
        <v>0.28541666666666665</v>
      </c>
      <c r="G4342" s="25">
        <v>0.6298611111111111</v>
      </c>
      <c r="H4342" s="27">
        <f t="shared" si="2"/>
        <v>0.3444444444</v>
      </c>
      <c r="I4342" s="28">
        <v>2.0</v>
      </c>
      <c r="J4342" s="39" t="s">
        <v>218</v>
      </c>
      <c r="K4342" s="41"/>
      <c r="L4342" s="31" t="str">
        <f>IFERROR(__xludf.DUMMYFUNCTION("IF(OR(E4342="""",K4342=""""),"""",IFERROR(IF(K4342="""","""",query('tbl user'!$A$2:$D10975,""SELECT A WHERE D = '""&amp;K4342&amp;""'"")),""USER TIDAK DIKETAHUI""))"),"")</f>
        <v/>
      </c>
    </row>
    <row r="4343">
      <c r="A4343" s="21" t="str">
        <f t="shared" si="1"/>
        <v/>
      </c>
      <c r="B4343" s="38"/>
      <c r="C4343" s="23" t="s">
        <v>1948</v>
      </c>
      <c r="D4343" s="23" t="s">
        <v>58</v>
      </c>
      <c r="E4343" s="24">
        <v>45462.0</v>
      </c>
      <c r="F4343" s="25">
        <v>0.29375</v>
      </c>
      <c r="G4343" s="25">
        <v>0.6458333333333334</v>
      </c>
      <c r="H4343" s="27">
        <f t="shared" si="2"/>
        <v>0.3520833333</v>
      </c>
      <c r="I4343" s="28">
        <v>2.0</v>
      </c>
      <c r="J4343" s="39" t="s">
        <v>2052</v>
      </c>
      <c r="K4343" s="41"/>
      <c r="L4343" s="31" t="str">
        <f>IFERROR(__xludf.DUMMYFUNCTION("IF(OR(E4343="""",K4343=""""),"""",IFERROR(IF(K4343="""","""",query('tbl user'!$A$2:$D10975,""SELECT A WHERE D = '""&amp;K4343&amp;""'"")),""USER TIDAK DIKETAHUI""))"),"")</f>
        <v/>
      </c>
    </row>
    <row r="4344">
      <c r="A4344" s="21" t="str">
        <f t="shared" si="1"/>
        <v/>
      </c>
      <c r="B4344" s="38"/>
      <c r="C4344" s="23" t="s">
        <v>1879</v>
      </c>
      <c r="D4344" s="23" t="s">
        <v>58</v>
      </c>
      <c r="E4344" s="24">
        <v>45462.0</v>
      </c>
      <c r="F4344" s="25">
        <v>0.2652777777777778</v>
      </c>
      <c r="G4344" s="25">
        <v>0.4597222222222222</v>
      </c>
      <c r="H4344" s="27">
        <f t="shared" si="2"/>
        <v>0.1944444444</v>
      </c>
      <c r="I4344" s="28">
        <v>2.0</v>
      </c>
      <c r="J4344" s="39" t="s">
        <v>2053</v>
      </c>
      <c r="K4344" s="41"/>
      <c r="L4344" s="31" t="str">
        <f>IFERROR(__xludf.DUMMYFUNCTION("IF(OR(E4344="""",K4344=""""),"""",IFERROR(IF(K4344="""","""",query('tbl user'!$A$2:$D10975,""SELECT A WHERE D = '""&amp;K4344&amp;""'"")),""USER TIDAK DIKETAHUI""))"),"")</f>
        <v/>
      </c>
    </row>
    <row r="4345">
      <c r="A4345" s="21" t="str">
        <f t="shared" si="1"/>
        <v/>
      </c>
      <c r="B4345" s="38"/>
      <c r="C4345" s="23" t="s">
        <v>1893</v>
      </c>
      <c r="D4345" s="23" t="s">
        <v>58</v>
      </c>
      <c r="E4345" s="24">
        <v>45462.0</v>
      </c>
      <c r="F4345" s="25">
        <v>0.26180555555555557</v>
      </c>
      <c r="G4345" s="25">
        <v>0.5430555555555555</v>
      </c>
      <c r="H4345" s="27">
        <f t="shared" si="2"/>
        <v>0.28125</v>
      </c>
      <c r="I4345" s="28">
        <v>2.0</v>
      </c>
      <c r="J4345" s="39" t="s">
        <v>2054</v>
      </c>
      <c r="K4345" s="41"/>
      <c r="L4345" s="31" t="str">
        <f>IFERROR(__xludf.DUMMYFUNCTION("IF(OR(E4345="""",K4345=""""),"""",IFERROR(IF(K4345="""","""",query('tbl user'!$A$2:$D10975,""SELECT A WHERE D = '""&amp;K4345&amp;""'"")),""USER TIDAK DIKETAHUI""))"),"")</f>
        <v/>
      </c>
    </row>
    <row r="4346">
      <c r="A4346" s="21" t="str">
        <f t="shared" si="1"/>
        <v/>
      </c>
      <c r="B4346" s="38"/>
      <c r="C4346" s="23" t="s">
        <v>1871</v>
      </c>
      <c r="D4346" s="23" t="s">
        <v>58</v>
      </c>
      <c r="E4346" s="24">
        <v>45462.0</v>
      </c>
      <c r="F4346" s="25">
        <v>0.27361111111111114</v>
      </c>
      <c r="G4346" s="25">
        <v>0.5972222222222222</v>
      </c>
      <c r="H4346" s="27">
        <f t="shared" si="2"/>
        <v>0.3236111111</v>
      </c>
      <c r="I4346" s="28">
        <v>2.0</v>
      </c>
      <c r="J4346" s="39" t="s">
        <v>2055</v>
      </c>
      <c r="K4346" s="41"/>
      <c r="L4346" s="31" t="str">
        <f>IFERROR(__xludf.DUMMYFUNCTION("IF(OR(E4346="""",K4346=""""),"""",IFERROR(IF(K4346="""","""",query('tbl user'!$A$2:$D10975,""SELECT A WHERE D = '""&amp;K4346&amp;""'"")),""USER TIDAK DIKETAHUI""))"),"")</f>
        <v/>
      </c>
    </row>
    <row r="4347">
      <c r="A4347" s="21" t="str">
        <f t="shared" si="1"/>
        <v/>
      </c>
      <c r="B4347" s="38"/>
      <c r="C4347" s="23" t="s">
        <v>1861</v>
      </c>
      <c r="D4347" s="23" t="s">
        <v>58</v>
      </c>
      <c r="E4347" s="24">
        <v>45462.0</v>
      </c>
      <c r="F4347" s="25">
        <v>0.27569444444444446</v>
      </c>
      <c r="G4347" s="25">
        <v>0.5694444444444444</v>
      </c>
      <c r="H4347" s="27">
        <f t="shared" si="2"/>
        <v>0.29375</v>
      </c>
      <c r="I4347" s="28">
        <v>2.0</v>
      </c>
      <c r="J4347" s="39" t="s">
        <v>2056</v>
      </c>
      <c r="K4347" s="41"/>
      <c r="L4347" s="31" t="str">
        <f>IFERROR(__xludf.DUMMYFUNCTION("IF(OR(E4347="""",K4347=""""),"""",IFERROR(IF(K4347="""","""",query('tbl user'!$A$2:$D10975,""SELECT A WHERE D = '""&amp;K4347&amp;""'"")),""USER TIDAK DIKETAHUI""))"),"")</f>
        <v/>
      </c>
    </row>
    <row r="4348">
      <c r="A4348" s="21" t="str">
        <f t="shared" si="1"/>
        <v/>
      </c>
      <c r="B4348" s="38"/>
      <c r="C4348" s="23" t="s">
        <v>1875</v>
      </c>
      <c r="D4348" s="23" t="s">
        <v>58</v>
      </c>
      <c r="E4348" s="24">
        <v>45462.0</v>
      </c>
      <c r="F4348" s="25">
        <v>0.29305555555555557</v>
      </c>
      <c r="G4348" s="25">
        <v>0.6631944444444444</v>
      </c>
      <c r="H4348" s="27">
        <f t="shared" si="2"/>
        <v>0.3701388889</v>
      </c>
      <c r="I4348" s="28">
        <v>3.0</v>
      </c>
      <c r="J4348" s="39" t="s">
        <v>2057</v>
      </c>
      <c r="K4348" s="41"/>
      <c r="L4348" s="31" t="str">
        <f>IFERROR(__xludf.DUMMYFUNCTION("IF(OR(E4348="""",K4348=""""),"""",IFERROR(IF(K4348="""","""",query('tbl user'!$A$2:$D10975,""SELECT A WHERE D = '""&amp;K4348&amp;""'"")),""USER TIDAK DIKETAHUI""))"),"")</f>
        <v/>
      </c>
    </row>
    <row r="4349">
      <c r="A4349" s="21" t="str">
        <f t="shared" si="1"/>
        <v/>
      </c>
      <c r="B4349" s="38"/>
      <c r="C4349" s="23" t="s">
        <v>1877</v>
      </c>
      <c r="D4349" s="23" t="s">
        <v>58</v>
      </c>
      <c r="E4349" s="24">
        <v>45462.0</v>
      </c>
      <c r="F4349" s="25">
        <v>0.3055555555555556</v>
      </c>
      <c r="G4349" s="25">
        <v>0.7166666666666667</v>
      </c>
      <c r="H4349" s="27">
        <f t="shared" si="2"/>
        <v>0.4111111111</v>
      </c>
      <c r="I4349" s="28">
        <v>3.0</v>
      </c>
      <c r="J4349" s="39" t="s">
        <v>2058</v>
      </c>
      <c r="K4349" s="41"/>
      <c r="L4349" s="31" t="str">
        <f>IFERROR(__xludf.DUMMYFUNCTION("IF(OR(E4349="""",K4349=""""),"""",IFERROR(IF(K4349="""","""",query('tbl user'!$A$2:$D10975,""SELECT A WHERE D = '""&amp;K4349&amp;""'"")),""USER TIDAK DIKETAHUI""))"),"")</f>
        <v/>
      </c>
    </row>
    <row r="4350">
      <c r="A4350" s="21" t="str">
        <f t="shared" si="1"/>
        <v/>
      </c>
      <c r="B4350" s="38"/>
      <c r="C4350" s="23" t="s">
        <v>1867</v>
      </c>
      <c r="D4350" s="23" t="s">
        <v>58</v>
      </c>
      <c r="E4350" s="24">
        <v>45462.0</v>
      </c>
      <c r="F4350" s="25">
        <v>0.275</v>
      </c>
      <c r="G4350" s="25">
        <v>0.6958333333333333</v>
      </c>
      <c r="H4350" s="27">
        <f t="shared" si="2"/>
        <v>0.4208333333</v>
      </c>
      <c r="I4350" s="28">
        <v>3.0</v>
      </c>
      <c r="J4350" s="39" t="s">
        <v>2059</v>
      </c>
      <c r="K4350" s="41"/>
      <c r="L4350" s="31" t="str">
        <f>IFERROR(__xludf.DUMMYFUNCTION("IF(OR(E4350="""",K4350=""""),"""",IFERROR(IF(K4350="""","""",query('tbl user'!$A$2:$D10975,""SELECT A WHERE D = '""&amp;K4350&amp;""'"")),""USER TIDAK DIKETAHUI""))"),"")</f>
        <v/>
      </c>
    </row>
    <row r="4351">
      <c r="A4351" s="21" t="str">
        <f t="shared" si="1"/>
        <v/>
      </c>
      <c r="B4351" s="38"/>
      <c r="C4351" s="23" t="s">
        <v>1941</v>
      </c>
      <c r="D4351" s="23" t="s">
        <v>58</v>
      </c>
      <c r="E4351" s="24">
        <v>45462.0</v>
      </c>
      <c r="F4351" s="25">
        <v>0.26875</v>
      </c>
      <c r="G4351" s="25">
        <v>0.6388888888888888</v>
      </c>
      <c r="H4351" s="27">
        <f t="shared" si="2"/>
        <v>0.3701388889</v>
      </c>
      <c r="I4351" s="28">
        <v>3.0</v>
      </c>
      <c r="J4351" s="39" t="s">
        <v>2060</v>
      </c>
      <c r="K4351" s="41"/>
      <c r="L4351" s="31" t="str">
        <f>IFERROR(__xludf.DUMMYFUNCTION("IF(OR(E4351="""",K4351=""""),"""",IFERROR(IF(K4351="""","""",query('tbl user'!$A$2:$D10975,""SELECT A WHERE D = '""&amp;K4351&amp;""'"")),""USER TIDAK DIKETAHUI""))"),"")</f>
        <v/>
      </c>
    </row>
    <row r="4352">
      <c r="A4352" s="21" t="str">
        <f t="shared" si="1"/>
        <v/>
      </c>
      <c r="B4352" s="38"/>
      <c r="C4352" s="23" t="s">
        <v>1878</v>
      </c>
      <c r="D4352" s="23" t="s">
        <v>58</v>
      </c>
      <c r="E4352" s="24">
        <v>45462.0</v>
      </c>
      <c r="F4352" s="25">
        <v>0.29305555555555557</v>
      </c>
      <c r="G4352" s="25">
        <v>0.6965277777777777</v>
      </c>
      <c r="H4352" s="27">
        <f t="shared" si="2"/>
        <v>0.4034722222</v>
      </c>
      <c r="I4352" s="28">
        <v>3.0</v>
      </c>
      <c r="J4352" s="39" t="s">
        <v>2061</v>
      </c>
      <c r="K4352" s="41"/>
      <c r="L4352" s="31" t="str">
        <f>IFERROR(__xludf.DUMMYFUNCTION("IF(OR(E4352="""",K4352=""""),"""",IFERROR(IF(K4352="""","""",query('tbl user'!$A$2:$D10975,""SELECT A WHERE D = '""&amp;K4352&amp;""'"")),""USER TIDAK DIKETAHUI""))"),"")</f>
        <v/>
      </c>
    </row>
    <row r="4353">
      <c r="A4353" s="21" t="str">
        <f t="shared" si="1"/>
        <v/>
      </c>
      <c r="B4353" s="38"/>
      <c r="C4353" s="23" t="s">
        <v>1869</v>
      </c>
      <c r="D4353" s="23" t="s">
        <v>58</v>
      </c>
      <c r="E4353" s="24">
        <v>45462.0</v>
      </c>
      <c r="F4353" s="25">
        <v>0.29097222222222224</v>
      </c>
      <c r="G4353" s="25">
        <v>0.6736111111111112</v>
      </c>
      <c r="H4353" s="27">
        <f t="shared" si="2"/>
        <v>0.3826388889</v>
      </c>
      <c r="I4353" s="28">
        <v>3.0</v>
      </c>
      <c r="J4353" s="39" t="s">
        <v>2061</v>
      </c>
      <c r="K4353" s="41"/>
      <c r="L4353" s="31" t="str">
        <f>IFERROR(__xludf.DUMMYFUNCTION("IF(OR(E4353="""",K4353=""""),"""",IFERROR(IF(K4353="""","""",query('tbl user'!$A$2:$D10975,""SELECT A WHERE D = '""&amp;K4353&amp;""'"")),""USER TIDAK DIKETAHUI""))"),"")</f>
        <v/>
      </c>
    </row>
    <row r="4354">
      <c r="A4354" s="21" t="str">
        <f t="shared" si="1"/>
        <v/>
      </c>
      <c r="B4354" s="38"/>
      <c r="C4354" s="23" t="s">
        <v>1881</v>
      </c>
      <c r="D4354" s="23" t="s">
        <v>58</v>
      </c>
      <c r="E4354" s="24">
        <v>45462.0</v>
      </c>
      <c r="F4354" s="25">
        <v>0.29097222222222224</v>
      </c>
      <c r="G4354" s="25">
        <v>0.6618055555555555</v>
      </c>
      <c r="H4354" s="27">
        <f t="shared" si="2"/>
        <v>0.3708333333</v>
      </c>
      <c r="I4354" s="28">
        <v>3.0</v>
      </c>
      <c r="J4354" s="39" t="s">
        <v>2061</v>
      </c>
      <c r="K4354" s="41"/>
      <c r="L4354" s="31" t="str">
        <f>IFERROR(__xludf.DUMMYFUNCTION("IF(OR(E4354="""",K4354=""""),"""",IFERROR(IF(K4354="""","""",query('tbl user'!$A$2:$D10975,""SELECT A WHERE D = '""&amp;K4354&amp;""'"")),""USER TIDAK DIKETAHUI""))"),"")</f>
        <v/>
      </c>
    </row>
    <row r="4355">
      <c r="A4355" s="21" t="str">
        <f t="shared" si="1"/>
        <v/>
      </c>
      <c r="B4355" s="38"/>
      <c r="C4355" s="23" t="s">
        <v>1883</v>
      </c>
      <c r="D4355" s="23" t="s">
        <v>58</v>
      </c>
      <c r="E4355" s="24">
        <v>45462.0</v>
      </c>
      <c r="F4355" s="25">
        <v>0.27569444444444446</v>
      </c>
      <c r="G4355" s="25">
        <v>0.6513888888888889</v>
      </c>
      <c r="H4355" s="27">
        <f t="shared" si="2"/>
        <v>0.3756944444</v>
      </c>
      <c r="I4355" s="28">
        <v>3.0</v>
      </c>
      <c r="J4355" s="39" t="s">
        <v>2061</v>
      </c>
      <c r="K4355" s="41"/>
      <c r="L4355" s="31" t="str">
        <f>IFERROR(__xludf.DUMMYFUNCTION("IF(OR(E4355="""",K4355=""""),"""",IFERROR(IF(K4355="""","""",query('tbl user'!$A$2:$D10975,""SELECT A WHERE D = '""&amp;K4355&amp;""'"")),""USER TIDAK DIKETAHUI""))"),"")</f>
        <v/>
      </c>
    </row>
    <row r="4356">
      <c r="A4356" s="21" t="str">
        <f t="shared" si="1"/>
        <v/>
      </c>
      <c r="B4356" s="38"/>
      <c r="C4356" s="23" t="s">
        <v>1860</v>
      </c>
      <c r="D4356" s="23" t="s">
        <v>58</v>
      </c>
      <c r="E4356" s="24">
        <v>45462.0</v>
      </c>
      <c r="F4356" s="25">
        <v>0.28541666666666665</v>
      </c>
      <c r="G4356" s="25">
        <v>0.6506944444444445</v>
      </c>
      <c r="H4356" s="27">
        <f t="shared" si="2"/>
        <v>0.3652777778</v>
      </c>
      <c r="I4356" s="28">
        <v>3.0</v>
      </c>
      <c r="J4356" s="39" t="s">
        <v>2061</v>
      </c>
      <c r="K4356" s="41"/>
      <c r="L4356" s="31" t="str">
        <f>IFERROR(__xludf.DUMMYFUNCTION("IF(OR(E4356="""",K4356=""""),"""",IFERROR(IF(K4356="""","""",query('tbl user'!$A$2:$D10975,""SELECT A WHERE D = '""&amp;K4356&amp;""'"")),""USER TIDAK DIKETAHUI""))"),"")</f>
        <v/>
      </c>
    </row>
    <row r="4357">
      <c r="A4357" s="21" t="str">
        <f t="shared" si="1"/>
        <v/>
      </c>
      <c r="B4357" s="38"/>
      <c r="C4357" s="23" t="s">
        <v>1886</v>
      </c>
      <c r="D4357" s="23" t="s">
        <v>58</v>
      </c>
      <c r="E4357" s="24">
        <v>45462.0</v>
      </c>
      <c r="F4357" s="25">
        <v>0.26875</v>
      </c>
      <c r="G4357" s="25">
        <v>0.6201388888888889</v>
      </c>
      <c r="H4357" s="27">
        <f t="shared" si="2"/>
        <v>0.3513888889</v>
      </c>
      <c r="I4357" s="28">
        <v>3.0</v>
      </c>
      <c r="J4357" s="39" t="s">
        <v>2061</v>
      </c>
      <c r="K4357" s="41"/>
      <c r="L4357" s="31" t="str">
        <f>IFERROR(__xludf.DUMMYFUNCTION("IF(OR(E4357="""",K4357=""""),"""",IFERROR(IF(K4357="""","""",query('tbl user'!$A$2:$D10975,""SELECT A WHERE D = '""&amp;K4357&amp;""'"")),""USER TIDAK DIKETAHUI""))"),"")</f>
        <v/>
      </c>
    </row>
    <row r="4358">
      <c r="A4358" s="21" t="str">
        <f t="shared" si="1"/>
        <v/>
      </c>
      <c r="B4358" s="38"/>
      <c r="C4358" s="23" t="s">
        <v>1887</v>
      </c>
      <c r="D4358" s="23" t="s">
        <v>58</v>
      </c>
      <c r="E4358" s="24">
        <v>45462.0</v>
      </c>
      <c r="F4358" s="25">
        <v>0.27569444444444446</v>
      </c>
      <c r="G4358" s="25">
        <v>0.6486111111111111</v>
      </c>
      <c r="H4358" s="27">
        <f t="shared" si="2"/>
        <v>0.3729166667</v>
      </c>
      <c r="I4358" s="28">
        <v>3.0</v>
      </c>
      <c r="J4358" s="39" t="s">
        <v>2061</v>
      </c>
      <c r="K4358" s="41"/>
      <c r="L4358" s="31" t="str">
        <f>IFERROR(__xludf.DUMMYFUNCTION("IF(OR(E4358="""",K4358=""""),"""",IFERROR(IF(K4358="""","""",query('tbl user'!$A$2:$D10975,""SELECT A WHERE D = '""&amp;K4358&amp;""'"")),""USER TIDAK DIKETAHUI""))"),"")</f>
        <v/>
      </c>
    </row>
    <row r="4359">
      <c r="A4359" s="21" t="str">
        <f t="shared" si="1"/>
        <v/>
      </c>
      <c r="B4359" s="38"/>
      <c r="C4359" s="23" t="s">
        <v>1889</v>
      </c>
      <c r="D4359" s="23" t="s">
        <v>58</v>
      </c>
      <c r="E4359" s="24">
        <v>45462.0</v>
      </c>
      <c r="F4359" s="25">
        <v>0.30694444444444446</v>
      </c>
      <c r="G4359" s="25">
        <v>0.7166666666666667</v>
      </c>
      <c r="H4359" s="27">
        <f t="shared" si="2"/>
        <v>0.4097222222</v>
      </c>
      <c r="I4359" s="28">
        <v>3.0</v>
      </c>
      <c r="J4359" s="39" t="s">
        <v>309</v>
      </c>
      <c r="K4359" s="41"/>
      <c r="L4359" s="31" t="str">
        <f>IFERROR(__xludf.DUMMYFUNCTION("IF(OR(E4359="""",K4359=""""),"""",IFERROR(IF(K4359="""","""",query('tbl user'!$A$2:$D10975,""SELECT A WHERE D = '""&amp;K4359&amp;""'"")),""USER TIDAK DIKETAHUI""))"),"")</f>
        <v/>
      </c>
    </row>
    <row r="4360">
      <c r="A4360" s="21" t="str">
        <f t="shared" si="1"/>
        <v/>
      </c>
      <c r="B4360" s="38"/>
      <c r="C4360" s="23" t="s">
        <v>1872</v>
      </c>
      <c r="D4360" s="23" t="s">
        <v>58</v>
      </c>
      <c r="E4360" s="24">
        <v>45462.0</v>
      </c>
      <c r="F4360" s="25">
        <v>0.26875</v>
      </c>
      <c r="G4360" s="25">
        <v>0.6229166666666667</v>
      </c>
      <c r="H4360" s="27">
        <f t="shared" si="2"/>
        <v>0.3541666667</v>
      </c>
      <c r="I4360" s="28">
        <v>3.0</v>
      </c>
      <c r="J4360" s="39" t="s">
        <v>2061</v>
      </c>
      <c r="K4360" s="41"/>
      <c r="L4360" s="31" t="str">
        <f>IFERROR(__xludf.DUMMYFUNCTION("IF(OR(E4360="""",K4360=""""),"""",IFERROR(IF(K4360="""","""",query('tbl user'!$A$2:$D10975,""SELECT A WHERE D = '""&amp;K4360&amp;""'"")),""USER TIDAK DIKETAHUI""))"),"")</f>
        <v/>
      </c>
    </row>
    <row r="4361">
      <c r="A4361" s="21" t="str">
        <f t="shared" si="1"/>
        <v/>
      </c>
      <c r="B4361" s="38"/>
      <c r="C4361" s="23" t="s">
        <v>1882</v>
      </c>
      <c r="D4361" s="23" t="s">
        <v>58</v>
      </c>
      <c r="E4361" s="24">
        <v>45462.0</v>
      </c>
      <c r="F4361" s="25">
        <v>0.2659722222222222</v>
      </c>
      <c r="G4361" s="25">
        <v>0.7159722222222222</v>
      </c>
      <c r="H4361" s="27">
        <f t="shared" si="2"/>
        <v>0.45</v>
      </c>
      <c r="I4361" s="28">
        <v>4.0</v>
      </c>
      <c r="J4361" s="39" t="s">
        <v>55</v>
      </c>
      <c r="K4361" s="41"/>
      <c r="L4361" s="31" t="str">
        <f>IFERROR(__xludf.DUMMYFUNCTION("IF(OR(E4361="""",K4361=""""),"""",IFERROR(IF(K4361="""","""",query('tbl user'!$A$2:$D10975,""SELECT A WHERE D = '""&amp;K4361&amp;""'"")),""USER TIDAK DIKETAHUI""))"),"")</f>
        <v/>
      </c>
    </row>
    <row r="4362">
      <c r="A4362" s="21" t="str">
        <f t="shared" si="1"/>
        <v/>
      </c>
      <c r="B4362" s="38"/>
      <c r="C4362" s="23" t="s">
        <v>1884</v>
      </c>
      <c r="D4362" s="23" t="s">
        <v>58</v>
      </c>
      <c r="E4362" s="24">
        <v>45462.0</v>
      </c>
      <c r="F4362" s="25">
        <v>0.26180555555555557</v>
      </c>
      <c r="G4362" s="25">
        <v>0.6569444444444444</v>
      </c>
      <c r="H4362" s="27">
        <f t="shared" si="2"/>
        <v>0.3951388889</v>
      </c>
      <c r="I4362" s="28">
        <v>4.0</v>
      </c>
      <c r="J4362" s="39" t="s">
        <v>55</v>
      </c>
      <c r="K4362" s="41"/>
      <c r="L4362" s="31" t="str">
        <f>IFERROR(__xludf.DUMMYFUNCTION("IF(OR(E4362="""",K4362=""""),"""",IFERROR(IF(K4362="""","""",query('tbl user'!$A$2:$D10975,""SELECT A WHERE D = '""&amp;K4362&amp;""'"")),""USER TIDAK DIKETAHUI""))"),"")</f>
        <v/>
      </c>
    </row>
    <row r="4363">
      <c r="A4363" s="21" t="str">
        <f t="shared" si="1"/>
        <v/>
      </c>
      <c r="B4363" s="38"/>
      <c r="C4363" s="23" t="s">
        <v>1950</v>
      </c>
      <c r="D4363" s="23" t="s">
        <v>58</v>
      </c>
      <c r="E4363" s="24">
        <v>45462.0</v>
      </c>
      <c r="F4363" s="25">
        <v>0.27152777777777776</v>
      </c>
      <c r="G4363" s="25">
        <v>0.7236111111111111</v>
      </c>
      <c r="H4363" s="27">
        <f t="shared" si="2"/>
        <v>0.4520833333</v>
      </c>
      <c r="I4363" s="28">
        <v>4.0</v>
      </c>
      <c r="J4363" s="39" t="s">
        <v>55</v>
      </c>
      <c r="K4363" s="41"/>
      <c r="L4363" s="31" t="str">
        <f>IFERROR(__xludf.DUMMYFUNCTION("IF(OR(E4363="""",K4363=""""),"""",IFERROR(IF(K4363="""","""",query('tbl user'!$A$2:$D10975,""SELECT A WHERE D = '""&amp;K4363&amp;""'"")),""USER TIDAK DIKETAHUI""))"),"")</f>
        <v/>
      </c>
    </row>
    <row r="4364">
      <c r="A4364" s="21" t="str">
        <f t="shared" si="1"/>
        <v/>
      </c>
      <c r="B4364" s="38"/>
      <c r="C4364" s="23" t="s">
        <v>1888</v>
      </c>
      <c r="D4364" s="23" t="s">
        <v>58</v>
      </c>
      <c r="E4364" s="24">
        <v>45462.0</v>
      </c>
      <c r="F4364" s="25">
        <v>0.27152777777777776</v>
      </c>
      <c r="G4364" s="25">
        <v>0.6590277777777778</v>
      </c>
      <c r="H4364" s="27">
        <f t="shared" si="2"/>
        <v>0.3875</v>
      </c>
      <c r="I4364" s="28">
        <v>4.0</v>
      </c>
      <c r="J4364" s="39" t="s">
        <v>55</v>
      </c>
      <c r="K4364" s="41"/>
      <c r="L4364" s="31" t="str">
        <f>IFERROR(__xludf.DUMMYFUNCTION("IF(OR(E4364="""",K4364=""""),"""",IFERROR(IF(K4364="""","""",query('tbl user'!$A$2:$D10975,""SELECT A WHERE D = '""&amp;K4364&amp;""'"")),""USER TIDAK DIKETAHUI""))"),"")</f>
        <v/>
      </c>
    </row>
    <row r="4365">
      <c r="A4365" s="21" t="str">
        <f t="shared" si="1"/>
        <v/>
      </c>
      <c r="B4365" s="38"/>
      <c r="C4365" s="23" t="s">
        <v>1892</v>
      </c>
      <c r="D4365" s="23" t="s">
        <v>58</v>
      </c>
      <c r="E4365" s="24">
        <v>45462.0</v>
      </c>
      <c r="F4365" s="25">
        <v>0.2604166666666667</v>
      </c>
      <c r="G4365" s="25">
        <v>0.6451388888888889</v>
      </c>
      <c r="H4365" s="27">
        <f t="shared" si="2"/>
        <v>0.3847222222</v>
      </c>
      <c r="I4365" s="28">
        <v>4.0</v>
      </c>
      <c r="J4365" s="39" t="s">
        <v>55</v>
      </c>
      <c r="K4365" s="41"/>
      <c r="L4365" s="31" t="str">
        <f>IFERROR(__xludf.DUMMYFUNCTION("IF(OR(E4365="""",K4365=""""),"""",IFERROR(IF(K4365="""","""",query('tbl user'!$A$2:$D10975,""SELECT A WHERE D = '""&amp;K4365&amp;""'"")),""USER TIDAK DIKETAHUI""))"),"")</f>
        <v/>
      </c>
    </row>
    <row r="4366">
      <c r="A4366" s="21" t="str">
        <f t="shared" si="1"/>
        <v/>
      </c>
      <c r="B4366" s="38"/>
      <c r="C4366" s="23" t="s">
        <v>1961</v>
      </c>
      <c r="D4366" s="23" t="s">
        <v>32</v>
      </c>
      <c r="E4366" s="24">
        <v>45462.0</v>
      </c>
      <c r="F4366" s="25">
        <v>0.28958333333333336</v>
      </c>
      <c r="G4366" s="25">
        <v>0.7013888888888888</v>
      </c>
      <c r="H4366" s="27">
        <f t="shared" si="2"/>
        <v>0.4118055556</v>
      </c>
      <c r="I4366" s="28">
        <v>2.0</v>
      </c>
      <c r="J4366" s="39" t="s">
        <v>2062</v>
      </c>
      <c r="K4366" s="41"/>
      <c r="L4366" s="31" t="str">
        <f>IFERROR(__xludf.DUMMYFUNCTION("IF(OR(E4366="""",K4366=""""),"""",IFERROR(IF(K4366="""","""",query('tbl user'!$A$2:$D10975,""SELECT A WHERE D = '""&amp;K4366&amp;""'"")),""USER TIDAK DIKETAHUI""))"),"")</f>
        <v/>
      </c>
    </row>
    <row r="4367">
      <c r="A4367" s="21" t="str">
        <f t="shared" si="1"/>
        <v/>
      </c>
      <c r="B4367" s="38"/>
      <c r="C4367" s="23" t="s">
        <v>1904</v>
      </c>
      <c r="D4367" s="23" t="s">
        <v>32</v>
      </c>
      <c r="E4367" s="24">
        <v>45462.0</v>
      </c>
      <c r="F4367" s="25">
        <v>0.27569444444444446</v>
      </c>
      <c r="G4367" s="25">
        <v>0.5604166666666667</v>
      </c>
      <c r="H4367" s="27">
        <f t="shared" si="2"/>
        <v>0.2847222222</v>
      </c>
      <c r="I4367" s="28">
        <v>2.0</v>
      </c>
      <c r="J4367" s="39" t="s">
        <v>2063</v>
      </c>
      <c r="K4367" s="41"/>
      <c r="L4367" s="31" t="str">
        <f>IFERROR(__xludf.DUMMYFUNCTION("IF(OR(E4367="""",K4367=""""),"""",IFERROR(IF(K4367="""","""",query('tbl user'!$A$2:$D10975,""SELECT A WHERE D = '""&amp;K4367&amp;""'"")),""USER TIDAK DIKETAHUI""))"),"")</f>
        <v/>
      </c>
    </row>
    <row r="4368">
      <c r="A4368" s="21" t="str">
        <f t="shared" si="1"/>
        <v/>
      </c>
      <c r="B4368" s="38"/>
      <c r="C4368" s="23" t="s">
        <v>1913</v>
      </c>
      <c r="D4368" s="23" t="s">
        <v>32</v>
      </c>
      <c r="E4368" s="24">
        <v>45462.0</v>
      </c>
      <c r="F4368" s="25">
        <v>0.27569444444444446</v>
      </c>
      <c r="G4368" s="25">
        <v>0.6944444444444444</v>
      </c>
      <c r="H4368" s="27">
        <f t="shared" si="2"/>
        <v>0.41875</v>
      </c>
      <c r="I4368" s="28">
        <v>2.0</v>
      </c>
      <c r="J4368" s="39" t="s">
        <v>2064</v>
      </c>
      <c r="K4368" s="41"/>
      <c r="L4368" s="31" t="str">
        <f>IFERROR(__xludf.DUMMYFUNCTION("IF(OR(E4368="""",K4368=""""),"""",IFERROR(IF(K4368="""","""",query('tbl user'!$A$2:$D10975,""SELECT A WHERE D = '""&amp;K4368&amp;""'"")),""USER TIDAK DIKETAHUI""))"),"")</f>
        <v/>
      </c>
    </row>
    <row r="4369">
      <c r="A4369" s="21" t="str">
        <f t="shared" si="1"/>
        <v/>
      </c>
      <c r="B4369" s="38"/>
      <c r="C4369" s="23" t="s">
        <v>1964</v>
      </c>
      <c r="D4369" s="23" t="s">
        <v>32</v>
      </c>
      <c r="E4369" s="24">
        <v>45462.0</v>
      </c>
      <c r="F4369" s="25">
        <v>0.29444444444444445</v>
      </c>
      <c r="G4369" s="25">
        <v>0.66875</v>
      </c>
      <c r="H4369" s="27">
        <f t="shared" si="2"/>
        <v>0.3743055556</v>
      </c>
      <c r="I4369" s="28">
        <v>3.0</v>
      </c>
      <c r="J4369" s="39" t="s">
        <v>2065</v>
      </c>
      <c r="K4369" s="41"/>
      <c r="L4369" s="31" t="str">
        <f>IFERROR(__xludf.DUMMYFUNCTION("IF(OR(E4369="""",K4369=""""),"""",IFERROR(IF(K4369="""","""",query('tbl user'!$A$2:$D10975,""SELECT A WHERE D = '""&amp;K4369&amp;""'"")),""USER TIDAK DIKETAHUI""))"),"")</f>
        <v/>
      </c>
    </row>
    <row r="4370">
      <c r="A4370" s="21" t="str">
        <f t="shared" si="1"/>
        <v/>
      </c>
      <c r="B4370" s="38"/>
      <c r="C4370" s="23" t="s">
        <v>2066</v>
      </c>
      <c r="D4370" s="23" t="s">
        <v>32</v>
      </c>
      <c r="E4370" s="24">
        <v>45462.0</v>
      </c>
      <c r="F4370" s="25">
        <v>0.2881944444444444</v>
      </c>
      <c r="G4370" s="25">
        <v>0.73125</v>
      </c>
      <c r="H4370" s="27">
        <f t="shared" si="2"/>
        <v>0.4430555556</v>
      </c>
      <c r="I4370" s="28">
        <v>3.0</v>
      </c>
      <c r="J4370" s="39" t="s">
        <v>1495</v>
      </c>
      <c r="K4370" s="41"/>
      <c r="L4370" s="31" t="str">
        <f>IFERROR(__xludf.DUMMYFUNCTION("IF(OR(E4370="""",K4370=""""),"""",IFERROR(IF(K4370="""","""",query('tbl user'!$A$2:$D10975,""SELECT A WHERE D = '""&amp;K4370&amp;""'"")),""USER TIDAK DIKETAHUI""))"),"")</f>
        <v/>
      </c>
    </row>
    <row r="4371">
      <c r="A4371" s="21" t="str">
        <f t="shared" si="1"/>
        <v/>
      </c>
      <c r="B4371" s="38"/>
      <c r="C4371" s="23" t="s">
        <v>1902</v>
      </c>
      <c r="D4371" s="23" t="s">
        <v>32</v>
      </c>
      <c r="E4371" s="24">
        <v>45462.0</v>
      </c>
      <c r="F4371" s="25">
        <v>0.30069444444444443</v>
      </c>
      <c r="G4371" s="25">
        <v>0.6923611111111111</v>
      </c>
      <c r="H4371" s="27">
        <f t="shared" si="2"/>
        <v>0.3916666667</v>
      </c>
      <c r="I4371" s="28">
        <v>3.0</v>
      </c>
      <c r="J4371" s="39" t="s">
        <v>2067</v>
      </c>
      <c r="K4371" s="41"/>
      <c r="L4371" s="31" t="str">
        <f>IFERROR(__xludf.DUMMYFUNCTION("IF(OR(E4371="""",K4371=""""),"""",IFERROR(IF(K4371="""","""",query('tbl user'!$A$2:$D10975,""SELECT A WHERE D = '""&amp;K4371&amp;""'"")),""USER TIDAK DIKETAHUI""))"),"")</f>
        <v/>
      </c>
    </row>
    <row r="4372">
      <c r="A4372" s="21" t="str">
        <f t="shared" si="1"/>
        <v/>
      </c>
      <c r="B4372" s="38"/>
      <c r="C4372" s="23" t="s">
        <v>1990</v>
      </c>
      <c r="D4372" s="23" t="s">
        <v>32</v>
      </c>
      <c r="E4372" s="24">
        <v>45462.0</v>
      </c>
      <c r="F4372" s="25">
        <v>0.2791666666666667</v>
      </c>
      <c r="G4372" s="25">
        <v>0.6381944444444444</v>
      </c>
      <c r="H4372" s="27">
        <f t="shared" si="2"/>
        <v>0.3590277778</v>
      </c>
      <c r="I4372" s="28">
        <v>3.0</v>
      </c>
      <c r="J4372" s="39" t="s">
        <v>2068</v>
      </c>
      <c r="K4372" s="41"/>
      <c r="L4372" s="31" t="str">
        <f>IFERROR(__xludf.DUMMYFUNCTION("IF(OR(E4372="""",K4372=""""),"""",IFERROR(IF(K4372="""","""",query('tbl user'!$A$2:$D10975,""SELECT A WHERE D = '""&amp;K4372&amp;""'"")),""USER TIDAK DIKETAHUI""))"),"")</f>
        <v/>
      </c>
    </row>
    <row r="4373">
      <c r="A4373" s="21" t="str">
        <f t="shared" si="1"/>
        <v/>
      </c>
      <c r="B4373" s="38"/>
      <c r="C4373" s="23" t="s">
        <v>1903</v>
      </c>
      <c r="D4373" s="23" t="s">
        <v>32</v>
      </c>
      <c r="E4373" s="24">
        <v>45462.0</v>
      </c>
      <c r="F4373" s="25">
        <v>0.28888888888888886</v>
      </c>
      <c r="G4373" s="25">
        <v>0.6576388888888889</v>
      </c>
      <c r="H4373" s="27">
        <f t="shared" si="2"/>
        <v>0.36875</v>
      </c>
      <c r="I4373" s="28">
        <v>3.0</v>
      </c>
      <c r="J4373" s="39" t="s">
        <v>2069</v>
      </c>
      <c r="K4373" s="41"/>
      <c r="L4373" s="31" t="str">
        <f>IFERROR(__xludf.DUMMYFUNCTION("IF(OR(E4373="""",K4373=""""),"""",IFERROR(IF(K4373="""","""",query('tbl user'!$A$2:$D10975,""SELECT A WHERE D = '""&amp;K4373&amp;""'"")),""USER TIDAK DIKETAHUI""))"),"")</f>
        <v/>
      </c>
    </row>
    <row r="4374">
      <c r="A4374" s="21" t="str">
        <f t="shared" si="1"/>
        <v/>
      </c>
      <c r="B4374" s="38"/>
      <c r="C4374" s="23" t="s">
        <v>1954</v>
      </c>
      <c r="D4374" s="23" t="s">
        <v>32</v>
      </c>
      <c r="E4374" s="24">
        <v>45462.0</v>
      </c>
      <c r="F4374" s="25">
        <v>0.2875</v>
      </c>
      <c r="G4374" s="25">
        <v>0.6631944444444444</v>
      </c>
      <c r="H4374" s="27">
        <f t="shared" si="2"/>
        <v>0.3756944444</v>
      </c>
      <c r="I4374" s="28">
        <v>3.0</v>
      </c>
      <c r="J4374" s="39" t="s">
        <v>2070</v>
      </c>
      <c r="K4374" s="41"/>
      <c r="L4374" s="31" t="str">
        <f>IFERROR(__xludf.DUMMYFUNCTION("IF(OR(E4374="""",K4374=""""),"""",IFERROR(IF(K4374="""","""",query('tbl user'!$A$2:$D10975,""SELECT A WHERE D = '""&amp;K4374&amp;""'"")),""USER TIDAK DIKETAHUI""))"),"")</f>
        <v/>
      </c>
    </row>
    <row r="4375">
      <c r="A4375" s="21" t="str">
        <f t="shared" si="1"/>
        <v/>
      </c>
      <c r="B4375" s="38"/>
      <c r="C4375" s="23" t="s">
        <v>1900</v>
      </c>
      <c r="D4375" s="23" t="s">
        <v>32</v>
      </c>
      <c r="E4375" s="24">
        <v>45462.0</v>
      </c>
      <c r="F4375" s="25">
        <v>0.26944444444444443</v>
      </c>
      <c r="G4375" s="25">
        <v>0.7375</v>
      </c>
      <c r="H4375" s="27">
        <f t="shared" si="2"/>
        <v>0.4680555556</v>
      </c>
      <c r="I4375" s="28">
        <v>3.0</v>
      </c>
      <c r="J4375" s="39" t="s">
        <v>177</v>
      </c>
      <c r="K4375" s="41"/>
      <c r="L4375" s="31" t="str">
        <f>IFERROR(__xludf.DUMMYFUNCTION("IF(OR(E4375="""",K4375=""""),"""",IFERROR(IF(K4375="""","""",query('tbl user'!$A$2:$D10975,""SELECT A WHERE D = '""&amp;K4375&amp;""'"")),""USER TIDAK DIKETAHUI""))"),"")</f>
        <v/>
      </c>
    </row>
    <row r="4376">
      <c r="A4376" s="21" t="str">
        <f t="shared" si="1"/>
        <v/>
      </c>
      <c r="B4376" s="38"/>
      <c r="C4376" s="23" t="s">
        <v>1962</v>
      </c>
      <c r="D4376" s="23" t="s">
        <v>32</v>
      </c>
      <c r="E4376" s="24">
        <v>45462.0</v>
      </c>
      <c r="F4376" s="25">
        <v>0.2701388888888889</v>
      </c>
      <c r="G4376" s="25">
        <v>0.7006944444444444</v>
      </c>
      <c r="H4376" s="27">
        <f t="shared" si="2"/>
        <v>0.4305555556</v>
      </c>
      <c r="I4376" s="28">
        <v>4.0</v>
      </c>
      <c r="J4376" s="39" t="s">
        <v>55</v>
      </c>
      <c r="K4376" s="41"/>
      <c r="L4376" s="31" t="str">
        <f>IFERROR(__xludf.DUMMYFUNCTION("IF(OR(E4376="""",K4376=""""),"""",IFERROR(IF(K4376="""","""",query('tbl user'!$A$2:$D10975,""SELECT A WHERE D = '""&amp;K4376&amp;""'"")),""USER TIDAK DIKETAHUI""))"),"")</f>
        <v/>
      </c>
    </row>
    <row r="4377">
      <c r="A4377" s="21" t="str">
        <f t="shared" si="1"/>
        <v/>
      </c>
      <c r="B4377" s="38"/>
      <c r="C4377" s="23" t="s">
        <v>1910</v>
      </c>
      <c r="D4377" s="23" t="s">
        <v>32</v>
      </c>
      <c r="E4377" s="24">
        <v>45462.0</v>
      </c>
      <c r="F4377" s="25">
        <v>0.26319444444444445</v>
      </c>
      <c r="G4377" s="25">
        <v>0.6888888888888889</v>
      </c>
      <c r="H4377" s="27">
        <f t="shared" si="2"/>
        <v>0.4256944444</v>
      </c>
      <c r="I4377" s="28">
        <v>4.0</v>
      </c>
      <c r="J4377" s="39" t="s">
        <v>55</v>
      </c>
      <c r="K4377" s="41"/>
      <c r="L4377" s="31" t="str">
        <f>IFERROR(__xludf.DUMMYFUNCTION("IF(OR(E4377="""",K4377=""""),"""",IFERROR(IF(K4377="""","""",query('tbl user'!$A$2:$D10975,""SELECT A WHERE D = '""&amp;K4377&amp;""'"")),""USER TIDAK DIKETAHUI""))"),"")</f>
        <v/>
      </c>
    </row>
    <row r="4378">
      <c r="A4378" s="21" t="str">
        <f t="shared" si="1"/>
        <v/>
      </c>
      <c r="B4378" s="38"/>
      <c r="C4378" s="23" t="s">
        <v>1905</v>
      </c>
      <c r="D4378" s="23" t="s">
        <v>32</v>
      </c>
      <c r="E4378" s="24">
        <v>45462.0</v>
      </c>
      <c r="F4378" s="25">
        <v>0.2659722222222222</v>
      </c>
      <c r="G4378" s="25">
        <v>0.7263888888888889</v>
      </c>
      <c r="H4378" s="27">
        <f t="shared" si="2"/>
        <v>0.4604166667</v>
      </c>
      <c r="I4378" s="28">
        <v>4.0</v>
      </c>
      <c r="J4378" s="39" t="s">
        <v>55</v>
      </c>
      <c r="K4378" s="41"/>
      <c r="L4378" s="31" t="str">
        <f>IFERROR(__xludf.DUMMYFUNCTION("IF(OR(E4378="""",K4378=""""),"""",IFERROR(IF(K4378="""","""",query('tbl user'!$A$2:$D10975,""SELECT A WHERE D = '""&amp;K4378&amp;""'"")),""USER TIDAK DIKETAHUI""))"),"")</f>
        <v/>
      </c>
    </row>
    <row r="4379">
      <c r="A4379" s="21" t="str">
        <f t="shared" si="1"/>
        <v/>
      </c>
      <c r="B4379" s="38"/>
      <c r="C4379" s="23" t="s">
        <v>1907</v>
      </c>
      <c r="D4379" s="23" t="s">
        <v>32</v>
      </c>
      <c r="E4379" s="24">
        <v>45462.0</v>
      </c>
      <c r="F4379" s="25">
        <v>0.26944444444444443</v>
      </c>
      <c r="G4379" s="25">
        <v>0.7388888888888889</v>
      </c>
      <c r="H4379" s="27">
        <f t="shared" si="2"/>
        <v>0.4694444444</v>
      </c>
      <c r="I4379" s="28">
        <v>4.0</v>
      </c>
      <c r="J4379" s="39" t="s">
        <v>55</v>
      </c>
      <c r="K4379" s="41"/>
      <c r="L4379" s="31" t="str">
        <f>IFERROR(__xludf.DUMMYFUNCTION("IF(OR(E4379="""",K4379=""""),"""",IFERROR(IF(K4379="""","""",query('tbl user'!$A$2:$D10975,""SELECT A WHERE D = '""&amp;K4379&amp;""'"")),""USER TIDAK DIKETAHUI""))"),"")</f>
        <v/>
      </c>
    </row>
    <row r="4380">
      <c r="A4380" s="21" t="str">
        <f t="shared" si="1"/>
        <v/>
      </c>
      <c r="B4380" s="38"/>
      <c r="C4380" s="23" t="s">
        <v>1908</v>
      </c>
      <c r="D4380" s="23" t="s">
        <v>32</v>
      </c>
      <c r="E4380" s="24">
        <v>45462.0</v>
      </c>
      <c r="F4380" s="25">
        <v>0.275</v>
      </c>
      <c r="G4380" s="25">
        <v>0.7451388888888889</v>
      </c>
      <c r="H4380" s="27">
        <f t="shared" si="2"/>
        <v>0.4701388889</v>
      </c>
      <c r="I4380" s="28">
        <v>4.0</v>
      </c>
      <c r="J4380" s="39" t="s">
        <v>55</v>
      </c>
      <c r="K4380" s="41"/>
      <c r="L4380" s="31" t="str">
        <f>IFERROR(__xludf.DUMMYFUNCTION("IF(OR(E4380="""",K4380=""""),"""",IFERROR(IF(K4380="""","""",query('tbl user'!$A$2:$D10975,""SELECT A WHERE D = '""&amp;K4380&amp;""'"")),""USER TIDAK DIKETAHUI""))"),"")</f>
        <v/>
      </c>
    </row>
    <row r="4381">
      <c r="A4381" s="21" t="str">
        <f t="shared" si="1"/>
        <v/>
      </c>
      <c r="B4381" s="38"/>
      <c r="C4381" s="23" t="s">
        <v>1909</v>
      </c>
      <c r="D4381" s="23" t="s">
        <v>32</v>
      </c>
      <c r="E4381" s="24">
        <v>45462.0</v>
      </c>
      <c r="F4381" s="25">
        <v>0.2701388888888889</v>
      </c>
      <c r="G4381" s="25">
        <v>0.6152777777777778</v>
      </c>
      <c r="H4381" s="27">
        <f t="shared" si="2"/>
        <v>0.3451388889</v>
      </c>
      <c r="I4381" s="28">
        <v>4.0</v>
      </c>
      <c r="J4381" s="39" t="s">
        <v>55</v>
      </c>
      <c r="K4381" s="41"/>
      <c r="L4381" s="31" t="str">
        <f>IFERROR(__xludf.DUMMYFUNCTION("IF(OR(E4381="""",K4381=""""),"""",IFERROR(IF(K4381="""","""",query('tbl user'!$A$2:$D10975,""SELECT A WHERE D = '""&amp;K4381&amp;""'"")),""USER TIDAK DIKETAHUI""))"),"")</f>
        <v/>
      </c>
    </row>
    <row r="4382">
      <c r="A4382" s="21" t="str">
        <f t="shared" si="1"/>
        <v/>
      </c>
      <c r="B4382" s="38"/>
      <c r="C4382" s="23" t="s">
        <v>1843</v>
      </c>
      <c r="D4382" s="23" t="s">
        <v>21</v>
      </c>
      <c r="E4382" s="24">
        <v>45463.0</v>
      </c>
      <c r="F4382" s="25">
        <v>0.22430555555555556</v>
      </c>
      <c r="G4382" s="25">
        <v>0.5444444444444444</v>
      </c>
      <c r="H4382" s="27">
        <f t="shared" si="2"/>
        <v>0.3201388889</v>
      </c>
      <c r="I4382" s="28">
        <v>2.0</v>
      </c>
      <c r="J4382" s="39" t="s">
        <v>2071</v>
      </c>
      <c r="K4382" s="41"/>
      <c r="L4382" s="31" t="str">
        <f>IFERROR(__xludf.DUMMYFUNCTION("IF(OR(E4382="""",K4382=""""),"""",IFERROR(IF(K4382="""","""",query('tbl user'!$A$2:$D10975,""SELECT A WHERE D = '""&amp;K4382&amp;""'"")),""USER TIDAK DIKETAHUI""))"),"")</f>
        <v/>
      </c>
    </row>
    <row r="4383">
      <c r="A4383" s="21" t="str">
        <f t="shared" si="1"/>
        <v/>
      </c>
      <c r="B4383" s="38"/>
      <c r="C4383" s="23" t="s">
        <v>1853</v>
      </c>
      <c r="D4383" s="23" t="s">
        <v>21</v>
      </c>
      <c r="E4383" s="24">
        <v>45463.0</v>
      </c>
      <c r="F4383" s="25">
        <v>0.28055555555555556</v>
      </c>
      <c r="G4383" s="25">
        <v>0.6541666666666667</v>
      </c>
      <c r="H4383" s="27">
        <f t="shared" si="2"/>
        <v>0.3736111111</v>
      </c>
      <c r="I4383" s="28">
        <v>3.0</v>
      </c>
      <c r="J4383" s="39" t="s">
        <v>2072</v>
      </c>
      <c r="K4383" s="41"/>
      <c r="L4383" s="31" t="str">
        <f>IFERROR(__xludf.DUMMYFUNCTION("IF(OR(E4383="""",K4383=""""),"""",IFERROR(IF(K4383="""","""",query('tbl user'!$A$2:$D10975,""SELECT A WHERE D = '""&amp;K4383&amp;""'"")),""USER TIDAK DIKETAHUI""))"),"")</f>
        <v/>
      </c>
    </row>
    <row r="4384">
      <c r="A4384" s="21" t="str">
        <f t="shared" si="1"/>
        <v/>
      </c>
      <c r="B4384" s="38"/>
      <c r="C4384" s="23" t="s">
        <v>1833</v>
      </c>
      <c r="D4384" s="23" t="s">
        <v>21</v>
      </c>
      <c r="E4384" s="24">
        <v>45463.0</v>
      </c>
      <c r="F4384" s="25">
        <v>0.35</v>
      </c>
      <c r="G4384" s="25">
        <v>0.6611111111111111</v>
      </c>
      <c r="H4384" s="27">
        <f t="shared" si="2"/>
        <v>0.3111111111</v>
      </c>
      <c r="I4384" s="28">
        <v>3.0</v>
      </c>
      <c r="J4384" s="39" t="s">
        <v>2073</v>
      </c>
      <c r="K4384" s="41"/>
      <c r="L4384" s="31" t="str">
        <f>IFERROR(__xludf.DUMMYFUNCTION("IF(OR(E4384="""",K4384=""""),"""",IFERROR(IF(K4384="""","""",query('tbl user'!$A$2:$D10975,""SELECT A WHERE D = '""&amp;K4384&amp;""'"")),""USER TIDAK DIKETAHUI""))"),"")</f>
        <v/>
      </c>
    </row>
    <row r="4385">
      <c r="A4385" s="21" t="str">
        <f t="shared" si="1"/>
        <v/>
      </c>
      <c r="B4385" s="38"/>
      <c r="C4385" s="23" t="s">
        <v>1854</v>
      </c>
      <c r="D4385" s="23" t="s">
        <v>21</v>
      </c>
      <c r="E4385" s="24">
        <v>45463.0</v>
      </c>
      <c r="F4385" s="25">
        <v>0.25277777777777777</v>
      </c>
      <c r="G4385" s="25">
        <v>0.6541666666666667</v>
      </c>
      <c r="H4385" s="27">
        <f t="shared" si="2"/>
        <v>0.4013888889</v>
      </c>
      <c r="I4385" s="28">
        <v>3.0</v>
      </c>
      <c r="J4385" s="39" t="s">
        <v>2074</v>
      </c>
      <c r="K4385" s="41"/>
      <c r="L4385" s="31" t="str">
        <f>IFERROR(__xludf.DUMMYFUNCTION("IF(OR(E4385="""",K4385=""""),"""",IFERROR(IF(K4385="""","""",query('tbl user'!$A$2:$D10975,""SELECT A WHERE D = '""&amp;K4385&amp;""'"")),""USER TIDAK DIKETAHUI""))"),"")</f>
        <v/>
      </c>
    </row>
    <row r="4386">
      <c r="A4386" s="21" t="str">
        <f t="shared" si="1"/>
        <v/>
      </c>
      <c r="B4386" s="38"/>
      <c r="C4386" s="23" t="s">
        <v>1849</v>
      </c>
      <c r="D4386" s="23" t="s">
        <v>21</v>
      </c>
      <c r="E4386" s="24">
        <v>45463.0</v>
      </c>
      <c r="F4386" s="25">
        <v>0.3055555555555556</v>
      </c>
      <c r="G4386" s="25">
        <v>0.6673611111111111</v>
      </c>
      <c r="H4386" s="27">
        <f t="shared" si="2"/>
        <v>0.3618055556</v>
      </c>
      <c r="I4386" s="28">
        <v>3.0</v>
      </c>
      <c r="J4386" s="39" t="s">
        <v>877</v>
      </c>
      <c r="K4386" s="41"/>
      <c r="L4386" s="31" t="str">
        <f>IFERROR(__xludf.DUMMYFUNCTION("IF(OR(E4386="""",K4386=""""),"""",IFERROR(IF(K4386="""","""",query('tbl user'!$A$2:$D10975,""SELECT A WHERE D = '""&amp;K4386&amp;""'"")),""USER TIDAK DIKETAHUI""))"),"")</f>
        <v/>
      </c>
    </row>
    <row r="4387">
      <c r="A4387" s="21" t="str">
        <f t="shared" si="1"/>
        <v/>
      </c>
      <c r="B4387" s="38"/>
      <c r="C4387" s="23" t="s">
        <v>2005</v>
      </c>
      <c r="D4387" s="23" t="s">
        <v>21</v>
      </c>
      <c r="E4387" s="24">
        <v>45463.0</v>
      </c>
      <c r="F4387" s="25">
        <v>0.29097222222222224</v>
      </c>
      <c r="G4387" s="25">
        <v>0.6486111111111111</v>
      </c>
      <c r="H4387" s="27">
        <f t="shared" si="2"/>
        <v>0.3576388889</v>
      </c>
      <c r="I4387" s="28">
        <v>3.0</v>
      </c>
      <c r="J4387" s="39" t="s">
        <v>2075</v>
      </c>
      <c r="K4387" s="41"/>
      <c r="L4387" s="31" t="str">
        <f>IFERROR(__xludf.DUMMYFUNCTION("IF(OR(E4387="""",K4387=""""),"""",IFERROR(IF(K4387="""","""",query('tbl user'!$A$2:$D10975,""SELECT A WHERE D = '""&amp;K4387&amp;""'"")),""USER TIDAK DIKETAHUI""))"),"")</f>
        <v/>
      </c>
    </row>
    <row r="4388">
      <c r="A4388" s="21" t="str">
        <f t="shared" si="1"/>
        <v/>
      </c>
      <c r="B4388" s="38"/>
      <c r="C4388" s="23" t="s">
        <v>1850</v>
      </c>
      <c r="D4388" s="23" t="s">
        <v>21</v>
      </c>
      <c r="E4388" s="24">
        <v>45463.0</v>
      </c>
      <c r="F4388" s="25">
        <v>0.26180555555555557</v>
      </c>
      <c r="G4388" s="25">
        <v>0.7298611111111111</v>
      </c>
      <c r="H4388" s="27">
        <f t="shared" si="2"/>
        <v>0.4680555556</v>
      </c>
      <c r="I4388" s="28">
        <v>3.0</v>
      </c>
      <c r="J4388" s="39" t="s">
        <v>2076</v>
      </c>
      <c r="K4388" s="41"/>
      <c r="L4388" s="31" t="str">
        <f>IFERROR(__xludf.DUMMYFUNCTION("IF(OR(E4388="""",K4388=""""),"""",IFERROR(IF(K4388="""","""",query('tbl user'!$A$2:$D10975,""SELECT A WHERE D = '""&amp;K4388&amp;""'"")),""USER TIDAK DIKETAHUI""))"),"")</f>
        <v/>
      </c>
    </row>
    <row r="4389">
      <c r="A4389" s="21" t="str">
        <f t="shared" si="1"/>
        <v/>
      </c>
      <c r="B4389" s="38"/>
      <c r="C4389" s="23" t="s">
        <v>1851</v>
      </c>
      <c r="D4389" s="23" t="s">
        <v>21</v>
      </c>
      <c r="E4389" s="24">
        <v>45463.0</v>
      </c>
      <c r="F4389" s="25">
        <v>0.28958333333333336</v>
      </c>
      <c r="G4389" s="25">
        <v>0.6659722222222222</v>
      </c>
      <c r="H4389" s="27">
        <f t="shared" si="2"/>
        <v>0.3763888889</v>
      </c>
      <c r="I4389" s="28">
        <v>4.0</v>
      </c>
      <c r="J4389" s="39" t="s">
        <v>2076</v>
      </c>
      <c r="K4389" s="41"/>
      <c r="L4389" s="31" t="str">
        <f>IFERROR(__xludf.DUMMYFUNCTION("IF(OR(E4389="""",K4389=""""),"""",IFERROR(IF(K4389="""","""",query('tbl user'!$A$2:$D10975,""SELECT A WHERE D = '""&amp;K4389&amp;""'"")),""USER TIDAK DIKETAHUI""))"),"")</f>
        <v/>
      </c>
    </row>
    <row r="4390">
      <c r="A4390" s="21" t="str">
        <f t="shared" si="1"/>
        <v/>
      </c>
      <c r="B4390" s="38"/>
      <c r="C4390" s="23" t="s">
        <v>1920</v>
      </c>
      <c r="D4390" s="23" t="s">
        <v>21</v>
      </c>
      <c r="E4390" s="24">
        <v>45463.0</v>
      </c>
      <c r="F4390" s="25">
        <v>0.2833333333333333</v>
      </c>
      <c r="G4390" s="25">
        <v>0.7041666666666667</v>
      </c>
      <c r="H4390" s="27">
        <f t="shared" si="2"/>
        <v>0.4208333333</v>
      </c>
      <c r="I4390" s="28">
        <v>4.0</v>
      </c>
      <c r="J4390" s="39" t="s">
        <v>2077</v>
      </c>
      <c r="K4390" s="41"/>
      <c r="L4390" s="31" t="str">
        <f>IFERROR(__xludf.DUMMYFUNCTION("IF(OR(E4390="""",K4390=""""),"""",IFERROR(IF(K4390="""","""",query('tbl user'!$A$2:$D10975,""SELECT A WHERE D = '""&amp;K4390&amp;""'"")),""USER TIDAK DIKETAHUI""))"),"")</f>
        <v/>
      </c>
    </row>
    <row r="4391">
      <c r="A4391" s="21" t="str">
        <f t="shared" si="1"/>
        <v/>
      </c>
      <c r="B4391" s="38"/>
      <c r="C4391" s="23" t="s">
        <v>1830</v>
      </c>
      <c r="D4391" s="23" t="s">
        <v>21</v>
      </c>
      <c r="E4391" s="24">
        <v>45463.0</v>
      </c>
      <c r="F4391" s="25">
        <v>0.2881944444444444</v>
      </c>
      <c r="G4391" s="25">
        <v>0.69375</v>
      </c>
      <c r="H4391" s="27">
        <f t="shared" si="2"/>
        <v>0.4055555556</v>
      </c>
      <c r="I4391" s="28">
        <v>4.0</v>
      </c>
      <c r="J4391" s="39" t="s">
        <v>2076</v>
      </c>
      <c r="K4391" s="41"/>
      <c r="L4391" s="31" t="str">
        <f>IFERROR(__xludf.DUMMYFUNCTION("IF(OR(E4391="""",K4391=""""),"""",IFERROR(IF(K4391="""","""",query('tbl user'!$A$2:$D10975,""SELECT A WHERE D = '""&amp;K4391&amp;""'"")),""USER TIDAK DIKETAHUI""))"),"")</f>
        <v/>
      </c>
    </row>
    <row r="4392">
      <c r="A4392" s="21" t="str">
        <f t="shared" si="1"/>
        <v/>
      </c>
      <c r="B4392" s="38"/>
      <c r="C4392" s="23" t="s">
        <v>1923</v>
      </c>
      <c r="D4392" s="23" t="s">
        <v>21</v>
      </c>
      <c r="E4392" s="24">
        <v>45463.0</v>
      </c>
      <c r="F4392" s="25">
        <v>0.2701388888888889</v>
      </c>
      <c r="G4392" s="25">
        <v>0.7118055555555556</v>
      </c>
      <c r="H4392" s="27">
        <f t="shared" si="2"/>
        <v>0.4416666667</v>
      </c>
      <c r="I4392" s="28">
        <v>4.0</v>
      </c>
      <c r="J4392" s="39" t="s">
        <v>2076</v>
      </c>
      <c r="K4392" s="41"/>
      <c r="L4392" s="31" t="str">
        <f>IFERROR(__xludf.DUMMYFUNCTION("IF(OR(E4392="""",K4392=""""),"""",IFERROR(IF(K4392="""","""",query('tbl user'!$A$2:$D10975,""SELECT A WHERE D = '""&amp;K4392&amp;""'"")),""USER TIDAK DIKETAHUI""))"),"")</f>
        <v/>
      </c>
    </row>
    <row r="4393">
      <c r="A4393" s="21" t="str">
        <f t="shared" si="1"/>
        <v/>
      </c>
      <c r="B4393" s="38"/>
      <c r="C4393" s="23" t="s">
        <v>1925</v>
      </c>
      <c r="D4393" s="23" t="s">
        <v>21</v>
      </c>
      <c r="E4393" s="24">
        <v>45463.0</v>
      </c>
      <c r="F4393" s="25">
        <v>0.25972222222222224</v>
      </c>
      <c r="G4393" s="25">
        <v>0.7451388888888889</v>
      </c>
      <c r="H4393" s="27">
        <f t="shared" si="2"/>
        <v>0.4854166667</v>
      </c>
      <c r="I4393" s="28">
        <v>4.0</v>
      </c>
      <c r="J4393" s="39" t="s">
        <v>2078</v>
      </c>
      <c r="K4393" s="41"/>
      <c r="L4393" s="31" t="str">
        <f>IFERROR(__xludf.DUMMYFUNCTION("IF(OR(E4393="""",K4393=""""),"""",IFERROR(IF(K4393="""","""",query('tbl user'!$A$2:$D10975,""SELECT A WHERE D = '""&amp;K4393&amp;""'"")),""USER TIDAK DIKETAHUI""))"),"")</f>
        <v/>
      </c>
    </row>
    <row r="4394">
      <c r="A4394" s="21" t="str">
        <f t="shared" si="1"/>
        <v/>
      </c>
      <c r="B4394" s="38"/>
      <c r="C4394" s="23" t="s">
        <v>1857</v>
      </c>
      <c r="D4394" s="23" t="s">
        <v>21</v>
      </c>
      <c r="E4394" s="24">
        <v>45463.0</v>
      </c>
      <c r="F4394" s="25">
        <v>0.24444444444444444</v>
      </c>
      <c r="G4394" s="25">
        <v>0.6722222222222223</v>
      </c>
      <c r="H4394" s="27">
        <f t="shared" si="2"/>
        <v>0.4277777778</v>
      </c>
      <c r="I4394" s="28">
        <v>4.0</v>
      </c>
      <c r="J4394" s="39" t="s">
        <v>2076</v>
      </c>
      <c r="K4394" s="41"/>
      <c r="L4394" s="31" t="str">
        <f>IFERROR(__xludf.DUMMYFUNCTION("IF(OR(E4394="""",K4394=""""),"""",IFERROR(IF(K4394="""","""",query('tbl user'!$A$2:$D10975,""SELECT A WHERE D = '""&amp;K4394&amp;""'"")),""USER TIDAK DIKETAHUI""))"),"")</f>
        <v/>
      </c>
    </row>
    <row r="4395">
      <c r="A4395" s="21" t="str">
        <f t="shared" si="1"/>
        <v/>
      </c>
      <c r="B4395" s="38"/>
      <c r="C4395" s="23" t="s">
        <v>1845</v>
      </c>
      <c r="D4395" s="23" t="s">
        <v>21</v>
      </c>
      <c r="E4395" s="24">
        <v>45463.0</v>
      </c>
      <c r="F4395" s="25">
        <v>0.28125</v>
      </c>
      <c r="G4395" s="25">
        <v>0.6541666666666667</v>
      </c>
      <c r="H4395" s="27">
        <f t="shared" si="2"/>
        <v>0.3729166667</v>
      </c>
      <c r="I4395" s="28">
        <v>4.0</v>
      </c>
      <c r="J4395" s="39" t="s">
        <v>2076</v>
      </c>
      <c r="K4395" s="41"/>
      <c r="L4395" s="31" t="str">
        <f>IFERROR(__xludf.DUMMYFUNCTION("IF(OR(E4395="""",K4395=""""),"""",IFERROR(IF(K4395="""","""",query('tbl user'!$A$2:$D10975,""SELECT A WHERE D = '""&amp;K4395&amp;""'"")),""USER TIDAK DIKETAHUI""))"),"")</f>
        <v/>
      </c>
    </row>
    <row r="4396">
      <c r="A4396" s="21" t="str">
        <f t="shared" si="1"/>
        <v/>
      </c>
      <c r="B4396" s="38"/>
      <c r="C4396" s="23" t="s">
        <v>1837</v>
      </c>
      <c r="D4396" s="23" t="s">
        <v>21</v>
      </c>
      <c r="E4396" s="24">
        <v>45463.0</v>
      </c>
      <c r="F4396" s="25">
        <v>0.2513888888888889</v>
      </c>
      <c r="G4396" s="25">
        <v>0.6534722222222222</v>
      </c>
      <c r="H4396" s="27">
        <f t="shared" si="2"/>
        <v>0.4020833333</v>
      </c>
      <c r="I4396" s="28">
        <v>4.0</v>
      </c>
      <c r="J4396" s="39" t="s">
        <v>1799</v>
      </c>
      <c r="K4396" s="41"/>
      <c r="L4396" s="31" t="str">
        <f>IFERROR(__xludf.DUMMYFUNCTION("IF(OR(E4396="""",K4396=""""),"""",IFERROR(IF(K4396="""","""",query('tbl user'!$A$2:$D10975,""SELECT A WHERE D = '""&amp;K4396&amp;""'"")),""USER TIDAK DIKETAHUI""))"),"")</f>
        <v/>
      </c>
    </row>
    <row r="4397">
      <c r="A4397" s="21" t="str">
        <f t="shared" si="1"/>
        <v/>
      </c>
      <c r="B4397" s="38"/>
      <c r="C4397" s="23" t="s">
        <v>1858</v>
      </c>
      <c r="D4397" s="23" t="s">
        <v>21</v>
      </c>
      <c r="E4397" s="24">
        <v>45463.0</v>
      </c>
      <c r="F4397" s="25">
        <v>0.28125</v>
      </c>
      <c r="G4397" s="25">
        <v>0.6743055555555556</v>
      </c>
      <c r="H4397" s="27">
        <f t="shared" si="2"/>
        <v>0.3930555556</v>
      </c>
      <c r="I4397" s="28">
        <v>4.0</v>
      </c>
      <c r="J4397" s="39" t="s">
        <v>2076</v>
      </c>
      <c r="K4397" s="41"/>
      <c r="L4397" s="31" t="str">
        <f>IFERROR(__xludf.DUMMYFUNCTION("IF(OR(E4397="""",K4397=""""),"""",IFERROR(IF(K4397="""","""",query('tbl user'!$A$2:$D10975,""SELECT A WHERE D = '""&amp;K4397&amp;""'"")),""USER TIDAK DIKETAHUI""))"),"")</f>
        <v/>
      </c>
    </row>
    <row r="4398">
      <c r="A4398" s="21" t="str">
        <f t="shared" si="1"/>
        <v/>
      </c>
      <c r="B4398" s="38"/>
      <c r="C4398" s="23" t="s">
        <v>1928</v>
      </c>
      <c r="D4398" s="23" t="s">
        <v>21</v>
      </c>
      <c r="E4398" s="24">
        <v>45463.0</v>
      </c>
      <c r="F4398" s="25">
        <v>0.23958333333333334</v>
      </c>
      <c r="G4398" s="25">
        <v>0.7041666666666667</v>
      </c>
      <c r="H4398" s="27">
        <f t="shared" si="2"/>
        <v>0.4645833333</v>
      </c>
      <c r="I4398" s="28">
        <v>4.0</v>
      </c>
      <c r="J4398" s="39" t="s">
        <v>2076</v>
      </c>
      <c r="K4398" s="41"/>
      <c r="L4398" s="31" t="str">
        <f>IFERROR(__xludf.DUMMYFUNCTION("IF(OR(E4398="""",K4398=""""),"""",IFERROR(IF(K4398="""","""",query('tbl user'!$A$2:$D10975,""SELECT A WHERE D = '""&amp;K4398&amp;""'"")),""USER TIDAK DIKETAHUI""))"),"")</f>
        <v/>
      </c>
    </row>
    <row r="4399">
      <c r="A4399" s="21" t="str">
        <f t="shared" si="1"/>
        <v/>
      </c>
      <c r="B4399" s="38"/>
      <c r="C4399" s="23" t="s">
        <v>1935</v>
      </c>
      <c r="D4399" s="23" t="s">
        <v>21</v>
      </c>
      <c r="E4399" s="24">
        <v>45463.0</v>
      </c>
      <c r="F4399" s="25">
        <v>0.25069444444444444</v>
      </c>
      <c r="G4399" s="25">
        <v>0.6541666666666667</v>
      </c>
      <c r="H4399" s="27">
        <f t="shared" si="2"/>
        <v>0.4034722222</v>
      </c>
      <c r="I4399" s="28">
        <v>4.0</v>
      </c>
      <c r="J4399" s="39" t="s">
        <v>2076</v>
      </c>
      <c r="K4399" s="41"/>
      <c r="L4399" s="31" t="str">
        <f>IFERROR(__xludf.DUMMYFUNCTION("IF(OR(E4399="""",K4399=""""),"""",IFERROR(IF(K4399="""","""",query('tbl user'!$A$2:$D10975,""SELECT A WHERE D = '""&amp;K4399&amp;""'"")),""USER TIDAK DIKETAHUI""))"),"")</f>
        <v/>
      </c>
    </row>
    <row r="4400">
      <c r="A4400" s="21" t="str">
        <f t="shared" si="1"/>
        <v/>
      </c>
      <c r="B4400" s="38"/>
      <c r="C4400" s="23" t="s">
        <v>1839</v>
      </c>
      <c r="D4400" s="23" t="s">
        <v>21</v>
      </c>
      <c r="E4400" s="24">
        <v>45463.0</v>
      </c>
      <c r="F4400" s="25">
        <v>0.26180555555555557</v>
      </c>
      <c r="G4400" s="25">
        <v>0.7423611111111111</v>
      </c>
      <c r="H4400" s="27">
        <f t="shared" si="2"/>
        <v>0.4805555556</v>
      </c>
      <c r="I4400" s="28">
        <v>5.0</v>
      </c>
      <c r="J4400" s="39" t="s">
        <v>55</v>
      </c>
      <c r="K4400" s="41"/>
      <c r="L4400" s="31" t="str">
        <f>IFERROR(__xludf.DUMMYFUNCTION("IF(OR(E4400="""",K4400=""""),"""",IFERROR(IF(K4400="""","""",query('tbl user'!$A$2:$D10975,""SELECT A WHERE D = '""&amp;K4400&amp;""'"")),""USER TIDAK DIKETAHUI""))"),"")</f>
        <v/>
      </c>
    </row>
    <row r="4401">
      <c r="A4401" s="21" t="str">
        <f t="shared" si="1"/>
        <v/>
      </c>
      <c r="B4401" s="38"/>
      <c r="C4401" s="23" t="s">
        <v>2002</v>
      </c>
      <c r="D4401" s="23" t="s">
        <v>21</v>
      </c>
      <c r="E4401" s="24">
        <v>45463.0</v>
      </c>
      <c r="F4401" s="25">
        <v>0.27291666666666664</v>
      </c>
      <c r="G4401" s="25">
        <v>0.7423611111111111</v>
      </c>
      <c r="H4401" s="27">
        <f t="shared" si="2"/>
        <v>0.4694444444</v>
      </c>
      <c r="I4401" s="28">
        <v>5.0</v>
      </c>
      <c r="J4401" s="39" t="s">
        <v>55</v>
      </c>
      <c r="K4401" s="41"/>
      <c r="L4401" s="31" t="str">
        <f>IFERROR(__xludf.DUMMYFUNCTION("IF(OR(E4401="""",K4401=""""),"""",IFERROR(IF(K4401="""","""",query('tbl user'!$A$2:$D10975,""SELECT A WHERE D = '""&amp;K4401&amp;""'"")),""USER TIDAK DIKETAHUI""))"),"")</f>
        <v/>
      </c>
    </row>
    <row r="4402">
      <c r="A4402" s="21" t="str">
        <f t="shared" si="1"/>
        <v/>
      </c>
      <c r="B4402" s="38"/>
      <c r="C4402" s="23" t="s">
        <v>1922</v>
      </c>
      <c r="D4402" s="23" t="s">
        <v>21</v>
      </c>
      <c r="E4402" s="24">
        <v>45463.0</v>
      </c>
      <c r="F4402" s="25">
        <v>0.2881944444444444</v>
      </c>
      <c r="G4402" s="25">
        <v>0.7409722222222223</v>
      </c>
      <c r="H4402" s="27">
        <f t="shared" si="2"/>
        <v>0.4527777778</v>
      </c>
      <c r="I4402" s="28">
        <v>5.0</v>
      </c>
      <c r="J4402" s="39" t="s">
        <v>55</v>
      </c>
      <c r="K4402" s="41"/>
      <c r="L4402" s="31" t="str">
        <f>IFERROR(__xludf.DUMMYFUNCTION("IF(OR(E4402="""",K4402=""""),"""",IFERROR(IF(K4402="""","""",query('tbl user'!$A$2:$D10975,""SELECT A WHERE D = '""&amp;K4402&amp;""'"")),""USER TIDAK DIKETAHUI""))"),"")</f>
        <v/>
      </c>
    </row>
    <row r="4403">
      <c r="A4403" s="21" t="str">
        <f t="shared" si="1"/>
        <v/>
      </c>
      <c r="B4403" s="38"/>
      <c r="C4403" s="23" t="s">
        <v>2049</v>
      </c>
      <c r="D4403" s="23" t="s">
        <v>21</v>
      </c>
      <c r="E4403" s="24">
        <v>45463.0</v>
      </c>
      <c r="F4403" s="25">
        <v>0.27152777777777776</v>
      </c>
      <c r="G4403" s="25">
        <v>0.7298611111111111</v>
      </c>
      <c r="H4403" s="27">
        <f t="shared" si="2"/>
        <v>0.4583333333</v>
      </c>
      <c r="I4403" s="28">
        <v>5.0</v>
      </c>
      <c r="J4403" s="39" t="s">
        <v>55</v>
      </c>
      <c r="K4403" s="41"/>
      <c r="L4403" s="31" t="str">
        <f>IFERROR(__xludf.DUMMYFUNCTION("IF(OR(E4403="""",K4403=""""),"""",IFERROR(IF(K4403="""","""",query('tbl user'!$A$2:$D10975,""SELECT A WHERE D = '""&amp;K4403&amp;""'"")),""USER TIDAK DIKETAHUI""))"),"")</f>
        <v/>
      </c>
    </row>
    <row r="4404">
      <c r="A4404" s="21" t="str">
        <f t="shared" si="1"/>
        <v/>
      </c>
      <c r="B4404" s="38"/>
      <c r="C4404" s="23" t="s">
        <v>1847</v>
      </c>
      <c r="D4404" s="23" t="s">
        <v>21</v>
      </c>
      <c r="E4404" s="24">
        <v>45463.0</v>
      </c>
      <c r="F4404" s="25">
        <v>0.2423611111111111</v>
      </c>
      <c r="G4404" s="25">
        <v>0.7638888888888888</v>
      </c>
      <c r="H4404" s="27">
        <f t="shared" si="2"/>
        <v>0.5215277778</v>
      </c>
      <c r="I4404" s="28">
        <v>5.0</v>
      </c>
      <c r="J4404" s="39" t="s">
        <v>55</v>
      </c>
      <c r="K4404" s="41"/>
      <c r="L4404" s="31" t="str">
        <f>IFERROR(__xludf.DUMMYFUNCTION("IF(OR(E4404="""",K4404=""""),"""",IFERROR(IF(K4404="""","""",query('tbl user'!$A$2:$D10975,""SELECT A WHERE D = '""&amp;K4404&amp;""'"")),""USER TIDAK DIKETAHUI""))"),"")</f>
        <v/>
      </c>
    </row>
    <row r="4405">
      <c r="A4405" s="21" t="str">
        <f t="shared" si="1"/>
        <v/>
      </c>
      <c r="B4405" s="38"/>
      <c r="C4405" s="23" t="s">
        <v>1829</v>
      </c>
      <c r="D4405" s="23" t="s">
        <v>21</v>
      </c>
      <c r="E4405" s="24">
        <v>45463.0</v>
      </c>
      <c r="F4405" s="25">
        <v>0.29097222222222224</v>
      </c>
      <c r="G4405" s="25">
        <v>0.5604166666666667</v>
      </c>
      <c r="H4405" s="27">
        <f t="shared" si="2"/>
        <v>0.2694444444</v>
      </c>
      <c r="I4405" s="28">
        <v>2.0</v>
      </c>
      <c r="J4405" s="39" t="s">
        <v>2079</v>
      </c>
      <c r="K4405" s="41"/>
      <c r="L4405" s="31" t="str">
        <f>IFERROR(__xludf.DUMMYFUNCTION("IF(OR(E4405="""",K4405=""""),"""",IFERROR(IF(K4405="""","""",query('tbl user'!$A$2:$D10975,""SELECT A WHERE D = '""&amp;K4405&amp;""'"")),""USER TIDAK DIKETAHUI""))"),"")</f>
        <v/>
      </c>
    </row>
    <row r="4406">
      <c r="A4406" s="21" t="str">
        <f t="shared" si="1"/>
        <v/>
      </c>
      <c r="B4406" s="38"/>
      <c r="C4406" s="23" t="s">
        <v>1852</v>
      </c>
      <c r="D4406" s="23" t="s">
        <v>21</v>
      </c>
      <c r="E4406" s="24">
        <v>45463.0</v>
      </c>
      <c r="F4406" s="25">
        <v>0.28958333333333336</v>
      </c>
      <c r="G4406" s="25">
        <v>0.6708333333333333</v>
      </c>
      <c r="H4406" s="27">
        <f t="shared" si="2"/>
        <v>0.38125</v>
      </c>
      <c r="I4406" s="28">
        <v>3.0</v>
      </c>
      <c r="J4406" s="39" t="s">
        <v>2080</v>
      </c>
      <c r="K4406" s="41"/>
      <c r="L4406" s="31" t="str">
        <f>IFERROR(__xludf.DUMMYFUNCTION("IF(OR(E4406="""",K4406=""""),"""",IFERROR(IF(K4406="""","""",query('tbl user'!$A$2:$D10975,""SELECT A WHERE D = '""&amp;K4406&amp;""'"")),""USER TIDAK DIKETAHUI""))"),"")</f>
        <v/>
      </c>
    </row>
    <row r="4407">
      <c r="A4407" s="21" t="str">
        <f t="shared" si="1"/>
        <v/>
      </c>
      <c r="B4407" s="38"/>
      <c r="C4407" s="23" t="s">
        <v>1917</v>
      </c>
      <c r="D4407" s="23" t="s">
        <v>21</v>
      </c>
      <c r="E4407" s="24">
        <v>45463.0</v>
      </c>
      <c r="F4407" s="25">
        <v>0.2569444444444444</v>
      </c>
      <c r="G4407" s="25">
        <v>0.6680555555555555</v>
      </c>
      <c r="H4407" s="27">
        <f t="shared" si="2"/>
        <v>0.4111111111</v>
      </c>
      <c r="I4407" s="28">
        <v>3.0</v>
      </c>
      <c r="J4407" s="39" t="s">
        <v>2076</v>
      </c>
      <c r="K4407" s="41"/>
      <c r="L4407" s="31" t="str">
        <f>IFERROR(__xludf.DUMMYFUNCTION("IF(OR(E4407="""",K4407=""""),"""",IFERROR(IF(K4407="""","""",query('tbl user'!$A$2:$D10975,""SELECT A WHERE D = '""&amp;K4407&amp;""'"")),""USER TIDAK DIKETAHUI""))"),"")</f>
        <v/>
      </c>
    </row>
    <row r="4408">
      <c r="A4408" s="21" t="str">
        <f t="shared" si="1"/>
        <v/>
      </c>
      <c r="B4408" s="38"/>
      <c r="C4408" s="23" t="s">
        <v>1841</v>
      </c>
      <c r="D4408" s="23" t="s">
        <v>21</v>
      </c>
      <c r="E4408" s="24">
        <v>45463.0</v>
      </c>
      <c r="F4408" s="25">
        <v>0.275</v>
      </c>
      <c r="G4408" s="25">
        <v>0.6701388888888888</v>
      </c>
      <c r="H4408" s="27">
        <f t="shared" si="2"/>
        <v>0.3951388889</v>
      </c>
      <c r="I4408" s="28">
        <v>3.0</v>
      </c>
      <c r="J4408" s="39" t="s">
        <v>2076</v>
      </c>
      <c r="K4408" s="41"/>
      <c r="L4408" s="31" t="str">
        <f>IFERROR(__xludf.DUMMYFUNCTION("IF(OR(E4408="""",K4408=""""),"""",IFERROR(IF(K4408="""","""",query('tbl user'!$A$2:$D10975,""SELECT A WHERE D = '""&amp;K4408&amp;""'"")),""USER TIDAK DIKETAHUI""))"),"")</f>
        <v/>
      </c>
    </row>
    <row r="4409">
      <c r="A4409" s="21" t="str">
        <f t="shared" si="1"/>
        <v/>
      </c>
      <c r="B4409" s="38"/>
      <c r="C4409" s="23" t="s">
        <v>1883</v>
      </c>
      <c r="D4409" s="23" t="s">
        <v>58</v>
      </c>
      <c r="E4409" s="24">
        <v>45463.0</v>
      </c>
      <c r="F4409" s="25">
        <v>0.2847222222222222</v>
      </c>
      <c r="G4409" s="25">
        <v>0.5625</v>
      </c>
      <c r="H4409" s="27">
        <f t="shared" si="2"/>
        <v>0.2777777778</v>
      </c>
      <c r="I4409" s="28">
        <v>1.0</v>
      </c>
      <c r="J4409" s="39" t="s">
        <v>2081</v>
      </c>
      <c r="K4409" s="41"/>
      <c r="L4409" s="31" t="str">
        <f>IFERROR(__xludf.DUMMYFUNCTION("IF(OR(E4409="""",K4409=""""),"""",IFERROR(IF(K4409="""","""",query('tbl user'!$A$2:$D10975,""SELECT A WHERE D = '""&amp;K4409&amp;""'"")),""USER TIDAK DIKETAHUI""))"),"")</f>
        <v/>
      </c>
    </row>
    <row r="4410">
      <c r="A4410" s="21" t="str">
        <f t="shared" si="1"/>
        <v/>
      </c>
      <c r="B4410" s="38"/>
      <c r="C4410" s="23" t="s">
        <v>1890</v>
      </c>
      <c r="D4410" s="23" t="s">
        <v>58</v>
      </c>
      <c r="E4410" s="24">
        <v>45463.0</v>
      </c>
      <c r="F4410" s="25">
        <v>0.28958333333333336</v>
      </c>
      <c r="G4410" s="25">
        <v>0.41458333333333336</v>
      </c>
      <c r="H4410" s="27">
        <f t="shared" si="2"/>
        <v>0.125</v>
      </c>
      <c r="I4410" s="28">
        <v>1.0</v>
      </c>
      <c r="J4410" s="39" t="s">
        <v>2082</v>
      </c>
      <c r="K4410" s="41"/>
      <c r="L4410" s="31" t="str">
        <f>IFERROR(__xludf.DUMMYFUNCTION("IF(OR(E4410="""",K4410=""""),"""",IFERROR(IF(K4410="""","""",query('tbl user'!$A$2:$D10975,""SELECT A WHERE D = '""&amp;K4410&amp;""'"")),""USER TIDAK DIKETAHUI""))"),"")</f>
        <v/>
      </c>
    </row>
    <row r="4411">
      <c r="A4411" s="21" t="str">
        <f t="shared" si="1"/>
        <v/>
      </c>
      <c r="B4411" s="38"/>
      <c r="C4411" s="23" t="s">
        <v>1875</v>
      </c>
      <c r="D4411" s="23" t="s">
        <v>58</v>
      </c>
      <c r="E4411" s="24">
        <v>45463.0</v>
      </c>
      <c r="F4411" s="25">
        <v>0.22916666666666666</v>
      </c>
      <c r="G4411" s="28" t="s">
        <v>2083</v>
      </c>
      <c r="H4411" s="27" t="str">
        <f t="shared" si="2"/>
        <v/>
      </c>
      <c r="I4411" s="28">
        <v>2.0</v>
      </c>
      <c r="J4411" s="39" t="s">
        <v>2084</v>
      </c>
      <c r="K4411" s="41"/>
      <c r="L4411" s="31" t="str">
        <f>IFERROR(__xludf.DUMMYFUNCTION("IF(OR(E4411="""",K4411=""""),"""",IFERROR(IF(K4411="""","""",query('tbl user'!$A$2:$D10975,""SELECT A WHERE D = '""&amp;K4411&amp;""'"")),""USER TIDAK DIKETAHUI""))"),"")</f>
        <v/>
      </c>
    </row>
    <row r="4412">
      <c r="A4412" s="21" t="str">
        <f t="shared" si="1"/>
        <v/>
      </c>
      <c r="B4412" s="38"/>
      <c r="C4412" s="23" t="s">
        <v>1948</v>
      </c>
      <c r="D4412" s="23" t="s">
        <v>58</v>
      </c>
      <c r="E4412" s="24">
        <v>45463.0</v>
      </c>
      <c r="F4412" s="25">
        <v>0.3347222222222222</v>
      </c>
      <c r="G4412" s="25">
        <v>0.6111111111111112</v>
      </c>
      <c r="H4412" s="27">
        <f t="shared" si="2"/>
        <v>0.2763888889</v>
      </c>
      <c r="I4412" s="28">
        <v>2.0</v>
      </c>
      <c r="J4412" s="39" t="s">
        <v>2052</v>
      </c>
      <c r="K4412" s="41"/>
      <c r="L4412" s="31" t="str">
        <f>IFERROR(__xludf.DUMMYFUNCTION("IF(OR(E4412="""",K4412=""""),"""",IFERROR(IF(K4412="""","""",query('tbl user'!$A$2:$D10975,""SELECT A WHERE D = '""&amp;K4412&amp;""'"")),""USER TIDAK DIKETAHUI""))"),"")</f>
        <v/>
      </c>
    </row>
    <row r="4413">
      <c r="A4413" s="21" t="str">
        <f t="shared" si="1"/>
        <v/>
      </c>
      <c r="B4413" s="38"/>
      <c r="C4413" s="23" t="s">
        <v>1878</v>
      </c>
      <c r="D4413" s="23" t="s">
        <v>58</v>
      </c>
      <c r="E4413" s="24">
        <v>45463.0</v>
      </c>
      <c r="F4413" s="25">
        <v>0.2222222222222222</v>
      </c>
      <c r="G4413" s="25">
        <v>0.475</v>
      </c>
      <c r="H4413" s="27">
        <f t="shared" si="2"/>
        <v>0.2527777778</v>
      </c>
      <c r="I4413" s="28">
        <v>2.0</v>
      </c>
      <c r="J4413" s="39" t="s">
        <v>2085</v>
      </c>
      <c r="K4413" s="41"/>
      <c r="L4413" s="31" t="str">
        <f>IFERROR(__xludf.DUMMYFUNCTION("IF(OR(E4413="""",K4413=""""),"""",IFERROR(IF(K4413="""","""",query('tbl user'!$A$2:$D10975,""SELECT A WHERE D = '""&amp;K4413&amp;""'"")),""USER TIDAK DIKETAHUI""))"),"")</f>
        <v/>
      </c>
    </row>
    <row r="4414">
      <c r="A4414" s="21" t="str">
        <f t="shared" si="1"/>
        <v/>
      </c>
      <c r="B4414" s="38"/>
      <c r="C4414" s="23" t="s">
        <v>1869</v>
      </c>
      <c r="D4414" s="23" t="s">
        <v>58</v>
      </c>
      <c r="E4414" s="24">
        <v>45463.0</v>
      </c>
      <c r="F4414" s="25">
        <v>0.28125</v>
      </c>
      <c r="G4414" s="25">
        <v>0.55625</v>
      </c>
      <c r="H4414" s="27">
        <f t="shared" si="2"/>
        <v>0.275</v>
      </c>
      <c r="I4414" s="28">
        <v>2.0</v>
      </c>
      <c r="J4414" s="39" t="s">
        <v>2086</v>
      </c>
      <c r="K4414" s="41"/>
      <c r="L4414" s="31" t="str">
        <f>IFERROR(__xludf.DUMMYFUNCTION("IF(OR(E4414="""",K4414=""""),"""",IFERROR(IF(K4414="""","""",query('tbl user'!$A$2:$D10975,""SELECT A WHERE D = '""&amp;K4414&amp;""'"")),""USER TIDAK DIKETAHUI""))"),"")</f>
        <v/>
      </c>
    </row>
    <row r="4415">
      <c r="A4415" s="21" t="str">
        <f t="shared" si="1"/>
        <v/>
      </c>
      <c r="B4415" s="38"/>
      <c r="C4415" s="23" t="s">
        <v>1893</v>
      </c>
      <c r="D4415" s="23" t="s">
        <v>58</v>
      </c>
      <c r="E4415" s="24">
        <v>45463.0</v>
      </c>
      <c r="F4415" s="25">
        <v>0.20625</v>
      </c>
      <c r="G4415" s="25">
        <v>0.29444444444444445</v>
      </c>
      <c r="H4415" s="27">
        <f t="shared" si="2"/>
        <v>0.08819444444</v>
      </c>
      <c r="I4415" s="28">
        <v>2.0</v>
      </c>
      <c r="J4415" s="39" t="s">
        <v>2087</v>
      </c>
      <c r="K4415" s="41"/>
      <c r="L4415" s="31" t="str">
        <f>IFERROR(__xludf.DUMMYFUNCTION("IF(OR(E4415="""",K4415=""""),"""",IFERROR(IF(K4415="""","""",query('tbl user'!$A$2:$D10975,""SELECT A WHERE D = '""&amp;K4415&amp;""'"")),""USER TIDAK DIKETAHUI""))"),"")</f>
        <v/>
      </c>
    </row>
    <row r="4416">
      <c r="A4416" s="21" t="str">
        <f t="shared" si="1"/>
        <v/>
      </c>
      <c r="B4416" s="38"/>
      <c r="C4416" s="23" t="s">
        <v>1874</v>
      </c>
      <c r="D4416" s="23" t="s">
        <v>58</v>
      </c>
      <c r="E4416" s="24">
        <v>45463.0</v>
      </c>
      <c r="F4416" s="25">
        <v>0.2604166666666667</v>
      </c>
      <c r="G4416" s="25">
        <v>0.6923611111111111</v>
      </c>
      <c r="H4416" s="27">
        <f t="shared" si="2"/>
        <v>0.4319444444</v>
      </c>
      <c r="I4416" s="28">
        <v>3.0</v>
      </c>
      <c r="J4416" s="39" t="s">
        <v>2076</v>
      </c>
      <c r="K4416" s="41"/>
      <c r="L4416" s="31" t="str">
        <f>IFERROR(__xludf.DUMMYFUNCTION("IF(OR(E4416="""",K4416=""""),"""",IFERROR(IF(K4416="""","""",query('tbl user'!$A$2:$D10975,""SELECT A WHERE D = '""&amp;K4416&amp;""'"")),""USER TIDAK DIKETAHUI""))"),"")</f>
        <v/>
      </c>
    </row>
    <row r="4417">
      <c r="A4417" s="21" t="str">
        <f t="shared" si="1"/>
        <v/>
      </c>
      <c r="B4417" s="38"/>
      <c r="C4417" s="23" t="s">
        <v>1865</v>
      </c>
      <c r="D4417" s="23" t="s">
        <v>58</v>
      </c>
      <c r="E4417" s="24">
        <v>45463.0</v>
      </c>
      <c r="F4417" s="25">
        <v>0.2833333333333333</v>
      </c>
      <c r="G4417" s="25">
        <v>0.6868055555555556</v>
      </c>
      <c r="H4417" s="27">
        <f t="shared" si="2"/>
        <v>0.4034722222</v>
      </c>
      <c r="I4417" s="28">
        <v>3.0</v>
      </c>
      <c r="J4417" s="39" t="s">
        <v>2076</v>
      </c>
      <c r="K4417" s="41"/>
      <c r="L4417" s="31" t="str">
        <f>IFERROR(__xludf.DUMMYFUNCTION("IF(OR(E4417="""",K4417=""""),"""",IFERROR(IF(K4417="""","""",query('tbl user'!$A$2:$D10975,""SELECT A WHERE D = '""&amp;K4417&amp;""'"")),""USER TIDAK DIKETAHUI""))"),"")</f>
        <v/>
      </c>
    </row>
    <row r="4418">
      <c r="A4418" s="21" t="str">
        <f t="shared" si="1"/>
        <v/>
      </c>
      <c r="B4418" s="38"/>
      <c r="C4418" s="23" t="s">
        <v>1877</v>
      </c>
      <c r="D4418" s="23" t="s">
        <v>58</v>
      </c>
      <c r="E4418" s="24">
        <v>45463.0</v>
      </c>
      <c r="F4418" s="25">
        <v>0.27847222222222223</v>
      </c>
      <c r="G4418" s="25">
        <v>0.6875</v>
      </c>
      <c r="H4418" s="27">
        <f t="shared" si="2"/>
        <v>0.4090277778</v>
      </c>
      <c r="I4418" s="28">
        <v>3.0</v>
      </c>
      <c r="J4418" s="39" t="s">
        <v>2076</v>
      </c>
      <c r="K4418" s="41"/>
      <c r="L4418" s="31" t="str">
        <f>IFERROR(__xludf.DUMMYFUNCTION("IF(OR(E4418="""",K4418=""""),"""",IFERROR(IF(K4418="""","""",query('tbl user'!$A$2:$D10975,""SELECT A WHERE D = '""&amp;K4418&amp;""'"")),""USER TIDAK DIKETAHUI""))"),"")</f>
        <v/>
      </c>
    </row>
    <row r="4419">
      <c r="A4419" s="21" t="str">
        <f t="shared" si="1"/>
        <v/>
      </c>
      <c r="B4419" s="38"/>
      <c r="C4419" s="23" t="s">
        <v>1867</v>
      </c>
      <c r="D4419" s="23" t="s">
        <v>58</v>
      </c>
      <c r="E4419" s="24">
        <v>45463.0</v>
      </c>
      <c r="F4419" s="25">
        <v>0.2833333333333333</v>
      </c>
      <c r="G4419" s="25">
        <v>0.6805555555555556</v>
      </c>
      <c r="H4419" s="27">
        <f t="shared" si="2"/>
        <v>0.3972222222</v>
      </c>
      <c r="I4419" s="28">
        <v>3.0</v>
      </c>
      <c r="J4419" s="39" t="s">
        <v>2076</v>
      </c>
      <c r="K4419" s="41"/>
      <c r="L4419" s="31" t="str">
        <f>IFERROR(__xludf.DUMMYFUNCTION("IF(OR(E4419="""",K4419=""""),"""",IFERROR(IF(K4419="""","""",query('tbl user'!$A$2:$D10975,""SELECT A WHERE D = '""&amp;K4419&amp;""'"")),""USER TIDAK DIKETAHUI""))"),"")</f>
        <v/>
      </c>
    </row>
    <row r="4420">
      <c r="A4420" s="21" t="str">
        <f t="shared" si="1"/>
        <v/>
      </c>
      <c r="B4420" s="38"/>
      <c r="C4420" s="23" t="s">
        <v>1881</v>
      </c>
      <c r="D4420" s="23" t="s">
        <v>58</v>
      </c>
      <c r="E4420" s="24">
        <v>45463.0</v>
      </c>
      <c r="F4420" s="25">
        <v>0.27708333333333335</v>
      </c>
      <c r="G4420" s="25">
        <v>0.6534722222222222</v>
      </c>
      <c r="H4420" s="27">
        <f t="shared" si="2"/>
        <v>0.3763888889</v>
      </c>
      <c r="I4420" s="28">
        <v>3.0</v>
      </c>
      <c r="J4420" s="39" t="s">
        <v>2076</v>
      </c>
      <c r="K4420" s="41"/>
      <c r="L4420" s="31" t="str">
        <f>IFERROR(__xludf.DUMMYFUNCTION("IF(OR(E4420="""",K4420=""""),"""",IFERROR(IF(K4420="""","""",query('tbl user'!$A$2:$D10975,""SELECT A WHERE D = '""&amp;K4420&amp;""'"")),""USER TIDAK DIKETAHUI""))"),"")</f>
        <v/>
      </c>
    </row>
    <row r="4421">
      <c r="A4421" s="21" t="str">
        <f t="shared" si="1"/>
        <v/>
      </c>
      <c r="B4421" s="38"/>
      <c r="C4421" s="23" t="s">
        <v>1860</v>
      </c>
      <c r="D4421" s="23" t="s">
        <v>58</v>
      </c>
      <c r="E4421" s="24">
        <v>45463.0</v>
      </c>
      <c r="F4421" s="25">
        <v>0.2798611111111111</v>
      </c>
      <c r="G4421" s="25">
        <v>0.6555555555555556</v>
      </c>
      <c r="H4421" s="27">
        <f t="shared" si="2"/>
        <v>0.3756944444</v>
      </c>
      <c r="I4421" s="28">
        <v>3.0</v>
      </c>
      <c r="J4421" s="39" t="s">
        <v>2076</v>
      </c>
      <c r="K4421" s="41"/>
      <c r="L4421" s="31" t="str">
        <f>IFERROR(__xludf.DUMMYFUNCTION("IF(OR(E4421="""",K4421=""""),"""",IFERROR(IF(K4421="""","""",query('tbl user'!$A$2:$D10975,""SELECT A WHERE D = '""&amp;K4421&amp;""'"")),""USER TIDAK DIKETAHUI""))"),"")</f>
        <v/>
      </c>
    </row>
    <row r="4422">
      <c r="A4422" s="21" t="str">
        <f t="shared" si="1"/>
        <v/>
      </c>
      <c r="B4422" s="38"/>
      <c r="C4422" s="23" t="s">
        <v>1863</v>
      </c>
      <c r="D4422" s="23" t="s">
        <v>58</v>
      </c>
      <c r="E4422" s="24">
        <v>45463.0</v>
      </c>
      <c r="F4422" s="25">
        <v>0.2791666666666667</v>
      </c>
      <c r="G4422" s="25">
        <v>0.6256944444444444</v>
      </c>
      <c r="H4422" s="27">
        <f t="shared" si="2"/>
        <v>0.3465277778</v>
      </c>
      <c r="I4422" s="28">
        <v>3.0</v>
      </c>
      <c r="J4422" s="39" t="s">
        <v>2076</v>
      </c>
      <c r="K4422" s="41"/>
      <c r="L4422" s="31" t="str">
        <f>IFERROR(__xludf.DUMMYFUNCTION("IF(OR(E4422="""",K4422=""""),"""",IFERROR(IF(K4422="""","""",query('tbl user'!$A$2:$D10975,""SELECT A WHERE D = '""&amp;K4422&amp;""'"")),""USER TIDAK DIKETAHUI""))"),"")</f>
        <v/>
      </c>
    </row>
    <row r="4423">
      <c r="A4423" s="21" t="str">
        <f t="shared" si="1"/>
        <v/>
      </c>
      <c r="B4423" s="38"/>
      <c r="C4423" s="23" t="s">
        <v>1892</v>
      </c>
      <c r="D4423" s="23" t="s">
        <v>58</v>
      </c>
      <c r="E4423" s="24">
        <v>45463.0</v>
      </c>
      <c r="F4423" s="25">
        <v>0.20416666666666666</v>
      </c>
      <c r="G4423" s="25">
        <v>0.5694444444444444</v>
      </c>
      <c r="H4423" s="27">
        <f t="shared" si="2"/>
        <v>0.3652777778</v>
      </c>
      <c r="I4423" s="28">
        <v>3.0</v>
      </c>
      <c r="J4423" s="39" t="s">
        <v>2088</v>
      </c>
      <c r="K4423" s="41"/>
      <c r="L4423" s="31" t="str">
        <f>IFERROR(__xludf.DUMMYFUNCTION("IF(OR(E4423="""",K4423=""""),"""",IFERROR(IF(K4423="""","""",query('tbl user'!$A$2:$D10975,""SELECT A WHERE D = '""&amp;K4423&amp;""'"")),""USER TIDAK DIKETAHUI""))"),"")</f>
        <v/>
      </c>
    </row>
    <row r="4424">
      <c r="A4424" s="21" t="str">
        <f t="shared" si="1"/>
        <v/>
      </c>
      <c r="B4424" s="38"/>
      <c r="C4424" s="23" t="s">
        <v>1871</v>
      </c>
      <c r="D4424" s="23" t="s">
        <v>58</v>
      </c>
      <c r="E4424" s="24">
        <v>45463.0</v>
      </c>
      <c r="F4424" s="25">
        <v>0.2423611111111111</v>
      </c>
      <c r="G4424" s="25">
        <v>0.6625</v>
      </c>
      <c r="H4424" s="27">
        <f t="shared" si="2"/>
        <v>0.4201388889</v>
      </c>
      <c r="I4424" s="28">
        <v>3.0</v>
      </c>
      <c r="J4424" s="39" t="s">
        <v>2076</v>
      </c>
      <c r="K4424" s="41"/>
      <c r="L4424" s="31" t="str">
        <f>IFERROR(__xludf.DUMMYFUNCTION("IF(OR(E4424="""",K4424=""""),"""",IFERROR(IF(K4424="""","""",query('tbl user'!$A$2:$D10975,""SELECT A WHERE D = '""&amp;K4424&amp;""'"")),""USER TIDAK DIKETAHUI""))"),"")</f>
        <v/>
      </c>
    </row>
    <row r="4425">
      <c r="A4425" s="21" t="str">
        <f t="shared" si="1"/>
        <v/>
      </c>
      <c r="B4425" s="38"/>
      <c r="C4425" s="23" t="s">
        <v>1872</v>
      </c>
      <c r="D4425" s="23" t="s">
        <v>58</v>
      </c>
      <c r="E4425" s="24">
        <v>45463.0</v>
      </c>
      <c r="F4425" s="25">
        <v>0.2520833333333333</v>
      </c>
      <c r="G4425" s="25">
        <v>0.6409722222222223</v>
      </c>
      <c r="H4425" s="27">
        <f t="shared" si="2"/>
        <v>0.3888888889</v>
      </c>
      <c r="I4425" s="28">
        <v>3.0</v>
      </c>
      <c r="J4425" s="39" t="s">
        <v>2089</v>
      </c>
      <c r="K4425" s="41"/>
      <c r="L4425" s="31" t="str">
        <f>IFERROR(__xludf.DUMMYFUNCTION("IF(OR(E4425="""",K4425=""""),"""",IFERROR(IF(K4425="""","""",query('tbl user'!$A$2:$D10975,""SELECT A WHERE D = '""&amp;K4425&amp;""'"")),""USER TIDAK DIKETAHUI""))"),"")</f>
        <v/>
      </c>
    </row>
    <row r="4426">
      <c r="A4426" s="21" t="str">
        <f t="shared" si="1"/>
        <v/>
      </c>
      <c r="B4426" s="38"/>
      <c r="C4426" s="23" t="s">
        <v>2090</v>
      </c>
      <c r="D4426" s="23" t="s">
        <v>58</v>
      </c>
      <c r="E4426" s="24">
        <v>45463.0</v>
      </c>
      <c r="F4426" s="25">
        <v>0.27708333333333335</v>
      </c>
      <c r="G4426" s="25">
        <v>0.6354166666666666</v>
      </c>
      <c r="H4426" s="27">
        <f t="shared" si="2"/>
        <v>0.3583333333</v>
      </c>
      <c r="I4426" s="28">
        <v>3.0</v>
      </c>
      <c r="J4426" s="39" t="s">
        <v>2091</v>
      </c>
      <c r="K4426" s="41"/>
      <c r="L4426" s="31" t="str">
        <f>IFERROR(__xludf.DUMMYFUNCTION("IF(OR(E4426="""",K4426=""""),"""",IFERROR(IF(K4426="""","""",query('tbl user'!$A$2:$D10975,""SELECT A WHERE D = '""&amp;K4426&amp;""'"")),""USER TIDAK DIKETAHUI""))"),"")</f>
        <v/>
      </c>
    </row>
    <row r="4427">
      <c r="A4427" s="21" t="str">
        <f t="shared" si="1"/>
        <v/>
      </c>
      <c r="B4427" s="38"/>
      <c r="C4427" s="23" t="s">
        <v>1861</v>
      </c>
      <c r="D4427" s="23" t="s">
        <v>58</v>
      </c>
      <c r="E4427" s="24">
        <v>45463.0</v>
      </c>
      <c r="F4427" s="25">
        <v>0.26875</v>
      </c>
      <c r="G4427" s="25">
        <v>0.65</v>
      </c>
      <c r="H4427" s="27">
        <f t="shared" si="2"/>
        <v>0.38125</v>
      </c>
      <c r="I4427" s="28">
        <v>3.0</v>
      </c>
      <c r="J4427" s="39" t="s">
        <v>1279</v>
      </c>
      <c r="K4427" s="41"/>
      <c r="L4427" s="31" t="str">
        <f>IFERROR(__xludf.DUMMYFUNCTION("IF(OR(E4427="""",K4427=""""),"""",IFERROR(IF(K4427="""","""",query('tbl user'!$A$2:$D10975,""SELECT A WHERE D = '""&amp;K4427&amp;""'"")),""USER TIDAK DIKETAHUI""))"),"")</f>
        <v/>
      </c>
    </row>
    <row r="4428">
      <c r="A4428" s="21" t="str">
        <f t="shared" si="1"/>
        <v/>
      </c>
      <c r="B4428" s="38"/>
      <c r="C4428" s="23" t="s">
        <v>1941</v>
      </c>
      <c r="D4428" s="23" t="s">
        <v>58</v>
      </c>
      <c r="E4428" s="24">
        <v>45463.0</v>
      </c>
      <c r="F4428" s="25">
        <v>0.2569444444444444</v>
      </c>
      <c r="G4428" s="25">
        <v>0.7263888888888889</v>
      </c>
      <c r="H4428" s="27">
        <f t="shared" si="2"/>
        <v>0.4694444444</v>
      </c>
      <c r="I4428" s="28">
        <v>4.0</v>
      </c>
      <c r="J4428" s="39" t="s">
        <v>55</v>
      </c>
      <c r="K4428" s="41"/>
      <c r="L4428" s="31" t="str">
        <f>IFERROR(__xludf.DUMMYFUNCTION("IF(OR(E4428="""",K4428=""""),"""",IFERROR(IF(K4428="""","""",query('tbl user'!$A$2:$D10975,""SELECT A WHERE D = '""&amp;K4428&amp;""'"")),""USER TIDAK DIKETAHUI""))"),"")</f>
        <v/>
      </c>
    </row>
    <row r="4429">
      <c r="A4429" s="21" t="str">
        <f t="shared" si="1"/>
        <v/>
      </c>
      <c r="B4429" s="38"/>
      <c r="C4429" s="23" t="s">
        <v>1879</v>
      </c>
      <c r="D4429" s="23" t="s">
        <v>58</v>
      </c>
      <c r="E4429" s="24">
        <v>45463.0</v>
      </c>
      <c r="F4429" s="25">
        <v>0.27361111111111114</v>
      </c>
      <c r="G4429" s="25">
        <v>0.7201388888888889</v>
      </c>
      <c r="H4429" s="27">
        <f t="shared" si="2"/>
        <v>0.4465277778</v>
      </c>
      <c r="I4429" s="28">
        <v>4.0</v>
      </c>
      <c r="J4429" s="39" t="s">
        <v>55</v>
      </c>
      <c r="K4429" s="41"/>
      <c r="L4429" s="31" t="str">
        <f>IFERROR(__xludf.DUMMYFUNCTION("IF(OR(E4429="""",K4429=""""),"""",IFERROR(IF(K4429="""","""",query('tbl user'!$A$2:$D10975,""SELECT A WHERE D = '""&amp;K4429&amp;""'"")),""USER TIDAK DIKETAHUI""))"),"")</f>
        <v/>
      </c>
    </row>
    <row r="4430">
      <c r="A4430" s="21" t="str">
        <f t="shared" si="1"/>
        <v/>
      </c>
      <c r="B4430" s="38"/>
      <c r="C4430" s="23" t="s">
        <v>1882</v>
      </c>
      <c r="D4430" s="23" t="s">
        <v>58</v>
      </c>
      <c r="E4430" s="24">
        <v>45463.0</v>
      </c>
      <c r="F4430" s="25">
        <v>0.27291666666666664</v>
      </c>
      <c r="G4430" s="25">
        <v>0.6506944444444445</v>
      </c>
      <c r="H4430" s="27">
        <f t="shared" si="2"/>
        <v>0.3777777778</v>
      </c>
      <c r="I4430" s="28">
        <v>4.0</v>
      </c>
      <c r="J4430" s="39" t="s">
        <v>55</v>
      </c>
      <c r="K4430" s="41"/>
      <c r="L4430" s="31" t="str">
        <f>IFERROR(__xludf.DUMMYFUNCTION("IF(OR(E4430="""",K4430=""""),"""",IFERROR(IF(K4430="""","""",query('tbl user'!$A$2:$D10975,""SELECT A WHERE D = '""&amp;K4430&amp;""'"")),""USER TIDAK DIKETAHUI""))"),"")</f>
        <v/>
      </c>
    </row>
    <row r="4431">
      <c r="A4431" s="21" t="str">
        <f t="shared" si="1"/>
        <v/>
      </c>
      <c r="B4431" s="38"/>
      <c r="C4431" s="23" t="s">
        <v>1884</v>
      </c>
      <c r="D4431" s="23" t="s">
        <v>58</v>
      </c>
      <c r="E4431" s="24">
        <v>45463.0</v>
      </c>
      <c r="F4431" s="25">
        <v>0.23194444444444445</v>
      </c>
      <c r="G4431" s="25">
        <v>0.7166666666666667</v>
      </c>
      <c r="H4431" s="27">
        <f t="shared" si="2"/>
        <v>0.4847222222</v>
      </c>
      <c r="I4431" s="28">
        <v>4.0</v>
      </c>
      <c r="J4431" s="39" t="s">
        <v>55</v>
      </c>
      <c r="K4431" s="41"/>
      <c r="L4431" s="31" t="str">
        <f>IFERROR(__xludf.DUMMYFUNCTION("IF(OR(E4431="""",K4431=""""),"""",IFERROR(IF(K4431="""","""",query('tbl user'!$A$2:$D10975,""SELECT A WHERE D = '""&amp;K4431&amp;""'"")),""USER TIDAK DIKETAHUI""))"),"")</f>
        <v/>
      </c>
    </row>
    <row r="4432">
      <c r="A4432" s="21" t="str">
        <f t="shared" si="1"/>
        <v/>
      </c>
      <c r="B4432" s="38"/>
      <c r="C4432" s="23" t="s">
        <v>1950</v>
      </c>
      <c r="D4432" s="23" t="s">
        <v>58</v>
      </c>
      <c r="E4432" s="24">
        <v>45463.0</v>
      </c>
      <c r="F4432" s="25">
        <v>0.23402777777777778</v>
      </c>
      <c r="G4432" s="25">
        <v>0.6833333333333333</v>
      </c>
      <c r="H4432" s="27">
        <f t="shared" si="2"/>
        <v>0.4493055556</v>
      </c>
      <c r="I4432" s="28">
        <v>4.0</v>
      </c>
      <c r="J4432" s="39" t="s">
        <v>55</v>
      </c>
      <c r="K4432" s="41"/>
      <c r="L4432" s="31" t="str">
        <f>IFERROR(__xludf.DUMMYFUNCTION("IF(OR(E4432="""",K4432=""""),"""",IFERROR(IF(K4432="""","""",query('tbl user'!$A$2:$D10975,""SELECT A WHERE D = '""&amp;K4432&amp;""'"")),""USER TIDAK DIKETAHUI""))"),"")</f>
        <v/>
      </c>
    </row>
    <row r="4433">
      <c r="A4433" s="21" t="str">
        <f t="shared" si="1"/>
        <v/>
      </c>
      <c r="B4433" s="38"/>
      <c r="C4433" s="23" t="s">
        <v>1886</v>
      </c>
      <c r="D4433" s="23" t="s">
        <v>58</v>
      </c>
      <c r="E4433" s="24">
        <v>45463.0</v>
      </c>
      <c r="F4433" s="25">
        <v>0.22916666666666666</v>
      </c>
      <c r="G4433" s="25">
        <v>0.7166666666666667</v>
      </c>
      <c r="H4433" s="27">
        <f t="shared" si="2"/>
        <v>0.4875</v>
      </c>
      <c r="I4433" s="28">
        <v>4.0</v>
      </c>
      <c r="J4433" s="39" t="s">
        <v>55</v>
      </c>
      <c r="K4433" s="41"/>
      <c r="L4433" s="31" t="str">
        <f>IFERROR(__xludf.DUMMYFUNCTION("IF(OR(E4433="""",K4433=""""),"""",IFERROR(IF(K4433="""","""",query('tbl user'!$A$2:$D10975,""SELECT A WHERE D = '""&amp;K4433&amp;""'"")),""USER TIDAK DIKETAHUI""))"),"")</f>
        <v/>
      </c>
    </row>
    <row r="4434">
      <c r="A4434" s="21" t="str">
        <f t="shared" si="1"/>
        <v/>
      </c>
      <c r="B4434" s="38"/>
      <c r="C4434" s="23" t="s">
        <v>1887</v>
      </c>
      <c r="D4434" s="23" t="s">
        <v>58</v>
      </c>
      <c r="E4434" s="24">
        <v>45463.0</v>
      </c>
      <c r="F4434" s="25">
        <v>0.2638888888888889</v>
      </c>
      <c r="G4434" s="25">
        <v>0.7173611111111111</v>
      </c>
      <c r="H4434" s="27">
        <f t="shared" si="2"/>
        <v>0.4534722222</v>
      </c>
      <c r="I4434" s="28">
        <v>4.0</v>
      </c>
      <c r="J4434" s="39" t="s">
        <v>55</v>
      </c>
      <c r="K4434" s="41"/>
      <c r="L4434" s="31" t="str">
        <f>IFERROR(__xludf.DUMMYFUNCTION("IF(OR(E4434="""",K4434=""""),"""",IFERROR(IF(K4434="""","""",query('tbl user'!$A$2:$D10975,""SELECT A WHERE D = '""&amp;K4434&amp;""'"")),""USER TIDAK DIKETAHUI""))"),"")</f>
        <v/>
      </c>
    </row>
    <row r="4435">
      <c r="A4435" s="21" t="str">
        <f t="shared" si="1"/>
        <v/>
      </c>
      <c r="B4435" s="38"/>
      <c r="C4435" s="23" t="s">
        <v>1888</v>
      </c>
      <c r="D4435" s="23" t="s">
        <v>58</v>
      </c>
      <c r="E4435" s="24">
        <v>45463.0</v>
      </c>
      <c r="F4435" s="25">
        <v>0.25069444444444444</v>
      </c>
      <c r="G4435" s="25">
        <v>0.6833333333333333</v>
      </c>
      <c r="H4435" s="27">
        <f t="shared" si="2"/>
        <v>0.4326388889</v>
      </c>
      <c r="I4435" s="28">
        <v>4.0</v>
      </c>
      <c r="J4435" s="39" t="s">
        <v>55</v>
      </c>
      <c r="K4435" s="41"/>
      <c r="L4435" s="31" t="str">
        <f>IFERROR(__xludf.DUMMYFUNCTION("IF(OR(E4435="""",K4435=""""),"""",IFERROR(IF(K4435="""","""",query('tbl user'!$A$2:$D10975,""SELECT A WHERE D = '""&amp;K4435&amp;""'"")),""USER TIDAK DIKETAHUI""))"),"")</f>
        <v/>
      </c>
    </row>
    <row r="4436">
      <c r="A4436" s="21" t="str">
        <f t="shared" si="1"/>
        <v/>
      </c>
      <c r="B4436" s="38"/>
      <c r="C4436" s="23" t="s">
        <v>1889</v>
      </c>
      <c r="D4436" s="23" t="s">
        <v>58</v>
      </c>
      <c r="E4436" s="24">
        <v>45463.0</v>
      </c>
      <c r="F4436" s="25">
        <v>0.22708333333333333</v>
      </c>
      <c r="G4436" s="25">
        <v>0.7013888888888888</v>
      </c>
      <c r="H4436" s="27">
        <f t="shared" si="2"/>
        <v>0.4743055556</v>
      </c>
      <c r="I4436" s="28">
        <v>4.0</v>
      </c>
      <c r="J4436" s="39" t="s">
        <v>55</v>
      </c>
      <c r="K4436" s="41"/>
      <c r="L4436" s="31" t="str">
        <f>IFERROR(__xludf.DUMMYFUNCTION("IF(OR(E4436="""",K4436=""""),"""",IFERROR(IF(K4436="""","""",query('tbl user'!$A$2:$D10975,""SELECT A WHERE D = '""&amp;K4436&amp;""'"")),""USER TIDAK DIKETAHUI""))"),"")</f>
        <v/>
      </c>
    </row>
    <row r="4437">
      <c r="A4437" s="21" t="str">
        <f t="shared" si="1"/>
        <v/>
      </c>
      <c r="B4437" s="38"/>
      <c r="C4437" s="23" t="s">
        <v>1891</v>
      </c>
      <c r="D4437" s="23" t="s">
        <v>58</v>
      </c>
      <c r="E4437" s="24">
        <v>45463.0</v>
      </c>
      <c r="F4437" s="25">
        <v>0.2111111111111111</v>
      </c>
      <c r="G4437" s="25">
        <v>0.6972222222222222</v>
      </c>
      <c r="H4437" s="27">
        <f t="shared" si="2"/>
        <v>0.4861111111</v>
      </c>
      <c r="I4437" s="28">
        <v>4.0</v>
      </c>
      <c r="J4437" s="39" t="s">
        <v>55</v>
      </c>
      <c r="K4437" s="41"/>
      <c r="L4437" s="31" t="str">
        <f>IFERROR(__xludf.DUMMYFUNCTION("IF(OR(E4437="""",K4437=""""),"""",IFERROR(IF(K4437="""","""",query('tbl user'!$A$2:$D10975,""SELECT A WHERE D = '""&amp;K4437&amp;""'"")),""USER TIDAK DIKETAHUI""))"),"")</f>
        <v/>
      </c>
    </row>
    <row r="4438">
      <c r="A4438" s="21" t="str">
        <f t="shared" si="1"/>
        <v/>
      </c>
      <c r="B4438" s="38"/>
      <c r="C4438" s="23" t="s">
        <v>1951</v>
      </c>
      <c r="D4438" s="23" t="s">
        <v>32</v>
      </c>
      <c r="E4438" s="24">
        <v>45463.0</v>
      </c>
      <c r="F4438" s="25">
        <v>0.28958333333333336</v>
      </c>
      <c r="G4438" s="25">
        <v>0.5555555555555556</v>
      </c>
      <c r="H4438" s="27">
        <f t="shared" si="2"/>
        <v>0.2659722222</v>
      </c>
      <c r="I4438" s="28">
        <v>2.0</v>
      </c>
      <c r="J4438" s="39" t="s">
        <v>940</v>
      </c>
      <c r="K4438" s="41"/>
      <c r="L4438" s="31" t="str">
        <f>IFERROR(__xludf.DUMMYFUNCTION("IF(OR(E4438="""",K4438=""""),"""",IFERROR(IF(K4438="""","""",query('tbl user'!$A$2:$D10975,""SELECT A WHERE D = '""&amp;K4438&amp;""'"")),""USER TIDAK DIKETAHUI""))"),"")</f>
        <v/>
      </c>
    </row>
    <row r="4439">
      <c r="A4439" s="21" t="str">
        <f t="shared" si="1"/>
        <v/>
      </c>
      <c r="B4439" s="38"/>
      <c r="C4439" s="23" t="s">
        <v>2092</v>
      </c>
      <c r="D4439" s="23" t="s">
        <v>32</v>
      </c>
      <c r="E4439" s="24">
        <v>45463.0</v>
      </c>
      <c r="F4439" s="25">
        <v>0.3784722222222222</v>
      </c>
      <c r="G4439" s="25">
        <v>0.6847222222222222</v>
      </c>
      <c r="H4439" s="27">
        <f t="shared" si="2"/>
        <v>0.30625</v>
      </c>
      <c r="I4439" s="28">
        <v>2.0</v>
      </c>
      <c r="J4439" s="39" t="s">
        <v>2093</v>
      </c>
      <c r="K4439" s="41"/>
      <c r="L4439" s="31" t="str">
        <f>IFERROR(__xludf.DUMMYFUNCTION("IF(OR(E4439="""",K4439=""""),"""",IFERROR(IF(K4439="""","""",query('tbl user'!$A$2:$D10975,""SELECT A WHERE D = '""&amp;K4439&amp;""'"")),""USER TIDAK DIKETAHUI""))"),"")</f>
        <v/>
      </c>
    </row>
    <row r="4440">
      <c r="A4440" s="21" t="str">
        <f t="shared" si="1"/>
        <v/>
      </c>
      <c r="B4440" s="38"/>
      <c r="C4440" s="23" t="s">
        <v>1967</v>
      </c>
      <c r="D4440" s="23" t="s">
        <v>32</v>
      </c>
      <c r="E4440" s="24">
        <v>45463.0</v>
      </c>
      <c r="F4440" s="25">
        <v>0.23333333333333334</v>
      </c>
      <c r="G4440" s="25">
        <v>0.4791666666666667</v>
      </c>
      <c r="H4440" s="27">
        <f t="shared" si="2"/>
        <v>0.2458333333</v>
      </c>
      <c r="I4440" s="28">
        <v>2.0</v>
      </c>
      <c r="J4440" s="39" t="s">
        <v>2094</v>
      </c>
      <c r="K4440" s="41"/>
      <c r="L4440" s="31" t="str">
        <f>IFERROR(__xludf.DUMMYFUNCTION("IF(OR(E4440="""",K4440=""""),"""",IFERROR(IF(K4440="""","""",query('tbl user'!$A$2:$D10975,""SELECT A WHERE D = '""&amp;K4440&amp;""'"")),""USER TIDAK DIKETAHUI""))"),"")</f>
        <v/>
      </c>
    </row>
    <row r="4441">
      <c r="A4441" s="21" t="str">
        <f t="shared" si="1"/>
        <v/>
      </c>
      <c r="B4441" s="38"/>
      <c r="C4441" s="23" t="s">
        <v>1901</v>
      </c>
      <c r="D4441" s="23" t="s">
        <v>32</v>
      </c>
      <c r="E4441" s="24">
        <v>45463.0</v>
      </c>
      <c r="F4441" s="25">
        <v>0.29097222222222224</v>
      </c>
      <c r="G4441" s="25">
        <v>0.6875</v>
      </c>
      <c r="H4441" s="27">
        <f t="shared" si="2"/>
        <v>0.3965277778</v>
      </c>
      <c r="I4441" s="28">
        <v>3.0</v>
      </c>
      <c r="J4441" s="39" t="s">
        <v>2076</v>
      </c>
      <c r="K4441" s="41"/>
      <c r="L4441" s="31" t="str">
        <f>IFERROR(__xludf.DUMMYFUNCTION("IF(OR(E4441="""",K4441=""""),"""",IFERROR(IF(K4441="""","""",query('tbl user'!$A$2:$D10975,""SELECT A WHERE D = '""&amp;K4441&amp;""'"")),""USER TIDAK DIKETAHUI""))"),"")</f>
        <v/>
      </c>
    </row>
    <row r="4442">
      <c r="A4442" s="21" t="str">
        <f t="shared" si="1"/>
        <v/>
      </c>
      <c r="B4442" s="38"/>
      <c r="C4442" s="23" t="s">
        <v>1963</v>
      </c>
      <c r="D4442" s="23" t="s">
        <v>32</v>
      </c>
      <c r="E4442" s="24">
        <v>45463.0</v>
      </c>
      <c r="F4442" s="25">
        <v>0.2722222222222222</v>
      </c>
      <c r="G4442" s="25">
        <v>0.6659722222222222</v>
      </c>
      <c r="H4442" s="27">
        <f t="shared" si="2"/>
        <v>0.39375</v>
      </c>
      <c r="I4442" s="28">
        <v>3.0</v>
      </c>
      <c r="J4442" s="39" t="s">
        <v>2095</v>
      </c>
      <c r="K4442" s="41"/>
      <c r="L4442" s="31" t="str">
        <f>IFERROR(__xludf.DUMMYFUNCTION("IF(OR(E4442="""",K4442=""""),"""",IFERROR(IF(K4442="""","""",query('tbl user'!$A$2:$D10975,""SELECT A WHERE D = '""&amp;K4442&amp;""'"")),""USER TIDAK DIKETAHUI""))"),"")</f>
        <v/>
      </c>
    </row>
    <row r="4443">
      <c r="A4443" s="21" t="str">
        <f t="shared" si="1"/>
        <v/>
      </c>
      <c r="B4443" s="38"/>
      <c r="C4443" s="23" t="s">
        <v>1911</v>
      </c>
      <c r="D4443" s="23" t="s">
        <v>32</v>
      </c>
      <c r="E4443" s="24">
        <v>45463.0</v>
      </c>
      <c r="F4443" s="25">
        <v>0.225</v>
      </c>
      <c r="G4443" s="25">
        <v>0.5972222222222222</v>
      </c>
      <c r="H4443" s="27">
        <f t="shared" si="2"/>
        <v>0.3722222222</v>
      </c>
      <c r="I4443" s="28">
        <v>3.0</v>
      </c>
      <c r="J4443" s="39" t="s">
        <v>2096</v>
      </c>
      <c r="K4443" s="41"/>
      <c r="L4443" s="31" t="str">
        <f>IFERROR(__xludf.DUMMYFUNCTION("IF(OR(E4443="""",K4443=""""),"""",IFERROR(IF(K4443="""","""",query('tbl user'!$A$2:$D10975,""SELECT A WHERE D = '""&amp;K4443&amp;""'"")),""USER TIDAK DIKETAHUI""))"),"")</f>
        <v/>
      </c>
    </row>
    <row r="4444">
      <c r="A4444" s="21" t="str">
        <f t="shared" si="1"/>
        <v/>
      </c>
      <c r="B4444" s="38"/>
      <c r="C4444" s="23" t="s">
        <v>1898</v>
      </c>
      <c r="D4444" s="23" t="s">
        <v>32</v>
      </c>
      <c r="E4444" s="24">
        <v>45463.0</v>
      </c>
      <c r="F4444" s="25">
        <v>0.28125</v>
      </c>
      <c r="G4444" s="25">
        <v>0.6680555555555555</v>
      </c>
      <c r="H4444" s="27">
        <f t="shared" si="2"/>
        <v>0.3868055556</v>
      </c>
      <c r="I4444" s="28">
        <v>3.0</v>
      </c>
      <c r="J4444" s="39" t="s">
        <v>2076</v>
      </c>
      <c r="K4444" s="41"/>
      <c r="L4444" s="31" t="str">
        <f>IFERROR(__xludf.DUMMYFUNCTION("IF(OR(E4444="""",K4444=""""),"""",IFERROR(IF(K4444="""","""",query('tbl user'!$A$2:$D10975,""SELECT A WHERE D = '""&amp;K4444&amp;""'"")),""USER TIDAK DIKETAHUI""))"),"")</f>
        <v/>
      </c>
    </row>
    <row r="4445">
      <c r="A4445" s="21" t="str">
        <f t="shared" si="1"/>
        <v/>
      </c>
      <c r="B4445" s="38"/>
      <c r="C4445" s="23" t="s">
        <v>1965</v>
      </c>
      <c r="D4445" s="23" t="s">
        <v>32</v>
      </c>
      <c r="E4445" s="24">
        <v>45463.0</v>
      </c>
      <c r="F4445" s="25">
        <v>0.32222222222222224</v>
      </c>
      <c r="G4445" s="25">
        <v>0.6868055555555556</v>
      </c>
      <c r="H4445" s="27">
        <f t="shared" si="2"/>
        <v>0.3645833333</v>
      </c>
      <c r="I4445" s="28">
        <v>3.0</v>
      </c>
      <c r="J4445" s="39" t="s">
        <v>2097</v>
      </c>
      <c r="K4445" s="41"/>
      <c r="L4445" s="31" t="str">
        <f>IFERROR(__xludf.DUMMYFUNCTION("IF(OR(E4445="""",K4445=""""),"""",IFERROR(IF(K4445="""","""",query('tbl user'!$A$2:$D10975,""SELECT A WHERE D = '""&amp;K4445&amp;""'"")),""USER TIDAK DIKETAHUI""))"),"")</f>
        <v/>
      </c>
    </row>
    <row r="4446">
      <c r="A4446" s="21" t="str">
        <f t="shared" si="1"/>
        <v/>
      </c>
      <c r="B4446" s="38"/>
      <c r="C4446" s="23" t="s">
        <v>2066</v>
      </c>
      <c r="D4446" s="23" t="s">
        <v>32</v>
      </c>
      <c r="E4446" s="24">
        <v>45463.0</v>
      </c>
      <c r="F4446" s="25">
        <v>0.28958333333333336</v>
      </c>
      <c r="G4446" s="25">
        <v>0.6861111111111111</v>
      </c>
      <c r="H4446" s="27">
        <f t="shared" si="2"/>
        <v>0.3965277778</v>
      </c>
      <c r="I4446" s="28">
        <v>3.0</v>
      </c>
      <c r="J4446" s="39" t="s">
        <v>2076</v>
      </c>
      <c r="K4446" s="41"/>
      <c r="L4446" s="31" t="str">
        <f>IFERROR(__xludf.DUMMYFUNCTION("IF(OR(E4446="""",K4446=""""),"""",IFERROR(IF(K4446="""","""",query('tbl user'!$A$2:$D10975,""SELECT A WHERE D = '""&amp;K4446&amp;""'"")),""USER TIDAK DIKETAHUI""))"),"")</f>
        <v/>
      </c>
    </row>
    <row r="4447">
      <c r="A4447" s="21" t="str">
        <f t="shared" si="1"/>
        <v/>
      </c>
      <c r="B4447" s="38"/>
      <c r="C4447" s="23" t="s">
        <v>1959</v>
      </c>
      <c r="D4447" s="23" t="s">
        <v>32</v>
      </c>
      <c r="E4447" s="24">
        <v>45463.0</v>
      </c>
      <c r="F4447" s="25">
        <v>0.2625</v>
      </c>
      <c r="G4447" s="25">
        <v>0.6680555555555555</v>
      </c>
      <c r="H4447" s="27">
        <f t="shared" si="2"/>
        <v>0.4055555556</v>
      </c>
      <c r="I4447" s="28">
        <v>3.0</v>
      </c>
      <c r="J4447" s="39" t="s">
        <v>2076</v>
      </c>
      <c r="K4447" s="41"/>
      <c r="L4447" s="31" t="str">
        <f>IFERROR(__xludf.DUMMYFUNCTION("IF(OR(E4447="""",K4447=""""),"""",IFERROR(IF(K4447="""","""",query('tbl user'!$A$2:$D10975,""SELECT A WHERE D = '""&amp;K4447&amp;""'"")),""USER TIDAK DIKETAHUI""))"),"")</f>
        <v/>
      </c>
    </row>
    <row r="4448">
      <c r="A4448" s="21" t="str">
        <f t="shared" si="1"/>
        <v/>
      </c>
      <c r="B4448" s="38"/>
      <c r="C4448" s="23" t="s">
        <v>1902</v>
      </c>
      <c r="D4448" s="23" t="s">
        <v>32</v>
      </c>
      <c r="E4448" s="24">
        <v>45463.0</v>
      </c>
      <c r="F4448" s="25">
        <v>0.2902777777777778</v>
      </c>
      <c r="G4448" s="25">
        <v>0.6458333333333334</v>
      </c>
      <c r="H4448" s="27">
        <f t="shared" si="2"/>
        <v>0.3555555556</v>
      </c>
      <c r="I4448" s="28">
        <v>3.0</v>
      </c>
      <c r="J4448" s="39" t="s">
        <v>2076</v>
      </c>
      <c r="K4448" s="41"/>
      <c r="L4448" s="31" t="str">
        <f>IFERROR(__xludf.DUMMYFUNCTION("IF(OR(E4448="""",K4448=""""),"""",IFERROR(IF(K4448="""","""",query('tbl user'!$A$2:$D10975,""SELECT A WHERE D = '""&amp;K4448&amp;""'"")),""USER TIDAK DIKETAHUI""))"),"")</f>
        <v/>
      </c>
    </row>
    <row r="4449">
      <c r="A4449" s="21" t="str">
        <f t="shared" si="1"/>
        <v/>
      </c>
      <c r="B4449" s="38"/>
      <c r="C4449" s="23" t="s">
        <v>1904</v>
      </c>
      <c r="D4449" s="23" t="s">
        <v>32</v>
      </c>
      <c r="E4449" s="24">
        <v>45463.0</v>
      </c>
      <c r="F4449" s="25">
        <v>0.2916666666666667</v>
      </c>
      <c r="G4449" s="25">
        <v>0.6993055555555555</v>
      </c>
      <c r="H4449" s="27">
        <f t="shared" si="2"/>
        <v>0.4076388889</v>
      </c>
      <c r="I4449" s="28">
        <v>3.0</v>
      </c>
      <c r="J4449" s="39" t="s">
        <v>2076</v>
      </c>
      <c r="K4449" s="41"/>
      <c r="L4449" s="31" t="str">
        <f>IFERROR(__xludf.DUMMYFUNCTION("IF(OR(E4449="""",K4449=""""),"""",IFERROR(IF(K4449="""","""",query('tbl user'!$A$2:$D10975,""SELECT A WHERE D = '""&amp;K4449&amp;""'"")),""USER TIDAK DIKETAHUI""))"),"")</f>
        <v/>
      </c>
    </row>
    <row r="4450">
      <c r="A4450" s="21" t="str">
        <f t="shared" si="1"/>
        <v/>
      </c>
      <c r="B4450" s="38"/>
      <c r="C4450" s="23" t="s">
        <v>1962</v>
      </c>
      <c r="D4450" s="23" t="s">
        <v>32</v>
      </c>
      <c r="E4450" s="24">
        <v>45463.0</v>
      </c>
      <c r="F4450" s="25">
        <v>0.28888888888888886</v>
      </c>
      <c r="G4450" s="25">
        <v>0.7465277777777778</v>
      </c>
      <c r="H4450" s="27">
        <f t="shared" si="2"/>
        <v>0.4576388889</v>
      </c>
      <c r="I4450" s="28">
        <v>4.0</v>
      </c>
      <c r="J4450" s="39" t="s">
        <v>55</v>
      </c>
      <c r="K4450" s="41"/>
      <c r="L4450" s="31" t="str">
        <f>IFERROR(__xludf.DUMMYFUNCTION("IF(OR(E4450="""",K4450=""""),"""",IFERROR(IF(K4450="""","""",query('tbl user'!$A$2:$D10975,""SELECT A WHERE D = '""&amp;K4450&amp;""'"")),""USER TIDAK DIKETAHUI""))"),"")</f>
        <v/>
      </c>
    </row>
    <row r="4451">
      <c r="A4451" s="21" t="str">
        <f t="shared" si="1"/>
        <v/>
      </c>
      <c r="B4451" s="38"/>
      <c r="C4451" s="23" t="s">
        <v>1966</v>
      </c>
      <c r="D4451" s="23" t="s">
        <v>32</v>
      </c>
      <c r="E4451" s="24">
        <v>45463.0</v>
      </c>
      <c r="F4451" s="25">
        <v>0.23402777777777778</v>
      </c>
      <c r="G4451" s="25">
        <v>0.6770833333333334</v>
      </c>
      <c r="H4451" s="27">
        <f t="shared" si="2"/>
        <v>0.4430555556</v>
      </c>
      <c r="I4451" s="28">
        <v>4.0</v>
      </c>
      <c r="J4451" s="39" t="s">
        <v>55</v>
      </c>
      <c r="K4451" s="41"/>
      <c r="L4451" s="31" t="str">
        <f>IFERROR(__xludf.DUMMYFUNCTION("IF(OR(E4451="""",K4451=""""),"""",IFERROR(IF(K4451="""","""",query('tbl user'!$A$2:$D10975,""SELECT A WHERE D = '""&amp;K4451&amp;""'"")),""USER TIDAK DIKETAHUI""))"),"")</f>
        <v/>
      </c>
    </row>
    <row r="4452">
      <c r="A4452" s="21" t="str">
        <f t="shared" si="1"/>
        <v/>
      </c>
      <c r="B4452" s="38"/>
      <c r="C4452" s="23" t="s">
        <v>1912</v>
      </c>
      <c r="D4452" s="23" t="s">
        <v>32</v>
      </c>
      <c r="E4452" s="24">
        <v>45463.0</v>
      </c>
      <c r="F4452" s="25">
        <v>0.2361111111111111</v>
      </c>
      <c r="G4452" s="25">
        <v>0.7451388888888889</v>
      </c>
      <c r="H4452" s="27">
        <f t="shared" si="2"/>
        <v>0.5090277778</v>
      </c>
      <c r="I4452" s="28">
        <v>4.0</v>
      </c>
      <c r="J4452" s="39" t="s">
        <v>55</v>
      </c>
      <c r="K4452" s="41"/>
      <c r="L4452" s="31" t="str">
        <f>IFERROR(__xludf.DUMMYFUNCTION("IF(OR(E4452="""",K4452=""""),"""",IFERROR(IF(K4452="""","""",query('tbl user'!$A$2:$D10975,""SELECT A WHERE D = '""&amp;K4452&amp;""'"")),""USER TIDAK DIKETAHUI""))"),"")</f>
        <v/>
      </c>
    </row>
    <row r="4453">
      <c r="A4453" s="21" t="str">
        <f t="shared" si="1"/>
        <v/>
      </c>
      <c r="B4453" s="38"/>
      <c r="C4453" s="23" t="s">
        <v>1851</v>
      </c>
      <c r="D4453" s="23" t="s">
        <v>21</v>
      </c>
      <c r="E4453" s="24">
        <v>45464.0</v>
      </c>
      <c r="F4453" s="25">
        <v>0.27291666666666664</v>
      </c>
      <c r="G4453" s="25">
        <v>0.40555555555555556</v>
      </c>
      <c r="H4453" s="27">
        <f t="shared" si="2"/>
        <v>0.1326388889</v>
      </c>
      <c r="I4453" s="28">
        <v>1.0</v>
      </c>
      <c r="J4453" s="39" t="s">
        <v>2098</v>
      </c>
      <c r="K4453" s="41"/>
      <c r="L4453" s="31" t="str">
        <f>IFERROR(__xludf.DUMMYFUNCTION("IF(OR(E4453="""",K4453=""""),"""",IFERROR(IF(K4453="""","""",query('tbl user'!$A$2:$D10975,""SELECT A WHERE D = '""&amp;K4453&amp;""'"")),""USER TIDAK DIKETAHUI""))"),"")</f>
        <v/>
      </c>
    </row>
    <row r="4454">
      <c r="A4454" s="21" t="str">
        <f t="shared" si="1"/>
        <v/>
      </c>
      <c r="B4454" s="38"/>
      <c r="C4454" s="23" t="s">
        <v>1844</v>
      </c>
      <c r="D4454" s="23" t="s">
        <v>21</v>
      </c>
      <c r="E4454" s="24">
        <v>45464.0</v>
      </c>
      <c r="F4454" s="25">
        <v>0.29305555555555557</v>
      </c>
      <c r="G4454" s="25">
        <v>0.45</v>
      </c>
      <c r="H4454" s="27">
        <f t="shared" si="2"/>
        <v>0.1569444444</v>
      </c>
      <c r="I4454" s="28">
        <v>1.0</v>
      </c>
      <c r="J4454" s="39" t="s">
        <v>2099</v>
      </c>
      <c r="K4454" s="41"/>
      <c r="L4454" s="31" t="str">
        <f>IFERROR(__xludf.DUMMYFUNCTION("IF(OR(E4454="""",K4454=""""),"""",IFERROR(IF(K4454="""","""",query('tbl user'!$A$2:$D10975,""SELECT A WHERE D = '""&amp;K4454&amp;""'"")),""USER TIDAK DIKETAHUI""))"),"")</f>
        <v/>
      </c>
    </row>
    <row r="4455">
      <c r="A4455" s="21" t="str">
        <f t="shared" si="1"/>
        <v/>
      </c>
      <c r="B4455" s="38"/>
      <c r="C4455" s="23" t="s">
        <v>1854</v>
      </c>
      <c r="D4455" s="23" t="s">
        <v>21</v>
      </c>
      <c r="E4455" s="24">
        <v>45464.0</v>
      </c>
      <c r="F4455" s="25">
        <v>0.2548611111111111</v>
      </c>
      <c r="G4455" s="25">
        <v>0.4409722222222222</v>
      </c>
      <c r="H4455" s="27">
        <f t="shared" si="2"/>
        <v>0.1861111111</v>
      </c>
      <c r="I4455" s="28">
        <v>2.0</v>
      </c>
      <c r="J4455" s="39" t="s">
        <v>2100</v>
      </c>
      <c r="K4455" s="41"/>
      <c r="L4455" s="31" t="str">
        <f>IFERROR(__xludf.DUMMYFUNCTION("IF(OR(E4455="""",K4455=""""),"""",IFERROR(IF(K4455="""","""",query('tbl user'!$A$2:$D10975,""SELECT A WHERE D = '""&amp;K4455&amp;""'"")),""USER TIDAK DIKETAHUI""))"),"")</f>
        <v/>
      </c>
    </row>
    <row r="4456">
      <c r="A4456" s="21" t="str">
        <f t="shared" si="1"/>
        <v/>
      </c>
      <c r="B4456" s="38"/>
      <c r="C4456" s="23" t="s">
        <v>1834</v>
      </c>
      <c r="D4456" s="23" t="s">
        <v>21</v>
      </c>
      <c r="E4456" s="24">
        <v>45464.0</v>
      </c>
      <c r="F4456" s="25">
        <v>0.29583333333333334</v>
      </c>
      <c r="G4456" s="25">
        <v>0.6729166666666667</v>
      </c>
      <c r="H4456" s="27">
        <f t="shared" si="2"/>
        <v>0.3770833333</v>
      </c>
      <c r="I4456" s="28">
        <v>2.0</v>
      </c>
      <c r="J4456" s="39" t="s">
        <v>2100</v>
      </c>
      <c r="K4456" s="41"/>
      <c r="L4456" s="31" t="str">
        <f>IFERROR(__xludf.DUMMYFUNCTION("IF(OR(E4456="""",K4456=""""),"""",IFERROR(IF(K4456="""","""",query('tbl user'!$A$2:$D10975,""SELECT A WHERE D = '""&amp;K4456&amp;""'"")),""USER TIDAK DIKETAHUI""))"),"")</f>
        <v/>
      </c>
    </row>
    <row r="4457">
      <c r="A4457" s="21" t="str">
        <f t="shared" si="1"/>
        <v/>
      </c>
      <c r="B4457" s="38"/>
      <c r="C4457" s="23" t="s">
        <v>1845</v>
      </c>
      <c r="D4457" s="23" t="s">
        <v>21</v>
      </c>
      <c r="E4457" s="24">
        <v>45464.0</v>
      </c>
      <c r="F4457" s="25">
        <v>0.24861111111111112</v>
      </c>
      <c r="G4457" s="25">
        <v>0.4375</v>
      </c>
      <c r="H4457" s="27">
        <f t="shared" si="2"/>
        <v>0.1888888889</v>
      </c>
      <c r="I4457" s="28">
        <v>2.0</v>
      </c>
      <c r="J4457" s="39" t="s">
        <v>2101</v>
      </c>
      <c r="K4457" s="41"/>
      <c r="L4457" s="31" t="str">
        <f>IFERROR(__xludf.DUMMYFUNCTION("IF(OR(E4457="""",K4457=""""),"""",IFERROR(IF(K4457="""","""",query('tbl user'!$A$2:$D10975,""SELECT A WHERE D = '""&amp;K4457&amp;""'"")),""USER TIDAK DIKETAHUI""))"),"")</f>
        <v/>
      </c>
    </row>
    <row r="4458">
      <c r="A4458" s="21" t="str">
        <f t="shared" si="1"/>
        <v/>
      </c>
      <c r="B4458" s="38"/>
      <c r="C4458" s="23" t="s">
        <v>1928</v>
      </c>
      <c r="D4458" s="23" t="s">
        <v>21</v>
      </c>
      <c r="E4458" s="24">
        <v>45464.0</v>
      </c>
      <c r="F4458" s="25">
        <v>0.2513888888888889</v>
      </c>
      <c r="G4458" s="25">
        <v>0.6673611111111111</v>
      </c>
      <c r="H4458" s="27">
        <f t="shared" si="2"/>
        <v>0.4159722222</v>
      </c>
      <c r="I4458" s="28">
        <v>2.0</v>
      </c>
      <c r="J4458" s="39" t="s">
        <v>2100</v>
      </c>
      <c r="K4458" s="41"/>
      <c r="L4458" s="31" t="str">
        <f>IFERROR(__xludf.DUMMYFUNCTION("IF(OR(E4458="""",K4458=""""),"""",IFERROR(IF(K4458="""","""",query('tbl user'!$A$2:$D10975,""SELECT A WHERE D = '""&amp;K4458&amp;""'"")),""USER TIDAK DIKETAHUI""))"),"")</f>
        <v/>
      </c>
    </row>
    <row r="4459">
      <c r="A4459" s="21" t="str">
        <f t="shared" si="1"/>
        <v/>
      </c>
      <c r="B4459" s="38"/>
      <c r="C4459" s="23" t="s">
        <v>1853</v>
      </c>
      <c r="D4459" s="23" t="s">
        <v>21</v>
      </c>
      <c r="E4459" s="24">
        <v>45464.0</v>
      </c>
      <c r="F4459" s="25">
        <v>0.28055555555555556</v>
      </c>
      <c r="G4459" s="25">
        <v>0.6243055555555556</v>
      </c>
      <c r="H4459" s="27">
        <f t="shared" si="2"/>
        <v>0.34375</v>
      </c>
      <c r="I4459" s="28">
        <v>3.0</v>
      </c>
      <c r="J4459" s="39" t="s">
        <v>2102</v>
      </c>
      <c r="K4459" s="41"/>
      <c r="L4459" s="31" t="str">
        <f>IFERROR(__xludf.DUMMYFUNCTION("IF(OR(E4459="""",K4459=""""),"""",IFERROR(IF(K4459="""","""",query('tbl user'!$A$2:$D10975,""SELECT A WHERE D = '""&amp;K4459&amp;""'"")),""USER TIDAK DIKETAHUI""))"),"")</f>
        <v/>
      </c>
    </row>
    <row r="4460">
      <c r="A4460" s="21" t="str">
        <f t="shared" si="1"/>
        <v/>
      </c>
      <c r="B4460" s="38"/>
      <c r="C4460" s="23" t="s">
        <v>1923</v>
      </c>
      <c r="D4460" s="23" t="s">
        <v>21</v>
      </c>
      <c r="E4460" s="24">
        <v>45464.0</v>
      </c>
      <c r="F4460" s="25">
        <v>0.24722222222222223</v>
      </c>
      <c r="G4460" s="25">
        <v>0.6819444444444445</v>
      </c>
      <c r="H4460" s="27">
        <f t="shared" si="2"/>
        <v>0.4347222222</v>
      </c>
      <c r="I4460" s="28">
        <v>3.0</v>
      </c>
      <c r="J4460" s="39" t="s">
        <v>2100</v>
      </c>
      <c r="K4460" s="41"/>
      <c r="L4460" s="31" t="str">
        <f>IFERROR(__xludf.DUMMYFUNCTION("IF(OR(E4460="""",K4460=""""),"""",IFERROR(IF(K4460="""","""",query('tbl user'!$A$2:$D10975,""SELECT A WHERE D = '""&amp;K4460&amp;""'"")),""USER TIDAK DIKETAHUI""))"),"")</f>
        <v/>
      </c>
    </row>
    <row r="4461">
      <c r="A4461" s="21" t="str">
        <f t="shared" si="1"/>
        <v/>
      </c>
      <c r="B4461" s="38"/>
      <c r="C4461" s="23" t="s">
        <v>2041</v>
      </c>
      <c r="D4461" s="23" t="s">
        <v>21</v>
      </c>
      <c r="E4461" s="24">
        <v>45464.0</v>
      </c>
      <c r="F4461" s="25">
        <v>0.2826388888888889</v>
      </c>
      <c r="G4461" s="25">
        <v>0.6298611111111111</v>
      </c>
      <c r="H4461" s="27">
        <f t="shared" si="2"/>
        <v>0.3472222222</v>
      </c>
      <c r="I4461" s="28">
        <v>3.0</v>
      </c>
      <c r="J4461" s="39" t="s">
        <v>299</v>
      </c>
      <c r="K4461" s="41"/>
      <c r="L4461" s="31" t="str">
        <f>IFERROR(__xludf.DUMMYFUNCTION("IF(OR(E4461="""",K4461=""""),"""",IFERROR(IF(K4461="""","""",query('tbl user'!$A$2:$D10975,""SELECT A WHERE D = '""&amp;K4461&amp;""'"")),""USER TIDAK DIKETAHUI""))"),"")</f>
        <v/>
      </c>
    </row>
    <row r="4462">
      <c r="A4462" s="21" t="str">
        <f t="shared" si="1"/>
        <v/>
      </c>
      <c r="B4462" s="38"/>
      <c r="C4462" s="23" t="s">
        <v>1856</v>
      </c>
      <c r="D4462" s="23" t="s">
        <v>21</v>
      </c>
      <c r="E4462" s="24">
        <v>45464.0</v>
      </c>
      <c r="F4462" s="25">
        <v>0.2465277777777778</v>
      </c>
      <c r="G4462" s="25">
        <v>0.6458333333333334</v>
      </c>
      <c r="H4462" s="27">
        <f t="shared" si="2"/>
        <v>0.3993055556</v>
      </c>
      <c r="I4462" s="28">
        <v>3.0</v>
      </c>
      <c r="J4462" s="39" t="s">
        <v>1146</v>
      </c>
      <c r="K4462" s="41"/>
      <c r="L4462" s="31" t="str">
        <f>IFERROR(__xludf.DUMMYFUNCTION("IF(OR(E4462="""",K4462=""""),"""",IFERROR(IF(K4462="""","""",query('tbl user'!$A$2:$D10975,""SELECT A WHERE D = '""&amp;K4462&amp;""'"")),""USER TIDAK DIKETAHUI""))"),"")</f>
        <v/>
      </c>
    </row>
    <row r="4463">
      <c r="A4463" s="21" t="str">
        <f t="shared" si="1"/>
        <v/>
      </c>
      <c r="B4463" s="38"/>
      <c r="C4463" s="23" t="s">
        <v>1847</v>
      </c>
      <c r="D4463" s="23" t="s">
        <v>21</v>
      </c>
      <c r="E4463" s="24">
        <v>45464.0</v>
      </c>
      <c r="F4463" s="25">
        <v>0.24097222222222223</v>
      </c>
      <c r="G4463" s="25">
        <v>0.5472222222222223</v>
      </c>
      <c r="H4463" s="27">
        <f t="shared" si="2"/>
        <v>0.30625</v>
      </c>
      <c r="I4463" s="28">
        <v>3.0</v>
      </c>
      <c r="J4463" s="39" t="s">
        <v>2103</v>
      </c>
      <c r="K4463" s="41"/>
      <c r="L4463" s="31" t="str">
        <f>IFERROR(__xludf.DUMMYFUNCTION("IF(OR(E4463="""",K4463=""""),"""",IFERROR(IF(K4463="""","""",query('tbl user'!$A$2:$D10975,""SELECT A WHERE D = '""&amp;K4463&amp;""'"")),""USER TIDAK DIKETAHUI""))"),"")</f>
        <v/>
      </c>
    </row>
    <row r="4464">
      <c r="A4464" s="21" t="str">
        <f t="shared" si="1"/>
        <v/>
      </c>
      <c r="B4464" s="38"/>
      <c r="C4464" s="23" t="s">
        <v>1839</v>
      </c>
      <c r="D4464" s="23" t="s">
        <v>21</v>
      </c>
      <c r="E4464" s="24">
        <v>45464.0</v>
      </c>
      <c r="F4464" s="25">
        <v>0.26875</v>
      </c>
      <c r="G4464" s="25">
        <v>0.7319444444444444</v>
      </c>
      <c r="H4464" s="27">
        <f t="shared" si="2"/>
        <v>0.4631944444</v>
      </c>
      <c r="I4464" s="28">
        <v>4.0</v>
      </c>
      <c r="J4464" s="39" t="s">
        <v>2104</v>
      </c>
      <c r="K4464" s="41"/>
      <c r="L4464" s="31" t="str">
        <f>IFERROR(__xludf.DUMMYFUNCTION("IF(OR(E4464="""",K4464=""""),"""",IFERROR(IF(K4464="""","""",query('tbl user'!$A$2:$D10975,""SELECT A WHERE D = '""&amp;K4464&amp;""'"")),""USER TIDAK DIKETAHUI""))"),"")</f>
        <v/>
      </c>
    </row>
    <row r="4465">
      <c r="A4465" s="21" t="str">
        <f t="shared" si="1"/>
        <v/>
      </c>
      <c r="B4465" s="38"/>
      <c r="C4465" s="23" t="s">
        <v>2002</v>
      </c>
      <c r="D4465" s="23" t="s">
        <v>21</v>
      </c>
      <c r="E4465" s="24">
        <v>45464.0</v>
      </c>
      <c r="F4465" s="25">
        <v>0.25833333333333336</v>
      </c>
      <c r="G4465" s="25">
        <v>0.6993055555555555</v>
      </c>
      <c r="H4465" s="27">
        <f t="shared" si="2"/>
        <v>0.4409722222</v>
      </c>
      <c r="I4465" s="28">
        <v>4.0</v>
      </c>
      <c r="J4465" s="39" t="s">
        <v>2100</v>
      </c>
      <c r="K4465" s="41"/>
      <c r="L4465" s="31" t="str">
        <f>IFERROR(__xludf.DUMMYFUNCTION("IF(OR(E4465="""",K4465=""""),"""",IFERROR(IF(K4465="""","""",query('tbl user'!$A$2:$D10975,""SELECT A WHERE D = '""&amp;K4465&amp;""'"")),""USER TIDAK DIKETAHUI""))"),"")</f>
        <v/>
      </c>
    </row>
    <row r="4466">
      <c r="A4466" s="21" t="str">
        <f t="shared" si="1"/>
        <v/>
      </c>
      <c r="B4466" s="38"/>
      <c r="C4466" s="23" t="s">
        <v>1920</v>
      </c>
      <c r="D4466" s="23" t="s">
        <v>21</v>
      </c>
      <c r="E4466" s="24">
        <v>45464.0</v>
      </c>
      <c r="F4466" s="25">
        <v>0.2923611111111111</v>
      </c>
      <c r="G4466" s="25">
        <v>0.7194444444444444</v>
      </c>
      <c r="H4466" s="27">
        <f t="shared" si="2"/>
        <v>0.4270833333</v>
      </c>
      <c r="I4466" s="28">
        <v>4.0</v>
      </c>
      <c r="J4466" s="39" t="s">
        <v>1001</v>
      </c>
      <c r="K4466" s="41"/>
      <c r="L4466" s="31" t="str">
        <f>IFERROR(__xludf.DUMMYFUNCTION("IF(OR(E4466="""",K4466=""""),"""",IFERROR(IF(K4466="""","""",query('tbl user'!$A$2:$D10975,""SELECT A WHERE D = '""&amp;K4466&amp;""'"")),""USER TIDAK DIKETAHUI""))"),"")</f>
        <v/>
      </c>
    </row>
    <row r="4467">
      <c r="A4467" s="21" t="str">
        <f t="shared" si="1"/>
        <v/>
      </c>
      <c r="B4467" s="38"/>
      <c r="C4467" s="23" t="s">
        <v>1922</v>
      </c>
      <c r="D4467" s="23" t="s">
        <v>21</v>
      </c>
      <c r="E4467" s="24">
        <v>45464.0</v>
      </c>
      <c r="F4467" s="25">
        <v>0.2743055555555556</v>
      </c>
      <c r="G4467" s="25">
        <v>0.71875</v>
      </c>
      <c r="H4467" s="27">
        <f t="shared" si="2"/>
        <v>0.4444444444</v>
      </c>
      <c r="I4467" s="28">
        <v>4.0</v>
      </c>
      <c r="J4467" s="39" t="s">
        <v>2100</v>
      </c>
      <c r="K4467" s="41"/>
      <c r="L4467" s="31" t="str">
        <f>IFERROR(__xludf.DUMMYFUNCTION("IF(OR(E4467="""",K4467=""""),"""",IFERROR(IF(K4467="""","""",query('tbl user'!$A$2:$D10975,""SELECT A WHERE D = '""&amp;K4467&amp;""'"")),""USER TIDAK DIKETAHUI""))"),"")</f>
        <v/>
      </c>
    </row>
    <row r="4468">
      <c r="A4468" s="21" t="str">
        <f t="shared" si="1"/>
        <v/>
      </c>
      <c r="B4468" s="38"/>
      <c r="C4468" s="23" t="s">
        <v>1833</v>
      </c>
      <c r="D4468" s="23" t="s">
        <v>21</v>
      </c>
      <c r="E4468" s="24">
        <v>45464.0</v>
      </c>
      <c r="F4468" s="25">
        <v>0.2708333333333333</v>
      </c>
      <c r="G4468" s="25">
        <v>0.73125</v>
      </c>
      <c r="H4468" s="27">
        <f t="shared" si="2"/>
        <v>0.4604166667</v>
      </c>
      <c r="I4468" s="28">
        <v>4.0</v>
      </c>
      <c r="J4468" s="39" t="s">
        <v>2100</v>
      </c>
      <c r="K4468" s="41"/>
      <c r="L4468" s="31" t="str">
        <f>IFERROR(__xludf.DUMMYFUNCTION("IF(OR(E4468="""",K4468=""""),"""",IFERROR(IF(K4468="""","""",query('tbl user'!$A$2:$D10975,""SELECT A WHERE D = '""&amp;K4468&amp;""'"")),""USER TIDAK DIKETAHUI""))"),"")</f>
        <v/>
      </c>
    </row>
    <row r="4469">
      <c r="A4469" s="21" t="str">
        <f t="shared" si="1"/>
        <v/>
      </c>
      <c r="B4469" s="38"/>
      <c r="C4469" s="23" t="s">
        <v>1925</v>
      </c>
      <c r="D4469" s="23" t="s">
        <v>21</v>
      </c>
      <c r="E4469" s="24">
        <v>45464.0</v>
      </c>
      <c r="F4469" s="25">
        <v>0.2638888888888889</v>
      </c>
      <c r="G4469" s="25">
        <v>0.70625</v>
      </c>
      <c r="H4469" s="27">
        <f t="shared" si="2"/>
        <v>0.4423611111</v>
      </c>
      <c r="I4469" s="28">
        <v>4.0</v>
      </c>
      <c r="J4469" s="39" t="s">
        <v>2075</v>
      </c>
      <c r="K4469" s="41"/>
      <c r="L4469" s="31" t="str">
        <f>IFERROR(__xludf.DUMMYFUNCTION("IF(OR(E4469="""",K4469=""""),"""",IFERROR(IF(K4469="""","""",query('tbl user'!$A$2:$D10975,""SELECT A WHERE D = '""&amp;K4469&amp;""'"")),""USER TIDAK DIKETAHUI""))"),"")</f>
        <v/>
      </c>
    </row>
    <row r="4470">
      <c r="A4470" s="21" t="str">
        <f t="shared" si="1"/>
        <v/>
      </c>
      <c r="B4470" s="38"/>
      <c r="C4470" s="23" t="s">
        <v>1930</v>
      </c>
      <c r="D4470" s="23" t="s">
        <v>21</v>
      </c>
      <c r="E4470" s="24">
        <v>45464.0</v>
      </c>
      <c r="F4470" s="25">
        <v>0.28958333333333336</v>
      </c>
      <c r="G4470" s="25">
        <v>0.7277777777777777</v>
      </c>
      <c r="H4470" s="27">
        <f t="shared" si="2"/>
        <v>0.4381944444</v>
      </c>
      <c r="I4470" s="28">
        <v>4.0</v>
      </c>
      <c r="J4470" s="39" t="s">
        <v>2100</v>
      </c>
      <c r="K4470" s="41"/>
      <c r="L4470" s="31" t="str">
        <f>IFERROR(__xludf.DUMMYFUNCTION("IF(OR(E4470="""",K4470=""""),"""",IFERROR(IF(K4470="""","""",query('tbl user'!$A$2:$D10975,""SELECT A WHERE D = '""&amp;K4470&amp;""'"")),""USER TIDAK DIKETAHUI""))"),"")</f>
        <v/>
      </c>
    </row>
    <row r="4471">
      <c r="A4471" s="21" t="str">
        <f t="shared" si="1"/>
        <v/>
      </c>
      <c r="B4471" s="38"/>
      <c r="C4471" s="23" t="s">
        <v>1857</v>
      </c>
      <c r="D4471" s="23" t="s">
        <v>21</v>
      </c>
      <c r="E4471" s="24">
        <v>45464.0</v>
      </c>
      <c r="F4471" s="25">
        <v>0.23958333333333334</v>
      </c>
      <c r="G4471" s="25">
        <v>0.6826388888888889</v>
      </c>
      <c r="H4471" s="27">
        <f t="shared" si="2"/>
        <v>0.4430555556</v>
      </c>
      <c r="I4471" s="28">
        <v>4.0</v>
      </c>
      <c r="J4471" s="39" t="s">
        <v>854</v>
      </c>
      <c r="K4471" s="41"/>
      <c r="L4471" s="31" t="str">
        <f>IFERROR(__xludf.DUMMYFUNCTION("IF(OR(E4471="""",K4471=""""),"""",IFERROR(IF(K4471="""","""",query('tbl user'!$A$2:$D10975,""SELECT A WHERE D = '""&amp;K4471&amp;""'"")),""USER TIDAK DIKETAHUI""))"),"")</f>
        <v/>
      </c>
    </row>
    <row r="4472">
      <c r="A4472" s="21" t="str">
        <f t="shared" si="1"/>
        <v/>
      </c>
      <c r="B4472" s="38"/>
      <c r="C4472" s="23" t="s">
        <v>2049</v>
      </c>
      <c r="D4472" s="23" t="s">
        <v>21</v>
      </c>
      <c r="E4472" s="24">
        <v>45464.0</v>
      </c>
      <c r="F4472" s="25">
        <v>0.3451388888888889</v>
      </c>
      <c r="G4472" s="25">
        <v>0.7270833333333333</v>
      </c>
      <c r="H4472" s="27">
        <f t="shared" si="2"/>
        <v>0.3819444444</v>
      </c>
      <c r="I4472" s="28">
        <v>4.0</v>
      </c>
      <c r="J4472" s="39" t="s">
        <v>2100</v>
      </c>
      <c r="K4472" s="41"/>
      <c r="L4472" s="31" t="str">
        <f>IFERROR(__xludf.DUMMYFUNCTION("IF(OR(E4472="""",K4472=""""),"""",IFERROR(IF(K4472="""","""",query('tbl user'!$A$2:$D10975,""SELECT A WHERE D = '""&amp;K4472&amp;""'"")),""USER TIDAK DIKETAHUI""))"),"")</f>
        <v/>
      </c>
    </row>
    <row r="4473">
      <c r="A4473" s="21" t="str">
        <f t="shared" si="1"/>
        <v/>
      </c>
      <c r="B4473" s="38"/>
      <c r="C4473" s="23" t="s">
        <v>1858</v>
      </c>
      <c r="D4473" s="23" t="s">
        <v>21</v>
      </c>
      <c r="E4473" s="24">
        <v>45464.0</v>
      </c>
      <c r="F4473" s="25">
        <v>0.2222222222222222</v>
      </c>
      <c r="G4473" s="25">
        <v>0.6472222222222223</v>
      </c>
      <c r="H4473" s="27">
        <f t="shared" si="2"/>
        <v>0.425</v>
      </c>
      <c r="I4473" s="28">
        <v>4.0</v>
      </c>
      <c r="J4473" s="39" t="s">
        <v>2080</v>
      </c>
      <c r="K4473" s="41"/>
      <c r="L4473" s="31" t="str">
        <f>IFERROR(__xludf.DUMMYFUNCTION("IF(OR(E4473="""",K4473=""""),"""",IFERROR(IF(K4473="""","""",query('tbl user'!$A$2:$D10975,""SELECT A WHERE D = '""&amp;K4473&amp;""'"")),""USER TIDAK DIKETAHUI""))"),"")</f>
        <v/>
      </c>
    </row>
    <row r="4474">
      <c r="A4474" s="21" t="str">
        <f t="shared" si="1"/>
        <v/>
      </c>
      <c r="B4474" s="38"/>
      <c r="C4474" s="23" t="s">
        <v>1935</v>
      </c>
      <c r="D4474" s="23" t="s">
        <v>21</v>
      </c>
      <c r="E4474" s="24">
        <v>45464.0</v>
      </c>
      <c r="F4474" s="25">
        <v>0.2548611111111111</v>
      </c>
      <c r="G4474" s="25">
        <v>0.7055555555555556</v>
      </c>
      <c r="H4474" s="27">
        <f t="shared" si="2"/>
        <v>0.4506944444</v>
      </c>
      <c r="I4474" s="28">
        <v>4.0</v>
      </c>
      <c r="J4474" s="39" t="s">
        <v>2105</v>
      </c>
      <c r="K4474" s="41"/>
      <c r="L4474" s="31" t="str">
        <f>IFERROR(__xludf.DUMMYFUNCTION("IF(OR(E4474="""",K4474=""""),"""",IFERROR(IF(K4474="""","""",query('tbl user'!$A$2:$D10975,""SELECT A WHERE D = '""&amp;K4474&amp;""'"")),""USER TIDAK DIKETAHUI""))"),"")</f>
        <v/>
      </c>
    </row>
    <row r="4475">
      <c r="A4475" s="21" t="str">
        <f t="shared" si="1"/>
        <v/>
      </c>
      <c r="B4475" s="38"/>
      <c r="C4475" s="23" t="s">
        <v>1850</v>
      </c>
      <c r="D4475" s="23" t="s">
        <v>21</v>
      </c>
      <c r="E4475" s="24">
        <v>45464.0</v>
      </c>
      <c r="F4475" s="25">
        <v>0.2791666666666667</v>
      </c>
      <c r="G4475" s="25">
        <v>0.7444444444444445</v>
      </c>
      <c r="H4475" s="27">
        <f t="shared" si="2"/>
        <v>0.4652777778</v>
      </c>
      <c r="I4475" s="28">
        <v>4.0</v>
      </c>
      <c r="J4475" s="39" t="s">
        <v>2106</v>
      </c>
      <c r="K4475" s="41"/>
      <c r="L4475" s="31" t="str">
        <f>IFERROR(__xludf.DUMMYFUNCTION("IF(OR(E4475="""",K4475=""""),"""",IFERROR(IF(K4475="""","""",query('tbl user'!$A$2:$D10975,""SELECT A WHERE D = '""&amp;K4475&amp;""'"")),""USER TIDAK DIKETAHUI""))"),"")</f>
        <v/>
      </c>
    </row>
    <row r="4476">
      <c r="A4476" s="21" t="str">
        <f t="shared" si="1"/>
        <v/>
      </c>
      <c r="B4476" s="38"/>
      <c r="C4476" s="23" t="s">
        <v>1830</v>
      </c>
      <c r="D4476" s="23" t="s">
        <v>21</v>
      </c>
      <c r="E4476" s="24">
        <v>45464.0</v>
      </c>
      <c r="F4476" s="25">
        <v>0.21666666666666667</v>
      </c>
      <c r="G4476" s="25">
        <v>0.7152777777777778</v>
      </c>
      <c r="H4476" s="27">
        <f t="shared" si="2"/>
        <v>0.4986111111</v>
      </c>
      <c r="I4476" s="28">
        <v>5.0</v>
      </c>
      <c r="J4476" s="39" t="s">
        <v>55</v>
      </c>
      <c r="K4476" s="41"/>
      <c r="L4476" s="31" t="str">
        <f>IFERROR(__xludf.DUMMYFUNCTION("IF(OR(E4476="""",K4476=""""),"""",IFERROR(IF(K4476="""","""",query('tbl user'!$A$2:$D10975,""SELECT A WHERE D = '""&amp;K4476&amp;""'"")),""USER TIDAK DIKETAHUI""))"),"")</f>
        <v/>
      </c>
    </row>
    <row r="4477">
      <c r="A4477" s="21" t="str">
        <f t="shared" si="1"/>
        <v/>
      </c>
      <c r="B4477" s="38"/>
      <c r="C4477" s="23" t="s">
        <v>1843</v>
      </c>
      <c r="D4477" s="23" t="s">
        <v>21</v>
      </c>
      <c r="E4477" s="24">
        <v>45464.0</v>
      </c>
      <c r="F4477" s="25">
        <v>0.21597222222222223</v>
      </c>
      <c r="G4477" s="25">
        <v>0.7</v>
      </c>
      <c r="H4477" s="27">
        <f t="shared" si="2"/>
        <v>0.4840277778</v>
      </c>
      <c r="I4477" s="28">
        <v>5.0</v>
      </c>
      <c r="J4477" s="39" t="s">
        <v>55</v>
      </c>
      <c r="K4477" s="41"/>
      <c r="L4477" s="31" t="str">
        <f>IFERROR(__xludf.DUMMYFUNCTION("IF(OR(E4477="""",K4477=""""),"""",IFERROR(IF(K4477="""","""",query('tbl user'!$A$2:$D10975,""SELECT A WHERE D = '""&amp;K4477&amp;""'"")),""USER TIDAK DIKETAHUI""))"),"")</f>
        <v/>
      </c>
    </row>
    <row r="4478">
      <c r="A4478" s="21" t="str">
        <f t="shared" si="1"/>
        <v/>
      </c>
      <c r="B4478" s="38"/>
      <c r="C4478" s="23" t="s">
        <v>1837</v>
      </c>
      <c r="D4478" s="23" t="s">
        <v>21</v>
      </c>
      <c r="E4478" s="24">
        <v>45464.0</v>
      </c>
      <c r="F4478" s="25">
        <v>0.24305555555555555</v>
      </c>
      <c r="G4478" s="25">
        <v>0.7479166666666667</v>
      </c>
      <c r="H4478" s="27">
        <f t="shared" si="2"/>
        <v>0.5048611111</v>
      </c>
      <c r="I4478" s="28">
        <v>5.0</v>
      </c>
      <c r="J4478" s="39" t="s">
        <v>55</v>
      </c>
      <c r="K4478" s="41"/>
      <c r="L4478" s="31" t="str">
        <f>IFERROR(__xludf.DUMMYFUNCTION("IF(OR(E4478="""",K4478=""""),"""",IFERROR(IF(K4478="""","""",query('tbl user'!$A$2:$D10975,""SELECT A WHERE D = '""&amp;K4478&amp;""'"")),""USER TIDAK DIKETAHUI""))"),"")</f>
        <v/>
      </c>
    </row>
    <row r="4479">
      <c r="A4479" s="21" t="str">
        <f t="shared" si="1"/>
        <v/>
      </c>
      <c r="B4479" s="38"/>
      <c r="C4479" s="23" t="s">
        <v>1917</v>
      </c>
      <c r="D4479" s="23" t="s">
        <v>21</v>
      </c>
      <c r="E4479" s="24">
        <v>45464.0</v>
      </c>
      <c r="F4479" s="25">
        <v>0.24791666666666667</v>
      </c>
      <c r="G4479" s="25">
        <v>0.5486111111111112</v>
      </c>
      <c r="H4479" s="27">
        <f t="shared" si="2"/>
        <v>0.3006944444</v>
      </c>
      <c r="I4479" s="28">
        <v>1.0</v>
      </c>
      <c r="J4479" s="39" t="s">
        <v>2107</v>
      </c>
      <c r="K4479" s="41"/>
      <c r="L4479" s="31" t="str">
        <f>IFERROR(__xludf.DUMMYFUNCTION("IF(OR(E4479="""",K4479=""""),"""",IFERROR(IF(K4479="""","""",query('tbl user'!$A$2:$D10975,""SELECT A WHERE D = '""&amp;K4479&amp;""'"")),""USER TIDAK DIKETAHUI""))"),"")</f>
        <v/>
      </c>
    </row>
    <row r="4480">
      <c r="A4480" s="21" t="str">
        <f t="shared" si="1"/>
        <v/>
      </c>
      <c r="B4480" s="38"/>
      <c r="C4480" s="23" t="s">
        <v>1841</v>
      </c>
      <c r="D4480" s="23" t="s">
        <v>21</v>
      </c>
      <c r="E4480" s="24">
        <v>45464.0</v>
      </c>
      <c r="F4480" s="25">
        <v>0.29375</v>
      </c>
      <c r="G4480" s="25">
        <v>0.6763888888888889</v>
      </c>
      <c r="H4480" s="27">
        <f t="shared" si="2"/>
        <v>0.3826388889</v>
      </c>
      <c r="I4480" s="28">
        <v>2.0</v>
      </c>
      <c r="J4480" s="39" t="s">
        <v>2108</v>
      </c>
      <c r="K4480" s="41"/>
      <c r="L4480" s="31" t="str">
        <f>IFERROR(__xludf.DUMMYFUNCTION("IF(OR(E4480="""",K4480=""""),"""",IFERROR(IF(K4480="""","""",query('tbl user'!$A$2:$D10975,""SELECT A WHERE D = '""&amp;K4480&amp;""'"")),""USER TIDAK DIKETAHUI""))"),"")</f>
        <v/>
      </c>
    </row>
    <row r="4481">
      <c r="A4481" s="21" t="str">
        <f t="shared" si="1"/>
        <v/>
      </c>
      <c r="B4481" s="38"/>
      <c r="C4481" s="23" t="s">
        <v>1875</v>
      </c>
      <c r="D4481" s="23" t="s">
        <v>58</v>
      </c>
      <c r="E4481" s="24">
        <v>45464.0</v>
      </c>
      <c r="F4481" s="25"/>
      <c r="G4481" s="28" t="s">
        <v>1817</v>
      </c>
      <c r="H4481" s="27" t="str">
        <f t="shared" si="2"/>
        <v/>
      </c>
      <c r="I4481" s="28">
        <v>1.0</v>
      </c>
      <c r="J4481" s="39" t="s">
        <v>2109</v>
      </c>
      <c r="K4481" s="41"/>
      <c r="L4481" s="31" t="str">
        <f>IFERROR(__xludf.DUMMYFUNCTION("IF(OR(E4481="""",K4481=""""),"""",IFERROR(IF(K4481="""","""",query('tbl user'!$A$2:$D10975,""SELECT A WHERE D = '""&amp;K4481&amp;""'"")),""USER TIDAK DIKETAHUI""))"),"")</f>
        <v/>
      </c>
    </row>
    <row r="4482">
      <c r="A4482" s="21" t="str">
        <f t="shared" si="1"/>
        <v/>
      </c>
      <c r="B4482" s="38"/>
      <c r="C4482" s="23" t="s">
        <v>1863</v>
      </c>
      <c r="D4482" s="23" t="s">
        <v>58</v>
      </c>
      <c r="E4482" s="24">
        <v>45464.0</v>
      </c>
      <c r="F4482" s="25">
        <v>0.25</v>
      </c>
      <c r="G4482" s="25">
        <v>0.42986111111111114</v>
      </c>
      <c r="H4482" s="27">
        <f t="shared" si="2"/>
        <v>0.1798611111</v>
      </c>
      <c r="I4482" s="28">
        <v>1.0</v>
      </c>
      <c r="J4482" s="39" t="s">
        <v>2110</v>
      </c>
      <c r="K4482" s="41"/>
      <c r="L4482" s="31" t="str">
        <f>IFERROR(__xludf.DUMMYFUNCTION("IF(OR(E4482="""",K4482=""""),"""",IFERROR(IF(K4482="""","""",query('tbl user'!$A$2:$D10975,""SELECT A WHERE D = '""&amp;K4482&amp;""'"")),""USER TIDAK DIKETAHUI""))"),"")</f>
        <v/>
      </c>
    </row>
    <row r="4483">
      <c r="A4483" s="21" t="str">
        <f t="shared" si="1"/>
        <v/>
      </c>
      <c r="B4483" s="38"/>
      <c r="C4483" s="23" t="s">
        <v>1861</v>
      </c>
      <c r="D4483" s="23" t="s">
        <v>58</v>
      </c>
      <c r="E4483" s="24">
        <v>45464.0</v>
      </c>
      <c r="F4483" s="25">
        <v>0.27569444444444446</v>
      </c>
      <c r="G4483" s="25">
        <v>0.4423611111111111</v>
      </c>
      <c r="H4483" s="27">
        <f t="shared" si="2"/>
        <v>0.1666666667</v>
      </c>
      <c r="I4483" s="28">
        <v>1.0</v>
      </c>
      <c r="J4483" s="39" t="s">
        <v>2111</v>
      </c>
      <c r="K4483" s="41"/>
      <c r="L4483" s="31" t="str">
        <f>IFERROR(__xludf.DUMMYFUNCTION("IF(OR(E4483="""",K4483=""""),"""",IFERROR(IF(K4483="""","""",query('tbl user'!$A$2:$D10975,""SELECT A WHERE D = '""&amp;K4483&amp;""'"")),""USER TIDAK DIKETAHUI""))"),"")</f>
        <v/>
      </c>
    </row>
    <row r="4484">
      <c r="A4484" s="21" t="str">
        <f t="shared" si="1"/>
        <v/>
      </c>
      <c r="B4484" s="38"/>
      <c r="C4484" s="23" t="s">
        <v>1874</v>
      </c>
      <c r="D4484" s="23" t="s">
        <v>58</v>
      </c>
      <c r="E4484" s="24">
        <v>45464.0</v>
      </c>
      <c r="F4484" s="25">
        <v>0.275</v>
      </c>
      <c r="G4484" s="25">
        <v>0.6305555555555555</v>
      </c>
      <c r="H4484" s="27">
        <f t="shared" si="2"/>
        <v>0.3555555556</v>
      </c>
      <c r="I4484" s="28">
        <v>2.0</v>
      </c>
      <c r="J4484" s="39" t="s">
        <v>2112</v>
      </c>
      <c r="K4484" s="41"/>
      <c r="L4484" s="31" t="str">
        <f>IFERROR(__xludf.DUMMYFUNCTION("IF(OR(E4484="""",K4484=""""),"""",IFERROR(IF(K4484="""","""",query('tbl user'!$A$2:$D10975,""SELECT A WHERE D = '""&amp;K4484&amp;""'"")),""USER TIDAK DIKETAHUI""))"),"")</f>
        <v/>
      </c>
    </row>
    <row r="4485">
      <c r="A4485" s="21" t="str">
        <f t="shared" si="1"/>
        <v/>
      </c>
      <c r="B4485" s="38"/>
      <c r="C4485" s="23" t="s">
        <v>1865</v>
      </c>
      <c r="D4485" s="23" t="s">
        <v>58</v>
      </c>
      <c r="E4485" s="24">
        <v>45464.0</v>
      </c>
      <c r="F4485" s="25">
        <v>0.25972222222222224</v>
      </c>
      <c r="G4485" s="25">
        <v>0.6597222222222222</v>
      </c>
      <c r="H4485" s="27">
        <f t="shared" si="2"/>
        <v>0.4</v>
      </c>
      <c r="I4485" s="28">
        <v>2.0</v>
      </c>
      <c r="J4485" s="39" t="s">
        <v>2100</v>
      </c>
      <c r="K4485" s="41"/>
      <c r="L4485" s="31" t="str">
        <f>IFERROR(__xludf.DUMMYFUNCTION("IF(OR(E4485="""",K4485=""""),"""",IFERROR(IF(K4485="""","""",query('tbl user'!$A$2:$D10975,""SELECT A WHERE D = '""&amp;K4485&amp;""'"")),""USER TIDAK DIKETAHUI""))"),"")</f>
        <v/>
      </c>
    </row>
    <row r="4486">
      <c r="A4486" s="21" t="str">
        <f t="shared" si="1"/>
        <v/>
      </c>
      <c r="B4486" s="38"/>
      <c r="C4486" s="23" t="s">
        <v>1867</v>
      </c>
      <c r="D4486" s="23" t="s">
        <v>58</v>
      </c>
      <c r="E4486" s="24">
        <v>45464.0</v>
      </c>
      <c r="F4486" s="25">
        <v>0.2673611111111111</v>
      </c>
      <c r="G4486" s="25">
        <v>0.6576388888888889</v>
      </c>
      <c r="H4486" s="27">
        <f t="shared" si="2"/>
        <v>0.3902777778</v>
      </c>
      <c r="I4486" s="28">
        <v>2.0</v>
      </c>
      <c r="J4486" s="39" t="s">
        <v>2113</v>
      </c>
      <c r="K4486" s="41"/>
      <c r="L4486" s="31" t="str">
        <f>IFERROR(__xludf.DUMMYFUNCTION("IF(OR(E4486="""",K4486=""""),"""",IFERROR(IF(K4486="""","""",query('tbl user'!$A$2:$D10975,""SELECT A WHERE D = '""&amp;K4486&amp;""'"")),""USER TIDAK DIKETAHUI""))"),"")</f>
        <v/>
      </c>
    </row>
    <row r="4487">
      <c r="A4487" s="21" t="str">
        <f t="shared" si="1"/>
        <v/>
      </c>
      <c r="B4487" s="38"/>
      <c r="C4487" s="23" t="s">
        <v>1948</v>
      </c>
      <c r="D4487" s="23" t="s">
        <v>58</v>
      </c>
      <c r="E4487" s="24">
        <v>45464.0</v>
      </c>
      <c r="F4487" s="25">
        <v>0.2791666666666667</v>
      </c>
      <c r="G4487" s="25">
        <v>0.6472222222222223</v>
      </c>
      <c r="H4487" s="27">
        <f t="shared" si="2"/>
        <v>0.3680555556</v>
      </c>
      <c r="I4487" s="28">
        <v>2.0</v>
      </c>
      <c r="J4487" s="39" t="s">
        <v>2114</v>
      </c>
      <c r="K4487" s="41"/>
      <c r="L4487" s="31" t="str">
        <f>IFERROR(__xludf.DUMMYFUNCTION("IF(OR(E4487="""",K4487=""""),"""",IFERROR(IF(K4487="""","""",query('tbl user'!$A$2:$D10975,""SELECT A WHERE D = '""&amp;K4487&amp;""'"")),""USER TIDAK DIKETAHUI""))"),"")</f>
        <v/>
      </c>
    </row>
    <row r="4488">
      <c r="A4488" s="21" t="str">
        <f t="shared" si="1"/>
        <v/>
      </c>
      <c r="B4488" s="38"/>
      <c r="C4488" s="23" t="s">
        <v>1941</v>
      </c>
      <c r="D4488" s="23" t="s">
        <v>58</v>
      </c>
      <c r="E4488" s="24">
        <v>45464.0</v>
      </c>
      <c r="F4488" s="25">
        <v>0.25833333333333336</v>
      </c>
      <c r="G4488" s="25">
        <v>0.625</v>
      </c>
      <c r="H4488" s="27">
        <f t="shared" si="2"/>
        <v>0.3666666667</v>
      </c>
      <c r="I4488" s="28">
        <v>2.0</v>
      </c>
      <c r="J4488" s="39" t="s">
        <v>2115</v>
      </c>
      <c r="K4488" s="41"/>
      <c r="L4488" s="31" t="str">
        <f>IFERROR(__xludf.DUMMYFUNCTION("IF(OR(E4488="""",K4488=""""),"""",IFERROR(IF(K4488="""","""",query('tbl user'!$A$2:$D10975,""SELECT A WHERE D = '""&amp;K4488&amp;""'"")),""USER TIDAK DIKETAHUI""))"),"")</f>
        <v/>
      </c>
    </row>
    <row r="4489">
      <c r="A4489" s="21" t="str">
        <f t="shared" si="1"/>
        <v/>
      </c>
      <c r="B4489" s="38"/>
      <c r="C4489" s="23" t="s">
        <v>1869</v>
      </c>
      <c r="D4489" s="23" t="s">
        <v>58</v>
      </c>
      <c r="E4489" s="24">
        <v>45464.0</v>
      </c>
      <c r="F4489" s="25">
        <v>0.2875</v>
      </c>
      <c r="G4489" s="25">
        <v>0.63125</v>
      </c>
      <c r="H4489" s="27">
        <f t="shared" si="2"/>
        <v>0.34375</v>
      </c>
      <c r="I4489" s="28">
        <v>2.0</v>
      </c>
      <c r="J4489" s="39" t="s">
        <v>2100</v>
      </c>
      <c r="K4489" s="41"/>
      <c r="L4489" s="31" t="str">
        <f>IFERROR(__xludf.DUMMYFUNCTION("IF(OR(E4489="""",K4489=""""),"""",IFERROR(IF(K4489="""","""",query('tbl user'!$A$2:$D10975,""SELECT A WHERE D = '""&amp;K4489&amp;""'"")),""USER TIDAK DIKETAHUI""))"),"")</f>
        <v/>
      </c>
    </row>
    <row r="4490">
      <c r="A4490" s="21" t="str">
        <f t="shared" si="1"/>
        <v/>
      </c>
      <c r="B4490" s="38"/>
      <c r="C4490" s="23" t="s">
        <v>1882</v>
      </c>
      <c r="D4490" s="23" t="s">
        <v>58</v>
      </c>
      <c r="E4490" s="24">
        <v>45464.0</v>
      </c>
      <c r="F4490" s="25">
        <v>0.25277777777777777</v>
      </c>
      <c r="G4490" s="25">
        <v>0.675</v>
      </c>
      <c r="H4490" s="27">
        <f t="shared" si="2"/>
        <v>0.4222222222</v>
      </c>
      <c r="I4490" s="28">
        <v>2.0</v>
      </c>
      <c r="J4490" s="39" t="s">
        <v>588</v>
      </c>
      <c r="K4490" s="41"/>
      <c r="L4490" s="31" t="str">
        <f>IFERROR(__xludf.DUMMYFUNCTION("IF(OR(E4490="""",K4490=""""),"""",IFERROR(IF(K4490="""","""",query('tbl user'!$A$2:$D10975,""SELECT A WHERE D = '""&amp;K4490&amp;""'"")),""USER TIDAK DIKETAHUI""))"),"")</f>
        <v/>
      </c>
    </row>
    <row r="4491">
      <c r="A4491" s="21" t="str">
        <f t="shared" si="1"/>
        <v/>
      </c>
      <c r="B4491" s="38"/>
      <c r="C4491" s="23" t="s">
        <v>1883</v>
      </c>
      <c r="D4491" s="23" t="s">
        <v>58</v>
      </c>
      <c r="E4491" s="24">
        <v>45464.0</v>
      </c>
      <c r="F4491" s="25">
        <v>0.2743055555555556</v>
      </c>
      <c r="G4491" s="25">
        <v>0.6541666666666667</v>
      </c>
      <c r="H4491" s="27">
        <f t="shared" si="2"/>
        <v>0.3798611111</v>
      </c>
      <c r="I4491" s="28">
        <v>2.0</v>
      </c>
      <c r="J4491" s="39" t="s">
        <v>2100</v>
      </c>
      <c r="K4491" s="41"/>
      <c r="L4491" s="31" t="str">
        <f>IFERROR(__xludf.DUMMYFUNCTION("IF(OR(E4491="""",K4491=""""),"""",IFERROR(IF(K4491="""","""",query('tbl user'!$A$2:$D10975,""SELECT A WHERE D = '""&amp;K4491&amp;""'"")),""USER TIDAK DIKETAHUI""))"),"")</f>
        <v/>
      </c>
    </row>
    <row r="4492">
      <c r="A4492" s="21" t="str">
        <f t="shared" si="1"/>
        <v/>
      </c>
      <c r="B4492" s="38"/>
      <c r="C4492" s="23" t="s">
        <v>1860</v>
      </c>
      <c r="D4492" s="23" t="s">
        <v>58</v>
      </c>
      <c r="E4492" s="24">
        <v>45464.0</v>
      </c>
      <c r="F4492" s="25">
        <v>0.2743055555555556</v>
      </c>
      <c r="G4492" s="25">
        <v>0.6354166666666666</v>
      </c>
      <c r="H4492" s="27">
        <f t="shared" si="2"/>
        <v>0.3611111111</v>
      </c>
      <c r="I4492" s="28">
        <v>2.0</v>
      </c>
      <c r="J4492" s="39" t="s">
        <v>2116</v>
      </c>
      <c r="K4492" s="41"/>
      <c r="L4492" s="31" t="str">
        <f>IFERROR(__xludf.DUMMYFUNCTION("IF(OR(E4492="""",K4492=""""),"""",IFERROR(IF(K4492="""","""",query('tbl user'!$A$2:$D10975,""SELECT A WHERE D = '""&amp;K4492&amp;""'"")),""USER TIDAK DIKETAHUI""))"),"")</f>
        <v/>
      </c>
    </row>
    <row r="4493">
      <c r="A4493" s="21" t="str">
        <f t="shared" si="1"/>
        <v/>
      </c>
      <c r="B4493" s="38"/>
      <c r="C4493" s="23" t="s">
        <v>1871</v>
      </c>
      <c r="D4493" s="23" t="s">
        <v>58</v>
      </c>
      <c r="E4493" s="24">
        <v>45464.0</v>
      </c>
      <c r="F4493" s="25">
        <v>0.24027777777777778</v>
      </c>
      <c r="G4493" s="25">
        <v>0.7354166666666667</v>
      </c>
      <c r="H4493" s="27">
        <f t="shared" si="2"/>
        <v>0.4951388889</v>
      </c>
      <c r="I4493" s="28">
        <v>2.0</v>
      </c>
      <c r="J4493" s="39" t="s">
        <v>2100</v>
      </c>
      <c r="K4493" s="41"/>
      <c r="L4493" s="31" t="str">
        <f>IFERROR(__xludf.DUMMYFUNCTION("IF(OR(E4493="""",K4493=""""),"""",IFERROR(IF(K4493="""","""",query('tbl user'!$A$2:$D10975,""SELECT A WHERE D = '""&amp;K4493&amp;""'"")),""USER TIDAK DIKETAHUI""))"),"")</f>
        <v/>
      </c>
    </row>
    <row r="4494">
      <c r="A4494" s="21" t="str">
        <f t="shared" si="1"/>
        <v/>
      </c>
      <c r="B4494" s="38"/>
      <c r="C4494" s="23" t="s">
        <v>1872</v>
      </c>
      <c r="D4494" s="23" t="s">
        <v>58</v>
      </c>
      <c r="E4494" s="24">
        <v>45464.0</v>
      </c>
      <c r="F4494" s="25">
        <v>0.2513888888888889</v>
      </c>
      <c r="G4494" s="25">
        <v>0.6527777777777778</v>
      </c>
      <c r="H4494" s="27">
        <f t="shared" si="2"/>
        <v>0.4013888889</v>
      </c>
      <c r="I4494" s="28">
        <v>2.0</v>
      </c>
      <c r="J4494" s="39" t="s">
        <v>2100</v>
      </c>
      <c r="K4494" s="41"/>
      <c r="L4494" s="31" t="str">
        <f>IFERROR(__xludf.DUMMYFUNCTION("IF(OR(E4494="""",K4494=""""),"""",IFERROR(IF(K4494="""","""",query('tbl user'!$A$2:$D10975,""SELECT A WHERE D = '""&amp;K4494&amp;""'"")),""USER TIDAK DIKETAHUI""))"),"")</f>
        <v/>
      </c>
    </row>
    <row r="4495">
      <c r="A4495" s="21" t="str">
        <f t="shared" si="1"/>
        <v/>
      </c>
      <c r="B4495" s="38"/>
      <c r="C4495" s="23" t="s">
        <v>2090</v>
      </c>
      <c r="D4495" s="23" t="s">
        <v>58</v>
      </c>
      <c r="E4495" s="24">
        <v>45464.0</v>
      </c>
      <c r="F4495" s="25">
        <v>0.2701388888888889</v>
      </c>
      <c r="G4495" s="25">
        <v>0.6041666666666666</v>
      </c>
      <c r="H4495" s="27">
        <f t="shared" si="2"/>
        <v>0.3340277778</v>
      </c>
      <c r="I4495" s="28">
        <v>2.0</v>
      </c>
      <c r="J4495" s="39" t="s">
        <v>2117</v>
      </c>
      <c r="K4495" s="41"/>
      <c r="L4495" s="31" t="str">
        <f>IFERROR(__xludf.DUMMYFUNCTION("IF(OR(E4495="""",K4495=""""),"""",IFERROR(IF(K4495="""","""",query('tbl user'!$A$2:$D10975,""SELECT A WHERE D = '""&amp;K4495&amp;""'"")),""USER TIDAK DIKETAHUI""))"),"")</f>
        <v/>
      </c>
    </row>
    <row r="4496">
      <c r="A4496" s="21" t="str">
        <f t="shared" si="1"/>
        <v/>
      </c>
      <c r="B4496" s="38"/>
      <c r="C4496" s="23" t="s">
        <v>1890</v>
      </c>
      <c r="D4496" s="23" t="s">
        <v>58</v>
      </c>
      <c r="E4496" s="24">
        <v>45464.0</v>
      </c>
      <c r="F4496" s="25">
        <v>0.25069444444444444</v>
      </c>
      <c r="G4496" s="25">
        <v>0.6715277777777777</v>
      </c>
      <c r="H4496" s="27">
        <f t="shared" si="2"/>
        <v>0.4208333333</v>
      </c>
      <c r="I4496" s="28">
        <v>2.0</v>
      </c>
      <c r="J4496" s="39" t="s">
        <v>2100</v>
      </c>
      <c r="K4496" s="41"/>
      <c r="L4496" s="31" t="str">
        <f>IFERROR(__xludf.DUMMYFUNCTION("IF(OR(E4496="""",K4496=""""),"""",IFERROR(IF(K4496="""","""",query('tbl user'!$A$2:$D10975,""SELECT A WHERE D = '""&amp;K4496&amp;""'"")),""USER TIDAK DIKETAHUI""))"),"")</f>
        <v/>
      </c>
    </row>
    <row r="4497">
      <c r="A4497" s="21" t="str">
        <f t="shared" si="1"/>
        <v/>
      </c>
      <c r="B4497" s="38"/>
      <c r="C4497" s="23" t="s">
        <v>1891</v>
      </c>
      <c r="D4497" s="23" t="s">
        <v>58</v>
      </c>
      <c r="E4497" s="24">
        <v>45464.0</v>
      </c>
      <c r="F4497" s="25">
        <v>0.21388888888888888</v>
      </c>
      <c r="G4497" s="25">
        <v>0.5722222222222222</v>
      </c>
      <c r="H4497" s="27">
        <f t="shared" si="2"/>
        <v>0.3583333333</v>
      </c>
      <c r="I4497" s="28">
        <v>2.0</v>
      </c>
      <c r="J4497" s="39" t="s">
        <v>2118</v>
      </c>
      <c r="K4497" s="41"/>
      <c r="L4497" s="31" t="str">
        <f>IFERROR(__xludf.DUMMYFUNCTION("IF(OR(E4497="""",K4497=""""),"""",IFERROR(IF(K4497="""","""",query('tbl user'!$A$2:$D10975,""SELECT A WHERE D = '""&amp;K4497&amp;""'"")),""USER TIDAK DIKETAHUI""))"),"")</f>
        <v/>
      </c>
    </row>
    <row r="4498">
      <c r="A4498" s="21" t="str">
        <f t="shared" si="1"/>
        <v/>
      </c>
      <c r="B4498" s="38"/>
      <c r="C4498" s="23" t="s">
        <v>1877</v>
      </c>
      <c r="D4498" s="23" t="s">
        <v>58</v>
      </c>
      <c r="E4498" s="24">
        <v>45464.0</v>
      </c>
      <c r="F4498" s="25">
        <v>0.2388888888888889</v>
      </c>
      <c r="G4498" s="25">
        <v>0.6993055555555555</v>
      </c>
      <c r="H4498" s="27">
        <f t="shared" si="2"/>
        <v>0.4604166667</v>
      </c>
      <c r="I4498" s="28">
        <v>3.0</v>
      </c>
      <c r="J4498" s="39" t="s">
        <v>2119</v>
      </c>
      <c r="K4498" s="41"/>
      <c r="L4498" s="31" t="str">
        <f>IFERROR(__xludf.DUMMYFUNCTION("IF(OR(E4498="""",K4498=""""),"""",IFERROR(IF(K4498="""","""",query('tbl user'!$A$2:$D10975,""SELECT A WHERE D = '""&amp;K4498&amp;""'"")),""USER TIDAK DIKETAHUI""))"),"")</f>
        <v/>
      </c>
    </row>
    <row r="4499">
      <c r="A4499" s="21" t="str">
        <f t="shared" si="1"/>
        <v/>
      </c>
      <c r="B4499" s="38"/>
      <c r="C4499" s="23" t="s">
        <v>1878</v>
      </c>
      <c r="D4499" s="23" t="s">
        <v>58</v>
      </c>
      <c r="E4499" s="24">
        <v>45464.0</v>
      </c>
      <c r="F4499" s="25">
        <v>0.2013888888888889</v>
      </c>
      <c r="G4499" s="25">
        <v>0.6784722222222223</v>
      </c>
      <c r="H4499" s="27">
        <f t="shared" si="2"/>
        <v>0.4770833333</v>
      </c>
      <c r="I4499" s="28">
        <v>3.0</v>
      </c>
      <c r="J4499" s="39" t="s">
        <v>424</v>
      </c>
      <c r="K4499" s="41"/>
      <c r="L4499" s="31" t="str">
        <f>IFERROR(__xludf.DUMMYFUNCTION("IF(OR(E4499="""",K4499=""""),"""",IFERROR(IF(K4499="""","""",query('tbl user'!$A$2:$D10975,""SELECT A WHERE D = '""&amp;K4499&amp;""'"")),""USER TIDAK DIKETAHUI""))"),"")</f>
        <v/>
      </c>
    </row>
    <row r="4500">
      <c r="A4500" s="21" t="str">
        <f t="shared" si="1"/>
        <v/>
      </c>
      <c r="B4500" s="38"/>
      <c r="C4500" s="23" t="s">
        <v>1879</v>
      </c>
      <c r="D4500" s="23" t="s">
        <v>58</v>
      </c>
      <c r="E4500" s="24">
        <v>45464.0</v>
      </c>
      <c r="F4500" s="25">
        <v>0.23055555555555557</v>
      </c>
      <c r="G4500" s="25">
        <v>0.675</v>
      </c>
      <c r="H4500" s="27">
        <f t="shared" si="2"/>
        <v>0.4444444444</v>
      </c>
      <c r="I4500" s="28">
        <v>3.0</v>
      </c>
      <c r="J4500" s="39" t="s">
        <v>2120</v>
      </c>
      <c r="K4500" s="41"/>
      <c r="L4500" s="31" t="str">
        <f>IFERROR(__xludf.DUMMYFUNCTION("IF(OR(E4500="""",K4500=""""),"""",IFERROR(IF(K4500="""","""",query('tbl user'!$A$2:$D10975,""SELECT A WHERE D = '""&amp;K4500&amp;""'"")),""USER TIDAK DIKETAHUI""))"),"")</f>
        <v/>
      </c>
    </row>
    <row r="4501">
      <c r="A4501" s="21" t="str">
        <f t="shared" si="1"/>
        <v/>
      </c>
      <c r="B4501" s="38"/>
      <c r="C4501" s="23" t="s">
        <v>1881</v>
      </c>
      <c r="D4501" s="23" t="s">
        <v>58</v>
      </c>
      <c r="E4501" s="24">
        <v>45464.0</v>
      </c>
      <c r="F4501" s="25">
        <v>0.25833333333333336</v>
      </c>
      <c r="G4501" s="25">
        <v>0.6854166666666667</v>
      </c>
      <c r="H4501" s="27">
        <f t="shared" si="2"/>
        <v>0.4270833333</v>
      </c>
      <c r="I4501" s="28">
        <v>3.0</v>
      </c>
      <c r="J4501" s="39" t="s">
        <v>2100</v>
      </c>
      <c r="K4501" s="41"/>
      <c r="L4501" s="31" t="str">
        <f>IFERROR(__xludf.DUMMYFUNCTION("IF(OR(E4501="""",K4501=""""),"""",IFERROR(IF(K4501="""","""",query('tbl user'!$A$2:$D10975,""SELECT A WHERE D = '""&amp;K4501&amp;""'"")),""USER TIDAK DIKETAHUI""))"),"")</f>
        <v/>
      </c>
    </row>
    <row r="4502">
      <c r="A4502" s="21" t="str">
        <f t="shared" si="1"/>
        <v/>
      </c>
      <c r="B4502" s="38"/>
      <c r="C4502" s="23" t="s">
        <v>1884</v>
      </c>
      <c r="D4502" s="23" t="s">
        <v>58</v>
      </c>
      <c r="E4502" s="24">
        <v>45464.0</v>
      </c>
      <c r="F4502" s="25">
        <v>0.22708333333333333</v>
      </c>
      <c r="G4502" s="25">
        <v>0.7222222222222222</v>
      </c>
      <c r="H4502" s="27">
        <f t="shared" si="2"/>
        <v>0.4951388889</v>
      </c>
      <c r="I4502" s="28">
        <v>3.0</v>
      </c>
      <c r="J4502" s="39" t="s">
        <v>1988</v>
      </c>
      <c r="K4502" s="41"/>
      <c r="L4502" s="31" t="str">
        <f>IFERROR(__xludf.DUMMYFUNCTION("IF(OR(E4502="""",K4502=""""),"""",IFERROR(IF(K4502="""","""",query('tbl user'!$A$2:$D10975,""SELECT A WHERE D = '""&amp;K4502&amp;""'"")),""USER TIDAK DIKETAHUI""))"),"")</f>
        <v/>
      </c>
    </row>
    <row r="4503">
      <c r="A4503" s="21" t="str">
        <f t="shared" si="1"/>
        <v/>
      </c>
      <c r="B4503" s="38"/>
      <c r="C4503" s="23" t="s">
        <v>1950</v>
      </c>
      <c r="D4503" s="23" t="s">
        <v>58</v>
      </c>
      <c r="E4503" s="24">
        <v>45464.0</v>
      </c>
      <c r="F4503" s="25">
        <v>0.23402777777777778</v>
      </c>
      <c r="G4503" s="25">
        <v>0.66875</v>
      </c>
      <c r="H4503" s="27">
        <f t="shared" si="2"/>
        <v>0.4347222222</v>
      </c>
      <c r="I4503" s="28">
        <v>3.0</v>
      </c>
      <c r="J4503" s="39" t="s">
        <v>2100</v>
      </c>
      <c r="K4503" s="41"/>
      <c r="L4503" s="31" t="str">
        <f>IFERROR(__xludf.DUMMYFUNCTION("IF(OR(E4503="""",K4503=""""),"""",IFERROR(IF(K4503="""","""",query('tbl user'!$A$2:$D10975,""SELECT A WHERE D = '""&amp;K4503&amp;""'"")),""USER TIDAK DIKETAHUI""))"),"")</f>
        <v/>
      </c>
    </row>
    <row r="4504">
      <c r="A4504" s="21" t="str">
        <f t="shared" si="1"/>
        <v/>
      </c>
      <c r="B4504" s="38"/>
      <c r="C4504" s="23" t="s">
        <v>1886</v>
      </c>
      <c r="D4504" s="23" t="s">
        <v>58</v>
      </c>
      <c r="E4504" s="24">
        <v>45464.0</v>
      </c>
      <c r="F4504" s="25">
        <v>0.21458333333333332</v>
      </c>
      <c r="G4504" s="25">
        <v>0.6888888888888889</v>
      </c>
      <c r="H4504" s="27">
        <f t="shared" si="2"/>
        <v>0.4743055556</v>
      </c>
      <c r="I4504" s="28">
        <v>3.0</v>
      </c>
      <c r="J4504" s="39" t="s">
        <v>2100</v>
      </c>
      <c r="K4504" s="41"/>
      <c r="L4504" s="31" t="str">
        <f>IFERROR(__xludf.DUMMYFUNCTION("IF(OR(E4504="""",K4504=""""),"""",IFERROR(IF(K4504="""","""",query('tbl user'!$A$2:$D10975,""SELECT A WHERE D = '""&amp;K4504&amp;""'"")),""USER TIDAK DIKETAHUI""))"),"")</f>
        <v/>
      </c>
    </row>
    <row r="4505">
      <c r="A4505" s="21" t="str">
        <f t="shared" si="1"/>
        <v/>
      </c>
      <c r="B4505" s="38"/>
      <c r="C4505" s="23" t="s">
        <v>1887</v>
      </c>
      <c r="D4505" s="23" t="s">
        <v>58</v>
      </c>
      <c r="E4505" s="24">
        <v>45464.0</v>
      </c>
      <c r="F4505" s="25">
        <v>0.2659722222222222</v>
      </c>
      <c r="G4505" s="25">
        <v>0.6972222222222222</v>
      </c>
      <c r="H4505" s="27">
        <f t="shared" si="2"/>
        <v>0.43125</v>
      </c>
      <c r="I4505" s="28">
        <v>3.0</v>
      </c>
      <c r="J4505" s="39" t="s">
        <v>2100</v>
      </c>
      <c r="K4505" s="41"/>
      <c r="L4505" s="31" t="str">
        <f>IFERROR(__xludf.DUMMYFUNCTION("IF(OR(E4505="""",K4505=""""),"""",IFERROR(IF(K4505="""","""",query('tbl user'!$A$2:$D10975,""SELECT A WHERE D = '""&amp;K4505&amp;""'"")),""USER TIDAK DIKETAHUI""))"),"")</f>
        <v/>
      </c>
    </row>
    <row r="4506">
      <c r="A4506" s="21" t="str">
        <f t="shared" si="1"/>
        <v/>
      </c>
      <c r="B4506" s="38"/>
      <c r="C4506" s="23" t="s">
        <v>1888</v>
      </c>
      <c r="D4506" s="23" t="s">
        <v>58</v>
      </c>
      <c r="E4506" s="24">
        <v>45464.0</v>
      </c>
      <c r="F4506" s="25">
        <v>0.24444444444444444</v>
      </c>
      <c r="G4506" s="25">
        <v>0.7097222222222223</v>
      </c>
      <c r="H4506" s="27">
        <f t="shared" si="2"/>
        <v>0.4652777778</v>
      </c>
      <c r="I4506" s="28">
        <v>3.0</v>
      </c>
      <c r="J4506" s="39" t="s">
        <v>2121</v>
      </c>
      <c r="K4506" s="41"/>
      <c r="L4506" s="31" t="str">
        <f>IFERROR(__xludf.DUMMYFUNCTION("IF(OR(E4506="""",K4506=""""),"""",IFERROR(IF(K4506="""","""",query('tbl user'!$A$2:$D10975,""SELECT A WHERE D = '""&amp;K4506&amp;""'"")),""USER TIDAK DIKETAHUI""))"),"")</f>
        <v/>
      </c>
    </row>
    <row r="4507">
      <c r="A4507" s="21" t="str">
        <f t="shared" si="1"/>
        <v/>
      </c>
      <c r="B4507" s="38"/>
      <c r="C4507" s="23" t="s">
        <v>1889</v>
      </c>
      <c r="D4507" s="23" t="s">
        <v>58</v>
      </c>
      <c r="E4507" s="24">
        <v>45464.0</v>
      </c>
      <c r="F4507" s="25">
        <v>0.22291666666666668</v>
      </c>
      <c r="G4507" s="25">
        <v>0.7083333333333334</v>
      </c>
      <c r="H4507" s="27">
        <f t="shared" si="2"/>
        <v>0.4854166667</v>
      </c>
      <c r="I4507" s="28">
        <v>3.0</v>
      </c>
      <c r="J4507" s="39" t="s">
        <v>2100</v>
      </c>
      <c r="K4507" s="41"/>
      <c r="L4507" s="31" t="str">
        <f>IFERROR(__xludf.DUMMYFUNCTION("IF(OR(E4507="""",K4507=""""),"""",IFERROR(IF(K4507="""","""",query('tbl user'!$A$2:$D10975,""SELECT A WHERE D = '""&amp;K4507&amp;""'"")),""USER TIDAK DIKETAHUI""))"),"")</f>
        <v/>
      </c>
    </row>
    <row r="4508">
      <c r="A4508" s="21" t="str">
        <f t="shared" si="1"/>
        <v/>
      </c>
      <c r="B4508" s="38"/>
      <c r="C4508" s="23" t="s">
        <v>1892</v>
      </c>
      <c r="D4508" s="23" t="s">
        <v>58</v>
      </c>
      <c r="E4508" s="24">
        <v>45464.0</v>
      </c>
      <c r="F4508" s="25">
        <v>0.20069444444444445</v>
      </c>
      <c r="G4508" s="25">
        <v>0.68125</v>
      </c>
      <c r="H4508" s="27">
        <f t="shared" si="2"/>
        <v>0.4805555556</v>
      </c>
      <c r="I4508" s="28">
        <v>3.0</v>
      </c>
      <c r="J4508" s="39" t="s">
        <v>2122</v>
      </c>
      <c r="K4508" s="41"/>
      <c r="L4508" s="31" t="str">
        <f>IFERROR(__xludf.DUMMYFUNCTION("IF(OR(E4508="""",K4508=""""),"""",IFERROR(IF(K4508="""","""",query('tbl user'!$A$2:$D10975,""SELECT A WHERE D = '""&amp;K4508&amp;""'"")),""USER TIDAK DIKETAHUI""))"),"")</f>
        <v/>
      </c>
    </row>
    <row r="4509">
      <c r="A4509" s="21" t="str">
        <f t="shared" si="1"/>
        <v/>
      </c>
      <c r="B4509" s="38"/>
      <c r="C4509" s="23" t="s">
        <v>1893</v>
      </c>
      <c r="D4509" s="23" t="s">
        <v>58</v>
      </c>
      <c r="E4509" s="24">
        <v>45464.0</v>
      </c>
      <c r="F4509" s="25">
        <v>0.20277777777777778</v>
      </c>
      <c r="G4509" s="25">
        <v>0.6805555555555556</v>
      </c>
      <c r="H4509" s="27">
        <f t="shared" si="2"/>
        <v>0.4777777778</v>
      </c>
      <c r="I4509" s="28">
        <v>3.0</v>
      </c>
      <c r="J4509" s="39" t="s">
        <v>2100</v>
      </c>
      <c r="K4509" s="41"/>
      <c r="L4509" s="31" t="str">
        <f>IFERROR(__xludf.DUMMYFUNCTION("IF(OR(E4509="""",K4509=""""),"""",IFERROR(IF(K4509="""","""",query('tbl user'!$A$2:$D10975,""SELECT A WHERE D = '""&amp;K4509&amp;""'"")),""USER TIDAK DIKETAHUI""))"),"")</f>
        <v/>
      </c>
    </row>
    <row r="4510">
      <c r="A4510" s="21" t="str">
        <f t="shared" si="1"/>
        <v/>
      </c>
      <c r="B4510" s="38"/>
      <c r="C4510" s="23" t="s">
        <v>1966</v>
      </c>
      <c r="D4510" s="23" t="s">
        <v>32</v>
      </c>
      <c r="E4510" s="24">
        <v>45464.0</v>
      </c>
      <c r="F4510" s="25">
        <v>0.28888888888888886</v>
      </c>
      <c r="G4510" s="25">
        <v>0.4527777777777778</v>
      </c>
      <c r="H4510" s="27">
        <f t="shared" si="2"/>
        <v>0.1638888889</v>
      </c>
      <c r="I4510" s="28">
        <v>1.0</v>
      </c>
      <c r="J4510" s="39" t="s">
        <v>2119</v>
      </c>
      <c r="K4510" s="41"/>
      <c r="L4510" s="31" t="str">
        <f>IFERROR(__xludf.DUMMYFUNCTION("IF(OR(E4510="""",K4510=""""),"""",IFERROR(IF(K4510="""","""",query('tbl user'!$A$2:$D10975,""SELECT A WHERE D = '""&amp;K4510&amp;""'"")),""USER TIDAK DIKETAHUI""))"),"")</f>
        <v/>
      </c>
    </row>
    <row r="4511">
      <c r="A4511" s="21" t="str">
        <f t="shared" si="1"/>
        <v/>
      </c>
      <c r="B4511" s="38"/>
      <c r="C4511" s="23" t="s">
        <v>1990</v>
      </c>
      <c r="D4511" s="23" t="s">
        <v>32</v>
      </c>
      <c r="E4511" s="24">
        <v>45464.0</v>
      </c>
      <c r="F4511" s="25">
        <v>0.24791666666666667</v>
      </c>
      <c r="G4511" s="25">
        <v>0.3645833333333333</v>
      </c>
      <c r="H4511" s="27">
        <f t="shared" si="2"/>
        <v>0.1166666667</v>
      </c>
      <c r="I4511" s="28">
        <v>1.0</v>
      </c>
      <c r="J4511" s="39" t="s">
        <v>2123</v>
      </c>
      <c r="K4511" s="41"/>
      <c r="L4511" s="31" t="str">
        <f>IFERROR(__xludf.DUMMYFUNCTION("IF(OR(E4511="""",K4511=""""),"""",IFERROR(IF(K4511="""","""",query('tbl user'!$A$2:$D10975,""SELECT A WHERE D = '""&amp;K4511&amp;""'"")),""USER TIDAK DIKETAHUI""))"),"")</f>
        <v/>
      </c>
    </row>
    <row r="4512">
      <c r="A4512" s="21" t="str">
        <f t="shared" si="1"/>
        <v/>
      </c>
      <c r="B4512" s="38"/>
      <c r="C4512" s="23" t="s">
        <v>1901</v>
      </c>
      <c r="D4512" s="23" t="s">
        <v>32</v>
      </c>
      <c r="E4512" s="24">
        <v>45464.0</v>
      </c>
      <c r="F4512" s="25">
        <v>0.2902777777777778</v>
      </c>
      <c r="G4512" s="25">
        <v>0.6354166666666666</v>
      </c>
      <c r="H4512" s="27">
        <f t="shared" si="2"/>
        <v>0.3451388889</v>
      </c>
      <c r="I4512" s="28">
        <v>2.0</v>
      </c>
      <c r="J4512" s="39" t="s">
        <v>1122</v>
      </c>
      <c r="K4512" s="41"/>
      <c r="L4512" s="31" t="str">
        <f>IFERROR(__xludf.DUMMYFUNCTION("IF(OR(E4512="""",K4512=""""),"""",IFERROR(IF(K4512="""","""",query('tbl user'!$A$2:$D10975,""SELECT A WHERE D = '""&amp;K4512&amp;""'"")),""USER TIDAK DIKETAHUI""))"),"")</f>
        <v/>
      </c>
    </row>
    <row r="4513">
      <c r="A4513" s="21" t="str">
        <f t="shared" si="1"/>
        <v/>
      </c>
      <c r="B4513" s="38"/>
      <c r="C4513" s="23" t="s">
        <v>1963</v>
      </c>
      <c r="D4513" s="23" t="s">
        <v>32</v>
      </c>
      <c r="E4513" s="24">
        <v>45464.0</v>
      </c>
      <c r="F4513" s="25">
        <v>0.26458333333333334</v>
      </c>
      <c r="G4513" s="25">
        <v>0.5972222222222222</v>
      </c>
      <c r="H4513" s="27">
        <f t="shared" si="2"/>
        <v>0.3326388889</v>
      </c>
      <c r="I4513" s="28">
        <v>2.0</v>
      </c>
      <c r="J4513" s="39" t="s">
        <v>129</v>
      </c>
      <c r="K4513" s="41"/>
      <c r="L4513" s="31" t="str">
        <f>IFERROR(__xludf.DUMMYFUNCTION("IF(OR(E4513="""",K4513=""""),"""",IFERROR(IF(K4513="""","""",query('tbl user'!$A$2:$D10975,""SELECT A WHERE D = '""&amp;K4513&amp;""'"")),""USER TIDAK DIKETAHUI""))"),"")</f>
        <v/>
      </c>
    </row>
    <row r="4514">
      <c r="A4514" s="21" t="str">
        <f t="shared" si="1"/>
        <v/>
      </c>
      <c r="B4514" s="38"/>
      <c r="C4514" s="23" t="s">
        <v>1951</v>
      </c>
      <c r="D4514" s="23" t="s">
        <v>32</v>
      </c>
      <c r="E4514" s="24">
        <v>45464.0</v>
      </c>
      <c r="F4514" s="25">
        <v>0.26180555555555557</v>
      </c>
      <c r="G4514" s="25">
        <v>0.6006944444444444</v>
      </c>
      <c r="H4514" s="27">
        <f t="shared" si="2"/>
        <v>0.3388888889</v>
      </c>
      <c r="I4514" s="28">
        <v>2.0</v>
      </c>
      <c r="J4514" s="39" t="s">
        <v>2124</v>
      </c>
      <c r="K4514" s="41"/>
      <c r="L4514" s="31" t="str">
        <f>IFERROR(__xludf.DUMMYFUNCTION("IF(OR(E4514="""",K4514=""""),"""",IFERROR(IF(K4514="""","""",query('tbl user'!$A$2:$D10975,""SELECT A WHERE D = '""&amp;K4514&amp;""'"")),""USER TIDAK DIKETAHUI""))"),"")</f>
        <v/>
      </c>
    </row>
    <row r="4515">
      <c r="A4515" s="21" t="str">
        <f t="shared" si="1"/>
        <v/>
      </c>
      <c r="B4515" s="38"/>
      <c r="C4515" s="23" t="s">
        <v>1962</v>
      </c>
      <c r="D4515" s="23" t="s">
        <v>32</v>
      </c>
      <c r="E4515" s="24">
        <v>45464.0</v>
      </c>
      <c r="F4515" s="25">
        <v>0.2534722222222222</v>
      </c>
      <c r="G4515" s="25">
        <v>0.6604166666666667</v>
      </c>
      <c r="H4515" s="27">
        <f t="shared" si="2"/>
        <v>0.4069444444</v>
      </c>
      <c r="I4515" s="28">
        <v>3.0</v>
      </c>
      <c r="J4515" s="39" t="s">
        <v>2125</v>
      </c>
      <c r="K4515" s="41"/>
      <c r="L4515" s="31" t="str">
        <f>IFERROR(__xludf.DUMMYFUNCTION("IF(OR(E4515="""",K4515=""""),"""",IFERROR(IF(K4515="""","""",query('tbl user'!$A$2:$D10975,""SELECT A WHERE D = '""&amp;K4515&amp;""'"")),""USER TIDAK DIKETAHUI""))"),"")</f>
        <v/>
      </c>
    </row>
    <row r="4516">
      <c r="A4516" s="21" t="str">
        <f t="shared" si="1"/>
        <v/>
      </c>
      <c r="B4516" s="38"/>
      <c r="C4516" s="23" t="s">
        <v>1911</v>
      </c>
      <c r="D4516" s="23" t="s">
        <v>32</v>
      </c>
      <c r="E4516" s="24">
        <v>45464.0</v>
      </c>
      <c r="F4516" s="25">
        <v>0.22013888888888888</v>
      </c>
      <c r="G4516" s="25">
        <v>0.68125</v>
      </c>
      <c r="H4516" s="27">
        <f t="shared" si="2"/>
        <v>0.4611111111</v>
      </c>
      <c r="I4516" s="28">
        <v>3.0</v>
      </c>
      <c r="J4516" s="39" t="s">
        <v>2126</v>
      </c>
      <c r="K4516" s="41"/>
      <c r="L4516" s="31" t="str">
        <f>IFERROR(__xludf.DUMMYFUNCTION("IF(OR(E4516="""",K4516=""""),"""",IFERROR(IF(K4516="""","""",query('tbl user'!$A$2:$D10975,""SELECT A WHERE D = '""&amp;K4516&amp;""'"")),""USER TIDAK DIKETAHUI""))"),"")</f>
        <v/>
      </c>
    </row>
    <row r="4517">
      <c r="A4517" s="21" t="str">
        <f t="shared" si="1"/>
        <v/>
      </c>
      <c r="B4517" s="38"/>
      <c r="C4517" s="23" t="s">
        <v>1965</v>
      </c>
      <c r="D4517" s="23" t="s">
        <v>32</v>
      </c>
      <c r="E4517" s="24">
        <v>45464.0</v>
      </c>
      <c r="F4517" s="25">
        <v>0.2916666666666667</v>
      </c>
      <c r="G4517" s="25">
        <v>0.725</v>
      </c>
      <c r="H4517" s="27">
        <f t="shared" si="2"/>
        <v>0.4333333333</v>
      </c>
      <c r="I4517" s="28">
        <v>3.0</v>
      </c>
      <c r="J4517" s="39" t="s">
        <v>2127</v>
      </c>
      <c r="K4517" s="41"/>
      <c r="L4517" s="31" t="str">
        <f>IFERROR(__xludf.DUMMYFUNCTION("IF(OR(E4517="""",K4517=""""),"""",IFERROR(IF(K4517="""","""",query('tbl user'!$A$2:$D10975,""SELECT A WHERE D = '""&amp;K4517&amp;""'"")),""USER TIDAK DIKETAHUI""))"),"")</f>
        <v/>
      </c>
    </row>
    <row r="4518">
      <c r="A4518" s="21" t="str">
        <f t="shared" si="1"/>
        <v/>
      </c>
      <c r="B4518" s="38"/>
      <c r="C4518" s="23" t="s">
        <v>1903</v>
      </c>
      <c r="D4518" s="23" t="s">
        <v>32</v>
      </c>
      <c r="E4518" s="24">
        <v>45464.0</v>
      </c>
      <c r="F4518" s="25">
        <v>0.225</v>
      </c>
      <c r="G4518" s="25">
        <v>0.6159722222222223</v>
      </c>
      <c r="H4518" s="27">
        <f t="shared" si="2"/>
        <v>0.3909722222</v>
      </c>
      <c r="I4518" s="28">
        <v>3.0</v>
      </c>
      <c r="J4518" s="39" t="s">
        <v>2128</v>
      </c>
      <c r="K4518" s="41"/>
      <c r="L4518" s="31" t="str">
        <f>IFERROR(__xludf.DUMMYFUNCTION("IF(OR(E4518="""",K4518=""""),"""",IFERROR(IF(K4518="""","""",query('tbl user'!$A$2:$D10975,""SELECT A WHERE D = '""&amp;K4518&amp;""'"")),""USER TIDAK DIKETAHUI""))"),"")</f>
        <v/>
      </c>
    </row>
    <row r="4519">
      <c r="A4519" s="21" t="str">
        <f t="shared" si="1"/>
        <v/>
      </c>
      <c r="B4519" s="38"/>
      <c r="C4519" s="23" t="s">
        <v>1905</v>
      </c>
      <c r="D4519" s="23" t="s">
        <v>32</v>
      </c>
      <c r="E4519" s="24">
        <v>45464.0</v>
      </c>
      <c r="F4519" s="25">
        <v>0.28680555555555554</v>
      </c>
      <c r="G4519" s="25">
        <v>0.6958333333333333</v>
      </c>
      <c r="H4519" s="27">
        <f t="shared" si="2"/>
        <v>0.4090277778</v>
      </c>
      <c r="I4519" s="28">
        <v>3.0</v>
      </c>
      <c r="J4519" s="39" t="s">
        <v>2100</v>
      </c>
      <c r="K4519" s="41"/>
      <c r="L4519" s="31" t="str">
        <f>IFERROR(__xludf.DUMMYFUNCTION("IF(OR(E4519="""",K4519=""""),"""",IFERROR(IF(K4519="""","""",query('tbl user'!$A$2:$D10975,""SELECT A WHERE D = '""&amp;K4519&amp;""'"")),""USER TIDAK DIKETAHUI""))"),"")</f>
        <v/>
      </c>
    </row>
    <row r="4520">
      <c r="A4520" s="21" t="str">
        <f t="shared" si="1"/>
        <v/>
      </c>
      <c r="B4520" s="38"/>
      <c r="C4520" s="23" t="s">
        <v>1907</v>
      </c>
      <c r="D4520" s="23" t="s">
        <v>32</v>
      </c>
      <c r="E4520" s="24">
        <v>45464.0</v>
      </c>
      <c r="F4520" s="25">
        <v>0.2743055555555556</v>
      </c>
      <c r="G4520" s="25">
        <v>0.7013888888888888</v>
      </c>
      <c r="H4520" s="27">
        <f t="shared" si="2"/>
        <v>0.4270833333</v>
      </c>
      <c r="I4520" s="28">
        <v>3.0</v>
      </c>
      <c r="J4520" s="39" t="s">
        <v>2100</v>
      </c>
      <c r="K4520" s="41"/>
      <c r="L4520" s="31" t="str">
        <f>IFERROR(__xludf.DUMMYFUNCTION("IF(OR(E4520="""",K4520=""""),"""",IFERROR(IF(K4520="""","""",query('tbl user'!$A$2:$D10975,""SELECT A WHERE D = '""&amp;K4520&amp;""'"")),""USER TIDAK DIKETAHUI""))"),"")</f>
        <v/>
      </c>
    </row>
    <row r="4521">
      <c r="A4521" s="21" t="str">
        <f t="shared" si="1"/>
        <v/>
      </c>
      <c r="B4521" s="38"/>
      <c r="C4521" s="23" t="s">
        <v>1913</v>
      </c>
      <c r="D4521" s="23" t="s">
        <v>32</v>
      </c>
      <c r="E4521" s="24">
        <v>45464.0</v>
      </c>
      <c r="F4521" s="25">
        <v>0.2847222222222222</v>
      </c>
      <c r="G4521" s="25">
        <v>0.7118055555555556</v>
      </c>
      <c r="H4521" s="27">
        <f t="shared" si="2"/>
        <v>0.4270833333</v>
      </c>
      <c r="I4521" s="28">
        <v>3.0</v>
      </c>
      <c r="J4521" s="39" t="s">
        <v>2100</v>
      </c>
      <c r="K4521" s="41"/>
      <c r="L4521" s="31" t="str">
        <f>IFERROR(__xludf.DUMMYFUNCTION("IF(OR(E4521="""",K4521=""""),"""",IFERROR(IF(K4521="""","""",query('tbl user'!$A$2:$D10975,""SELECT A WHERE D = '""&amp;K4521&amp;""'"")),""USER TIDAK DIKETAHUI""))"),"")</f>
        <v/>
      </c>
    </row>
    <row r="4522">
      <c r="A4522" s="21" t="str">
        <f t="shared" si="1"/>
        <v/>
      </c>
      <c r="B4522" s="38"/>
      <c r="C4522" s="23" t="s">
        <v>1909</v>
      </c>
      <c r="D4522" s="23" t="s">
        <v>32</v>
      </c>
      <c r="E4522" s="24">
        <v>45464.0</v>
      </c>
      <c r="F4522" s="25">
        <v>0.26944444444444443</v>
      </c>
      <c r="G4522" s="25">
        <v>0.6979166666666666</v>
      </c>
      <c r="H4522" s="27">
        <f t="shared" si="2"/>
        <v>0.4284722222</v>
      </c>
      <c r="I4522" s="28">
        <v>3.0</v>
      </c>
      <c r="J4522" s="39" t="s">
        <v>2100</v>
      </c>
      <c r="K4522" s="41"/>
      <c r="L4522" s="31" t="str">
        <f>IFERROR(__xludf.DUMMYFUNCTION("IF(OR(E4522="""",K4522=""""),"""",IFERROR(IF(K4522="""","""",query('tbl user'!$A$2:$D10975,""SELECT A WHERE D = '""&amp;K4522&amp;""'"")),""USER TIDAK DIKETAHUI""))"),"")</f>
        <v/>
      </c>
    </row>
    <row r="4523">
      <c r="A4523" s="21" t="str">
        <f t="shared" si="1"/>
        <v/>
      </c>
      <c r="B4523" s="38"/>
      <c r="C4523" s="23" t="s">
        <v>1910</v>
      </c>
      <c r="D4523" s="23" t="s">
        <v>32</v>
      </c>
      <c r="E4523" s="24">
        <v>45464.0</v>
      </c>
      <c r="F4523" s="25">
        <v>0.20208333333333334</v>
      </c>
      <c r="G4523" s="25">
        <v>0.7118055555555556</v>
      </c>
      <c r="H4523" s="27">
        <f t="shared" si="2"/>
        <v>0.5097222222</v>
      </c>
      <c r="I4523" s="28">
        <v>4.0</v>
      </c>
      <c r="J4523" s="39" t="s">
        <v>55</v>
      </c>
      <c r="K4523" s="41"/>
      <c r="L4523" s="31" t="str">
        <f>IFERROR(__xludf.DUMMYFUNCTION("IF(OR(E4523="""",K4523=""""),"""",IFERROR(IF(K4523="""","""",query('tbl user'!$A$2:$D10975,""SELECT A WHERE D = '""&amp;K4523&amp;""'"")),""USER TIDAK DIKETAHUI""))"),"")</f>
        <v/>
      </c>
    </row>
    <row r="4524">
      <c r="A4524" s="21" t="str">
        <f t="shared" si="1"/>
        <v/>
      </c>
      <c r="B4524" s="38"/>
      <c r="C4524" s="23" t="s">
        <v>1908</v>
      </c>
      <c r="D4524" s="23" t="s">
        <v>32</v>
      </c>
      <c r="E4524" s="24">
        <v>45464.0</v>
      </c>
      <c r="F4524" s="25">
        <v>0.26180555555555557</v>
      </c>
      <c r="G4524" s="25">
        <v>0.7319444444444444</v>
      </c>
      <c r="H4524" s="27">
        <f t="shared" si="2"/>
        <v>0.4701388889</v>
      </c>
      <c r="I4524" s="28">
        <v>4.0</v>
      </c>
      <c r="J4524" s="39" t="s">
        <v>55</v>
      </c>
      <c r="K4524" s="41"/>
      <c r="L4524" s="31" t="str">
        <f>IFERROR(__xludf.DUMMYFUNCTION("IF(OR(E4524="""",K4524=""""),"""",IFERROR(IF(K4524="""","""",query('tbl user'!$A$2:$D10975,""SELECT A WHERE D = '""&amp;K4524&amp;""'"")),""USER TIDAK DIKETAHUI""))"),"")</f>
        <v/>
      </c>
    </row>
    <row r="4525">
      <c r="A4525" s="21" t="str">
        <f t="shared" si="1"/>
        <v/>
      </c>
      <c r="B4525" s="38"/>
      <c r="C4525" s="23" t="s">
        <v>1900</v>
      </c>
      <c r="D4525" s="23" t="s">
        <v>32</v>
      </c>
      <c r="E4525" s="24">
        <v>45464.0</v>
      </c>
      <c r="F4525" s="25">
        <v>0.25972222222222224</v>
      </c>
      <c r="G4525" s="25">
        <v>0.7229166666666667</v>
      </c>
      <c r="H4525" s="27">
        <f t="shared" si="2"/>
        <v>0.4631944444</v>
      </c>
      <c r="I4525" s="28">
        <v>4.0</v>
      </c>
      <c r="J4525" s="39" t="s">
        <v>55</v>
      </c>
      <c r="K4525" s="41"/>
      <c r="L4525" s="31" t="str">
        <f>IFERROR(__xludf.DUMMYFUNCTION("IF(OR(E4525="""",K4525=""""),"""",IFERROR(IF(K4525="""","""",query('tbl user'!$A$2:$D10975,""SELECT A WHERE D = '""&amp;K4525&amp;""'"")),""USER TIDAK DIKETAHUI""))"),"")</f>
        <v/>
      </c>
    </row>
    <row r="4526">
      <c r="A4526" s="21" t="str">
        <f t="shared" si="1"/>
        <v/>
      </c>
      <c r="B4526" s="38"/>
      <c r="C4526" s="23" t="s">
        <v>1827</v>
      </c>
      <c r="D4526" s="23" t="s">
        <v>21</v>
      </c>
      <c r="E4526" s="24">
        <v>45465.0</v>
      </c>
      <c r="F4526" s="25">
        <v>0.3902777777777778</v>
      </c>
      <c r="G4526" s="25">
        <v>0.5104166666666666</v>
      </c>
      <c r="H4526" s="27">
        <f t="shared" si="2"/>
        <v>0.1201388889</v>
      </c>
      <c r="I4526" s="28">
        <v>1.0</v>
      </c>
      <c r="J4526" s="39" t="s">
        <v>2129</v>
      </c>
      <c r="K4526" s="41"/>
      <c r="L4526" s="31" t="str">
        <f>IFERROR(__xludf.DUMMYFUNCTION("IF(OR(E4526="""",K4526=""""),"""",IFERROR(IF(K4526="""","""",query('tbl user'!$A$2:$D10975,""SELECT A WHERE D = '""&amp;K4526&amp;""'"")),""USER TIDAK DIKETAHUI""))"),"")</f>
        <v/>
      </c>
    </row>
    <row r="4527">
      <c r="A4527" s="21" t="str">
        <f t="shared" si="1"/>
        <v/>
      </c>
      <c r="B4527" s="38"/>
      <c r="C4527" s="23" t="s">
        <v>1922</v>
      </c>
      <c r="D4527" s="23" t="s">
        <v>21</v>
      </c>
      <c r="E4527" s="24">
        <v>45465.0</v>
      </c>
      <c r="F4527" s="25">
        <v>0.2847222222222222</v>
      </c>
      <c r="G4527" s="25">
        <v>0.5527777777777778</v>
      </c>
      <c r="H4527" s="27">
        <f t="shared" si="2"/>
        <v>0.2680555556</v>
      </c>
      <c r="I4527" s="28">
        <v>2.0</v>
      </c>
      <c r="J4527" s="39" t="s">
        <v>2130</v>
      </c>
      <c r="K4527" s="41"/>
      <c r="L4527" s="31" t="str">
        <f>IFERROR(__xludf.DUMMYFUNCTION("IF(OR(E4527="""",K4527=""""),"""",IFERROR(IF(K4527="""","""",query('tbl user'!$A$2:$D10975,""SELECT A WHERE D = '""&amp;K4527&amp;""'"")),""USER TIDAK DIKETAHUI""))"),"")</f>
        <v/>
      </c>
    </row>
    <row r="4528">
      <c r="A4528" s="21" t="str">
        <f t="shared" si="1"/>
        <v/>
      </c>
      <c r="B4528" s="38"/>
      <c r="C4528" s="23" t="s">
        <v>1834</v>
      </c>
      <c r="D4528" s="23" t="s">
        <v>21</v>
      </c>
      <c r="E4528" s="24">
        <v>45465.0</v>
      </c>
      <c r="F4528" s="25">
        <v>0.27569444444444446</v>
      </c>
      <c r="G4528" s="25">
        <v>0.525</v>
      </c>
      <c r="H4528" s="27">
        <f t="shared" si="2"/>
        <v>0.2493055556</v>
      </c>
      <c r="I4528" s="28">
        <v>2.0</v>
      </c>
      <c r="J4528" s="39" t="s">
        <v>2131</v>
      </c>
      <c r="K4528" s="41"/>
      <c r="L4528" s="31" t="str">
        <f>IFERROR(__xludf.DUMMYFUNCTION("IF(OR(E4528="""",K4528=""""),"""",IFERROR(IF(K4528="""","""",query('tbl user'!$A$2:$D10975,""SELECT A WHERE D = '""&amp;K4528&amp;""'"")),""USER TIDAK DIKETAHUI""))"),"")</f>
        <v/>
      </c>
    </row>
    <row r="4529">
      <c r="A4529" s="21" t="str">
        <f t="shared" si="1"/>
        <v/>
      </c>
      <c r="B4529" s="38"/>
      <c r="C4529" s="23" t="s">
        <v>1844</v>
      </c>
      <c r="D4529" s="23" t="s">
        <v>21</v>
      </c>
      <c r="E4529" s="24">
        <v>45465.0</v>
      </c>
      <c r="F4529" s="25">
        <v>0.2875</v>
      </c>
      <c r="G4529" s="25">
        <v>0.55</v>
      </c>
      <c r="H4529" s="27">
        <f t="shared" si="2"/>
        <v>0.2625</v>
      </c>
      <c r="I4529" s="28">
        <v>2.0</v>
      </c>
      <c r="J4529" s="39" t="s">
        <v>2132</v>
      </c>
      <c r="K4529" s="41"/>
      <c r="L4529" s="31" t="str">
        <f>IFERROR(__xludf.DUMMYFUNCTION("IF(OR(E4529="""",K4529=""""),"""",IFERROR(IF(K4529="""","""",query('tbl user'!$A$2:$D10975,""SELECT A WHERE D = '""&amp;K4529&amp;""'"")),""USER TIDAK DIKETAHUI""))"),"")</f>
        <v/>
      </c>
    </row>
    <row r="4530">
      <c r="A4530" s="21" t="str">
        <f t="shared" si="1"/>
        <v/>
      </c>
      <c r="B4530" s="38"/>
      <c r="C4530" s="23" t="s">
        <v>1856</v>
      </c>
      <c r="D4530" s="23" t="s">
        <v>21</v>
      </c>
      <c r="E4530" s="24">
        <v>45465.0</v>
      </c>
      <c r="F4530" s="25">
        <v>0.2513888888888889</v>
      </c>
      <c r="G4530" s="28" t="s">
        <v>1817</v>
      </c>
      <c r="H4530" s="27" t="str">
        <f t="shared" si="2"/>
        <v/>
      </c>
      <c r="I4530" s="28">
        <v>2.0</v>
      </c>
      <c r="J4530" s="39" t="s">
        <v>2133</v>
      </c>
      <c r="K4530" s="41"/>
      <c r="L4530" s="31" t="str">
        <f>IFERROR(__xludf.DUMMYFUNCTION("IF(OR(E4530="""",K4530=""""),"""",IFERROR(IF(K4530="""","""",query('tbl user'!$A$2:$D10975,""SELECT A WHERE D = '""&amp;K4530&amp;""'"")),""USER TIDAK DIKETAHUI""))"),"")</f>
        <v/>
      </c>
    </row>
    <row r="4531">
      <c r="A4531" s="21" t="str">
        <f t="shared" si="1"/>
        <v/>
      </c>
      <c r="B4531" s="38"/>
      <c r="C4531" s="23" t="s">
        <v>1857</v>
      </c>
      <c r="D4531" s="23" t="s">
        <v>21</v>
      </c>
      <c r="E4531" s="24">
        <v>45465.0</v>
      </c>
      <c r="F4531" s="25">
        <v>0.2763888888888889</v>
      </c>
      <c r="G4531" s="25">
        <v>0.5048611111111111</v>
      </c>
      <c r="H4531" s="27">
        <f t="shared" si="2"/>
        <v>0.2284722222</v>
      </c>
      <c r="I4531" s="28">
        <v>2.0</v>
      </c>
      <c r="J4531" s="39" t="s">
        <v>218</v>
      </c>
      <c r="K4531" s="41"/>
      <c r="L4531" s="31" t="str">
        <f>IFERROR(__xludf.DUMMYFUNCTION("IF(OR(E4531="""",K4531=""""),"""",IFERROR(IF(K4531="""","""",query('tbl user'!$A$2:$D10975,""SELECT A WHERE D = '""&amp;K4531&amp;""'"")),""USER TIDAK DIKETAHUI""))"),"")</f>
        <v/>
      </c>
    </row>
    <row r="4532">
      <c r="A4532" s="21" t="str">
        <f t="shared" si="1"/>
        <v/>
      </c>
      <c r="B4532" s="38"/>
      <c r="C4532" s="23" t="s">
        <v>2005</v>
      </c>
      <c r="D4532" s="23" t="s">
        <v>21</v>
      </c>
      <c r="E4532" s="24">
        <v>45465.0</v>
      </c>
      <c r="F4532" s="25">
        <v>0.225</v>
      </c>
      <c r="G4532" s="25">
        <v>0.4875</v>
      </c>
      <c r="H4532" s="27">
        <f t="shared" si="2"/>
        <v>0.2625</v>
      </c>
      <c r="I4532" s="28">
        <v>2.0</v>
      </c>
      <c r="J4532" s="39" t="s">
        <v>2134</v>
      </c>
      <c r="K4532" s="41"/>
      <c r="L4532" s="31" t="str">
        <f>IFERROR(__xludf.DUMMYFUNCTION("IF(OR(E4532="""",K4532=""""),"""",IFERROR(IF(K4532="""","""",query('tbl user'!$A$2:$D10975,""SELECT A WHERE D = '""&amp;K4532&amp;""'"")),""USER TIDAK DIKETAHUI""))"),"")</f>
        <v/>
      </c>
    </row>
    <row r="4533">
      <c r="A4533" s="21" t="str">
        <f t="shared" si="1"/>
        <v/>
      </c>
      <c r="B4533" s="38"/>
      <c r="C4533" s="23" t="s">
        <v>1843</v>
      </c>
      <c r="D4533" s="23" t="s">
        <v>21</v>
      </c>
      <c r="E4533" s="24">
        <v>45465.0</v>
      </c>
      <c r="F4533" s="25">
        <v>0.3909722222222222</v>
      </c>
      <c r="G4533" s="25">
        <v>0.5506944444444445</v>
      </c>
      <c r="H4533" s="27">
        <f t="shared" si="2"/>
        <v>0.1597222222</v>
      </c>
      <c r="I4533" s="28">
        <v>3.0</v>
      </c>
      <c r="J4533" s="39" t="s">
        <v>2135</v>
      </c>
      <c r="K4533" s="41"/>
      <c r="L4533" s="31" t="str">
        <f>IFERROR(__xludf.DUMMYFUNCTION("IF(OR(E4533="""",K4533=""""),"""",IFERROR(IF(K4533="""","""",query('tbl user'!$A$2:$D10975,""SELECT A WHERE D = '""&amp;K4533&amp;""'"")),""USER TIDAK DIKETAHUI""))"),"")</f>
        <v/>
      </c>
    </row>
    <row r="4534">
      <c r="A4534" s="21" t="str">
        <f t="shared" si="1"/>
        <v/>
      </c>
      <c r="B4534" s="38"/>
      <c r="C4534" s="23" t="s">
        <v>1833</v>
      </c>
      <c r="D4534" s="23" t="s">
        <v>21</v>
      </c>
      <c r="E4534" s="24">
        <v>45465.0</v>
      </c>
      <c r="F4534" s="25">
        <v>0.20833333333333334</v>
      </c>
      <c r="G4534" s="25">
        <v>0.5493055555555556</v>
      </c>
      <c r="H4534" s="27">
        <f t="shared" si="2"/>
        <v>0.3409722222</v>
      </c>
      <c r="I4534" s="28">
        <v>3.0</v>
      </c>
      <c r="J4534" s="39" t="s">
        <v>1509</v>
      </c>
      <c r="K4534" s="41"/>
      <c r="L4534" s="31" t="str">
        <f>IFERROR(__xludf.DUMMYFUNCTION("IF(OR(E4534="""",K4534=""""),"""",IFERROR(IF(K4534="""","""",query('tbl user'!$A$2:$D10975,""SELECT A WHERE D = '""&amp;K4534&amp;""'"")),""USER TIDAK DIKETAHUI""))"),"")</f>
        <v/>
      </c>
    </row>
    <row r="4535">
      <c r="A4535" s="21" t="str">
        <f t="shared" si="1"/>
        <v/>
      </c>
      <c r="B4535" s="38"/>
      <c r="C4535" s="23" t="s">
        <v>2136</v>
      </c>
      <c r="D4535" s="23" t="s">
        <v>21</v>
      </c>
      <c r="E4535" s="24">
        <v>45465.0</v>
      </c>
      <c r="F4535" s="25">
        <v>0.2708333333333333</v>
      </c>
      <c r="G4535" s="25">
        <v>0.6159722222222223</v>
      </c>
      <c r="H4535" s="27">
        <f t="shared" si="2"/>
        <v>0.3451388889</v>
      </c>
      <c r="I4535" s="28">
        <v>3.0</v>
      </c>
      <c r="J4535" s="39" t="s">
        <v>129</v>
      </c>
      <c r="K4535" s="41"/>
      <c r="L4535" s="31" t="str">
        <f>IFERROR(__xludf.DUMMYFUNCTION("IF(OR(E4535="""",K4535=""""),"""",IFERROR(IF(K4535="""","""",query('tbl user'!$A$2:$D10975,""SELECT A WHERE D = '""&amp;K4535&amp;""'"")),""USER TIDAK DIKETAHUI""))"),"")</f>
        <v/>
      </c>
    </row>
    <row r="4536">
      <c r="A4536" s="21" t="str">
        <f t="shared" si="1"/>
        <v/>
      </c>
      <c r="B4536" s="38"/>
      <c r="C4536" s="23" t="s">
        <v>1930</v>
      </c>
      <c r="D4536" s="23" t="s">
        <v>21</v>
      </c>
      <c r="E4536" s="24">
        <v>45465.0</v>
      </c>
      <c r="F4536" s="25">
        <v>0.38055555555555554</v>
      </c>
      <c r="G4536" s="25">
        <v>0.7055555555555556</v>
      </c>
      <c r="H4536" s="27">
        <f t="shared" si="2"/>
        <v>0.325</v>
      </c>
      <c r="I4536" s="28">
        <v>3.0</v>
      </c>
      <c r="J4536" s="39" t="s">
        <v>2137</v>
      </c>
      <c r="K4536" s="41"/>
      <c r="L4536" s="31" t="str">
        <f>IFERROR(__xludf.DUMMYFUNCTION("IF(OR(E4536="""",K4536=""""),"""",IFERROR(IF(K4536="""","""",query('tbl user'!$A$2:$D10975,""SELECT A WHERE D = '""&amp;K4536&amp;""'"")),""USER TIDAK DIKETAHUI""))"),"")</f>
        <v/>
      </c>
    </row>
    <row r="4537">
      <c r="A4537" s="21" t="str">
        <f t="shared" si="1"/>
        <v/>
      </c>
      <c r="B4537" s="38"/>
      <c r="C4537" s="23" t="s">
        <v>1845</v>
      </c>
      <c r="D4537" s="23" t="s">
        <v>21</v>
      </c>
      <c r="E4537" s="24">
        <v>45465.0</v>
      </c>
      <c r="F4537" s="25">
        <v>0.2513888888888889</v>
      </c>
      <c r="G4537" s="25">
        <v>0.5493055555555556</v>
      </c>
      <c r="H4537" s="27">
        <f t="shared" si="2"/>
        <v>0.2979166667</v>
      </c>
      <c r="I4537" s="28">
        <v>3.0</v>
      </c>
      <c r="J4537" s="39" t="s">
        <v>2138</v>
      </c>
      <c r="K4537" s="41"/>
      <c r="L4537" s="31" t="str">
        <f>IFERROR(__xludf.DUMMYFUNCTION("IF(OR(E4537="""",K4537=""""),"""",IFERROR(IF(K4537="""","""",query('tbl user'!$A$2:$D10975,""SELECT A WHERE D = '""&amp;K4537&amp;""'"")),""USER TIDAK DIKETAHUI""))"),"")</f>
        <v/>
      </c>
    </row>
    <row r="4538">
      <c r="A4538" s="21" t="str">
        <f t="shared" si="1"/>
        <v/>
      </c>
      <c r="B4538" s="38"/>
      <c r="C4538" s="23" t="s">
        <v>1928</v>
      </c>
      <c r="D4538" s="23" t="s">
        <v>21</v>
      </c>
      <c r="E4538" s="24">
        <v>45465.0</v>
      </c>
      <c r="F4538" s="25">
        <v>0.2743055555555556</v>
      </c>
      <c r="G4538" s="25">
        <v>0.5708333333333333</v>
      </c>
      <c r="H4538" s="27">
        <f t="shared" si="2"/>
        <v>0.2965277778</v>
      </c>
      <c r="I4538" s="28">
        <v>3.0</v>
      </c>
      <c r="J4538" s="39" t="s">
        <v>2139</v>
      </c>
      <c r="K4538" s="41"/>
      <c r="L4538" s="31" t="str">
        <f>IFERROR(__xludf.DUMMYFUNCTION("IF(OR(E4538="""",K4538=""""),"""",IFERROR(IF(K4538="""","""",query('tbl user'!$A$2:$D10975,""SELECT A WHERE D = '""&amp;K4538&amp;""'"")),""USER TIDAK DIKETAHUI""))"),"")</f>
        <v/>
      </c>
    </row>
    <row r="4539">
      <c r="A4539" s="21" t="str">
        <f t="shared" si="1"/>
        <v/>
      </c>
      <c r="B4539" s="38"/>
      <c r="C4539" s="23" t="s">
        <v>1851</v>
      </c>
      <c r="D4539" s="23" t="s">
        <v>21</v>
      </c>
      <c r="E4539" s="24">
        <v>45465.0</v>
      </c>
      <c r="F4539" s="25">
        <v>0.3798611111111111</v>
      </c>
      <c r="G4539" s="28" t="s">
        <v>1817</v>
      </c>
      <c r="H4539" s="27" t="str">
        <f t="shared" si="2"/>
        <v/>
      </c>
      <c r="I4539" s="28">
        <v>4.0</v>
      </c>
      <c r="J4539" s="39" t="s">
        <v>2140</v>
      </c>
      <c r="K4539" s="41"/>
      <c r="L4539" s="31" t="str">
        <f>IFERROR(__xludf.DUMMYFUNCTION("IF(OR(E4539="""",K4539=""""),"""",IFERROR(IF(K4539="""","""",query('tbl user'!$A$2:$D10975,""SELECT A WHERE D = '""&amp;K4539&amp;""'"")),""USER TIDAK DIKETAHUI""))"),"")</f>
        <v/>
      </c>
    </row>
    <row r="4540">
      <c r="A4540" s="21" t="str">
        <f t="shared" si="1"/>
        <v/>
      </c>
      <c r="B4540" s="38"/>
      <c r="C4540" s="23" t="s">
        <v>2041</v>
      </c>
      <c r="D4540" s="23" t="s">
        <v>21</v>
      </c>
      <c r="E4540" s="24">
        <v>45465.0</v>
      </c>
      <c r="F4540" s="25">
        <v>0.23958333333333334</v>
      </c>
      <c r="G4540" s="25">
        <v>0.5652777777777778</v>
      </c>
      <c r="H4540" s="27">
        <f t="shared" si="2"/>
        <v>0.3256944444</v>
      </c>
      <c r="I4540" s="28">
        <v>4.0</v>
      </c>
      <c r="J4540" s="39" t="s">
        <v>2141</v>
      </c>
      <c r="K4540" s="41"/>
      <c r="L4540" s="31" t="str">
        <f>IFERROR(__xludf.DUMMYFUNCTION("IF(OR(E4540="""",K4540=""""),"""",IFERROR(IF(K4540="""","""",query('tbl user'!$A$2:$D10975,""SELECT A WHERE D = '""&amp;K4540&amp;""'"")),""USER TIDAK DIKETAHUI""))"),"")</f>
        <v/>
      </c>
    </row>
    <row r="4541">
      <c r="A4541" s="21" t="str">
        <f t="shared" si="1"/>
        <v/>
      </c>
      <c r="B4541" s="38"/>
      <c r="C4541" s="23" t="s">
        <v>1925</v>
      </c>
      <c r="D4541" s="23" t="s">
        <v>21</v>
      </c>
      <c r="E4541" s="24">
        <v>45465.0</v>
      </c>
      <c r="F4541" s="25">
        <v>0.25833333333333336</v>
      </c>
      <c r="G4541" s="25">
        <v>0.6923611111111111</v>
      </c>
      <c r="H4541" s="27">
        <f t="shared" si="2"/>
        <v>0.4340277778</v>
      </c>
      <c r="I4541" s="28">
        <v>4.0</v>
      </c>
      <c r="J4541" s="39" t="s">
        <v>2142</v>
      </c>
      <c r="K4541" s="41"/>
      <c r="L4541" s="31" t="str">
        <f>IFERROR(__xludf.DUMMYFUNCTION("IF(OR(E4541="""",K4541=""""),"""",IFERROR(IF(K4541="""","""",query('tbl user'!$A$2:$D10975,""SELECT A WHERE D = '""&amp;K4541&amp;""'"")),""USER TIDAK DIKETAHUI""))"),"")</f>
        <v/>
      </c>
    </row>
    <row r="4542">
      <c r="A4542" s="21" t="str">
        <f t="shared" si="1"/>
        <v/>
      </c>
      <c r="B4542" s="38"/>
      <c r="C4542" s="23" t="s">
        <v>2002</v>
      </c>
      <c r="D4542" s="23" t="s">
        <v>21</v>
      </c>
      <c r="E4542" s="24">
        <v>45465.0</v>
      </c>
      <c r="F4542" s="25">
        <v>0.2916666666666667</v>
      </c>
      <c r="G4542" s="25">
        <v>0.6993055555555555</v>
      </c>
      <c r="H4542" s="27">
        <f t="shared" si="2"/>
        <v>0.4076388889</v>
      </c>
      <c r="I4542" s="28">
        <v>5.0</v>
      </c>
      <c r="J4542" s="39" t="s">
        <v>55</v>
      </c>
      <c r="K4542" s="41"/>
      <c r="L4542" s="31" t="str">
        <f>IFERROR(__xludf.DUMMYFUNCTION("IF(OR(E4542="""",K4542=""""),"""",IFERROR(IF(K4542="""","""",query('tbl user'!$A$2:$D10975,""SELECT A WHERE D = '""&amp;K4542&amp;""'"")),""USER TIDAK DIKETAHUI""))"),"")</f>
        <v/>
      </c>
    </row>
    <row r="4543">
      <c r="A4543" s="21" t="str">
        <f t="shared" si="1"/>
        <v/>
      </c>
      <c r="B4543" s="38"/>
      <c r="C4543" s="23" t="s">
        <v>1853</v>
      </c>
      <c r="D4543" s="23" t="s">
        <v>21</v>
      </c>
      <c r="E4543" s="24">
        <v>45465.0</v>
      </c>
      <c r="F4543" s="25">
        <v>0.27847222222222223</v>
      </c>
      <c r="G4543" s="25">
        <v>0.7305555555555555</v>
      </c>
      <c r="H4543" s="27">
        <f t="shared" si="2"/>
        <v>0.4520833333</v>
      </c>
      <c r="I4543" s="28">
        <v>5.0</v>
      </c>
      <c r="J4543" s="39" t="s">
        <v>55</v>
      </c>
      <c r="K4543" s="41"/>
      <c r="L4543" s="31" t="str">
        <f>IFERROR(__xludf.DUMMYFUNCTION("IF(OR(E4543="""",K4543=""""),"""",IFERROR(IF(K4543="""","""",query('tbl user'!$A$2:$D10975,""SELECT A WHERE D = '""&amp;K4543&amp;""'"")),""USER TIDAK DIKETAHUI""))"),"")</f>
        <v/>
      </c>
    </row>
    <row r="4544">
      <c r="A4544" s="21" t="str">
        <f t="shared" si="1"/>
        <v/>
      </c>
      <c r="B4544" s="38"/>
      <c r="C4544" s="23" t="s">
        <v>1830</v>
      </c>
      <c r="D4544" s="23" t="s">
        <v>21</v>
      </c>
      <c r="E4544" s="24">
        <v>45465.0</v>
      </c>
      <c r="F4544" s="25">
        <v>0.26666666666666666</v>
      </c>
      <c r="G4544" s="25">
        <v>0.6680555555555555</v>
      </c>
      <c r="H4544" s="27">
        <f t="shared" si="2"/>
        <v>0.4013888889</v>
      </c>
      <c r="I4544" s="28">
        <v>5.0</v>
      </c>
      <c r="J4544" s="39" t="s">
        <v>55</v>
      </c>
      <c r="K4544" s="41"/>
      <c r="L4544" s="31" t="str">
        <f>IFERROR(__xludf.DUMMYFUNCTION("IF(OR(E4544="""",K4544=""""),"""",IFERROR(IF(K4544="""","""",query('tbl user'!$A$2:$D10975,""SELECT A WHERE D = '""&amp;K4544&amp;""'"")),""USER TIDAK DIKETAHUI""))"),"")</f>
        <v/>
      </c>
    </row>
    <row r="4545">
      <c r="A4545" s="21" t="str">
        <f t="shared" si="1"/>
        <v/>
      </c>
      <c r="B4545" s="38"/>
      <c r="C4545" s="23" t="s">
        <v>1923</v>
      </c>
      <c r="D4545" s="23" t="s">
        <v>21</v>
      </c>
      <c r="E4545" s="24">
        <v>45465.0</v>
      </c>
      <c r="F4545" s="25">
        <v>0.24791666666666667</v>
      </c>
      <c r="G4545" s="25">
        <v>0.71875</v>
      </c>
      <c r="H4545" s="27">
        <f t="shared" si="2"/>
        <v>0.4708333333</v>
      </c>
      <c r="I4545" s="28">
        <v>5.0</v>
      </c>
      <c r="J4545" s="39" t="s">
        <v>55</v>
      </c>
      <c r="K4545" s="41"/>
      <c r="L4545" s="31" t="str">
        <f>IFERROR(__xludf.DUMMYFUNCTION("IF(OR(E4545="""",K4545=""""),"""",IFERROR(IF(K4545="""","""",query('tbl user'!$A$2:$D10975,""SELECT A WHERE D = '""&amp;K4545&amp;""'"")),""USER TIDAK DIKETAHUI""))"),"")</f>
        <v/>
      </c>
    </row>
    <row r="4546">
      <c r="A4546" s="21" t="str">
        <f t="shared" si="1"/>
        <v/>
      </c>
      <c r="B4546" s="38"/>
      <c r="C4546" s="23" t="s">
        <v>1854</v>
      </c>
      <c r="D4546" s="23" t="s">
        <v>21</v>
      </c>
      <c r="E4546" s="24">
        <v>45465.0</v>
      </c>
      <c r="F4546" s="25">
        <v>0.26666666666666666</v>
      </c>
      <c r="G4546" s="25">
        <v>0.6854166666666667</v>
      </c>
      <c r="H4546" s="27">
        <f t="shared" si="2"/>
        <v>0.41875</v>
      </c>
      <c r="I4546" s="28">
        <v>5.0</v>
      </c>
      <c r="J4546" s="39" t="s">
        <v>55</v>
      </c>
      <c r="K4546" s="41"/>
      <c r="L4546" s="31" t="str">
        <f>IFERROR(__xludf.DUMMYFUNCTION("IF(OR(E4546="""",K4546=""""),"""",IFERROR(IF(K4546="""","""",query('tbl user'!$A$2:$D10975,""SELECT A WHERE D = '""&amp;K4546&amp;""'"")),""USER TIDAK DIKETAHUI""))"),"")</f>
        <v/>
      </c>
    </row>
    <row r="4547">
      <c r="A4547" s="21" t="str">
        <f t="shared" si="1"/>
        <v/>
      </c>
      <c r="B4547" s="38"/>
      <c r="C4547" s="23" t="s">
        <v>1835</v>
      </c>
      <c r="D4547" s="23" t="s">
        <v>21</v>
      </c>
      <c r="E4547" s="24">
        <v>45465.0</v>
      </c>
      <c r="F4547" s="25">
        <v>0.28958333333333336</v>
      </c>
      <c r="G4547" s="25">
        <v>0.7097222222222223</v>
      </c>
      <c r="H4547" s="27">
        <f t="shared" si="2"/>
        <v>0.4201388889</v>
      </c>
      <c r="I4547" s="28">
        <v>5.0</v>
      </c>
      <c r="J4547" s="39" t="s">
        <v>55</v>
      </c>
      <c r="K4547" s="41"/>
      <c r="L4547" s="31" t="str">
        <f>IFERROR(__xludf.DUMMYFUNCTION("IF(OR(E4547="""",K4547=""""),"""",IFERROR(IF(K4547="""","""",query('tbl user'!$A$2:$D10975,""SELECT A WHERE D = '""&amp;K4547&amp;""'"")),""USER TIDAK DIKETAHUI""))"),"")</f>
        <v/>
      </c>
    </row>
    <row r="4548">
      <c r="A4548" s="21" t="str">
        <f t="shared" si="1"/>
        <v/>
      </c>
      <c r="B4548" s="38"/>
      <c r="C4548" s="23" t="s">
        <v>2049</v>
      </c>
      <c r="D4548" s="23" t="s">
        <v>21</v>
      </c>
      <c r="E4548" s="24">
        <v>45465.0</v>
      </c>
      <c r="F4548" s="25">
        <v>0.2777777777777778</v>
      </c>
      <c r="G4548" s="25">
        <v>0.6715277777777777</v>
      </c>
      <c r="H4548" s="27">
        <f t="shared" si="2"/>
        <v>0.39375</v>
      </c>
      <c r="I4548" s="28">
        <v>5.0</v>
      </c>
      <c r="J4548" s="39" t="s">
        <v>55</v>
      </c>
      <c r="K4548" s="41"/>
      <c r="L4548" s="31" t="str">
        <f>IFERROR(__xludf.DUMMYFUNCTION("IF(OR(E4548="""",K4548=""""),"""",IFERROR(IF(K4548="""","""",query('tbl user'!$A$2:$D10975,""SELECT A WHERE D = '""&amp;K4548&amp;""'"")),""USER TIDAK DIKETAHUI""))"),"")</f>
        <v/>
      </c>
    </row>
    <row r="4549">
      <c r="A4549" s="21" t="str">
        <f t="shared" si="1"/>
        <v/>
      </c>
      <c r="B4549" s="38"/>
      <c r="C4549" s="23" t="s">
        <v>1839</v>
      </c>
      <c r="D4549" s="23" t="s">
        <v>21</v>
      </c>
      <c r="E4549" s="24">
        <v>45465.0</v>
      </c>
      <c r="F4549" s="25">
        <v>0.26180555555555557</v>
      </c>
      <c r="G4549" s="25">
        <v>0.7506944444444444</v>
      </c>
      <c r="H4549" s="27">
        <f t="shared" si="2"/>
        <v>0.4888888889</v>
      </c>
      <c r="I4549" s="28">
        <v>6.0</v>
      </c>
      <c r="J4549" s="39" t="s">
        <v>55</v>
      </c>
      <c r="K4549" s="41"/>
      <c r="L4549" s="31" t="str">
        <f>IFERROR(__xludf.DUMMYFUNCTION("IF(OR(E4549="""",K4549=""""),"""",IFERROR(IF(K4549="""","""",query('tbl user'!$A$2:$D10975,""SELECT A WHERE D = '""&amp;K4549&amp;""'"")),""USER TIDAK DIKETAHUI""))"),"")</f>
        <v/>
      </c>
    </row>
    <row r="4550">
      <c r="A4550" s="21" t="str">
        <f t="shared" si="1"/>
        <v/>
      </c>
      <c r="B4550" s="38"/>
      <c r="C4550" s="23" t="s">
        <v>1837</v>
      </c>
      <c r="D4550" s="23" t="s">
        <v>21</v>
      </c>
      <c r="E4550" s="24">
        <v>45465.0</v>
      </c>
      <c r="F4550" s="25">
        <v>0.25069444444444444</v>
      </c>
      <c r="G4550" s="25">
        <v>0.7173611111111111</v>
      </c>
      <c r="H4550" s="27">
        <f t="shared" si="2"/>
        <v>0.4666666667</v>
      </c>
      <c r="I4550" s="28">
        <v>6.0</v>
      </c>
      <c r="J4550" s="39" t="s">
        <v>55</v>
      </c>
      <c r="K4550" s="41"/>
      <c r="L4550" s="31" t="str">
        <f>IFERROR(__xludf.DUMMYFUNCTION("IF(OR(E4550="""",K4550=""""),"""",IFERROR(IF(K4550="""","""",query('tbl user'!$A$2:$D10975,""SELECT A WHERE D = '""&amp;K4550&amp;""'"")),""USER TIDAK DIKETAHUI""))"),"")</f>
        <v/>
      </c>
    </row>
    <row r="4551">
      <c r="A4551" s="21" t="str">
        <f t="shared" si="1"/>
        <v/>
      </c>
      <c r="B4551" s="38"/>
      <c r="C4551" s="23" t="s">
        <v>1935</v>
      </c>
      <c r="D4551" s="23" t="s">
        <v>21</v>
      </c>
      <c r="E4551" s="24">
        <v>45465.0</v>
      </c>
      <c r="F4551" s="25">
        <v>0.25277777777777777</v>
      </c>
      <c r="G4551" s="25">
        <v>0.71875</v>
      </c>
      <c r="H4551" s="27">
        <f t="shared" si="2"/>
        <v>0.4659722222</v>
      </c>
      <c r="I4551" s="28">
        <v>6.0</v>
      </c>
      <c r="J4551" s="39" t="s">
        <v>55</v>
      </c>
      <c r="K4551" s="41"/>
      <c r="L4551" s="31" t="str">
        <f>IFERROR(__xludf.DUMMYFUNCTION("IF(OR(E4551="""",K4551=""""),"""",IFERROR(IF(K4551="""","""",query('tbl user'!$A$2:$D10975,""SELECT A WHERE D = '""&amp;K4551&amp;""'"")),""USER TIDAK DIKETAHUI""))"),"")</f>
        <v/>
      </c>
    </row>
    <row r="4552">
      <c r="A4552" s="21" t="str">
        <f t="shared" si="1"/>
        <v/>
      </c>
      <c r="B4552" s="38"/>
      <c r="C4552" s="23" t="s">
        <v>1847</v>
      </c>
      <c r="D4552" s="23" t="s">
        <v>21</v>
      </c>
      <c r="E4552" s="24">
        <v>45465.0</v>
      </c>
      <c r="F4552" s="25">
        <v>0.2388888888888889</v>
      </c>
      <c r="G4552" s="25">
        <v>0.7409722222222223</v>
      </c>
      <c r="H4552" s="27">
        <f t="shared" si="2"/>
        <v>0.5020833333</v>
      </c>
      <c r="I4552" s="28">
        <v>7.0</v>
      </c>
      <c r="J4552" s="39" t="s">
        <v>55</v>
      </c>
      <c r="K4552" s="41"/>
      <c r="L4552" s="31" t="str">
        <f>IFERROR(__xludf.DUMMYFUNCTION("IF(OR(E4552="""",K4552=""""),"""",IFERROR(IF(K4552="""","""",query('tbl user'!$A$2:$D10975,""SELECT A WHERE D = '""&amp;K4552&amp;""'"")),""USER TIDAK DIKETAHUI""))"),"")</f>
        <v/>
      </c>
    </row>
    <row r="4553">
      <c r="A4553" s="21" t="str">
        <f t="shared" si="1"/>
        <v/>
      </c>
      <c r="B4553" s="38"/>
      <c r="C4553" s="23" t="s">
        <v>1829</v>
      </c>
      <c r="D4553" s="23" t="s">
        <v>21</v>
      </c>
      <c r="E4553" s="24">
        <v>45465.0</v>
      </c>
      <c r="F4553" s="25">
        <v>0.3798611111111111</v>
      </c>
      <c r="G4553" s="25">
        <v>0.6770833333333334</v>
      </c>
      <c r="H4553" s="27">
        <f t="shared" si="2"/>
        <v>0.2972222222</v>
      </c>
      <c r="I4553" s="28">
        <v>4.0</v>
      </c>
      <c r="J4553" s="39" t="s">
        <v>2143</v>
      </c>
      <c r="K4553" s="41"/>
      <c r="L4553" s="31" t="str">
        <f>IFERROR(__xludf.DUMMYFUNCTION("IF(OR(E4553="""",K4553=""""),"""",IFERROR(IF(K4553="""","""",query('tbl user'!$A$2:$D10975,""SELECT A WHERE D = '""&amp;K4553&amp;""'"")),""USER TIDAK DIKETAHUI""))"),"")</f>
        <v/>
      </c>
    </row>
    <row r="4554">
      <c r="A4554" s="21" t="str">
        <f t="shared" si="1"/>
        <v/>
      </c>
      <c r="B4554" s="38"/>
      <c r="C4554" s="23" t="s">
        <v>1917</v>
      </c>
      <c r="D4554" s="23" t="s">
        <v>21</v>
      </c>
      <c r="E4554" s="24">
        <v>45465.0</v>
      </c>
      <c r="F4554" s="25">
        <v>0.26180555555555557</v>
      </c>
      <c r="G4554" s="25">
        <v>0.6902777777777778</v>
      </c>
      <c r="H4554" s="27">
        <f t="shared" si="2"/>
        <v>0.4284722222</v>
      </c>
      <c r="I4554" s="28">
        <v>6.0</v>
      </c>
      <c r="J4554" s="39" t="s">
        <v>55</v>
      </c>
      <c r="K4554" s="41"/>
      <c r="L4554" s="31" t="str">
        <f>IFERROR(__xludf.DUMMYFUNCTION("IF(OR(E4554="""",K4554=""""),"""",IFERROR(IF(K4554="""","""",query('tbl user'!$A$2:$D10975,""SELECT A WHERE D = '""&amp;K4554&amp;""'"")),""USER TIDAK DIKETAHUI""))"),"")</f>
        <v/>
      </c>
    </row>
    <row r="4555">
      <c r="A4555" s="21" t="str">
        <f t="shared" si="1"/>
        <v/>
      </c>
      <c r="B4555" s="38"/>
      <c r="C4555" s="23" t="s">
        <v>1841</v>
      </c>
      <c r="D4555" s="23" t="s">
        <v>21</v>
      </c>
      <c r="E4555" s="24">
        <v>45465.0</v>
      </c>
      <c r="F4555" s="25">
        <v>0.2916666666666667</v>
      </c>
      <c r="G4555" s="25">
        <v>0.6993055555555555</v>
      </c>
      <c r="H4555" s="27">
        <f t="shared" si="2"/>
        <v>0.4076388889</v>
      </c>
      <c r="I4555" s="28">
        <v>6.0</v>
      </c>
      <c r="J4555" s="39" t="s">
        <v>55</v>
      </c>
      <c r="K4555" s="41"/>
      <c r="L4555" s="31" t="str">
        <f>IFERROR(__xludf.DUMMYFUNCTION("IF(OR(E4555="""",K4555=""""),"""",IFERROR(IF(K4555="""","""",query('tbl user'!$A$2:$D10975,""SELECT A WHERE D = '""&amp;K4555&amp;""'"")),""USER TIDAK DIKETAHUI""))"),"")</f>
        <v/>
      </c>
    </row>
    <row r="4556">
      <c r="A4556" s="21" t="str">
        <f t="shared" si="1"/>
        <v/>
      </c>
      <c r="B4556" s="38"/>
      <c r="C4556" s="23" t="s">
        <v>1882</v>
      </c>
      <c r="D4556" s="23" t="s">
        <v>58</v>
      </c>
      <c r="E4556" s="24">
        <v>45465.0</v>
      </c>
      <c r="F4556" s="25">
        <v>0.23680555555555555</v>
      </c>
      <c r="G4556" s="25">
        <v>0.44305555555555554</v>
      </c>
      <c r="H4556" s="27">
        <f t="shared" si="2"/>
        <v>0.20625</v>
      </c>
      <c r="I4556" s="28">
        <v>1.0</v>
      </c>
      <c r="J4556" s="39" t="s">
        <v>2144</v>
      </c>
      <c r="K4556" s="41"/>
      <c r="L4556" s="31" t="str">
        <f>IFERROR(__xludf.DUMMYFUNCTION("IF(OR(E4556="""",K4556=""""),"""",IFERROR(IF(K4556="""","""",query('tbl user'!$A$2:$D10975,""SELECT A WHERE D = '""&amp;K4556&amp;""'"")),""USER TIDAK DIKETAHUI""))"),"")</f>
        <v/>
      </c>
    </row>
    <row r="4557">
      <c r="A4557" s="21" t="str">
        <f t="shared" si="1"/>
        <v/>
      </c>
      <c r="B4557" s="38"/>
      <c r="C4557" s="23" t="s">
        <v>1883</v>
      </c>
      <c r="D4557" s="23" t="s">
        <v>58</v>
      </c>
      <c r="E4557" s="24">
        <v>45465.0</v>
      </c>
      <c r="F4557" s="25">
        <v>0.27291666666666664</v>
      </c>
      <c r="G4557" s="25">
        <v>0.4215277777777778</v>
      </c>
      <c r="H4557" s="27">
        <f t="shared" si="2"/>
        <v>0.1486111111</v>
      </c>
      <c r="I4557" s="28">
        <v>1.0</v>
      </c>
      <c r="J4557" s="39" t="s">
        <v>2145</v>
      </c>
      <c r="K4557" s="41"/>
      <c r="L4557" s="31" t="str">
        <f>IFERROR(__xludf.DUMMYFUNCTION("IF(OR(E4557="""",K4557=""""),"""",IFERROR(IF(K4557="""","""",query('tbl user'!$A$2:$D10975,""SELECT A WHERE D = '""&amp;K4557&amp;""'"")),""USER TIDAK DIKETAHUI""))"),"")</f>
        <v/>
      </c>
    </row>
    <row r="4558">
      <c r="A4558" s="21" t="str">
        <f t="shared" si="1"/>
        <v/>
      </c>
      <c r="B4558" s="38"/>
      <c r="C4558" s="23" t="s">
        <v>1865</v>
      </c>
      <c r="D4558" s="23" t="s">
        <v>58</v>
      </c>
      <c r="E4558" s="24">
        <v>45465.0</v>
      </c>
      <c r="F4558" s="25">
        <v>0.27152777777777776</v>
      </c>
      <c r="G4558" s="25">
        <v>0.5520833333333334</v>
      </c>
      <c r="H4558" s="27">
        <f t="shared" si="2"/>
        <v>0.2805555556</v>
      </c>
      <c r="I4558" s="28">
        <v>2.0</v>
      </c>
      <c r="J4558" s="39" t="s">
        <v>2146</v>
      </c>
      <c r="K4558" s="41"/>
      <c r="L4558" s="31" t="str">
        <f>IFERROR(__xludf.DUMMYFUNCTION("IF(OR(E4558="""",K4558=""""),"""",IFERROR(IF(K4558="""","""",query('tbl user'!$A$2:$D10975,""SELECT A WHERE D = '""&amp;K4558&amp;""'"")),""USER TIDAK DIKETAHUI""))"),"")</f>
        <v/>
      </c>
    </row>
    <row r="4559">
      <c r="A4559" s="21" t="str">
        <f t="shared" si="1"/>
        <v/>
      </c>
      <c r="B4559" s="38"/>
      <c r="C4559" s="23" t="s">
        <v>1869</v>
      </c>
      <c r="D4559" s="23" t="s">
        <v>58</v>
      </c>
      <c r="E4559" s="24">
        <v>45465.0</v>
      </c>
      <c r="F4559" s="25">
        <v>0.2861111111111111</v>
      </c>
      <c r="G4559" s="25">
        <v>0.5708333333333333</v>
      </c>
      <c r="H4559" s="27">
        <f t="shared" si="2"/>
        <v>0.2847222222</v>
      </c>
      <c r="I4559" s="28">
        <v>2.0</v>
      </c>
      <c r="J4559" s="39" t="s">
        <v>2147</v>
      </c>
      <c r="K4559" s="41"/>
      <c r="L4559" s="31" t="str">
        <f>IFERROR(__xludf.DUMMYFUNCTION("IF(OR(E4559="""",K4559=""""),"""",IFERROR(IF(K4559="""","""",query('tbl user'!$A$2:$D10975,""SELECT A WHERE D = '""&amp;K4559&amp;""'"")),""USER TIDAK DIKETAHUI""))"),"")</f>
        <v/>
      </c>
    </row>
    <row r="4560">
      <c r="A4560" s="21" t="str">
        <f t="shared" si="1"/>
        <v/>
      </c>
      <c r="B4560" s="38"/>
      <c r="C4560" s="23" t="s">
        <v>1860</v>
      </c>
      <c r="D4560" s="23" t="s">
        <v>58</v>
      </c>
      <c r="E4560" s="24">
        <v>45465.0</v>
      </c>
      <c r="F4560" s="25">
        <v>0.2881944444444444</v>
      </c>
      <c r="G4560" s="25">
        <v>0.6055555555555555</v>
      </c>
      <c r="H4560" s="27">
        <f t="shared" si="2"/>
        <v>0.3173611111</v>
      </c>
      <c r="I4560" s="28">
        <v>2.0</v>
      </c>
      <c r="J4560" s="39" t="s">
        <v>1815</v>
      </c>
      <c r="K4560" s="41"/>
      <c r="L4560" s="31" t="str">
        <f>IFERROR(__xludf.DUMMYFUNCTION("IF(OR(E4560="""",K4560=""""),"""",IFERROR(IF(K4560="""","""",query('tbl user'!$A$2:$D10975,""SELECT A WHERE D = '""&amp;K4560&amp;""'"")),""USER TIDAK DIKETAHUI""))"),"")</f>
        <v/>
      </c>
    </row>
    <row r="4561">
      <c r="A4561" s="21" t="str">
        <f t="shared" si="1"/>
        <v/>
      </c>
      <c r="B4561" s="38"/>
      <c r="C4561" s="23" t="s">
        <v>1863</v>
      </c>
      <c r="D4561" s="23" t="s">
        <v>58</v>
      </c>
      <c r="E4561" s="24">
        <v>45465.0</v>
      </c>
      <c r="F4561" s="25">
        <v>0.25833333333333336</v>
      </c>
      <c r="G4561" s="25">
        <v>0.5180555555555556</v>
      </c>
      <c r="H4561" s="27">
        <f t="shared" si="2"/>
        <v>0.2597222222</v>
      </c>
      <c r="I4561" s="28">
        <v>2.0</v>
      </c>
      <c r="J4561" s="39" t="s">
        <v>1122</v>
      </c>
      <c r="K4561" s="41"/>
      <c r="L4561" s="31" t="str">
        <f>IFERROR(__xludf.DUMMYFUNCTION("IF(OR(E4561="""",K4561=""""),"""",IFERROR(IF(K4561="""","""",query('tbl user'!$A$2:$D10975,""SELECT A WHERE D = '""&amp;K4561&amp;""'"")),""USER TIDAK DIKETAHUI""))"),"")</f>
        <v/>
      </c>
    </row>
    <row r="4562">
      <c r="A4562" s="21" t="str">
        <f t="shared" si="1"/>
        <v/>
      </c>
      <c r="B4562" s="38"/>
      <c r="C4562" s="23" t="s">
        <v>1893</v>
      </c>
      <c r="D4562" s="23" t="s">
        <v>58</v>
      </c>
      <c r="E4562" s="24">
        <v>45465.0</v>
      </c>
      <c r="F4562" s="25">
        <v>0.18888888888888888</v>
      </c>
      <c r="G4562" s="28" t="s">
        <v>1817</v>
      </c>
      <c r="H4562" s="27" t="str">
        <f t="shared" si="2"/>
        <v/>
      </c>
      <c r="I4562" s="28">
        <v>2.0</v>
      </c>
      <c r="J4562" s="39" t="s">
        <v>2148</v>
      </c>
      <c r="K4562" s="41"/>
      <c r="L4562" s="31" t="str">
        <f>IFERROR(__xludf.DUMMYFUNCTION("IF(OR(E4562="""",K4562=""""),"""",IFERROR(IF(K4562="""","""",query('tbl user'!$A$2:$D10975,""SELECT A WHERE D = '""&amp;K4562&amp;""'"")),""USER TIDAK DIKETAHUI""))"),"")</f>
        <v/>
      </c>
    </row>
    <row r="4563">
      <c r="A4563" s="21" t="str">
        <f t="shared" si="1"/>
        <v/>
      </c>
      <c r="B4563" s="38"/>
      <c r="C4563" s="23" t="s">
        <v>1871</v>
      </c>
      <c r="D4563" s="23" t="s">
        <v>58</v>
      </c>
      <c r="E4563" s="24">
        <v>45465.0</v>
      </c>
      <c r="F4563" s="25">
        <v>0.2743055555555556</v>
      </c>
      <c r="G4563" s="28" t="s">
        <v>1817</v>
      </c>
      <c r="H4563" s="27" t="str">
        <f t="shared" si="2"/>
        <v/>
      </c>
      <c r="I4563" s="28">
        <v>2.0</v>
      </c>
      <c r="J4563" s="39" t="s">
        <v>2149</v>
      </c>
      <c r="K4563" s="41"/>
      <c r="L4563" s="31" t="str">
        <f>IFERROR(__xludf.DUMMYFUNCTION("IF(OR(E4563="""",K4563=""""),"""",IFERROR(IF(K4563="""","""",query('tbl user'!$A$2:$D10975,""SELECT A WHERE D = '""&amp;K4563&amp;""'"")),""USER TIDAK DIKETAHUI""))"),"")</f>
        <v/>
      </c>
    </row>
    <row r="4564">
      <c r="A4564" s="21" t="str">
        <f t="shared" si="1"/>
        <v/>
      </c>
      <c r="B4564" s="38"/>
      <c r="C4564" s="23" t="s">
        <v>1874</v>
      </c>
      <c r="D4564" s="23" t="s">
        <v>58</v>
      </c>
      <c r="E4564" s="24">
        <v>45465.0</v>
      </c>
      <c r="F4564" s="25">
        <v>0.2708333333333333</v>
      </c>
      <c r="G4564" s="25">
        <v>0.65625</v>
      </c>
      <c r="H4564" s="27">
        <f t="shared" si="2"/>
        <v>0.3854166667</v>
      </c>
      <c r="I4564" s="28">
        <v>3.0</v>
      </c>
      <c r="J4564" s="39" t="s">
        <v>171</v>
      </c>
      <c r="K4564" s="41"/>
      <c r="L4564" s="31" t="str">
        <f>IFERROR(__xludf.DUMMYFUNCTION("IF(OR(E4564="""",K4564=""""),"""",IFERROR(IF(K4564="""","""",query('tbl user'!$A$2:$D10975,""SELECT A WHERE D = '""&amp;K4564&amp;""'"")),""USER TIDAK DIKETAHUI""))"),"")</f>
        <v/>
      </c>
    </row>
    <row r="4565">
      <c r="A4565" s="21" t="str">
        <f t="shared" si="1"/>
        <v/>
      </c>
      <c r="B4565" s="38"/>
      <c r="C4565" s="23" t="s">
        <v>1877</v>
      </c>
      <c r="D4565" s="23" t="s">
        <v>58</v>
      </c>
      <c r="E4565" s="24">
        <v>45465.0</v>
      </c>
      <c r="F4565" s="25">
        <v>0.23125</v>
      </c>
      <c r="G4565" s="25">
        <v>0.6875</v>
      </c>
      <c r="H4565" s="27">
        <f t="shared" si="2"/>
        <v>0.45625</v>
      </c>
      <c r="I4565" s="28">
        <v>3.0</v>
      </c>
      <c r="J4565" s="39" t="s">
        <v>2150</v>
      </c>
      <c r="K4565" s="41"/>
      <c r="L4565" s="31" t="str">
        <f>IFERROR(__xludf.DUMMYFUNCTION("IF(OR(E4565="""",K4565=""""),"""",IFERROR(IF(K4565="""","""",query('tbl user'!$A$2:$D10975,""SELECT A WHERE D = '""&amp;K4565&amp;""'"")),""USER TIDAK DIKETAHUI""))"),"")</f>
        <v/>
      </c>
    </row>
    <row r="4566">
      <c r="A4566" s="21" t="str">
        <f t="shared" si="1"/>
        <v/>
      </c>
      <c r="B4566" s="38"/>
      <c r="C4566" s="23" t="s">
        <v>1867</v>
      </c>
      <c r="D4566" s="23" t="s">
        <v>58</v>
      </c>
      <c r="E4566" s="24">
        <v>45465.0</v>
      </c>
      <c r="F4566" s="25">
        <v>0.26458333333333334</v>
      </c>
      <c r="G4566" s="25">
        <v>0.6736111111111112</v>
      </c>
      <c r="H4566" s="27">
        <f t="shared" si="2"/>
        <v>0.4090277778</v>
      </c>
      <c r="I4566" s="28">
        <v>3.0</v>
      </c>
      <c r="J4566" s="39" t="s">
        <v>171</v>
      </c>
      <c r="K4566" s="41"/>
      <c r="L4566" s="31" t="str">
        <f>IFERROR(__xludf.DUMMYFUNCTION("IF(OR(E4566="""",K4566=""""),"""",IFERROR(IF(K4566="""","""",query('tbl user'!$A$2:$D10975,""SELECT A WHERE D = '""&amp;K4566&amp;""'"")),""USER TIDAK DIKETAHUI""))"),"")</f>
        <v/>
      </c>
    </row>
    <row r="4567">
      <c r="A4567" s="21" t="str">
        <f t="shared" si="1"/>
        <v/>
      </c>
      <c r="B4567" s="38"/>
      <c r="C4567" s="23" t="s">
        <v>1878</v>
      </c>
      <c r="D4567" s="23" t="s">
        <v>58</v>
      </c>
      <c r="E4567" s="24">
        <v>45465.0</v>
      </c>
      <c r="F4567" s="25">
        <v>0.2875</v>
      </c>
      <c r="G4567" s="25">
        <v>0.6951388888888889</v>
      </c>
      <c r="H4567" s="27">
        <f t="shared" si="2"/>
        <v>0.4076388889</v>
      </c>
      <c r="I4567" s="28">
        <v>3.0</v>
      </c>
      <c r="J4567" s="39" t="s">
        <v>2151</v>
      </c>
      <c r="K4567" s="41"/>
      <c r="L4567" s="31" t="str">
        <f>IFERROR(__xludf.DUMMYFUNCTION("IF(OR(E4567="""",K4567=""""),"""",IFERROR(IF(K4567="""","""",query('tbl user'!$A$2:$D10975,""SELECT A WHERE D = '""&amp;K4567&amp;""'"")),""USER TIDAK DIKETAHUI""))"),"")</f>
        <v/>
      </c>
    </row>
    <row r="4568">
      <c r="A4568" s="21" t="str">
        <f t="shared" si="1"/>
        <v/>
      </c>
      <c r="B4568" s="38"/>
      <c r="C4568" s="23" t="s">
        <v>1881</v>
      </c>
      <c r="D4568" s="23" t="s">
        <v>58</v>
      </c>
      <c r="E4568" s="24">
        <v>45465.0</v>
      </c>
      <c r="F4568" s="25">
        <v>0.2604166666666667</v>
      </c>
      <c r="G4568" s="25">
        <v>0.6381944444444444</v>
      </c>
      <c r="H4568" s="27">
        <f t="shared" si="2"/>
        <v>0.3777777778</v>
      </c>
      <c r="I4568" s="28">
        <v>3.0</v>
      </c>
      <c r="J4568" s="39" t="s">
        <v>171</v>
      </c>
      <c r="K4568" s="41"/>
      <c r="L4568" s="31" t="str">
        <f>IFERROR(__xludf.DUMMYFUNCTION("IF(OR(E4568="""",K4568=""""),"""",IFERROR(IF(K4568="""","""",query('tbl user'!$A$2:$D10975,""SELECT A WHERE D = '""&amp;K4568&amp;""'"")),""USER TIDAK DIKETAHUI""))"),"")</f>
        <v/>
      </c>
    </row>
    <row r="4569">
      <c r="A4569" s="21" t="str">
        <f t="shared" si="1"/>
        <v/>
      </c>
      <c r="B4569" s="38"/>
      <c r="C4569" s="23" t="s">
        <v>1886</v>
      </c>
      <c r="D4569" s="23" t="s">
        <v>58</v>
      </c>
      <c r="E4569" s="24">
        <v>45465.0</v>
      </c>
      <c r="F4569" s="25">
        <v>0.2722222222222222</v>
      </c>
      <c r="G4569" s="25">
        <v>0.6472222222222223</v>
      </c>
      <c r="H4569" s="27">
        <f t="shared" si="2"/>
        <v>0.375</v>
      </c>
      <c r="I4569" s="28">
        <v>3.0</v>
      </c>
      <c r="J4569" s="39" t="s">
        <v>171</v>
      </c>
      <c r="K4569" s="41"/>
      <c r="L4569" s="31" t="str">
        <f>IFERROR(__xludf.DUMMYFUNCTION("IF(OR(E4569="""",K4569=""""),"""",IFERROR(IF(K4569="""","""",query('tbl user'!$A$2:$D10975,""SELECT A WHERE D = '""&amp;K4569&amp;""'"")),""USER TIDAK DIKETAHUI""))"),"")</f>
        <v/>
      </c>
    </row>
    <row r="4570">
      <c r="A4570" s="21" t="str">
        <f t="shared" si="1"/>
        <v/>
      </c>
      <c r="B4570" s="38"/>
      <c r="C4570" s="23" t="s">
        <v>1889</v>
      </c>
      <c r="D4570" s="23" t="s">
        <v>58</v>
      </c>
      <c r="E4570" s="24">
        <v>45465.0</v>
      </c>
      <c r="F4570" s="25">
        <v>0.225</v>
      </c>
      <c r="G4570" s="25">
        <v>0.6263888888888889</v>
      </c>
      <c r="H4570" s="27">
        <f t="shared" si="2"/>
        <v>0.4013888889</v>
      </c>
      <c r="I4570" s="28">
        <v>3.0</v>
      </c>
      <c r="J4570" s="39" t="s">
        <v>1591</v>
      </c>
      <c r="K4570" s="41"/>
      <c r="L4570" s="31" t="str">
        <f>IFERROR(__xludf.DUMMYFUNCTION("IF(OR(E4570="""",K4570=""""),"""",IFERROR(IF(K4570="""","""",query('tbl user'!$A$2:$D10975,""SELECT A WHERE D = '""&amp;K4570&amp;""'"")),""USER TIDAK DIKETAHUI""))"),"")</f>
        <v/>
      </c>
    </row>
    <row r="4571">
      <c r="A4571" s="21" t="str">
        <f t="shared" si="1"/>
        <v/>
      </c>
      <c r="B4571" s="38"/>
      <c r="C4571" s="23" t="s">
        <v>1872</v>
      </c>
      <c r="D4571" s="23" t="s">
        <v>58</v>
      </c>
      <c r="E4571" s="24">
        <v>45465.0</v>
      </c>
      <c r="F4571" s="25">
        <v>0.2534722222222222</v>
      </c>
      <c r="G4571" s="25">
        <v>0.68125</v>
      </c>
      <c r="H4571" s="27">
        <f t="shared" si="2"/>
        <v>0.4277777778</v>
      </c>
      <c r="I4571" s="28">
        <v>3.0</v>
      </c>
      <c r="J4571" s="39" t="s">
        <v>171</v>
      </c>
      <c r="K4571" s="41"/>
      <c r="L4571" s="31" t="str">
        <f>IFERROR(__xludf.DUMMYFUNCTION("IF(OR(E4571="""",K4571=""""),"""",IFERROR(IF(K4571="""","""",query('tbl user'!$A$2:$D10975,""SELECT A WHERE D = '""&amp;K4571&amp;""'"")),""USER TIDAK DIKETAHUI""))"),"")</f>
        <v/>
      </c>
    </row>
    <row r="4572">
      <c r="A4572" s="21" t="str">
        <f t="shared" si="1"/>
        <v/>
      </c>
      <c r="B4572" s="38"/>
      <c r="C4572" s="23" t="s">
        <v>2090</v>
      </c>
      <c r="D4572" s="23" t="s">
        <v>58</v>
      </c>
      <c r="E4572" s="24">
        <v>45465.0</v>
      </c>
      <c r="F4572" s="25">
        <v>0.26666666666666666</v>
      </c>
      <c r="G4572" s="25">
        <v>0.6256944444444444</v>
      </c>
      <c r="H4572" s="27">
        <f t="shared" si="2"/>
        <v>0.3590277778</v>
      </c>
      <c r="I4572" s="28">
        <v>3.0</v>
      </c>
      <c r="J4572" s="39" t="s">
        <v>171</v>
      </c>
      <c r="K4572" s="41"/>
      <c r="L4572" s="31" t="str">
        <f>IFERROR(__xludf.DUMMYFUNCTION("IF(OR(E4572="""",K4572=""""),"""",IFERROR(IF(K4572="""","""",query('tbl user'!$A$2:$D10975,""SELECT A WHERE D = '""&amp;K4572&amp;""'"")),""USER TIDAK DIKETAHUI""))"),"")</f>
        <v/>
      </c>
    </row>
    <row r="4573">
      <c r="A4573" s="21" t="str">
        <f t="shared" si="1"/>
        <v/>
      </c>
      <c r="B4573" s="38"/>
      <c r="C4573" s="23" t="s">
        <v>1890</v>
      </c>
      <c r="D4573" s="23" t="s">
        <v>58</v>
      </c>
      <c r="E4573" s="24">
        <v>45465.0</v>
      </c>
      <c r="F4573" s="25">
        <v>0.23194444444444445</v>
      </c>
      <c r="G4573" s="25">
        <v>0.6368055555555555</v>
      </c>
      <c r="H4573" s="27">
        <f t="shared" si="2"/>
        <v>0.4048611111</v>
      </c>
      <c r="I4573" s="28">
        <v>3.0</v>
      </c>
      <c r="J4573" s="39" t="s">
        <v>171</v>
      </c>
      <c r="K4573" s="41"/>
      <c r="L4573" s="31" t="str">
        <f>IFERROR(__xludf.DUMMYFUNCTION("IF(OR(E4573="""",K4573=""""),"""",IFERROR(IF(K4573="""","""",query('tbl user'!$A$2:$D10975,""SELECT A WHERE D = '""&amp;K4573&amp;""'"")),""USER TIDAK DIKETAHUI""))"),"")</f>
        <v/>
      </c>
    </row>
    <row r="4574">
      <c r="A4574" s="21" t="str">
        <f t="shared" si="1"/>
        <v/>
      </c>
      <c r="B4574" s="38"/>
      <c r="C4574" s="23" t="s">
        <v>1861</v>
      </c>
      <c r="D4574" s="23" t="s">
        <v>58</v>
      </c>
      <c r="E4574" s="24">
        <v>45465.0</v>
      </c>
      <c r="F4574" s="25">
        <v>0.2916666666666667</v>
      </c>
      <c r="G4574" s="25">
        <v>0.7013888888888888</v>
      </c>
      <c r="H4574" s="27">
        <f t="shared" si="2"/>
        <v>0.4097222222</v>
      </c>
      <c r="I4574" s="28">
        <v>3.0</v>
      </c>
      <c r="J4574" s="39" t="s">
        <v>2152</v>
      </c>
      <c r="K4574" s="41"/>
      <c r="L4574" s="31" t="str">
        <f>IFERROR(__xludf.DUMMYFUNCTION("IF(OR(E4574="""",K4574=""""),"""",IFERROR(IF(K4574="""","""",query('tbl user'!$A$2:$D10975,""SELECT A WHERE D = '""&amp;K4574&amp;""'"")),""USER TIDAK DIKETAHUI""))"),"")</f>
        <v/>
      </c>
    </row>
    <row r="4575">
      <c r="A4575" s="21" t="str">
        <f t="shared" si="1"/>
        <v/>
      </c>
      <c r="B4575" s="38"/>
      <c r="C4575" s="23" t="s">
        <v>1879</v>
      </c>
      <c r="D4575" s="23" t="s">
        <v>58</v>
      </c>
      <c r="E4575" s="24">
        <v>45465.0</v>
      </c>
      <c r="F4575" s="25">
        <v>0.25069444444444444</v>
      </c>
      <c r="G4575" s="25">
        <v>0.6770833333333334</v>
      </c>
      <c r="H4575" s="27">
        <f t="shared" si="2"/>
        <v>0.4263888889</v>
      </c>
      <c r="I4575" s="28">
        <v>4.0</v>
      </c>
      <c r="J4575" s="39" t="s">
        <v>55</v>
      </c>
      <c r="K4575" s="41"/>
      <c r="L4575" s="31" t="str">
        <f>IFERROR(__xludf.DUMMYFUNCTION("IF(OR(E4575="""",K4575=""""),"""",IFERROR(IF(K4575="""","""",query('tbl user'!$A$2:$D10975,""SELECT A WHERE D = '""&amp;K4575&amp;""'"")),""USER TIDAK DIKETAHUI""))"),"")</f>
        <v/>
      </c>
    </row>
    <row r="4576">
      <c r="A4576" s="21" t="str">
        <f t="shared" si="1"/>
        <v/>
      </c>
      <c r="B4576" s="38"/>
      <c r="C4576" s="23" t="s">
        <v>1884</v>
      </c>
      <c r="D4576" s="23" t="s">
        <v>58</v>
      </c>
      <c r="E4576" s="24">
        <v>45465.0</v>
      </c>
      <c r="F4576" s="25">
        <v>0.23680555555555555</v>
      </c>
      <c r="G4576" s="25">
        <v>0.7020833333333333</v>
      </c>
      <c r="H4576" s="27">
        <f t="shared" si="2"/>
        <v>0.4652777778</v>
      </c>
      <c r="I4576" s="28">
        <v>4.0</v>
      </c>
      <c r="J4576" s="39" t="s">
        <v>55</v>
      </c>
      <c r="K4576" s="41"/>
      <c r="L4576" s="31" t="str">
        <f>IFERROR(__xludf.DUMMYFUNCTION("IF(OR(E4576="""",K4576=""""),"""",IFERROR(IF(K4576="""","""",query('tbl user'!$A$2:$D10975,""SELECT A WHERE D = '""&amp;K4576&amp;""'"")),""USER TIDAK DIKETAHUI""))"),"")</f>
        <v/>
      </c>
    </row>
    <row r="4577">
      <c r="A4577" s="21" t="str">
        <f t="shared" si="1"/>
        <v/>
      </c>
      <c r="B4577" s="38"/>
      <c r="C4577" s="23" t="s">
        <v>1950</v>
      </c>
      <c r="D4577" s="23" t="s">
        <v>58</v>
      </c>
      <c r="E4577" s="24">
        <v>45465.0</v>
      </c>
      <c r="F4577" s="25">
        <v>0.22013888888888888</v>
      </c>
      <c r="G4577" s="25">
        <v>0.65625</v>
      </c>
      <c r="H4577" s="27">
        <f t="shared" si="2"/>
        <v>0.4361111111</v>
      </c>
      <c r="I4577" s="28">
        <v>4.0</v>
      </c>
      <c r="J4577" s="39" t="s">
        <v>55</v>
      </c>
      <c r="K4577" s="41"/>
      <c r="L4577" s="31" t="str">
        <f>IFERROR(__xludf.DUMMYFUNCTION("IF(OR(E4577="""",K4577=""""),"""",IFERROR(IF(K4577="""","""",query('tbl user'!$A$2:$D10975,""SELECT A WHERE D = '""&amp;K4577&amp;""'"")),""USER TIDAK DIKETAHUI""))"),"")</f>
        <v/>
      </c>
    </row>
    <row r="4578">
      <c r="A4578" s="21" t="str">
        <f t="shared" si="1"/>
        <v/>
      </c>
      <c r="B4578" s="38"/>
      <c r="C4578" s="23" t="s">
        <v>1887</v>
      </c>
      <c r="D4578" s="23" t="s">
        <v>58</v>
      </c>
      <c r="E4578" s="24">
        <v>45465.0</v>
      </c>
      <c r="F4578" s="25">
        <v>0.2638888888888889</v>
      </c>
      <c r="G4578" s="25">
        <v>0.7020833333333333</v>
      </c>
      <c r="H4578" s="27">
        <f t="shared" si="2"/>
        <v>0.4381944444</v>
      </c>
      <c r="I4578" s="28">
        <v>4.0</v>
      </c>
      <c r="J4578" s="39" t="s">
        <v>55</v>
      </c>
      <c r="K4578" s="41"/>
      <c r="L4578" s="31" t="str">
        <f>IFERROR(__xludf.DUMMYFUNCTION("IF(OR(E4578="""",K4578=""""),"""",IFERROR(IF(K4578="""","""",query('tbl user'!$A$2:$D10975,""SELECT A WHERE D = '""&amp;K4578&amp;""'"")),""USER TIDAK DIKETAHUI""))"),"")</f>
        <v/>
      </c>
    </row>
    <row r="4579">
      <c r="A4579" s="21" t="str">
        <f t="shared" si="1"/>
        <v/>
      </c>
      <c r="B4579" s="38"/>
      <c r="C4579" s="23" t="s">
        <v>1888</v>
      </c>
      <c r="D4579" s="23" t="s">
        <v>58</v>
      </c>
      <c r="E4579" s="24">
        <v>45465.0</v>
      </c>
      <c r="F4579" s="25">
        <v>0.26666666666666666</v>
      </c>
      <c r="G4579" s="25">
        <v>0.6805555555555556</v>
      </c>
      <c r="H4579" s="27">
        <f t="shared" si="2"/>
        <v>0.4138888889</v>
      </c>
      <c r="I4579" s="28">
        <v>4.0</v>
      </c>
      <c r="J4579" s="39" t="s">
        <v>55</v>
      </c>
      <c r="K4579" s="41"/>
      <c r="L4579" s="31" t="str">
        <f>IFERROR(__xludf.DUMMYFUNCTION("IF(OR(E4579="""",K4579=""""),"""",IFERROR(IF(K4579="""","""",query('tbl user'!$A$2:$D10975,""SELECT A WHERE D = '""&amp;K4579&amp;""'"")),""USER TIDAK DIKETAHUI""))"),"")</f>
        <v/>
      </c>
    </row>
    <row r="4580">
      <c r="A4580" s="21" t="str">
        <f t="shared" si="1"/>
        <v/>
      </c>
      <c r="B4580" s="38"/>
      <c r="C4580" s="23" t="s">
        <v>1892</v>
      </c>
      <c r="D4580" s="23" t="s">
        <v>58</v>
      </c>
      <c r="E4580" s="24">
        <v>45465.0</v>
      </c>
      <c r="F4580" s="25">
        <v>0.1875</v>
      </c>
      <c r="G4580" s="25">
        <v>0.6375</v>
      </c>
      <c r="H4580" s="27">
        <f t="shared" si="2"/>
        <v>0.45</v>
      </c>
      <c r="I4580" s="28">
        <v>4.0</v>
      </c>
      <c r="J4580" s="39" t="s">
        <v>55</v>
      </c>
      <c r="K4580" s="41"/>
      <c r="L4580" s="31" t="str">
        <f>IFERROR(__xludf.DUMMYFUNCTION("IF(OR(E4580="""",K4580=""""),"""",IFERROR(IF(K4580="""","""",query('tbl user'!$A$2:$D10975,""SELECT A WHERE D = '""&amp;K4580&amp;""'"")),""USER TIDAK DIKETAHUI""))"),"")</f>
        <v/>
      </c>
    </row>
    <row r="4581">
      <c r="A4581" s="21" t="str">
        <f t="shared" si="1"/>
        <v/>
      </c>
      <c r="B4581" s="38"/>
      <c r="C4581" s="23" t="s">
        <v>1891</v>
      </c>
      <c r="D4581" s="23" t="s">
        <v>58</v>
      </c>
      <c r="E4581" s="24">
        <v>45465.0</v>
      </c>
      <c r="F4581" s="25">
        <v>0.2222222222222222</v>
      </c>
      <c r="G4581" s="25">
        <v>0.6888888888888889</v>
      </c>
      <c r="H4581" s="27">
        <f t="shared" si="2"/>
        <v>0.4666666667</v>
      </c>
      <c r="I4581" s="28">
        <v>4.0</v>
      </c>
      <c r="J4581" s="39" t="s">
        <v>55</v>
      </c>
      <c r="K4581" s="41"/>
      <c r="L4581" s="31" t="str">
        <f>IFERROR(__xludf.DUMMYFUNCTION("IF(OR(E4581="""",K4581=""""),"""",IFERROR(IF(K4581="""","""",query('tbl user'!$A$2:$D10975,""SELECT A WHERE D = '""&amp;K4581&amp;""'"")),""USER TIDAK DIKETAHUI""))"),"")</f>
        <v/>
      </c>
    </row>
    <row r="4582">
      <c r="A4582" s="21" t="str">
        <f t="shared" si="1"/>
        <v/>
      </c>
      <c r="B4582" s="38"/>
      <c r="C4582" s="23" t="s">
        <v>2153</v>
      </c>
      <c r="D4582" s="23" t="s">
        <v>32</v>
      </c>
      <c r="E4582" s="24">
        <v>45465.0</v>
      </c>
      <c r="F4582" s="25">
        <v>0.35347222222222224</v>
      </c>
      <c r="G4582" s="25">
        <v>0.475</v>
      </c>
      <c r="H4582" s="27">
        <f t="shared" si="2"/>
        <v>0.1215277778</v>
      </c>
      <c r="I4582" s="28">
        <v>1.0</v>
      </c>
      <c r="J4582" s="39" t="s">
        <v>1087</v>
      </c>
      <c r="K4582" s="41"/>
      <c r="L4582" s="31" t="str">
        <f>IFERROR(__xludf.DUMMYFUNCTION("IF(OR(E4582="""",K4582=""""),"""",IFERROR(IF(K4582="""","""",query('tbl user'!$A$2:$D10975,""SELECT A WHERE D = '""&amp;K4582&amp;""'"")),""USER TIDAK DIKETAHUI""))"),"")</f>
        <v/>
      </c>
    </row>
    <row r="4583">
      <c r="A4583" s="21" t="str">
        <f t="shared" si="1"/>
        <v/>
      </c>
      <c r="B4583" s="38"/>
      <c r="C4583" s="23" t="s">
        <v>1912</v>
      </c>
      <c r="D4583" s="23" t="s">
        <v>32</v>
      </c>
      <c r="E4583" s="24">
        <v>45465.0</v>
      </c>
      <c r="F4583" s="25">
        <v>0.24444444444444444</v>
      </c>
      <c r="G4583" s="25">
        <v>0.6548611111111111</v>
      </c>
      <c r="H4583" s="27">
        <f t="shared" si="2"/>
        <v>0.4104166667</v>
      </c>
      <c r="I4583" s="28">
        <v>0.0</v>
      </c>
      <c r="J4583" s="39" t="s">
        <v>2154</v>
      </c>
      <c r="K4583" s="41"/>
      <c r="L4583" s="31" t="str">
        <f>IFERROR(__xludf.DUMMYFUNCTION("IF(OR(E4583="""",K4583=""""),"""",IFERROR(IF(K4583="""","""",query('tbl user'!$A$2:$D10975,""SELECT A WHERE D = '""&amp;K4583&amp;""'"")),""USER TIDAK DIKETAHUI""))"),"")</f>
        <v/>
      </c>
    </row>
    <row r="4584">
      <c r="A4584" s="21" t="str">
        <f t="shared" si="1"/>
        <v/>
      </c>
      <c r="B4584" s="38"/>
      <c r="C4584" s="23" t="s">
        <v>1959</v>
      </c>
      <c r="D4584" s="23" t="s">
        <v>32</v>
      </c>
      <c r="E4584" s="24">
        <v>45465.0</v>
      </c>
      <c r="F4584" s="25">
        <v>0.2375</v>
      </c>
      <c r="G4584" s="28" t="s">
        <v>1817</v>
      </c>
      <c r="H4584" s="27" t="str">
        <f t="shared" si="2"/>
        <v/>
      </c>
      <c r="I4584" s="28">
        <v>2.0</v>
      </c>
      <c r="J4584" s="39" t="s">
        <v>2155</v>
      </c>
      <c r="K4584" s="41"/>
      <c r="L4584" s="31" t="str">
        <f>IFERROR(__xludf.DUMMYFUNCTION("IF(OR(E4584="""",K4584=""""),"""",IFERROR(IF(K4584="""","""",query('tbl user'!$A$2:$D10975,""SELECT A WHERE D = '""&amp;K4584&amp;""'"")),""USER TIDAK DIKETAHUI""))"),"")</f>
        <v/>
      </c>
    </row>
    <row r="4585">
      <c r="A4585" s="21" t="str">
        <f t="shared" si="1"/>
        <v/>
      </c>
      <c r="B4585" s="38"/>
      <c r="C4585" s="23" t="s">
        <v>1964</v>
      </c>
      <c r="D4585" s="23" t="s">
        <v>32</v>
      </c>
      <c r="E4585" s="24">
        <v>45465.0</v>
      </c>
      <c r="F4585" s="25">
        <v>0.2569444444444444</v>
      </c>
      <c r="G4585" s="25">
        <v>0.6909722222222222</v>
      </c>
      <c r="H4585" s="27">
        <f t="shared" si="2"/>
        <v>0.4340277778</v>
      </c>
      <c r="I4585" s="28">
        <v>4.0</v>
      </c>
      <c r="J4585" s="39" t="s">
        <v>55</v>
      </c>
      <c r="K4585" s="41"/>
      <c r="L4585" s="31" t="str">
        <f>IFERROR(__xludf.DUMMYFUNCTION("IF(OR(E4585="""",K4585=""""),"""",IFERROR(IF(K4585="""","""",query('tbl user'!$A$2:$D10975,""SELECT A WHERE D = '""&amp;K4585&amp;""'"")),""USER TIDAK DIKETAHUI""))"),"")</f>
        <v/>
      </c>
    </row>
    <row r="4586">
      <c r="A4586" s="21" t="str">
        <f t="shared" si="1"/>
        <v/>
      </c>
      <c r="B4586" s="38"/>
      <c r="C4586" s="23" t="s">
        <v>1965</v>
      </c>
      <c r="D4586" s="23" t="s">
        <v>32</v>
      </c>
      <c r="E4586" s="24">
        <v>45465.0</v>
      </c>
      <c r="F4586" s="25">
        <v>0.2826388888888889</v>
      </c>
      <c r="G4586" s="25">
        <v>0.6729166666666667</v>
      </c>
      <c r="H4586" s="27">
        <f t="shared" si="2"/>
        <v>0.3902777778</v>
      </c>
      <c r="I4586" s="28">
        <v>4.0</v>
      </c>
      <c r="J4586" s="39" t="s">
        <v>55</v>
      </c>
      <c r="K4586" s="41"/>
      <c r="L4586" s="31" t="str">
        <f>IFERROR(__xludf.DUMMYFUNCTION("IF(OR(E4586="""",K4586=""""),"""",IFERROR(IF(K4586="""","""",query('tbl user'!$A$2:$D10975,""SELECT A WHERE D = '""&amp;K4586&amp;""'"")),""USER TIDAK DIKETAHUI""))"),"")</f>
        <v/>
      </c>
    </row>
    <row r="4587">
      <c r="A4587" s="21" t="str">
        <f t="shared" si="1"/>
        <v/>
      </c>
      <c r="B4587" s="38"/>
      <c r="C4587" s="23" t="s">
        <v>2066</v>
      </c>
      <c r="D4587" s="23" t="s">
        <v>32</v>
      </c>
      <c r="E4587" s="24">
        <v>45465.0</v>
      </c>
      <c r="F4587" s="25">
        <v>0.28888888888888886</v>
      </c>
      <c r="G4587" s="25">
        <v>0.7055555555555556</v>
      </c>
      <c r="H4587" s="27">
        <f t="shared" si="2"/>
        <v>0.4166666667</v>
      </c>
      <c r="I4587" s="28">
        <v>4.0</v>
      </c>
      <c r="J4587" s="39" t="s">
        <v>55</v>
      </c>
      <c r="K4587" s="41"/>
      <c r="L4587" s="31" t="str">
        <f>IFERROR(__xludf.DUMMYFUNCTION("IF(OR(E4587="""",K4587=""""),"""",IFERROR(IF(K4587="""","""",query('tbl user'!$A$2:$D10975,""SELECT A WHERE D = '""&amp;K4587&amp;""'"")),""USER TIDAK DIKETAHUI""))"),"")</f>
        <v/>
      </c>
    </row>
    <row r="4588">
      <c r="A4588" s="21" t="str">
        <f t="shared" si="1"/>
        <v/>
      </c>
      <c r="B4588" s="38"/>
      <c r="C4588" s="23" t="s">
        <v>1990</v>
      </c>
      <c r="D4588" s="23" t="s">
        <v>32</v>
      </c>
      <c r="E4588" s="24">
        <v>45465.0</v>
      </c>
      <c r="F4588" s="25">
        <v>0.24444444444444444</v>
      </c>
      <c r="G4588" s="25">
        <v>0.6430555555555556</v>
      </c>
      <c r="H4588" s="27">
        <f t="shared" si="2"/>
        <v>0.3986111111</v>
      </c>
      <c r="I4588" s="28">
        <v>4.0</v>
      </c>
      <c r="J4588" s="39" t="s">
        <v>55</v>
      </c>
      <c r="K4588" s="41"/>
      <c r="L4588" s="31" t="str">
        <f>IFERROR(__xludf.DUMMYFUNCTION("IF(OR(E4588="""",K4588=""""),"""",IFERROR(IF(K4588="""","""",query('tbl user'!$A$2:$D10975,""SELECT A WHERE D = '""&amp;K4588&amp;""'"")),""USER TIDAK DIKETAHUI""))"),"")</f>
        <v/>
      </c>
    </row>
    <row r="4589">
      <c r="A4589" s="21" t="str">
        <f t="shared" si="1"/>
        <v/>
      </c>
      <c r="B4589" s="38"/>
      <c r="C4589" s="23" t="s">
        <v>1903</v>
      </c>
      <c r="D4589" s="23" t="s">
        <v>32</v>
      </c>
      <c r="E4589" s="24">
        <v>45465.0</v>
      </c>
      <c r="F4589" s="25">
        <v>0.22916666666666666</v>
      </c>
      <c r="G4589" s="25">
        <v>0.6368055555555555</v>
      </c>
      <c r="H4589" s="27">
        <f t="shared" si="2"/>
        <v>0.4076388889</v>
      </c>
      <c r="I4589" s="28">
        <v>4.0</v>
      </c>
      <c r="J4589" s="39" t="s">
        <v>55</v>
      </c>
      <c r="K4589" s="41"/>
      <c r="L4589" s="31" t="str">
        <f>IFERROR(__xludf.DUMMYFUNCTION("IF(OR(E4589="""",K4589=""""),"""",IFERROR(IF(K4589="""","""",query('tbl user'!$A$2:$D10975,""SELECT A WHERE D = '""&amp;K4589&amp;""'"")),""USER TIDAK DIKETAHUI""))"),"")</f>
        <v/>
      </c>
    </row>
    <row r="4590">
      <c r="A4590" s="21" t="str">
        <f t="shared" si="1"/>
        <v/>
      </c>
      <c r="B4590" s="38"/>
      <c r="C4590" s="23" t="s">
        <v>1954</v>
      </c>
      <c r="D4590" s="23" t="s">
        <v>32</v>
      </c>
      <c r="E4590" s="24">
        <v>45465.0</v>
      </c>
      <c r="F4590" s="25">
        <v>0.28055555555555556</v>
      </c>
      <c r="G4590" s="25">
        <v>0.6743055555555556</v>
      </c>
      <c r="H4590" s="27">
        <f t="shared" si="2"/>
        <v>0.39375</v>
      </c>
      <c r="I4590" s="28">
        <v>4.0</v>
      </c>
      <c r="J4590" s="39" t="s">
        <v>55</v>
      </c>
      <c r="K4590" s="41"/>
      <c r="L4590" s="31" t="str">
        <f>IFERROR(__xludf.DUMMYFUNCTION("IF(OR(E4590="""",K4590=""""),"""",IFERROR(IF(K4590="""","""",query('tbl user'!$A$2:$D10975,""SELECT A WHERE D = '""&amp;K4590&amp;""'"")),""USER TIDAK DIKETAHUI""))"),"")</f>
        <v/>
      </c>
    </row>
    <row r="4591">
      <c r="A4591" s="21" t="str">
        <f t="shared" si="1"/>
        <v/>
      </c>
      <c r="B4591" s="38"/>
      <c r="C4591" s="23" t="s">
        <v>1905</v>
      </c>
      <c r="D4591" s="23" t="s">
        <v>32</v>
      </c>
      <c r="E4591" s="24">
        <v>45465.0</v>
      </c>
      <c r="F4591" s="25">
        <v>0.2604166666666667</v>
      </c>
      <c r="G4591" s="25">
        <v>0.6840277777777778</v>
      </c>
      <c r="H4591" s="27">
        <f t="shared" si="2"/>
        <v>0.4236111111</v>
      </c>
      <c r="I4591" s="28">
        <v>4.0</v>
      </c>
      <c r="J4591" s="39" t="s">
        <v>55</v>
      </c>
      <c r="K4591" s="41"/>
      <c r="L4591" s="31" t="str">
        <f>IFERROR(__xludf.DUMMYFUNCTION("IF(OR(E4591="""",K4591=""""),"""",IFERROR(IF(K4591="""","""",query('tbl user'!$A$2:$D10975,""SELECT A WHERE D = '""&amp;K4591&amp;""'"")),""USER TIDAK DIKETAHUI""))"),"")</f>
        <v/>
      </c>
    </row>
    <row r="4592">
      <c r="A4592" s="21" t="str">
        <f t="shared" si="1"/>
        <v/>
      </c>
      <c r="B4592" s="38"/>
      <c r="C4592" s="23" t="s">
        <v>1907</v>
      </c>
      <c r="D4592" s="23" t="s">
        <v>32</v>
      </c>
      <c r="E4592" s="24">
        <v>45465.0</v>
      </c>
      <c r="F4592" s="25">
        <v>0.23125</v>
      </c>
      <c r="G4592" s="25">
        <v>0.7048611111111112</v>
      </c>
      <c r="H4592" s="27">
        <f t="shared" si="2"/>
        <v>0.4736111111</v>
      </c>
      <c r="I4592" s="28">
        <v>4.0</v>
      </c>
      <c r="J4592" s="39" t="s">
        <v>55</v>
      </c>
      <c r="K4592" s="41"/>
      <c r="L4592" s="31" t="str">
        <f>IFERROR(__xludf.DUMMYFUNCTION("IF(OR(E4592="""",K4592=""""),"""",IFERROR(IF(K4592="""","""",query('tbl user'!$A$2:$D10975,""SELECT A WHERE D = '""&amp;K4592&amp;""'"")),""USER TIDAK DIKETAHUI""))"),"")</f>
        <v/>
      </c>
    </row>
    <row r="4593">
      <c r="A4593" s="21" t="str">
        <f t="shared" si="1"/>
        <v/>
      </c>
      <c r="B4593" s="38"/>
      <c r="C4593" s="23" t="s">
        <v>1908</v>
      </c>
      <c r="D4593" s="23" t="s">
        <v>32</v>
      </c>
      <c r="E4593" s="24">
        <v>45465.0</v>
      </c>
      <c r="F4593" s="25">
        <v>0.25</v>
      </c>
      <c r="G4593" s="25">
        <v>0.6541666666666667</v>
      </c>
      <c r="H4593" s="27">
        <f t="shared" si="2"/>
        <v>0.4041666667</v>
      </c>
      <c r="I4593" s="28">
        <v>4.0</v>
      </c>
      <c r="J4593" s="39" t="s">
        <v>55</v>
      </c>
      <c r="K4593" s="41"/>
      <c r="L4593" s="31" t="str">
        <f>IFERROR(__xludf.DUMMYFUNCTION("IF(OR(E4593="""",K4593=""""),"""",IFERROR(IF(K4593="""","""",query('tbl user'!$A$2:$D10975,""SELECT A WHERE D = '""&amp;K4593&amp;""'"")),""USER TIDAK DIKETAHUI""))"),"")</f>
        <v/>
      </c>
    </row>
    <row r="4594">
      <c r="A4594" s="21" t="str">
        <f t="shared" si="1"/>
        <v/>
      </c>
      <c r="B4594" s="38"/>
      <c r="C4594" s="23" t="s">
        <v>1900</v>
      </c>
      <c r="D4594" s="23" t="s">
        <v>32</v>
      </c>
      <c r="E4594" s="24">
        <v>45465.0</v>
      </c>
      <c r="F4594" s="25">
        <v>0.2548611111111111</v>
      </c>
      <c r="G4594" s="25">
        <v>0.6722222222222223</v>
      </c>
      <c r="H4594" s="27">
        <f t="shared" si="2"/>
        <v>0.4173611111</v>
      </c>
      <c r="I4594" s="28">
        <v>4.0</v>
      </c>
      <c r="J4594" s="39" t="s">
        <v>55</v>
      </c>
      <c r="K4594" s="41"/>
      <c r="L4594" s="31" t="str">
        <f>IFERROR(__xludf.DUMMYFUNCTION("IF(OR(E4594="""",K4594=""""),"""",IFERROR(IF(K4594="""","""",query('tbl user'!$A$2:$D10975,""SELECT A WHERE D = '""&amp;K4594&amp;""'"")),""USER TIDAK DIKETAHUI""))"),"")</f>
        <v/>
      </c>
    </row>
    <row r="4595">
      <c r="A4595" s="21" t="str">
        <f t="shared" si="1"/>
        <v/>
      </c>
      <c r="B4595" s="38"/>
      <c r="C4595" s="23" t="s">
        <v>1967</v>
      </c>
      <c r="D4595" s="23" t="s">
        <v>32</v>
      </c>
      <c r="E4595" s="24">
        <v>45465.0</v>
      </c>
      <c r="F4595" s="25">
        <v>0.2361111111111111</v>
      </c>
      <c r="G4595" s="25">
        <v>0.7263888888888889</v>
      </c>
      <c r="H4595" s="27">
        <f t="shared" si="2"/>
        <v>0.4902777778</v>
      </c>
      <c r="I4595" s="28">
        <v>5.0</v>
      </c>
      <c r="J4595" s="39" t="s">
        <v>55</v>
      </c>
      <c r="K4595" s="41"/>
      <c r="L4595" s="31" t="str">
        <f>IFERROR(__xludf.DUMMYFUNCTION("IF(OR(E4595="""",K4595=""""),"""",IFERROR(IF(K4595="""","""",query('tbl user'!$A$2:$D10975,""SELECT A WHERE D = '""&amp;K4595&amp;""'"")),""USER TIDAK DIKETAHUI""))"),"")</f>
        <v/>
      </c>
    </row>
    <row r="4596">
      <c r="A4596" s="21" t="str">
        <f t="shared" si="1"/>
        <v/>
      </c>
      <c r="B4596" s="38"/>
      <c r="C4596" s="23" t="s">
        <v>1913</v>
      </c>
      <c r="D4596" s="23" t="s">
        <v>32</v>
      </c>
      <c r="E4596" s="24">
        <v>45465.0</v>
      </c>
      <c r="F4596" s="25">
        <v>0.23680555555555555</v>
      </c>
      <c r="G4596" s="25">
        <v>0.7291666666666666</v>
      </c>
      <c r="H4596" s="27">
        <f t="shared" si="2"/>
        <v>0.4923611111</v>
      </c>
      <c r="I4596" s="28">
        <v>5.0</v>
      </c>
      <c r="J4596" s="39" t="s">
        <v>55</v>
      </c>
      <c r="K4596" s="41"/>
      <c r="L4596" s="31" t="str">
        <f>IFERROR(__xludf.DUMMYFUNCTION("IF(OR(E4596="""",K4596=""""),"""",IFERROR(IF(K4596="""","""",query('tbl user'!$A$2:$D10975,""SELECT A WHERE D = '""&amp;K4596&amp;""'"")),""USER TIDAK DIKETAHUI""))"),"")</f>
        <v/>
      </c>
    </row>
    <row r="4597">
      <c r="A4597" s="21" t="str">
        <f t="shared" si="1"/>
        <v/>
      </c>
      <c r="B4597" s="38"/>
      <c r="C4597" s="23" t="s">
        <v>2136</v>
      </c>
      <c r="D4597" s="23" t="s">
        <v>21</v>
      </c>
      <c r="E4597" s="24">
        <v>45466.0</v>
      </c>
      <c r="F4597" s="25">
        <v>0.28958333333333336</v>
      </c>
      <c r="G4597" s="25">
        <v>0.4722222222222222</v>
      </c>
      <c r="H4597" s="27">
        <f t="shared" si="2"/>
        <v>0.1826388889</v>
      </c>
      <c r="I4597" s="28">
        <v>1.0</v>
      </c>
      <c r="J4597" s="39" t="s">
        <v>2156</v>
      </c>
      <c r="K4597" s="41"/>
      <c r="L4597" s="31" t="str">
        <f>IFERROR(__xludf.DUMMYFUNCTION("IF(OR(E4597="""",K4597=""""),"""",IFERROR(IF(K4597="""","""",query('tbl user'!$A$2:$D10975,""SELECT A WHERE D = '""&amp;K4597&amp;""'"")),""USER TIDAK DIKETAHUI""))"),"")</f>
        <v/>
      </c>
    </row>
    <row r="4598">
      <c r="A4598" s="21" t="str">
        <f t="shared" si="1"/>
        <v/>
      </c>
      <c r="B4598" s="38"/>
      <c r="C4598" s="23" t="s">
        <v>1851</v>
      </c>
      <c r="D4598" s="23" t="s">
        <v>21</v>
      </c>
      <c r="E4598" s="24">
        <v>45466.0</v>
      </c>
      <c r="F4598" s="25">
        <v>0.2638888888888889</v>
      </c>
      <c r="G4598" s="25">
        <v>0.5527777777777778</v>
      </c>
      <c r="H4598" s="27">
        <f t="shared" si="2"/>
        <v>0.2888888889</v>
      </c>
      <c r="I4598" s="28">
        <v>2.0</v>
      </c>
      <c r="J4598" s="39" t="s">
        <v>2157</v>
      </c>
      <c r="K4598" s="41"/>
      <c r="L4598" s="31" t="str">
        <f>IFERROR(__xludf.DUMMYFUNCTION("IF(OR(E4598="""",K4598=""""),"""",IFERROR(IF(K4598="""","""",query('tbl user'!$A$2:$D10975,""SELECT A WHERE D = '""&amp;K4598&amp;""'"")),""USER TIDAK DIKETAHUI""))"),"")</f>
        <v/>
      </c>
    </row>
    <row r="4599">
      <c r="A4599" s="21" t="str">
        <f t="shared" si="1"/>
        <v/>
      </c>
      <c r="B4599" s="38"/>
      <c r="C4599" s="23" t="s">
        <v>1853</v>
      </c>
      <c r="D4599" s="23" t="s">
        <v>21</v>
      </c>
      <c r="E4599" s="24">
        <v>45466.0</v>
      </c>
      <c r="F4599" s="25">
        <v>0.3611111111111111</v>
      </c>
      <c r="G4599" s="25">
        <v>0.6256944444444444</v>
      </c>
      <c r="H4599" s="27">
        <f t="shared" si="2"/>
        <v>0.2645833333</v>
      </c>
      <c r="I4599" s="28">
        <v>2.0</v>
      </c>
      <c r="J4599" s="39" t="s">
        <v>2158</v>
      </c>
      <c r="K4599" s="41"/>
      <c r="L4599" s="31" t="str">
        <f>IFERROR(__xludf.DUMMYFUNCTION("IF(OR(E4599="""",K4599=""""),"""",IFERROR(IF(K4599="""","""",query('tbl user'!$A$2:$D10975,""SELECT A WHERE D = '""&amp;K4599&amp;""'"")),""USER TIDAK DIKETAHUI""))"),"")</f>
        <v/>
      </c>
    </row>
    <row r="4600">
      <c r="A4600" s="21" t="str">
        <f t="shared" si="1"/>
        <v/>
      </c>
      <c r="B4600" s="38"/>
      <c r="C4600" s="23" t="s">
        <v>1920</v>
      </c>
      <c r="D4600" s="23" t="s">
        <v>21</v>
      </c>
      <c r="E4600" s="24">
        <v>45466.0</v>
      </c>
      <c r="F4600" s="25">
        <v>0.2847222222222222</v>
      </c>
      <c r="G4600" s="25">
        <v>0.7326388888888888</v>
      </c>
      <c r="H4600" s="27">
        <f t="shared" si="2"/>
        <v>0.4479166667</v>
      </c>
      <c r="I4600" s="28">
        <v>2.0</v>
      </c>
      <c r="J4600" s="39" t="s">
        <v>2159</v>
      </c>
      <c r="K4600" s="41"/>
      <c r="L4600" s="31" t="str">
        <f>IFERROR(__xludf.DUMMYFUNCTION("IF(OR(E4600="""",K4600=""""),"""",IFERROR(IF(K4600="""","""",query('tbl user'!$A$2:$D10975,""SELECT A WHERE D = '""&amp;K4600&amp;""'"")),""USER TIDAK DIKETAHUI""))"),"")</f>
        <v/>
      </c>
    </row>
    <row r="4601">
      <c r="A4601" s="21" t="str">
        <f t="shared" si="1"/>
        <v/>
      </c>
      <c r="B4601" s="38"/>
      <c r="C4601" s="23" t="s">
        <v>1844</v>
      </c>
      <c r="D4601" s="23" t="s">
        <v>21</v>
      </c>
      <c r="E4601" s="24">
        <v>45466.0</v>
      </c>
      <c r="F4601" s="25">
        <v>0.28055555555555556</v>
      </c>
      <c r="G4601" s="25">
        <v>0.5513888888888889</v>
      </c>
      <c r="H4601" s="27">
        <f t="shared" si="2"/>
        <v>0.2708333333</v>
      </c>
      <c r="I4601" s="28">
        <v>2.0</v>
      </c>
      <c r="J4601" s="39" t="s">
        <v>2160</v>
      </c>
      <c r="K4601" s="41"/>
      <c r="L4601" s="31" t="str">
        <f>IFERROR(__xludf.DUMMYFUNCTION("IF(OR(E4601="""",K4601=""""),"""",IFERROR(IF(K4601="""","""",query('tbl user'!$A$2:$D10975,""SELECT A WHERE D = '""&amp;K4601&amp;""'"")),""USER TIDAK DIKETAHUI""))"),"")</f>
        <v/>
      </c>
    </row>
    <row r="4602">
      <c r="A4602" s="21" t="str">
        <f t="shared" si="1"/>
        <v/>
      </c>
      <c r="B4602" s="38"/>
      <c r="C4602" s="23" t="s">
        <v>1930</v>
      </c>
      <c r="D4602" s="23" t="s">
        <v>21</v>
      </c>
      <c r="E4602" s="24">
        <v>45466.0</v>
      </c>
      <c r="F4602" s="25">
        <v>0.2743055555555556</v>
      </c>
      <c r="G4602" s="25">
        <v>0.5513888888888889</v>
      </c>
      <c r="H4602" s="27">
        <f t="shared" si="2"/>
        <v>0.2770833333</v>
      </c>
      <c r="I4602" s="28">
        <v>2.0</v>
      </c>
      <c r="J4602" s="39" t="s">
        <v>585</v>
      </c>
      <c r="K4602" s="41"/>
      <c r="L4602" s="31" t="str">
        <f>IFERROR(__xludf.DUMMYFUNCTION("IF(OR(E4602="""",K4602=""""),"""",IFERROR(IF(K4602="""","""",query('tbl user'!$A$2:$D10975,""SELECT A WHERE D = '""&amp;K4602&amp;""'"")),""USER TIDAK DIKETAHUI""))"),"")</f>
        <v/>
      </c>
    </row>
    <row r="4603">
      <c r="A4603" s="21" t="str">
        <f t="shared" si="1"/>
        <v/>
      </c>
      <c r="B4603" s="38"/>
      <c r="C4603" s="23" t="s">
        <v>1830</v>
      </c>
      <c r="D4603" s="23" t="s">
        <v>21</v>
      </c>
      <c r="E4603" s="24">
        <v>45466.0</v>
      </c>
      <c r="F4603" s="25">
        <v>0.2847222222222222</v>
      </c>
      <c r="G4603" s="25">
        <v>0.60625</v>
      </c>
      <c r="H4603" s="27">
        <f t="shared" si="2"/>
        <v>0.3215277778</v>
      </c>
      <c r="I4603" s="28">
        <v>3.0</v>
      </c>
      <c r="J4603" s="39" t="s">
        <v>2161</v>
      </c>
      <c r="K4603" s="41"/>
      <c r="L4603" s="31" t="str">
        <f>IFERROR(__xludf.DUMMYFUNCTION("IF(OR(E4603="""",K4603=""""),"""",IFERROR(IF(K4603="""","""",query('tbl user'!$A$2:$D10975,""SELECT A WHERE D = '""&amp;K4603&amp;""'"")),""USER TIDAK DIKETAHUI""))"),"")</f>
        <v/>
      </c>
    </row>
    <row r="4604">
      <c r="A4604" s="21" t="str">
        <f t="shared" si="1"/>
        <v/>
      </c>
      <c r="B4604" s="38"/>
      <c r="C4604" s="23" t="s">
        <v>1843</v>
      </c>
      <c r="D4604" s="23" t="s">
        <v>21</v>
      </c>
      <c r="E4604" s="24">
        <v>45466.0</v>
      </c>
      <c r="F4604" s="25">
        <v>0.22291666666666668</v>
      </c>
      <c r="G4604" s="25">
        <v>0.5506944444444445</v>
      </c>
      <c r="H4604" s="27">
        <f t="shared" si="2"/>
        <v>0.3277777778</v>
      </c>
      <c r="I4604" s="28">
        <v>3.0</v>
      </c>
      <c r="J4604" s="39" t="s">
        <v>2162</v>
      </c>
      <c r="K4604" s="41"/>
      <c r="L4604" s="31" t="str">
        <f>IFERROR(__xludf.DUMMYFUNCTION("IF(OR(E4604="""",K4604=""""),"""",IFERROR(IF(K4604="""","""",query('tbl user'!$A$2:$D10975,""SELECT A WHERE D = '""&amp;K4604&amp;""'"")),""USER TIDAK DIKETAHUI""))"),"")</f>
        <v/>
      </c>
    </row>
    <row r="4605">
      <c r="A4605" s="21" t="str">
        <f t="shared" si="1"/>
        <v/>
      </c>
      <c r="B4605" s="38"/>
      <c r="C4605" s="23" t="s">
        <v>1922</v>
      </c>
      <c r="D4605" s="23" t="s">
        <v>21</v>
      </c>
      <c r="E4605" s="24">
        <v>45466.0</v>
      </c>
      <c r="F4605" s="25">
        <v>0.28541666666666665</v>
      </c>
      <c r="G4605" s="25">
        <v>0.6458333333333334</v>
      </c>
      <c r="H4605" s="27">
        <f t="shared" si="2"/>
        <v>0.3604166667</v>
      </c>
      <c r="I4605" s="28">
        <v>3.0</v>
      </c>
      <c r="J4605" s="39" t="s">
        <v>1146</v>
      </c>
      <c r="K4605" s="41"/>
      <c r="L4605" s="31" t="str">
        <f>IFERROR(__xludf.DUMMYFUNCTION("IF(OR(E4605="""",K4605=""""),"""",IFERROR(IF(K4605="""","""",query('tbl user'!$A$2:$D10975,""SELECT A WHERE D = '""&amp;K4605&amp;""'"")),""USER TIDAK DIKETAHUI""))"),"")</f>
        <v/>
      </c>
    </row>
    <row r="4606">
      <c r="A4606" s="21" t="str">
        <f t="shared" si="1"/>
        <v/>
      </c>
      <c r="B4606" s="38"/>
      <c r="C4606" s="23" t="s">
        <v>1923</v>
      </c>
      <c r="D4606" s="23" t="s">
        <v>21</v>
      </c>
      <c r="E4606" s="24">
        <v>45466.0</v>
      </c>
      <c r="F4606" s="25">
        <v>0.26875</v>
      </c>
      <c r="G4606" s="25">
        <v>0.625</v>
      </c>
      <c r="H4606" s="27">
        <f t="shared" si="2"/>
        <v>0.35625</v>
      </c>
      <c r="I4606" s="28">
        <v>3.0</v>
      </c>
      <c r="J4606" s="39" t="s">
        <v>2163</v>
      </c>
      <c r="K4606" s="41"/>
      <c r="L4606" s="31" t="str">
        <f>IFERROR(__xludf.DUMMYFUNCTION("IF(OR(E4606="""",K4606=""""),"""",IFERROR(IF(K4606="""","""",query('tbl user'!$A$2:$D10975,""SELECT A WHERE D = '""&amp;K4606&amp;""'"")),""USER TIDAK DIKETAHUI""))"),"")</f>
        <v/>
      </c>
    </row>
    <row r="4607">
      <c r="A4607" s="21" t="str">
        <f t="shared" si="1"/>
        <v/>
      </c>
      <c r="B4607" s="38"/>
      <c r="C4607" s="23" t="s">
        <v>1835</v>
      </c>
      <c r="D4607" s="23" t="s">
        <v>21</v>
      </c>
      <c r="E4607" s="24">
        <v>45466.0</v>
      </c>
      <c r="F4607" s="25">
        <v>0.28055555555555556</v>
      </c>
      <c r="G4607" s="25">
        <v>0.5576388888888889</v>
      </c>
      <c r="H4607" s="27">
        <f t="shared" si="2"/>
        <v>0.2770833333</v>
      </c>
      <c r="I4607" s="28">
        <v>3.0</v>
      </c>
      <c r="J4607" s="39" t="s">
        <v>2164</v>
      </c>
      <c r="K4607" s="41"/>
      <c r="L4607" s="31" t="str">
        <f>IFERROR(__xludf.DUMMYFUNCTION("IF(OR(E4607="""",K4607=""""),"""",IFERROR(IF(K4607="""","""",query('tbl user'!$A$2:$D10975,""SELECT A WHERE D = '""&amp;K4607&amp;""'"")),""USER TIDAK DIKETAHUI""))"),"")</f>
        <v/>
      </c>
    </row>
    <row r="4608">
      <c r="A4608" s="21" t="str">
        <f t="shared" si="1"/>
        <v/>
      </c>
      <c r="B4608" s="38"/>
      <c r="C4608" s="23" t="s">
        <v>1925</v>
      </c>
      <c r="D4608" s="23" t="s">
        <v>21</v>
      </c>
      <c r="E4608" s="24">
        <v>45466.0</v>
      </c>
      <c r="F4608" s="25">
        <v>0.2590277777777778</v>
      </c>
      <c r="G4608" s="25">
        <v>0.5138888888888888</v>
      </c>
      <c r="H4608" s="27">
        <f t="shared" si="2"/>
        <v>0.2548611111</v>
      </c>
      <c r="I4608" s="28">
        <v>3.0</v>
      </c>
      <c r="J4608" s="39" t="s">
        <v>2165</v>
      </c>
      <c r="K4608" s="41"/>
      <c r="L4608" s="31" t="str">
        <f>IFERROR(__xludf.DUMMYFUNCTION("IF(OR(E4608="""",K4608=""""),"""",IFERROR(IF(K4608="""","""",query('tbl user'!$A$2:$D10975,""SELECT A WHERE D = '""&amp;K4608&amp;""'"")),""USER TIDAK DIKETAHUI""))"),"")</f>
        <v/>
      </c>
    </row>
    <row r="4609">
      <c r="A4609" s="21" t="str">
        <f t="shared" si="1"/>
        <v/>
      </c>
      <c r="B4609" s="38"/>
      <c r="C4609" s="23" t="s">
        <v>1854</v>
      </c>
      <c r="D4609" s="23" t="s">
        <v>21</v>
      </c>
      <c r="E4609" s="24">
        <v>45466.0</v>
      </c>
      <c r="F4609" s="25">
        <v>0.23958333333333334</v>
      </c>
      <c r="G4609" s="25">
        <v>0.6368055555555555</v>
      </c>
      <c r="H4609" s="27">
        <f t="shared" si="2"/>
        <v>0.3972222222</v>
      </c>
      <c r="I4609" s="28">
        <v>4.0</v>
      </c>
      <c r="J4609" s="39" t="s">
        <v>2166</v>
      </c>
      <c r="K4609" s="41"/>
      <c r="L4609" s="31" t="str">
        <f>IFERROR(__xludf.DUMMYFUNCTION("IF(OR(E4609="""",K4609=""""),"""",IFERROR(IF(K4609="""","""",query('tbl user'!$A$2:$D10975,""SELECT A WHERE D = '""&amp;K4609&amp;""'"")),""USER TIDAK DIKETAHUI""))"),"")</f>
        <v/>
      </c>
    </row>
    <row r="4610">
      <c r="A4610" s="21" t="str">
        <f t="shared" si="1"/>
        <v/>
      </c>
      <c r="B4610" s="38"/>
      <c r="C4610" s="23" t="s">
        <v>2041</v>
      </c>
      <c r="D4610" s="23" t="s">
        <v>21</v>
      </c>
      <c r="E4610" s="24">
        <v>45466.0</v>
      </c>
      <c r="F4610" s="25">
        <v>0.27291666666666664</v>
      </c>
      <c r="G4610" s="25">
        <v>0.6451388888888889</v>
      </c>
      <c r="H4610" s="27">
        <f t="shared" si="2"/>
        <v>0.3722222222</v>
      </c>
      <c r="I4610" s="28">
        <v>4.0</v>
      </c>
      <c r="J4610" s="39" t="s">
        <v>2167</v>
      </c>
      <c r="K4610" s="41"/>
      <c r="L4610" s="31" t="str">
        <f>IFERROR(__xludf.DUMMYFUNCTION("IF(OR(E4610="""",K4610=""""),"""",IFERROR(IF(K4610="""","""",query('tbl user'!$A$2:$D10975,""SELECT A WHERE D = '""&amp;K4610&amp;""'"")),""USER TIDAK DIKETAHUI""))"),"")</f>
        <v/>
      </c>
    </row>
    <row r="4611">
      <c r="A4611" s="21" t="str">
        <f t="shared" si="1"/>
        <v/>
      </c>
      <c r="B4611" s="38"/>
      <c r="C4611" s="23" t="s">
        <v>1856</v>
      </c>
      <c r="D4611" s="23" t="s">
        <v>21</v>
      </c>
      <c r="E4611" s="24">
        <v>45466.0</v>
      </c>
      <c r="F4611" s="25">
        <v>0.2861111111111111</v>
      </c>
      <c r="G4611" s="25">
        <v>0.6993055555555555</v>
      </c>
      <c r="H4611" s="27">
        <f t="shared" si="2"/>
        <v>0.4131944444</v>
      </c>
      <c r="I4611" s="28">
        <v>4.0</v>
      </c>
      <c r="J4611" s="39" t="s">
        <v>2166</v>
      </c>
      <c r="K4611" s="41"/>
      <c r="L4611" s="31" t="str">
        <f>IFERROR(__xludf.DUMMYFUNCTION("IF(OR(E4611="""",K4611=""""),"""",IFERROR(IF(K4611="""","""",query('tbl user'!$A$2:$D10975,""SELECT A WHERE D = '""&amp;K4611&amp;""'"")),""USER TIDAK DIKETAHUI""))"),"")</f>
        <v/>
      </c>
    </row>
    <row r="4612">
      <c r="A4612" s="21" t="str">
        <f t="shared" si="1"/>
        <v/>
      </c>
      <c r="B4612" s="38"/>
      <c r="C4612" s="23" t="s">
        <v>1837</v>
      </c>
      <c r="D4612" s="23" t="s">
        <v>21</v>
      </c>
      <c r="E4612" s="24">
        <v>45466.0</v>
      </c>
      <c r="F4612" s="25">
        <v>0.25277777777777777</v>
      </c>
      <c r="G4612" s="25">
        <v>0.6340277777777777</v>
      </c>
      <c r="H4612" s="27">
        <f t="shared" si="2"/>
        <v>0.38125</v>
      </c>
      <c r="I4612" s="28">
        <v>4.0</v>
      </c>
      <c r="J4612" s="39" t="s">
        <v>2168</v>
      </c>
      <c r="K4612" s="41"/>
      <c r="L4612" s="31" t="str">
        <f>IFERROR(__xludf.DUMMYFUNCTION("IF(OR(E4612="""",K4612=""""),"""",IFERROR(IF(K4612="""","""",query('tbl user'!$A$2:$D10975,""SELECT A WHERE D = '""&amp;K4612&amp;""'"")),""USER TIDAK DIKETAHUI""))"),"")</f>
        <v/>
      </c>
    </row>
    <row r="4613">
      <c r="A4613" s="21" t="str">
        <f t="shared" si="1"/>
        <v/>
      </c>
      <c r="B4613" s="38"/>
      <c r="C4613" s="23" t="s">
        <v>1935</v>
      </c>
      <c r="D4613" s="23" t="s">
        <v>21</v>
      </c>
      <c r="E4613" s="24">
        <v>45466.0</v>
      </c>
      <c r="F4613" s="25">
        <v>0.2673611111111111</v>
      </c>
      <c r="G4613" s="25">
        <v>0.6298611111111111</v>
      </c>
      <c r="H4613" s="27">
        <f t="shared" si="2"/>
        <v>0.3625</v>
      </c>
      <c r="I4613" s="28">
        <v>4.0</v>
      </c>
      <c r="J4613" s="39" t="s">
        <v>2166</v>
      </c>
      <c r="K4613" s="41"/>
      <c r="L4613" s="31" t="str">
        <f>IFERROR(__xludf.DUMMYFUNCTION("IF(OR(E4613="""",K4613=""""),"""",IFERROR(IF(K4613="""","""",query('tbl user'!$A$2:$D10975,""SELECT A WHERE D = '""&amp;K4613&amp;""'"")),""USER TIDAK DIKETAHUI""))"),"")</f>
        <v/>
      </c>
    </row>
    <row r="4614">
      <c r="A4614" s="21" t="str">
        <f t="shared" si="1"/>
        <v/>
      </c>
      <c r="B4614" s="38"/>
      <c r="C4614" s="23" t="s">
        <v>1850</v>
      </c>
      <c r="D4614" s="23" t="s">
        <v>21</v>
      </c>
      <c r="E4614" s="24">
        <v>45466.0</v>
      </c>
      <c r="F4614" s="25">
        <v>0.28958333333333336</v>
      </c>
      <c r="G4614" s="25">
        <v>0.7090277777777778</v>
      </c>
      <c r="H4614" s="27">
        <f t="shared" si="2"/>
        <v>0.4194444444</v>
      </c>
      <c r="I4614" s="28">
        <v>4.0</v>
      </c>
      <c r="J4614" s="39" t="s">
        <v>2166</v>
      </c>
      <c r="K4614" s="41"/>
      <c r="L4614" s="31" t="str">
        <f>IFERROR(__xludf.DUMMYFUNCTION("IF(OR(E4614="""",K4614=""""),"""",IFERROR(IF(K4614="""","""",query('tbl user'!$A$2:$D10975,""SELECT A WHERE D = '""&amp;K4614&amp;""'"")),""USER TIDAK DIKETAHUI""))"),"")</f>
        <v/>
      </c>
    </row>
    <row r="4615">
      <c r="A4615" s="21" t="str">
        <f t="shared" si="1"/>
        <v/>
      </c>
      <c r="B4615" s="38"/>
      <c r="C4615" s="23" t="s">
        <v>1833</v>
      </c>
      <c r="D4615" s="23" t="s">
        <v>21</v>
      </c>
      <c r="E4615" s="24">
        <v>45466.0</v>
      </c>
      <c r="F4615" s="25">
        <v>0.2861111111111111</v>
      </c>
      <c r="G4615" s="25">
        <v>0.7458333333333333</v>
      </c>
      <c r="H4615" s="27">
        <f t="shared" si="2"/>
        <v>0.4597222222</v>
      </c>
      <c r="I4615" s="28">
        <v>5.0</v>
      </c>
      <c r="J4615" s="39" t="s">
        <v>55</v>
      </c>
      <c r="K4615" s="41"/>
      <c r="L4615" s="31" t="str">
        <f>IFERROR(__xludf.DUMMYFUNCTION("IF(OR(E4615="""",K4615=""""),"""",IFERROR(IF(K4615="""","""",query('tbl user'!$A$2:$D10975,""SELECT A WHERE D = '""&amp;K4615&amp;""'"")),""USER TIDAK DIKETAHUI""))"),"")</f>
        <v/>
      </c>
    </row>
    <row r="4616">
      <c r="A4616" s="21" t="str">
        <f t="shared" si="1"/>
        <v/>
      </c>
      <c r="B4616" s="38"/>
      <c r="C4616" s="23" t="s">
        <v>2049</v>
      </c>
      <c r="D4616" s="23" t="s">
        <v>21</v>
      </c>
      <c r="E4616" s="24">
        <v>45466.0</v>
      </c>
      <c r="F4616" s="25">
        <v>0.2777777777777778</v>
      </c>
      <c r="G4616" s="25">
        <v>0.6965277777777777</v>
      </c>
      <c r="H4616" s="27">
        <f t="shared" si="2"/>
        <v>0.41875</v>
      </c>
      <c r="I4616" s="28">
        <v>5.0</v>
      </c>
      <c r="J4616" s="39" t="s">
        <v>55</v>
      </c>
      <c r="K4616" s="41"/>
      <c r="L4616" s="31" t="str">
        <f>IFERROR(__xludf.DUMMYFUNCTION("IF(OR(E4616="""",K4616=""""),"""",IFERROR(IF(K4616="""","""",query('tbl user'!$A$2:$D10975,""SELECT A WHERE D = '""&amp;K4616&amp;""'"")),""USER TIDAK DIKETAHUI""))"),"")</f>
        <v/>
      </c>
    </row>
    <row r="4617">
      <c r="A4617" s="21" t="str">
        <f t="shared" si="1"/>
        <v/>
      </c>
      <c r="B4617" s="38"/>
      <c r="C4617" s="23" t="s">
        <v>2005</v>
      </c>
      <c r="D4617" s="23" t="s">
        <v>21</v>
      </c>
      <c r="E4617" s="24">
        <v>45466.0</v>
      </c>
      <c r="F4617" s="25">
        <v>0.22708333333333333</v>
      </c>
      <c r="G4617" s="25">
        <v>0.6979166666666666</v>
      </c>
      <c r="H4617" s="27">
        <f t="shared" si="2"/>
        <v>0.4708333333</v>
      </c>
      <c r="I4617" s="28">
        <v>5.0</v>
      </c>
      <c r="J4617" s="39" t="s">
        <v>55</v>
      </c>
      <c r="K4617" s="41"/>
      <c r="L4617" s="31" t="str">
        <f>IFERROR(__xludf.DUMMYFUNCTION("IF(OR(E4617="""",K4617=""""),"""",IFERROR(IF(K4617="""","""",query('tbl user'!$A$2:$D10975,""SELECT A WHERE D = '""&amp;K4617&amp;""'"")),""USER TIDAK DIKETAHUI""))"),"")</f>
        <v/>
      </c>
    </row>
    <row r="4618">
      <c r="A4618" s="21" t="str">
        <f t="shared" si="1"/>
        <v/>
      </c>
      <c r="B4618" s="38"/>
      <c r="C4618" s="23" t="s">
        <v>1839</v>
      </c>
      <c r="D4618" s="23" t="s">
        <v>21</v>
      </c>
      <c r="E4618" s="24">
        <v>45466.0</v>
      </c>
      <c r="F4618" s="25">
        <v>0.26875</v>
      </c>
      <c r="G4618" s="25">
        <v>0.7513888888888889</v>
      </c>
      <c r="H4618" s="27">
        <f t="shared" si="2"/>
        <v>0.4826388889</v>
      </c>
      <c r="I4618" s="28">
        <v>6.0</v>
      </c>
      <c r="J4618" s="39" t="s">
        <v>55</v>
      </c>
      <c r="K4618" s="41"/>
      <c r="L4618" s="31" t="str">
        <f>IFERROR(__xludf.DUMMYFUNCTION("IF(OR(E4618="""",K4618=""""),"""",IFERROR(IF(K4618="""","""",query('tbl user'!$A$2:$D10975,""SELECT A WHERE D = '""&amp;K4618&amp;""'"")),""USER TIDAK DIKETAHUI""))"),"")</f>
        <v/>
      </c>
    </row>
    <row r="4619">
      <c r="A4619" s="21" t="str">
        <f t="shared" si="1"/>
        <v/>
      </c>
      <c r="B4619" s="38"/>
      <c r="C4619" s="23" t="s">
        <v>1847</v>
      </c>
      <c r="D4619" s="23" t="s">
        <v>21</v>
      </c>
      <c r="E4619" s="24">
        <v>45466.0</v>
      </c>
      <c r="F4619" s="25">
        <v>0.2513888888888889</v>
      </c>
      <c r="G4619" s="25">
        <v>0.7506944444444444</v>
      </c>
      <c r="H4619" s="27">
        <f t="shared" si="2"/>
        <v>0.4993055556</v>
      </c>
      <c r="I4619" s="28">
        <v>6.0</v>
      </c>
      <c r="J4619" s="39" t="s">
        <v>55</v>
      </c>
      <c r="K4619" s="41"/>
      <c r="L4619" s="31" t="str">
        <f>IFERROR(__xludf.DUMMYFUNCTION("IF(OR(E4619="""",K4619=""""),"""",IFERROR(IF(K4619="""","""",query('tbl user'!$A$2:$D10975,""SELECT A WHERE D = '""&amp;K4619&amp;""'"")),""USER TIDAK DIKETAHUI""))"),"")</f>
        <v/>
      </c>
    </row>
    <row r="4620">
      <c r="A4620" s="21" t="str">
        <f t="shared" si="1"/>
        <v/>
      </c>
      <c r="B4620" s="38"/>
      <c r="C4620" s="23" t="s">
        <v>1829</v>
      </c>
      <c r="D4620" s="23" t="s">
        <v>21</v>
      </c>
      <c r="E4620" s="24">
        <v>45466.0</v>
      </c>
      <c r="F4620" s="25">
        <v>0.28958333333333336</v>
      </c>
      <c r="G4620" s="25">
        <v>0.43125</v>
      </c>
      <c r="H4620" s="27">
        <f t="shared" si="2"/>
        <v>0.1416666667</v>
      </c>
      <c r="I4620" s="28">
        <v>1.0</v>
      </c>
      <c r="J4620" s="39" t="s">
        <v>2169</v>
      </c>
      <c r="K4620" s="41"/>
      <c r="L4620" s="31" t="str">
        <f>IFERROR(__xludf.DUMMYFUNCTION("IF(OR(E4620="""",K4620=""""),"""",IFERROR(IF(K4620="""","""",query('tbl user'!$A$2:$D10975,""SELECT A WHERE D = '""&amp;K4620&amp;""'"")),""USER TIDAK DIKETAHUI""))"),"")</f>
        <v/>
      </c>
    </row>
    <row r="4621">
      <c r="A4621" s="21" t="str">
        <f t="shared" si="1"/>
        <v/>
      </c>
      <c r="B4621" s="38"/>
      <c r="C4621" s="23" t="s">
        <v>1917</v>
      </c>
      <c r="D4621" s="23" t="s">
        <v>21</v>
      </c>
      <c r="E4621" s="24">
        <v>45466.0</v>
      </c>
      <c r="F4621" s="25">
        <v>0.2722222222222222</v>
      </c>
      <c r="G4621" s="25">
        <v>0.5659722222222222</v>
      </c>
      <c r="H4621" s="27">
        <f t="shared" si="2"/>
        <v>0.29375</v>
      </c>
      <c r="I4621" s="28">
        <v>4.0</v>
      </c>
      <c r="J4621" s="39" t="s">
        <v>2170</v>
      </c>
      <c r="K4621" s="41"/>
      <c r="L4621" s="31" t="str">
        <f>IFERROR(__xludf.DUMMYFUNCTION("IF(OR(E4621="""",K4621=""""),"""",IFERROR(IF(K4621="""","""",query('tbl user'!$A$2:$D10975,""SELECT A WHERE D = '""&amp;K4621&amp;""'"")),""USER TIDAK DIKETAHUI""))"),"")</f>
        <v/>
      </c>
    </row>
    <row r="4622">
      <c r="A4622" s="21" t="str">
        <f t="shared" si="1"/>
        <v/>
      </c>
      <c r="B4622" s="38"/>
      <c r="C4622" s="23" t="s">
        <v>1879</v>
      </c>
      <c r="D4622" s="23" t="s">
        <v>58</v>
      </c>
      <c r="E4622" s="24">
        <v>45466.0</v>
      </c>
      <c r="F4622" s="25">
        <v>0.2673611111111111</v>
      </c>
      <c r="G4622" s="25">
        <v>0.4888888888888889</v>
      </c>
      <c r="H4622" s="27">
        <f t="shared" si="2"/>
        <v>0.2215277778</v>
      </c>
      <c r="I4622" s="28">
        <v>1.0</v>
      </c>
      <c r="J4622" s="39" t="s">
        <v>2171</v>
      </c>
      <c r="K4622" s="41"/>
      <c r="L4622" s="31" t="str">
        <f>IFERROR(__xludf.DUMMYFUNCTION("IF(OR(E4622="""",K4622=""""),"""",IFERROR(IF(K4622="""","""",query('tbl user'!$A$2:$D10975,""SELECT A WHERE D = '""&amp;K4622&amp;""'"")),""USER TIDAK DIKETAHUI""))"),"")</f>
        <v/>
      </c>
    </row>
    <row r="4623">
      <c r="A4623" s="21" t="str">
        <f t="shared" si="1"/>
        <v/>
      </c>
      <c r="B4623" s="38"/>
      <c r="C4623" s="23" t="s">
        <v>1890</v>
      </c>
      <c r="D4623" s="23" t="s">
        <v>58</v>
      </c>
      <c r="E4623" s="24">
        <v>45466.0</v>
      </c>
      <c r="F4623" s="25">
        <v>0.23055555555555557</v>
      </c>
      <c r="G4623" s="25">
        <v>0.36319444444444443</v>
      </c>
      <c r="H4623" s="27">
        <f t="shared" si="2"/>
        <v>0.1326388889</v>
      </c>
      <c r="I4623" s="28">
        <v>1.0</v>
      </c>
      <c r="J4623" s="39" t="s">
        <v>2172</v>
      </c>
      <c r="K4623" s="41"/>
      <c r="L4623" s="31" t="str">
        <f>IFERROR(__xludf.DUMMYFUNCTION("IF(OR(E4623="""",K4623=""""),"""",IFERROR(IF(K4623="""","""",query('tbl user'!$A$2:$D10975,""SELECT A WHERE D = '""&amp;K4623&amp;""'"")),""USER TIDAK DIKETAHUI""))"),"")</f>
        <v/>
      </c>
    </row>
    <row r="4624">
      <c r="A4624" s="21" t="str">
        <f t="shared" si="1"/>
        <v/>
      </c>
      <c r="B4624" s="38"/>
      <c r="C4624" s="23" t="s">
        <v>1886</v>
      </c>
      <c r="D4624" s="23" t="s">
        <v>58</v>
      </c>
      <c r="E4624" s="24">
        <v>45466.0</v>
      </c>
      <c r="F4624" s="25">
        <v>0.2847222222222222</v>
      </c>
      <c r="G4624" s="25">
        <v>0.41180555555555554</v>
      </c>
      <c r="H4624" s="27">
        <f t="shared" si="2"/>
        <v>0.1270833333</v>
      </c>
      <c r="I4624" s="28">
        <v>1.0</v>
      </c>
      <c r="J4624" s="39" t="s">
        <v>2173</v>
      </c>
      <c r="K4624" s="41"/>
      <c r="L4624" s="31" t="str">
        <f>IFERROR(__xludf.DUMMYFUNCTION("IF(OR(E4624="""",K4624=""""),"""",IFERROR(IF(K4624="""","""",query('tbl user'!$A$2:$D10975,""SELECT A WHERE D = '""&amp;K4624&amp;""'"")),""USER TIDAK DIKETAHUI""))"),"")</f>
        <v/>
      </c>
    </row>
    <row r="4625">
      <c r="A4625" s="21" t="str">
        <f t="shared" si="1"/>
        <v/>
      </c>
      <c r="B4625" s="38"/>
      <c r="C4625" s="23" t="s">
        <v>1867</v>
      </c>
      <c r="D4625" s="23" t="s">
        <v>58</v>
      </c>
      <c r="E4625" s="24">
        <v>45466.0</v>
      </c>
      <c r="F4625" s="25">
        <v>0.26458333333333334</v>
      </c>
      <c r="G4625" s="25">
        <v>0.475</v>
      </c>
      <c r="H4625" s="27">
        <f t="shared" si="2"/>
        <v>0.2104166667</v>
      </c>
      <c r="I4625" s="28">
        <v>2.0</v>
      </c>
      <c r="J4625" s="39" t="s">
        <v>2174</v>
      </c>
      <c r="K4625" s="41"/>
      <c r="L4625" s="31" t="str">
        <f>IFERROR(__xludf.DUMMYFUNCTION("IF(OR(E4625="""",K4625=""""),"""",IFERROR(IF(K4625="""","""",query('tbl user'!$A$2:$D10975,""SELECT A WHERE D = '""&amp;K4625&amp;""'"")),""USER TIDAK DIKETAHUI""))"),"")</f>
        <v/>
      </c>
    </row>
    <row r="4626">
      <c r="A4626" s="21" t="str">
        <f t="shared" si="1"/>
        <v/>
      </c>
      <c r="B4626" s="38"/>
      <c r="C4626" s="23" t="s">
        <v>1948</v>
      </c>
      <c r="D4626" s="23" t="s">
        <v>58</v>
      </c>
      <c r="E4626" s="24">
        <v>45466.0</v>
      </c>
      <c r="F4626" s="25">
        <v>0.2902777777777778</v>
      </c>
      <c r="G4626" s="25">
        <v>0.5625</v>
      </c>
      <c r="H4626" s="27">
        <f t="shared" si="2"/>
        <v>0.2722222222</v>
      </c>
      <c r="I4626" s="28">
        <v>2.0</v>
      </c>
      <c r="J4626" s="39" t="s">
        <v>2175</v>
      </c>
      <c r="K4626" s="41"/>
      <c r="L4626" s="31" t="str">
        <f>IFERROR(__xludf.DUMMYFUNCTION("IF(OR(E4626="""",K4626=""""),"""",IFERROR(IF(K4626="""","""",query('tbl user'!$A$2:$D10975,""SELECT A WHERE D = '""&amp;K4626&amp;""'"")),""USER TIDAK DIKETAHUI""))"),"")</f>
        <v/>
      </c>
    </row>
    <row r="4627">
      <c r="A4627" s="21" t="str">
        <f t="shared" si="1"/>
        <v/>
      </c>
      <c r="B4627" s="38"/>
      <c r="C4627" s="23" t="s">
        <v>1860</v>
      </c>
      <c r="D4627" s="23" t="s">
        <v>58</v>
      </c>
      <c r="E4627" s="24">
        <v>45466.0</v>
      </c>
      <c r="F4627" s="25">
        <v>0.28680555555555554</v>
      </c>
      <c r="G4627" s="25">
        <v>0.6756944444444445</v>
      </c>
      <c r="H4627" s="27">
        <f t="shared" si="2"/>
        <v>0.3888888889</v>
      </c>
      <c r="I4627" s="28">
        <v>2.0</v>
      </c>
      <c r="J4627" s="39" t="s">
        <v>2176</v>
      </c>
      <c r="K4627" s="41"/>
      <c r="L4627" s="31" t="str">
        <f>IFERROR(__xludf.DUMMYFUNCTION("IF(OR(E4627="""",K4627=""""),"""",IFERROR(IF(K4627="""","""",query('tbl user'!$A$2:$D10975,""SELECT A WHERE D = '""&amp;K4627&amp;""'"")),""USER TIDAK DIKETAHUI""))"),"")</f>
        <v/>
      </c>
    </row>
    <row r="4628">
      <c r="A4628" s="21" t="str">
        <f t="shared" si="1"/>
        <v/>
      </c>
      <c r="B4628" s="38"/>
      <c r="C4628" s="23" t="s">
        <v>1863</v>
      </c>
      <c r="D4628" s="23" t="s">
        <v>58</v>
      </c>
      <c r="E4628" s="24">
        <v>45466.0</v>
      </c>
      <c r="F4628" s="25">
        <v>0.2777777777777778</v>
      </c>
      <c r="G4628" s="25">
        <v>0.5923611111111111</v>
      </c>
      <c r="H4628" s="27">
        <f t="shared" si="2"/>
        <v>0.3145833333</v>
      </c>
      <c r="I4628" s="28">
        <v>2.0</v>
      </c>
      <c r="J4628" s="39" t="s">
        <v>2177</v>
      </c>
      <c r="K4628" s="41"/>
      <c r="L4628" s="31" t="str">
        <f>IFERROR(__xludf.DUMMYFUNCTION("IF(OR(E4628="""",K4628=""""),"""",IFERROR(IF(K4628="""","""",query('tbl user'!$A$2:$D10975,""SELECT A WHERE D = '""&amp;K4628&amp;""'"")),""USER TIDAK DIKETAHUI""))"),"")</f>
        <v/>
      </c>
    </row>
    <row r="4629">
      <c r="A4629" s="21" t="str">
        <f t="shared" si="1"/>
        <v/>
      </c>
      <c r="B4629" s="38"/>
      <c r="C4629" s="23" t="s">
        <v>2090</v>
      </c>
      <c r="D4629" s="23" t="s">
        <v>58</v>
      </c>
      <c r="E4629" s="24">
        <v>45466.0</v>
      </c>
      <c r="F4629" s="25">
        <v>0.3548611111111111</v>
      </c>
      <c r="G4629" s="25">
        <v>0.60625</v>
      </c>
      <c r="H4629" s="27">
        <f t="shared" si="2"/>
        <v>0.2513888889</v>
      </c>
      <c r="I4629" s="28">
        <v>2.0</v>
      </c>
      <c r="J4629" s="39" t="s">
        <v>2178</v>
      </c>
      <c r="K4629" s="41"/>
      <c r="L4629" s="31" t="str">
        <f>IFERROR(__xludf.DUMMYFUNCTION("IF(OR(E4629="""",K4629=""""),"""",IFERROR(IF(K4629="""","""",query('tbl user'!$A$2:$D10975,""SELECT A WHERE D = '""&amp;K4629&amp;""'"")),""USER TIDAK DIKETAHUI""))"),"")</f>
        <v/>
      </c>
    </row>
    <row r="4630">
      <c r="A4630" s="21" t="str">
        <f t="shared" si="1"/>
        <v/>
      </c>
      <c r="B4630" s="38"/>
      <c r="C4630" s="23" t="s">
        <v>1874</v>
      </c>
      <c r="D4630" s="23" t="s">
        <v>58</v>
      </c>
      <c r="E4630" s="24">
        <v>45466.0</v>
      </c>
      <c r="F4630" s="25">
        <v>0.28958333333333336</v>
      </c>
      <c r="G4630" s="25">
        <v>0.6576388888888889</v>
      </c>
      <c r="H4630" s="27">
        <f t="shared" si="2"/>
        <v>0.3680555556</v>
      </c>
      <c r="I4630" s="28">
        <v>3.0</v>
      </c>
      <c r="J4630" s="39" t="s">
        <v>2179</v>
      </c>
      <c r="K4630" s="41"/>
      <c r="L4630" s="31" t="str">
        <f>IFERROR(__xludf.DUMMYFUNCTION("IF(OR(E4630="""",K4630=""""),"""",IFERROR(IF(K4630="""","""",query('tbl user'!$A$2:$D10975,""SELECT A WHERE D = '""&amp;K4630&amp;""'"")),""USER TIDAK DIKETAHUI""))"),"")</f>
        <v/>
      </c>
    </row>
    <row r="4631">
      <c r="A4631" s="21" t="str">
        <f t="shared" si="1"/>
        <v/>
      </c>
      <c r="B4631" s="38"/>
      <c r="C4631" s="23" t="s">
        <v>1881</v>
      </c>
      <c r="D4631" s="23" t="s">
        <v>58</v>
      </c>
      <c r="E4631" s="24">
        <v>45466.0</v>
      </c>
      <c r="F4631" s="25">
        <v>0.20902777777777778</v>
      </c>
      <c r="G4631" s="25">
        <v>0.6055555555555555</v>
      </c>
      <c r="H4631" s="27">
        <f t="shared" si="2"/>
        <v>0.3965277778</v>
      </c>
      <c r="I4631" s="28">
        <v>3.0</v>
      </c>
      <c r="J4631" s="39" t="s">
        <v>2179</v>
      </c>
      <c r="K4631" s="41"/>
      <c r="L4631" s="31" t="str">
        <f>IFERROR(__xludf.DUMMYFUNCTION("IF(OR(E4631="""",K4631=""""),"""",IFERROR(IF(K4631="""","""",query('tbl user'!$A$2:$D10975,""SELECT A WHERE D = '""&amp;K4631&amp;""'"")),""USER TIDAK DIKETAHUI""))"),"")</f>
        <v/>
      </c>
    </row>
    <row r="4632">
      <c r="A4632" s="21" t="str">
        <f t="shared" si="1"/>
        <v/>
      </c>
      <c r="B4632" s="38"/>
      <c r="C4632" s="23" t="s">
        <v>1883</v>
      </c>
      <c r="D4632" s="23" t="s">
        <v>58</v>
      </c>
      <c r="E4632" s="24">
        <v>45466.0</v>
      </c>
      <c r="F4632" s="25">
        <v>0.2777777777777778</v>
      </c>
      <c r="G4632" s="25">
        <v>0.6611111111111111</v>
      </c>
      <c r="H4632" s="27">
        <f t="shared" si="2"/>
        <v>0.3833333333</v>
      </c>
      <c r="I4632" s="28">
        <v>3.0</v>
      </c>
      <c r="J4632" s="39" t="s">
        <v>2179</v>
      </c>
      <c r="K4632" s="41"/>
      <c r="L4632" s="31" t="str">
        <f>IFERROR(__xludf.DUMMYFUNCTION("IF(OR(E4632="""",K4632=""""),"""",IFERROR(IF(K4632="""","""",query('tbl user'!$A$2:$D10975,""SELECT A WHERE D = '""&amp;K4632&amp;""'"")),""USER TIDAK DIKETAHUI""))"),"")</f>
        <v/>
      </c>
    </row>
    <row r="4633">
      <c r="A4633" s="21" t="str">
        <f t="shared" si="1"/>
        <v/>
      </c>
      <c r="B4633" s="38"/>
      <c r="C4633" s="23" t="s">
        <v>1950</v>
      </c>
      <c r="D4633" s="23" t="s">
        <v>58</v>
      </c>
      <c r="E4633" s="24">
        <v>45466.0</v>
      </c>
      <c r="F4633" s="25">
        <v>0.22916666666666666</v>
      </c>
      <c r="G4633" s="25">
        <v>0.5763888888888888</v>
      </c>
      <c r="H4633" s="27">
        <f t="shared" si="2"/>
        <v>0.3472222222</v>
      </c>
      <c r="I4633" s="28">
        <v>3.0</v>
      </c>
      <c r="J4633" s="39" t="s">
        <v>2180</v>
      </c>
      <c r="K4633" s="41"/>
      <c r="L4633" s="31" t="str">
        <f>IFERROR(__xludf.DUMMYFUNCTION("IF(OR(E4633="""",K4633=""""),"""",IFERROR(IF(K4633="""","""",query('tbl user'!$A$2:$D10975,""SELECT A WHERE D = '""&amp;K4633&amp;""'"")),""USER TIDAK DIKETAHUI""))"),"")</f>
        <v/>
      </c>
    </row>
    <row r="4634">
      <c r="A4634" s="21" t="str">
        <f t="shared" si="1"/>
        <v/>
      </c>
      <c r="B4634" s="38"/>
      <c r="C4634" s="23" t="s">
        <v>1887</v>
      </c>
      <c r="D4634" s="23" t="s">
        <v>58</v>
      </c>
      <c r="E4634" s="24">
        <v>45466.0</v>
      </c>
      <c r="F4634" s="25">
        <v>0.2763888888888889</v>
      </c>
      <c r="G4634" s="25">
        <v>0.6326388888888889</v>
      </c>
      <c r="H4634" s="27">
        <f t="shared" si="2"/>
        <v>0.35625</v>
      </c>
      <c r="I4634" s="28">
        <v>3.0</v>
      </c>
      <c r="J4634" s="39" t="s">
        <v>2181</v>
      </c>
      <c r="K4634" s="41"/>
      <c r="L4634" s="31" t="str">
        <f>IFERROR(__xludf.DUMMYFUNCTION("IF(OR(E4634="""",K4634=""""),"""",IFERROR(IF(K4634="""","""",query('tbl user'!$A$2:$D10975,""SELECT A WHERE D = '""&amp;K4634&amp;""'"")),""USER TIDAK DIKETAHUI""))"),"")</f>
        <v/>
      </c>
    </row>
    <row r="4635">
      <c r="A4635" s="21" t="str">
        <f t="shared" si="1"/>
        <v/>
      </c>
      <c r="B4635" s="38"/>
      <c r="C4635" s="23" t="s">
        <v>1888</v>
      </c>
      <c r="D4635" s="23" t="s">
        <v>58</v>
      </c>
      <c r="E4635" s="24">
        <v>45466.0</v>
      </c>
      <c r="F4635" s="25">
        <v>0.2625</v>
      </c>
      <c r="G4635" s="25">
        <v>0.5777777777777777</v>
      </c>
      <c r="H4635" s="27">
        <f t="shared" si="2"/>
        <v>0.3152777778</v>
      </c>
      <c r="I4635" s="28">
        <v>3.0</v>
      </c>
      <c r="J4635" s="39" t="s">
        <v>2182</v>
      </c>
      <c r="K4635" s="41"/>
      <c r="L4635" s="31" t="str">
        <f>IFERROR(__xludf.DUMMYFUNCTION("IF(OR(E4635="""",K4635=""""),"""",IFERROR(IF(K4635="""","""",query('tbl user'!$A$2:$D10975,""SELECT A WHERE D = '""&amp;K4635&amp;""'"")),""USER TIDAK DIKETAHUI""))"),"")</f>
        <v/>
      </c>
    </row>
    <row r="4636">
      <c r="A4636" s="21" t="str">
        <f t="shared" si="1"/>
        <v/>
      </c>
      <c r="B4636" s="38"/>
      <c r="C4636" s="23" t="s">
        <v>1889</v>
      </c>
      <c r="D4636" s="23" t="s">
        <v>58</v>
      </c>
      <c r="E4636" s="24">
        <v>45466.0</v>
      </c>
      <c r="F4636" s="25">
        <v>0.22777777777777777</v>
      </c>
      <c r="G4636" s="25">
        <v>0.5708333333333333</v>
      </c>
      <c r="H4636" s="27">
        <f t="shared" si="2"/>
        <v>0.3430555556</v>
      </c>
      <c r="I4636" s="28">
        <v>3.0</v>
      </c>
      <c r="J4636" s="39" t="s">
        <v>2183</v>
      </c>
      <c r="K4636" s="41"/>
      <c r="L4636" s="31" t="str">
        <f>IFERROR(__xludf.DUMMYFUNCTION("IF(OR(E4636="""",K4636=""""),"""",IFERROR(IF(K4636="""","""",query('tbl user'!$A$2:$D10975,""SELECT A WHERE D = '""&amp;K4636&amp;""'"")),""USER TIDAK DIKETAHUI""))"),"")</f>
        <v/>
      </c>
    </row>
    <row r="4637">
      <c r="A4637" s="21" t="str">
        <f t="shared" si="1"/>
        <v/>
      </c>
      <c r="B4637" s="38"/>
      <c r="C4637" s="23" t="s">
        <v>1872</v>
      </c>
      <c r="D4637" s="23" t="s">
        <v>58</v>
      </c>
      <c r="E4637" s="24">
        <v>45466.0</v>
      </c>
      <c r="F4637" s="25">
        <v>0.28402777777777777</v>
      </c>
      <c r="G4637" s="25">
        <v>0.6618055555555555</v>
      </c>
      <c r="H4637" s="27">
        <f t="shared" si="2"/>
        <v>0.3777777778</v>
      </c>
      <c r="I4637" s="28">
        <v>3.0</v>
      </c>
      <c r="J4637" s="39" t="s">
        <v>2184</v>
      </c>
      <c r="K4637" s="41"/>
      <c r="L4637" s="31" t="str">
        <f>IFERROR(__xludf.DUMMYFUNCTION("IF(OR(E4637="""",K4637=""""),"""",IFERROR(IF(K4637="""","""",query('tbl user'!$A$2:$D10975,""SELECT A WHERE D = '""&amp;K4637&amp;""'"")),""USER TIDAK DIKETAHUI""))"),"")</f>
        <v/>
      </c>
    </row>
    <row r="4638">
      <c r="A4638" s="21" t="str">
        <f t="shared" si="1"/>
        <v/>
      </c>
      <c r="B4638" s="38"/>
      <c r="C4638" s="23" t="s">
        <v>1861</v>
      </c>
      <c r="D4638" s="23" t="s">
        <v>58</v>
      </c>
      <c r="E4638" s="24">
        <v>45466.0</v>
      </c>
      <c r="F4638" s="25">
        <v>0.26875</v>
      </c>
      <c r="G4638" s="25">
        <v>0.6263888888888889</v>
      </c>
      <c r="H4638" s="27">
        <f t="shared" si="2"/>
        <v>0.3576388889</v>
      </c>
      <c r="I4638" s="28">
        <v>3.0</v>
      </c>
      <c r="J4638" s="39" t="s">
        <v>2185</v>
      </c>
      <c r="K4638" s="41"/>
      <c r="L4638" s="31" t="str">
        <f>IFERROR(__xludf.DUMMYFUNCTION("IF(OR(E4638="""",K4638=""""),"""",IFERROR(IF(K4638="""","""",query('tbl user'!$A$2:$D10975,""SELECT A WHERE D = '""&amp;K4638&amp;""'"")),""USER TIDAK DIKETAHUI""))"),"")</f>
        <v/>
      </c>
    </row>
    <row r="4639">
      <c r="A4639" s="21" t="str">
        <f t="shared" si="1"/>
        <v/>
      </c>
      <c r="B4639" s="38"/>
      <c r="C4639" s="23" t="s">
        <v>1875</v>
      </c>
      <c r="D4639" s="23" t="s">
        <v>58</v>
      </c>
      <c r="E4639" s="24">
        <v>45466.0</v>
      </c>
      <c r="F4639" s="25">
        <v>0.24444444444444444</v>
      </c>
      <c r="G4639" s="25">
        <v>0.6993055555555555</v>
      </c>
      <c r="H4639" s="27">
        <f t="shared" si="2"/>
        <v>0.4548611111</v>
      </c>
      <c r="I4639" s="28">
        <v>4.0</v>
      </c>
      <c r="J4639" s="39" t="s">
        <v>55</v>
      </c>
      <c r="K4639" s="41"/>
      <c r="L4639" s="31" t="str">
        <f>IFERROR(__xludf.DUMMYFUNCTION("IF(OR(E4639="""",K4639=""""),"""",IFERROR(IF(K4639="""","""",query('tbl user'!$A$2:$D10975,""SELECT A WHERE D = '""&amp;K4639&amp;""'"")),""USER TIDAK DIKETAHUI""))"),"")</f>
        <v/>
      </c>
    </row>
    <row r="4640">
      <c r="A4640" s="21" t="str">
        <f t="shared" si="1"/>
        <v/>
      </c>
      <c r="B4640" s="38"/>
      <c r="C4640" s="23" t="s">
        <v>1865</v>
      </c>
      <c r="D4640" s="23" t="s">
        <v>58</v>
      </c>
      <c r="E4640" s="24">
        <v>45466.0</v>
      </c>
      <c r="F4640" s="25">
        <v>0.2791666666666667</v>
      </c>
      <c r="G4640" s="25">
        <v>0.6958333333333333</v>
      </c>
      <c r="H4640" s="27">
        <f t="shared" si="2"/>
        <v>0.4166666667</v>
      </c>
      <c r="I4640" s="28">
        <v>4.0</v>
      </c>
      <c r="J4640" s="39" t="s">
        <v>55</v>
      </c>
      <c r="K4640" s="41"/>
      <c r="L4640" s="31" t="str">
        <f>IFERROR(__xludf.DUMMYFUNCTION("IF(OR(E4640="""",K4640=""""),"""",IFERROR(IF(K4640="""","""",query('tbl user'!$A$2:$D10975,""SELECT A WHERE D = '""&amp;K4640&amp;""'"")),""USER TIDAK DIKETAHUI""))"),"")</f>
        <v/>
      </c>
    </row>
    <row r="4641">
      <c r="A4641" s="21" t="str">
        <f t="shared" si="1"/>
        <v/>
      </c>
      <c r="B4641" s="38"/>
      <c r="C4641" s="23" t="s">
        <v>1877</v>
      </c>
      <c r="D4641" s="23" t="s">
        <v>58</v>
      </c>
      <c r="E4641" s="24">
        <v>45466.0</v>
      </c>
      <c r="F4641" s="25">
        <v>0.22083333333333333</v>
      </c>
      <c r="G4641" s="25">
        <v>0.6965277777777777</v>
      </c>
      <c r="H4641" s="27">
        <f t="shared" si="2"/>
        <v>0.4756944444</v>
      </c>
      <c r="I4641" s="28">
        <v>4.0</v>
      </c>
      <c r="J4641" s="39" t="s">
        <v>55</v>
      </c>
      <c r="K4641" s="41"/>
      <c r="L4641" s="31" t="str">
        <f>IFERROR(__xludf.DUMMYFUNCTION("IF(OR(E4641="""",K4641=""""),"""",IFERROR(IF(K4641="""","""",query('tbl user'!$A$2:$D10975,""SELECT A WHERE D = '""&amp;K4641&amp;""'"")),""USER TIDAK DIKETAHUI""))"),"")</f>
        <v/>
      </c>
    </row>
    <row r="4642">
      <c r="A4642" s="21" t="str">
        <f t="shared" si="1"/>
        <v/>
      </c>
      <c r="B4642" s="38"/>
      <c r="C4642" s="23" t="s">
        <v>1884</v>
      </c>
      <c r="D4642" s="23" t="s">
        <v>58</v>
      </c>
      <c r="E4642" s="24">
        <v>45466.0</v>
      </c>
      <c r="F4642" s="25">
        <v>0.22569444444444445</v>
      </c>
      <c r="G4642" s="25">
        <v>0.6715277777777777</v>
      </c>
      <c r="H4642" s="27">
        <f t="shared" si="2"/>
        <v>0.4458333333</v>
      </c>
      <c r="I4642" s="28">
        <v>4.0</v>
      </c>
      <c r="J4642" s="39" t="s">
        <v>55</v>
      </c>
      <c r="K4642" s="41"/>
      <c r="L4642" s="31" t="str">
        <f>IFERROR(__xludf.DUMMYFUNCTION("IF(OR(E4642="""",K4642=""""),"""",IFERROR(IF(K4642="""","""",query('tbl user'!$A$2:$D10975,""SELECT A WHERE D = '""&amp;K4642&amp;""'"")),""USER TIDAK DIKETAHUI""))"),"")</f>
        <v/>
      </c>
    </row>
    <row r="4643">
      <c r="A4643" s="21" t="str">
        <f t="shared" si="1"/>
        <v/>
      </c>
      <c r="B4643" s="38"/>
      <c r="C4643" s="23" t="s">
        <v>1892</v>
      </c>
      <c r="D4643" s="23" t="s">
        <v>58</v>
      </c>
      <c r="E4643" s="24">
        <v>45466.0</v>
      </c>
      <c r="F4643" s="25">
        <v>0.20208333333333334</v>
      </c>
      <c r="G4643" s="25">
        <v>0.6451388888888889</v>
      </c>
      <c r="H4643" s="27">
        <f t="shared" si="2"/>
        <v>0.4430555556</v>
      </c>
      <c r="I4643" s="28">
        <v>4.0</v>
      </c>
      <c r="J4643" s="39" t="s">
        <v>55</v>
      </c>
      <c r="K4643" s="41"/>
      <c r="L4643" s="31" t="str">
        <f>IFERROR(__xludf.DUMMYFUNCTION("IF(OR(E4643="""",K4643=""""),"""",IFERROR(IF(K4643="""","""",query('tbl user'!$A$2:$D10975,""SELECT A WHERE D = '""&amp;K4643&amp;""'"")),""USER TIDAK DIKETAHUI""))"),"")</f>
        <v/>
      </c>
    </row>
    <row r="4644">
      <c r="A4644" s="21" t="str">
        <f t="shared" si="1"/>
        <v/>
      </c>
      <c r="B4644" s="38"/>
      <c r="C4644" s="23" t="s">
        <v>1963</v>
      </c>
      <c r="D4644" s="23" t="s">
        <v>32</v>
      </c>
      <c r="E4644" s="24">
        <v>45466.0</v>
      </c>
      <c r="F4644" s="25">
        <v>0.26458333333333334</v>
      </c>
      <c r="G4644" s="28" t="s">
        <v>1817</v>
      </c>
      <c r="H4644" s="27" t="str">
        <f t="shared" si="2"/>
        <v/>
      </c>
      <c r="I4644" s="28">
        <v>0.0</v>
      </c>
      <c r="J4644" s="39" t="s">
        <v>2186</v>
      </c>
      <c r="K4644" s="41"/>
      <c r="L4644" s="31" t="str">
        <f>IFERROR(__xludf.DUMMYFUNCTION("IF(OR(E4644="""",K4644=""""),"""",IFERROR(IF(K4644="""","""",query('tbl user'!$A$2:$D10975,""SELECT A WHERE D = '""&amp;K4644&amp;""'"")),""USER TIDAK DIKETAHUI""))"),"")</f>
        <v/>
      </c>
    </row>
    <row r="4645">
      <c r="A4645" s="21" t="str">
        <f t="shared" si="1"/>
        <v/>
      </c>
      <c r="B4645" s="38"/>
      <c r="C4645" s="23" t="s">
        <v>2066</v>
      </c>
      <c r="D4645" s="23" t="s">
        <v>32</v>
      </c>
      <c r="E4645" s="24">
        <v>45466.0</v>
      </c>
      <c r="F4645" s="25">
        <v>0.27708333333333335</v>
      </c>
      <c r="G4645" s="25">
        <v>0.5208333333333334</v>
      </c>
      <c r="H4645" s="27">
        <f t="shared" si="2"/>
        <v>0.24375</v>
      </c>
      <c r="I4645" s="28">
        <v>1.0</v>
      </c>
      <c r="J4645" s="39" t="s">
        <v>940</v>
      </c>
      <c r="K4645" s="41"/>
      <c r="L4645" s="31" t="str">
        <f>IFERROR(__xludf.DUMMYFUNCTION("IF(OR(E4645="""",K4645=""""),"""",IFERROR(IF(K4645="""","""",query('tbl user'!$A$2:$D10975,""SELECT A WHERE D = '""&amp;K4645&amp;""'"")),""USER TIDAK DIKETAHUI""))"),"")</f>
        <v/>
      </c>
    </row>
    <row r="4646">
      <c r="A4646" s="21" t="str">
        <f t="shared" si="1"/>
        <v/>
      </c>
      <c r="B4646" s="38"/>
      <c r="C4646" s="23" t="s">
        <v>1901</v>
      </c>
      <c r="D4646" s="23" t="s">
        <v>32</v>
      </c>
      <c r="E4646" s="24">
        <v>45466.0</v>
      </c>
      <c r="F4646" s="25">
        <v>0.2902777777777778</v>
      </c>
      <c r="G4646" s="25">
        <v>0.6590277777777778</v>
      </c>
      <c r="H4646" s="27">
        <f t="shared" si="2"/>
        <v>0.36875</v>
      </c>
      <c r="I4646" s="28">
        <v>2.0</v>
      </c>
      <c r="J4646" s="39" t="s">
        <v>2187</v>
      </c>
      <c r="K4646" s="41"/>
      <c r="L4646" s="31" t="str">
        <f>IFERROR(__xludf.DUMMYFUNCTION("IF(OR(E4646="""",K4646=""""),"""",IFERROR(IF(K4646="""","""",query('tbl user'!$A$2:$D10975,""SELECT A WHERE D = '""&amp;K4646&amp;""'"")),""USER TIDAK DIKETAHUI""))"),"")</f>
        <v/>
      </c>
    </row>
    <row r="4647">
      <c r="A4647" s="21" t="str">
        <f t="shared" si="1"/>
        <v/>
      </c>
      <c r="B4647" s="38"/>
      <c r="C4647" s="23" t="s">
        <v>1964</v>
      </c>
      <c r="D4647" s="23" t="s">
        <v>32</v>
      </c>
      <c r="E4647" s="24">
        <v>45466.0</v>
      </c>
      <c r="F4647" s="25">
        <v>0.2604166666666667</v>
      </c>
      <c r="G4647" s="25">
        <v>0.7479166666666667</v>
      </c>
      <c r="H4647" s="27">
        <f t="shared" si="2"/>
        <v>0.4875</v>
      </c>
      <c r="I4647" s="28">
        <v>2.0</v>
      </c>
      <c r="J4647" s="39" t="s">
        <v>618</v>
      </c>
      <c r="K4647" s="41"/>
      <c r="L4647" s="31" t="str">
        <f>IFERROR(__xludf.DUMMYFUNCTION("IF(OR(E4647="""",K4647=""""),"""",IFERROR(IF(K4647="""","""",query('tbl user'!$A$2:$D10975,""SELECT A WHERE D = '""&amp;K4647&amp;""'"")),""USER TIDAK DIKETAHUI""))"),"")</f>
        <v/>
      </c>
    </row>
    <row r="4648">
      <c r="A4648" s="21" t="str">
        <f t="shared" si="1"/>
        <v/>
      </c>
      <c r="B4648" s="38"/>
      <c r="C4648" s="23" t="s">
        <v>1965</v>
      </c>
      <c r="D4648" s="23" t="s">
        <v>32</v>
      </c>
      <c r="E4648" s="24">
        <v>45466.0</v>
      </c>
      <c r="F4648" s="25">
        <v>0.25069444444444444</v>
      </c>
      <c r="G4648" s="25">
        <v>0.4548611111111111</v>
      </c>
      <c r="H4648" s="27">
        <f t="shared" si="2"/>
        <v>0.2041666667</v>
      </c>
      <c r="I4648" s="28">
        <v>2.0</v>
      </c>
      <c r="J4648" s="39" t="s">
        <v>2188</v>
      </c>
      <c r="K4648" s="41"/>
      <c r="L4648" s="31" t="str">
        <f>IFERROR(__xludf.DUMMYFUNCTION("IF(OR(E4648="""",K4648=""""),"""",IFERROR(IF(K4648="""","""",query('tbl user'!$A$2:$D10975,""SELECT A WHERE D = '""&amp;K4648&amp;""'"")),""USER TIDAK DIKETAHUI""))"),"")</f>
        <v/>
      </c>
    </row>
    <row r="4649">
      <c r="A4649" s="21" t="str">
        <f t="shared" si="1"/>
        <v/>
      </c>
      <c r="B4649" s="38"/>
      <c r="C4649" s="23" t="s">
        <v>1967</v>
      </c>
      <c r="D4649" s="23" t="s">
        <v>32</v>
      </c>
      <c r="E4649" s="24">
        <v>45466.0</v>
      </c>
      <c r="F4649" s="25">
        <v>0.28958333333333336</v>
      </c>
      <c r="G4649" s="25">
        <v>0.6888888888888889</v>
      </c>
      <c r="H4649" s="27">
        <f t="shared" si="2"/>
        <v>0.3993055556</v>
      </c>
      <c r="I4649" s="28">
        <v>2.0</v>
      </c>
      <c r="J4649" s="39" t="s">
        <v>2189</v>
      </c>
      <c r="K4649" s="41"/>
      <c r="L4649" s="31" t="str">
        <f>IFERROR(__xludf.DUMMYFUNCTION("IF(OR(E4649="""",K4649=""""),"""",IFERROR(IF(K4649="""","""",query('tbl user'!$A$2:$D10975,""SELECT A WHERE D = '""&amp;K4649&amp;""'"")),""USER TIDAK DIKETAHUI""))"),"")</f>
        <v/>
      </c>
    </row>
    <row r="4650">
      <c r="A4650" s="21" t="str">
        <f t="shared" si="1"/>
        <v/>
      </c>
      <c r="B4650" s="38"/>
      <c r="C4650" s="23" t="s">
        <v>1962</v>
      </c>
      <c r="D4650" s="23" t="s">
        <v>32</v>
      </c>
      <c r="E4650" s="24">
        <v>45466.0</v>
      </c>
      <c r="F4650" s="25">
        <v>0.24375</v>
      </c>
      <c r="G4650" s="25">
        <v>0.6493055555555556</v>
      </c>
      <c r="H4650" s="27">
        <f t="shared" si="2"/>
        <v>0.4055555556</v>
      </c>
      <c r="I4650" s="28">
        <v>3.0</v>
      </c>
      <c r="J4650" s="39" t="s">
        <v>218</v>
      </c>
      <c r="K4650" s="41"/>
      <c r="L4650" s="31" t="str">
        <f>IFERROR(__xludf.DUMMYFUNCTION("IF(OR(E4650="""",K4650=""""),"""",IFERROR(IF(K4650="""","""",query('tbl user'!$A$2:$D10975,""SELECT A WHERE D = '""&amp;K4650&amp;""'"")),""USER TIDAK DIKETAHUI""))"),"")</f>
        <v/>
      </c>
    </row>
    <row r="4651">
      <c r="A4651" s="21" t="str">
        <f t="shared" si="1"/>
        <v/>
      </c>
      <c r="B4651" s="38"/>
      <c r="C4651" s="23" t="s">
        <v>1951</v>
      </c>
      <c r="D4651" s="23" t="s">
        <v>32</v>
      </c>
      <c r="E4651" s="24">
        <v>45466.0</v>
      </c>
      <c r="F4651" s="25">
        <v>0.3548611111111111</v>
      </c>
      <c r="G4651" s="25">
        <v>0.6972222222222222</v>
      </c>
      <c r="H4651" s="27">
        <f t="shared" si="2"/>
        <v>0.3423611111</v>
      </c>
      <c r="I4651" s="28">
        <v>3.0</v>
      </c>
      <c r="J4651" s="39" t="s">
        <v>1988</v>
      </c>
      <c r="K4651" s="41"/>
      <c r="L4651" s="31" t="str">
        <f>IFERROR(__xludf.DUMMYFUNCTION("IF(OR(E4651="""",K4651=""""),"""",IFERROR(IF(K4651="""","""",query('tbl user'!$A$2:$D10975,""SELECT A WHERE D = '""&amp;K4651&amp;""'"")),""USER TIDAK DIKETAHUI""))"),"")</f>
        <v/>
      </c>
    </row>
    <row r="4652">
      <c r="A4652" s="21" t="str">
        <f t="shared" si="1"/>
        <v/>
      </c>
      <c r="B4652" s="38"/>
      <c r="C4652" s="23" t="s">
        <v>1898</v>
      </c>
      <c r="D4652" s="23" t="s">
        <v>32</v>
      </c>
      <c r="E4652" s="24">
        <v>45466.0</v>
      </c>
      <c r="F4652" s="25">
        <v>0.27361111111111114</v>
      </c>
      <c r="G4652" s="25">
        <v>0.6472222222222223</v>
      </c>
      <c r="H4652" s="27">
        <f t="shared" si="2"/>
        <v>0.3736111111</v>
      </c>
      <c r="I4652" s="28">
        <v>3.0</v>
      </c>
      <c r="J4652" s="39" t="s">
        <v>171</v>
      </c>
      <c r="K4652" s="41"/>
      <c r="L4652" s="31" t="str">
        <f>IFERROR(__xludf.DUMMYFUNCTION("IF(OR(E4652="""",K4652=""""),"""",IFERROR(IF(K4652="""","""",query('tbl user'!$A$2:$D10975,""SELECT A WHERE D = '""&amp;K4652&amp;""'"")),""USER TIDAK DIKETAHUI""))"),"")</f>
        <v/>
      </c>
    </row>
    <row r="4653">
      <c r="A4653" s="21" t="str">
        <f t="shared" si="1"/>
        <v/>
      </c>
      <c r="B4653" s="38"/>
      <c r="C4653" s="23" t="s">
        <v>1959</v>
      </c>
      <c r="D4653" s="23" t="s">
        <v>32</v>
      </c>
      <c r="E4653" s="24">
        <v>45466.0</v>
      </c>
      <c r="F4653" s="25">
        <v>0.2798611111111111</v>
      </c>
      <c r="G4653" s="25">
        <v>0.7</v>
      </c>
      <c r="H4653" s="27">
        <f t="shared" si="2"/>
        <v>0.4201388889</v>
      </c>
      <c r="I4653" s="28">
        <v>3.0</v>
      </c>
      <c r="J4653" s="39" t="s">
        <v>171</v>
      </c>
      <c r="K4653" s="41"/>
      <c r="L4653" s="31" t="str">
        <f>IFERROR(__xludf.DUMMYFUNCTION("IF(OR(E4653="""",K4653=""""),"""",IFERROR(IF(K4653="""","""",query('tbl user'!$A$2:$D10975,""SELECT A WHERE D = '""&amp;K4653&amp;""'"")),""USER TIDAK DIKETAHUI""))"),"")</f>
        <v/>
      </c>
    </row>
    <row r="4654">
      <c r="A4654" s="21" t="str">
        <f t="shared" si="1"/>
        <v/>
      </c>
      <c r="B4654" s="38"/>
      <c r="C4654" s="23" t="s">
        <v>2190</v>
      </c>
      <c r="D4654" s="23" t="s">
        <v>32</v>
      </c>
      <c r="E4654" s="24">
        <v>45466.0</v>
      </c>
      <c r="F4654" s="25">
        <v>0.28888888888888886</v>
      </c>
      <c r="G4654" s="25">
        <v>0.7902777777777777</v>
      </c>
      <c r="H4654" s="27">
        <f t="shared" si="2"/>
        <v>0.5013888889</v>
      </c>
      <c r="I4654" s="28">
        <v>3.0</v>
      </c>
      <c r="J4654" s="39" t="s">
        <v>2191</v>
      </c>
      <c r="K4654" s="41"/>
      <c r="L4654" s="31" t="str">
        <f>IFERROR(__xludf.DUMMYFUNCTION("IF(OR(E4654="""",K4654=""""),"""",IFERROR(IF(K4654="""","""",query('tbl user'!$A$2:$D10975,""SELECT A WHERE D = '""&amp;K4654&amp;""'"")),""USER TIDAK DIKETAHUI""))"),"")</f>
        <v/>
      </c>
    </row>
    <row r="4655">
      <c r="A4655" s="21" t="str">
        <f t="shared" si="1"/>
        <v/>
      </c>
      <c r="B4655" s="38"/>
      <c r="C4655" s="23" t="s">
        <v>1896</v>
      </c>
      <c r="D4655" s="23" t="s">
        <v>32</v>
      </c>
      <c r="E4655" s="24">
        <v>45466.0</v>
      </c>
      <c r="F4655" s="25">
        <v>0.28055555555555556</v>
      </c>
      <c r="G4655" s="25">
        <v>0.6555555555555556</v>
      </c>
      <c r="H4655" s="27">
        <f t="shared" si="2"/>
        <v>0.375</v>
      </c>
      <c r="I4655" s="28">
        <v>3.0</v>
      </c>
      <c r="J4655" s="39" t="s">
        <v>171</v>
      </c>
      <c r="K4655" s="41"/>
      <c r="L4655" s="31" t="str">
        <f>IFERROR(__xludf.DUMMYFUNCTION("IF(OR(E4655="""",K4655=""""),"""",IFERROR(IF(K4655="""","""",query('tbl user'!$A$2:$D10975,""SELECT A WHERE D = '""&amp;K4655&amp;""'"")),""USER TIDAK DIKETAHUI""))"),"")</f>
        <v/>
      </c>
    </row>
    <row r="4656">
      <c r="A4656" s="21" t="str">
        <f t="shared" si="1"/>
        <v/>
      </c>
      <c r="B4656" s="38"/>
      <c r="C4656" s="23" t="s">
        <v>1910</v>
      </c>
      <c r="D4656" s="23" t="s">
        <v>32</v>
      </c>
      <c r="E4656" s="24">
        <v>45466.0</v>
      </c>
      <c r="F4656" s="25">
        <v>0.22430555555555556</v>
      </c>
      <c r="G4656" s="25">
        <v>0.68125</v>
      </c>
      <c r="H4656" s="27">
        <f t="shared" si="2"/>
        <v>0.4569444444</v>
      </c>
      <c r="I4656" s="28">
        <v>4.0</v>
      </c>
      <c r="J4656" s="39" t="s">
        <v>55</v>
      </c>
      <c r="K4656" s="41"/>
      <c r="L4656" s="31" t="str">
        <f>IFERROR(__xludf.DUMMYFUNCTION("IF(OR(E4656="""",K4656=""""),"""",IFERROR(IF(K4656="""","""",query('tbl user'!$A$2:$D10975,""SELECT A WHERE D = '""&amp;K4656&amp;""'"")),""USER TIDAK DIKETAHUI""))"),"")</f>
        <v/>
      </c>
    </row>
    <row r="4657">
      <c r="A4657" s="21" t="str">
        <f t="shared" si="1"/>
        <v/>
      </c>
      <c r="B4657" s="38"/>
      <c r="C4657" s="23" t="s">
        <v>2092</v>
      </c>
      <c r="D4657" s="23" t="s">
        <v>32</v>
      </c>
      <c r="E4657" s="24">
        <v>45466.0</v>
      </c>
      <c r="F4657" s="25">
        <v>0.2222222222222222</v>
      </c>
      <c r="G4657" s="25">
        <v>0.6583333333333333</v>
      </c>
      <c r="H4657" s="27">
        <f t="shared" si="2"/>
        <v>0.4361111111</v>
      </c>
      <c r="I4657" s="28">
        <v>4.0</v>
      </c>
      <c r="J4657" s="39" t="s">
        <v>55</v>
      </c>
      <c r="K4657" s="41"/>
      <c r="L4657" s="31" t="str">
        <f>IFERROR(__xludf.DUMMYFUNCTION("IF(OR(E4657="""",K4657=""""),"""",IFERROR(IF(K4657="""","""",query('tbl user'!$A$2:$D10975,""SELECT A WHERE D = '""&amp;K4657&amp;""'"")),""USER TIDAK DIKETAHUI""))"),"")</f>
        <v/>
      </c>
    </row>
    <row r="4658">
      <c r="A4658" s="21" t="str">
        <f t="shared" si="1"/>
        <v/>
      </c>
      <c r="B4658" s="38"/>
      <c r="C4658" s="23" t="s">
        <v>1909</v>
      </c>
      <c r="D4658" s="23" t="s">
        <v>32</v>
      </c>
      <c r="E4658" s="24">
        <v>45466.0</v>
      </c>
      <c r="F4658" s="25">
        <v>0.2708333333333333</v>
      </c>
      <c r="G4658" s="25">
        <v>0.7104166666666667</v>
      </c>
      <c r="H4658" s="27">
        <f t="shared" si="2"/>
        <v>0.4395833333</v>
      </c>
      <c r="I4658" s="28">
        <v>4.0</v>
      </c>
      <c r="J4658" s="39" t="s">
        <v>55</v>
      </c>
      <c r="K4658" s="41"/>
      <c r="L4658" s="31" t="str">
        <f>IFERROR(__xludf.DUMMYFUNCTION("IF(OR(E4658="""",K4658=""""),"""",IFERROR(IF(K4658="""","""",query('tbl user'!$A$2:$D10975,""SELECT A WHERE D = '""&amp;K4658&amp;""'"")),""USER TIDAK DIKETAHUI""))"),"")</f>
        <v/>
      </c>
    </row>
    <row r="4659">
      <c r="A4659" s="21" t="str">
        <f t="shared" si="1"/>
        <v/>
      </c>
      <c r="B4659" s="38"/>
      <c r="C4659" s="23" t="s">
        <v>1856</v>
      </c>
      <c r="D4659" s="23" t="s">
        <v>21</v>
      </c>
      <c r="E4659" s="24">
        <v>45467.0</v>
      </c>
      <c r="F4659" s="25">
        <v>0.2534722222222222</v>
      </c>
      <c r="G4659" s="25">
        <v>0.59375</v>
      </c>
      <c r="H4659" s="27">
        <f t="shared" si="2"/>
        <v>0.3402777778</v>
      </c>
      <c r="I4659" s="28">
        <v>2.0</v>
      </c>
      <c r="J4659" s="39" t="s">
        <v>2192</v>
      </c>
      <c r="K4659" s="41"/>
      <c r="L4659" s="31" t="str">
        <f>IFERROR(__xludf.DUMMYFUNCTION("IF(OR(E4659="""",K4659=""""),"""",IFERROR(IF(K4659="""","""",query('tbl user'!$A$2:$D10975,""SELECT A WHERE D = '""&amp;K4659&amp;""'"")),""USER TIDAK DIKETAHUI""))"),"")</f>
        <v/>
      </c>
    </row>
    <row r="4660">
      <c r="A4660" s="21" t="str">
        <f t="shared" si="1"/>
        <v/>
      </c>
      <c r="B4660" s="38"/>
      <c r="C4660" s="23" t="s">
        <v>1847</v>
      </c>
      <c r="D4660" s="23" t="s">
        <v>21</v>
      </c>
      <c r="E4660" s="24">
        <v>45467.0</v>
      </c>
      <c r="F4660" s="25">
        <v>0.2659722222222222</v>
      </c>
      <c r="G4660" s="25">
        <v>0.45069444444444445</v>
      </c>
      <c r="H4660" s="27">
        <f t="shared" si="2"/>
        <v>0.1847222222</v>
      </c>
      <c r="I4660" s="28">
        <v>2.0</v>
      </c>
      <c r="J4660" s="39" t="s">
        <v>2193</v>
      </c>
      <c r="K4660" s="41"/>
      <c r="L4660" s="31" t="str">
        <f>IFERROR(__xludf.DUMMYFUNCTION("IF(OR(E4660="""",K4660=""""),"""",IFERROR(IF(K4660="""","""",query('tbl user'!$A$2:$D10975,""SELECT A WHERE D = '""&amp;K4660&amp;""'"")),""USER TIDAK DIKETAHUI""))"),"")</f>
        <v/>
      </c>
    </row>
    <row r="4661">
      <c r="A4661" s="21" t="str">
        <f t="shared" si="1"/>
        <v/>
      </c>
      <c r="B4661" s="38"/>
      <c r="C4661" s="23" t="s">
        <v>1833</v>
      </c>
      <c r="D4661" s="23" t="s">
        <v>21</v>
      </c>
      <c r="E4661" s="24">
        <v>45467.0</v>
      </c>
      <c r="F4661" s="25">
        <v>0.28125</v>
      </c>
      <c r="G4661" s="25">
        <v>0.6229166666666667</v>
      </c>
      <c r="H4661" s="27">
        <f t="shared" si="2"/>
        <v>0.3416666667</v>
      </c>
      <c r="I4661" s="28">
        <v>4.0</v>
      </c>
      <c r="J4661" s="39" t="s">
        <v>2194</v>
      </c>
      <c r="K4661" s="41"/>
      <c r="L4661" s="31" t="str">
        <f>IFERROR(__xludf.DUMMYFUNCTION("IF(OR(E4661="""",K4661=""""),"""",IFERROR(IF(K4661="""","""",query('tbl user'!$A$2:$D10975,""SELECT A WHERE D = '""&amp;K4661&amp;""'"")),""USER TIDAK DIKETAHUI""))"),"")</f>
        <v/>
      </c>
    </row>
    <row r="4662">
      <c r="A4662" s="21" t="str">
        <f t="shared" si="1"/>
        <v/>
      </c>
      <c r="B4662" s="38"/>
      <c r="C4662" s="23" t="s">
        <v>1844</v>
      </c>
      <c r="D4662" s="23" t="s">
        <v>21</v>
      </c>
      <c r="E4662" s="24">
        <v>45467.0</v>
      </c>
      <c r="F4662" s="25">
        <v>0.37569444444444444</v>
      </c>
      <c r="G4662" s="25">
        <v>0.6840277777777778</v>
      </c>
      <c r="H4662" s="27">
        <f t="shared" si="2"/>
        <v>0.3083333333</v>
      </c>
      <c r="I4662" s="28">
        <v>4.0</v>
      </c>
      <c r="J4662" s="39" t="s">
        <v>1297</v>
      </c>
      <c r="K4662" s="41"/>
      <c r="L4662" s="31" t="str">
        <f>IFERROR(__xludf.DUMMYFUNCTION("IF(OR(E4662="""",K4662=""""),"""",IFERROR(IF(K4662="""","""",query('tbl user'!$A$2:$D10975,""SELECT A WHERE D = '""&amp;K4662&amp;""'"")),""USER TIDAK DIKETAHUI""))"),"")</f>
        <v/>
      </c>
    </row>
    <row r="4663">
      <c r="A4663" s="21" t="str">
        <f t="shared" si="1"/>
        <v/>
      </c>
      <c r="B4663" s="38"/>
      <c r="C4663" s="23" t="s">
        <v>1845</v>
      </c>
      <c r="D4663" s="23" t="s">
        <v>21</v>
      </c>
      <c r="E4663" s="24">
        <v>45467.0</v>
      </c>
      <c r="F4663" s="25">
        <v>0.24513888888888888</v>
      </c>
      <c r="G4663" s="25">
        <v>0.5625</v>
      </c>
      <c r="H4663" s="27">
        <f t="shared" si="2"/>
        <v>0.3173611111</v>
      </c>
      <c r="I4663" s="28">
        <v>4.0</v>
      </c>
      <c r="J4663" s="39" t="s">
        <v>2195</v>
      </c>
      <c r="K4663" s="41"/>
      <c r="L4663" s="31" t="str">
        <f>IFERROR(__xludf.DUMMYFUNCTION("IF(OR(E4663="""",K4663=""""),"""",IFERROR(IF(K4663="""","""",query('tbl user'!$A$2:$D10975,""SELECT A WHERE D = '""&amp;K4663&amp;""'"")),""USER TIDAK DIKETAHUI""))"),"")</f>
        <v/>
      </c>
    </row>
    <row r="4664">
      <c r="A4664" s="21" t="str">
        <f t="shared" si="1"/>
        <v/>
      </c>
      <c r="B4664" s="38"/>
      <c r="C4664" s="23" t="s">
        <v>2049</v>
      </c>
      <c r="D4664" s="23" t="s">
        <v>21</v>
      </c>
      <c r="E4664" s="24">
        <v>45467.0</v>
      </c>
      <c r="F4664" s="25">
        <v>0.3854166666666667</v>
      </c>
      <c r="G4664" s="25">
        <v>0.7111111111111111</v>
      </c>
      <c r="H4664" s="27">
        <f t="shared" si="2"/>
        <v>0.3256944444</v>
      </c>
      <c r="I4664" s="28">
        <v>4.0</v>
      </c>
      <c r="J4664" s="39" t="s">
        <v>2196</v>
      </c>
      <c r="K4664" s="41"/>
      <c r="L4664" s="31" t="str">
        <f>IFERROR(__xludf.DUMMYFUNCTION("IF(OR(E4664="""",K4664=""""),"""",IFERROR(IF(K4664="""","""",query('tbl user'!$A$2:$D10975,""SELECT A WHERE D = '""&amp;K4664&amp;""'"")),""USER TIDAK DIKETAHUI""))"),"")</f>
        <v/>
      </c>
    </row>
    <row r="4665">
      <c r="A4665" s="21" t="str">
        <f t="shared" si="1"/>
        <v/>
      </c>
      <c r="B4665" s="38"/>
      <c r="C4665" s="23" t="s">
        <v>1928</v>
      </c>
      <c r="D4665" s="23" t="s">
        <v>21</v>
      </c>
      <c r="E4665" s="24">
        <v>45467.0</v>
      </c>
      <c r="F4665" s="25">
        <v>0.2534722222222222</v>
      </c>
      <c r="G4665" s="25">
        <v>0.5944444444444444</v>
      </c>
      <c r="H4665" s="27">
        <f t="shared" si="2"/>
        <v>0.3409722222</v>
      </c>
      <c r="I4665" s="28">
        <v>4.0</v>
      </c>
      <c r="J4665" s="39" t="s">
        <v>245</v>
      </c>
      <c r="K4665" s="41"/>
      <c r="L4665" s="31" t="str">
        <f>IFERROR(__xludf.DUMMYFUNCTION("IF(OR(E4665="""",K4665=""""),"""",IFERROR(IF(K4665="""","""",query('tbl user'!$A$2:$D10975,""SELECT A WHERE D = '""&amp;K4665&amp;""'"")),""USER TIDAK DIKETAHUI""))"),"")</f>
        <v/>
      </c>
    </row>
    <row r="4666">
      <c r="A4666" s="21" t="str">
        <f t="shared" si="1"/>
        <v/>
      </c>
      <c r="B4666" s="38"/>
      <c r="C4666" s="23" t="s">
        <v>1850</v>
      </c>
      <c r="D4666" s="23" t="s">
        <v>21</v>
      </c>
      <c r="E4666" s="24">
        <v>45467.0</v>
      </c>
      <c r="F4666" s="25">
        <v>0.2826388888888889</v>
      </c>
      <c r="G4666" s="25">
        <v>0.7090277777777778</v>
      </c>
      <c r="H4666" s="27">
        <f t="shared" si="2"/>
        <v>0.4263888889</v>
      </c>
      <c r="I4666" s="28">
        <v>4.0</v>
      </c>
      <c r="J4666" s="39" t="s">
        <v>2197</v>
      </c>
      <c r="K4666" s="41"/>
      <c r="L4666" s="31" t="str">
        <f>IFERROR(__xludf.DUMMYFUNCTION("IF(OR(E4666="""",K4666=""""),"""",IFERROR(IF(K4666="""","""",query('tbl user'!$A$2:$D10975,""SELECT A WHERE D = '""&amp;K4666&amp;""'"")),""USER TIDAK DIKETAHUI""))"),"")</f>
        <v/>
      </c>
    </row>
    <row r="4667">
      <c r="A4667" s="21" t="str">
        <f t="shared" si="1"/>
        <v/>
      </c>
      <c r="B4667" s="38"/>
      <c r="C4667" s="23" t="s">
        <v>2002</v>
      </c>
      <c r="D4667" s="23" t="s">
        <v>21</v>
      </c>
      <c r="E4667" s="24">
        <v>45467.0</v>
      </c>
      <c r="F4667" s="25">
        <v>0.26458333333333334</v>
      </c>
      <c r="G4667" s="25">
        <v>0.7048611111111112</v>
      </c>
      <c r="H4667" s="27">
        <f t="shared" si="2"/>
        <v>0.4402777778</v>
      </c>
      <c r="I4667" s="28">
        <v>5.0</v>
      </c>
      <c r="J4667" s="39" t="s">
        <v>55</v>
      </c>
      <c r="K4667" s="41"/>
      <c r="L4667" s="31" t="str">
        <f>IFERROR(__xludf.DUMMYFUNCTION("IF(OR(E4667="""",K4667=""""),"""",IFERROR(IF(K4667="""","""",query('tbl user'!$A$2:$D10975,""SELECT A WHERE D = '""&amp;K4667&amp;""'"")),""USER TIDAK DIKETAHUI""))"),"")</f>
        <v/>
      </c>
    </row>
    <row r="4668">
      <c r="A4668" s="21" t="str">
        <f t="shared" si="1"/>
        <v/>
      </c>
      <c r="B4668" s="38"/>
      <c r="C4668" s="23" t="s">
        <v>1853</v>
      </c>
      <c r="D4668" s="23" t="s">
        <v>21</v>
      </c>
      <c r="E4668" s="24">
        <v>45467.0</v>
      </c>
      <c r="F4668" s="25">
        <v>0.2847222222222222</v>
      </c>
      <c r="G4668" s="25">
        <v>0.68125</v>
      </c>
      <c r="H4668" s="27">
        <f t="shared" si="2"/>
        <v>0.3965277778</v>
      </c>
      <c r="I4668" s="28">
        <v>5.0</v>
      </c>
      <c r="J4668" s="39" t="s">
        <v>55</v>
      </c>
      <c r="K4668" s="41"/>
      <c r="L4668" s="31" t="str">
        <f>IFERROR(__xludf.DUMMYFUNCTION("IF(OR(E4668="""",K4668=""""),"""",IFERROR(IF(K4668="""","""",query('tbl user'!$A$2:$D10975,""SELECT A WHERE D = '""&amp;K4668&amp;""'"")),""USER TIDAK DIKETAHUI""))"),"")</f>
        <v/>
      </c>
    </row>
    <row r="4669">
      <c r="A4669" s="21" t="str">
        <f t="shared" si="1"/>
        <v/>
      </c>
      <c r="B4669" s="38"/>
      <c r="C4669" s="23" t="s">
        <v>1830</v>
      </c>
      <c r="D4669" s="23" t="s">
        <v>21</v>
      </c>
      <c r="E4669" s="24">
        <v>45467.0</v>
      </c>
      <c r="F4669" s="25">
        <v>0.27291666666666664</v>
      </c>
      <c r="G4669" s="25">
        <v>0.6715277777777777</v>
      </c>
      <c r="H4669" s="27">
        <f t="shared" si="2"/>
        <v>0.3986111111</v>
      </c>
      <c r="I4669" s="28">
        <v>5.0</v>
      </c>
      <c r="J4669" s="39" t="s">
        <v>55</v>
      </c>
      <c r="K4669" s="41"/>
      <c r="L4669" s="31" t="str">
        <f>IFERROR(__xludf.DUMMYFUNCTION("IF(OR(E4669="""",K4669=""""),"""",IFERROR(IF(K4669="""","""",query('tbl user'!$A$2:$D10975,""SELECT A WHERE D = '""&amp;K4669&amp;""'"")),""USER TIDAK DIKETAHUI""))"),"")</f>
        <v/>
      </c>
    </row>
    <row r="4670">
      <c r="A4670" s="21" t="str">
        <f t="shared" si="1"/>
        <v/>
      </c>
      <c r="B4670" s="38"/>
      <c r="C4670" s="23" t="s">
        <v>1923</v>
      </c>
      <c r="D4670" s="23" t="s">
        <v>21</v>
      </c>
      <c r="E4670" s="24">
        <v>45467.0</v>
      </c>
      <c r="F4670" s="25">
        <v>0.25833333333333336</v>
      </c>
      <c r="G4670" s="25">
        <v>0.6875</v>
      </c>
      <c r="H4670" s="27">
        <f t="shared" si="2"/>
        <v>0.4291666667</v>
      </c>
      <c r="I4670" s="28">
        <v>5.0</v>
      </c>
      <c r="J4670" s="39" t="s">
        <v>55</v>
      </c>
      <c r="K4670" s="41"/>
      <c r="L4670" s="31" t="str">
        <f>IFERROR(__xludf.DUMMYFUNCTION("IF(OR(E4670="""",K4670=""""),"""",IFERROR(IF(K4670="""","""",query('tbl user'!$A$2:$D10975,""SELECT A WHERE D = '""&amp;K4670&amp;""'"")),""USER TIDAK DIKETAHUI""))"),"")</f>
        <v/>
      </c>
    </row>
    <row r="4671">
      <c r="A4671" s="21" t="str">
        <f t="shared" si="1"/>
        <v/>
      </c>
      <c r="B4671" s="38"/>
      <c r="C4671" s="23" t="s">
        <v>1834</v>
      </c>
      <c r="D4671" s="23" t="s">
        <v>21</v>
      </c>
      <c r="E4671" s="24">
        <v>45467.0</v>
      </c>
      <c r="F4671" s="25">
        <v>0.28055555555555556</v>
      </c>
      <c r="G4671" s="25">
        <v>0.6673611111111111</v>
      </c>
      <c r="H4671" s="27">
        <f t="shared" si="2"/>
        <v>0.3868055556</v>
      </c>
      <c r="I4671" s="28">
        <v>5.0</v>
      </c>
      <c r="J4671" s="39" t="s">
        <v>55</v>
      </c>
      <c r="K4671" s="41"/>
      <c r="L4671" s="31" t="str">
        <f>IFERROR(__xludf.DUMMYFUNCTION("IF(OR(E4671="""",K4671=""""),"""",IFERROR(IF(K4671="""","""",query('tbl user'!$A$2:$D10975,""SELECT A WHERE D = '""&amp;K4671&amp;""'"")),""USER TIDAK DIKETAHUI""))"),"")</f>
        <v/>
      </c>
    </row>
    <row r="4672">
      <c r="A4672" s="21" t="str">
        <f t="shared" si="1"/>
        <v/>
      </c>
      <c r="B4672" s="38"/>
      <c r="C4672" s="23" t="s">
        <v>2041</v>
      </c>
      <c r="D4672" s="23" t="s">
        <v>21</v>
      </c>
      <c r="E4672" s="24">
        <v>45467.0</v>
      </c>
      <c r="F4672" s="25">
        <v>0.2638888888888889</v>
      </c>
      <c r="G4672" s="25">
        <v>0.6486111111111111</v>
      </c>
      <c r="H4672" s="27">
        <f t="shared" si="2"/>
        <v>0.3847222222</v>
      </c>
      <c r="I4672" s="28">
        <v>5.0</v>
      </c>
      <c r="J4672" s="39" t="s">
        <v>55</v>
      </c>
      <c r="K4672" s="41"/>
      <c r="L4672" s="31" t="str">
        <f>IFERROR(__xludf.DUMMYFUNCTION("IF(OR(E4672="""",K4672=""""),"""",IFERROR(IF(K4672="""","""",query('tbl user'!$A$2:$D10975,""SELECT A WHERE D = '""&amp;K4672&amp;""'"")),""USER TIDAK DIKETAHUI""))"),"")</f>
        <v/>
      </c>
    </row>
    <row r="4673">
      <c r="A4673" s="21" t="str">
        <f t="shared" si="1"/>
        <v/>
      </c>
      <c r="B4673" s="38"/>
      <c r="C4673" s="23" t="s">
        <v>1835</v>
      </c>
      <c r="D4673" s="23" t="s">
        <v>21</v>
      </c>
      <c r="E4673" s="24">
        <v>45467.0</v>
      </c>
      <c r="F4673" s="25">
        <v>0.2881944444444444</v>
      </c>
      <c r="G4673" s="25">
        <v>0.6736111111111112</v>
      </c>
      <c r="H4673" s="27">
        <f t="shared" si="2"/>
        <v>0.3854166667</v>
      </c>
      <c r="I4673" s="28">
        <v>5.0</v>
      </c>
      <c r="J4673" s="39" t="s">
        <v>55</v>
      </c>
      <c r="K4673" s="41"/>
      <c r="L4673" s="31" t="str">
        <f>IFERROR(__xludf.DUMMYFUNCTION("IF(OR(E4673="""",K4673=""""),"""",IFERROR(IF(K4673="""","""",query('tbl user'!$A$2:$D10975,""SELECT A WHERE D = '""&amp;K4673&amp;""'"")),""USER TIDAK DIKETAHUI""))"),"")</f>
        <v/>
      </c>
    </row>
    <row r="4674">
      <c r="A4674" s="21" t="str">
        <f t="shared" si="1"/>
        <v/>
      </c>
      <c r="B4674" s="38"/>
      <c r="C4674" s="23" t="s">
        <v>1925</v>
      </c>
      <c r="D4674" s="23" t="s">
        <v>21</v>
      </c>
      <c r="E4674" s="24">
        <v>45467.0</v>
      </c>
      <c r="F4674" s="25">
        <v>0.2722222222222222</v>
      </c>
      <c r="G4674" s="25">
        <v>0.6618055555555555</v>
      </c>
      <c r="H4674" s="27">
        <f t="shared" si="2"/>
        <v>0.3895833333</v>
      </c>
      <c r="I4674" s="28">
        <v>5.0</v>
      </c>
      <c r="J4674" s="39" t="s">
        <v>55</v>
      </c>
      <c r="K4674" s="41"/>
      <c r="L4674" s="31" t="str">
        <f>IFERROR(__xludf.DUMMYFUNCTION("IF(OR(E4674="""",K4674=""""),"""",IFERROR(IF(K4674="""","""",query('tbl user'!$A$2:$D10975,""SELECT A WHERE D = '""&amp;K4674&amp;""'"")),""USER TIDAK DIKETAHUI""))"),"")</f>
        <v/>
      </c>
    </row>
    <row r="4675">
      <c r="A4675" s="21" t="str">
        <f t="shared" si="1"/>
        <v/>
      </c>
      <c r="B4675" s="38"/>
      <c r="C4675" s="23" t="s">
        <v>1930</v>
      </c>
      <c r="D4675" s="23" t="s">
        <v>21</v>
      </c>
      <c r="E4675" s="24">
        <v>45467.0</v>
      </c>
      <c r="F4675" s="25">
        <v>0.3055555555555556</v>
      </c>
      <c r="G4675" s="25">
        <v>0.66875</v>
      </c>
      <c r="H4675" s="27">
        <f t="shared" si="2"/>
        <v>0.3631944444</v>
      </c>
      <c r="I4675" s="28">
        <v>5.0</v>
      </c>
      <c r="J4675" s="39" t="s">
        <v>55</v>
      </c>
      <c r="K4675" s="41"/>
      <c r="L4675" s="31" t="str">
        <f>IFERROR(__xludf.DUMMYFUNCTION("IF(OR(E4675="""",K4675=""""),"""",IFERROR(IF(K4675="""","""",query('tbl user'!$A$2:$D10975,""SELECT A WHERE D = '""&amp;K4675&amp;""'"")),""USER TIDAK DIKETAHUI""))"),"")</f>
        <v/>
      </c>
    </row>
    <row r="4676">
      <c r="A4676" s="21" t="str">
        <f t="shared" si="1"/>
        <v/>
      </c>
      <c r="B4676" s="38"/>
      <c r="C4676" s="23" t="s">
        <v>1851</v>
      </c>
      <c r="D4676" s="23" t="s">
        <v>21</v>
      </c>
      <c r="E4676" s="24">
        <v>45467.0</v>
      </c>
      <c r="F4676" s="25">
        <v>0.2902777777777778</v>
      </c>
      <c r="G4676" s="25">
        <v>0.7513888888888889</v>
      </c>
      <c r="H4676" s="27">
        <f t="shared" si="2"/>
        <v>0.4611111111</v>
      </c>
      <c r="I4676" s="28">
        <v>6.0</v>
      </c>
      <c r="J4676" s="39" t="s">
        <v>55</v>
      </c>
      <c r="K4676" s="41"/>
      <c r="L4676" s="31" t="str">
        <f>IFERROR(__xludf.DUMMYFUNCTION("IF(OR(E4676="""",K4676=""""),"""",IFERROR(IF(K4676="""","""",query('tbl user'!$A$2:$D10975,""SELECT A WHERE D = '""&amp;K4676&amp;""'"")),""USER TIDAK DIKETAHUI""))"),"")</f>
        <v/>
      </c>
    </row>
    <row r="4677">
      <c r="A4677" s="21" t="str">
        <f t="shared" si="1"/>
        <v/>
      </c>
      <c r="B4677" s="38"/>
      <c r="C4677" s="23" t="s">
        <v>1839</v>
      </c>
      <c r="D4677" s="23" t="s">
        <v>21</v>
      </c>
      <c r="E4677" s="24">
        <v>45467.0</v>
      </c>
      <c r="F4677" s="25">
        <v>0.2673611111111111</v>
      </c>
      <c r="G4677" s="25">
        <v>0.7506944444444444</v>
      </c>
      <c r="H4677" s="27">
        <f t="shared" si="2"/>
        <v>0.4833333333</v>
      </c>
      <c r="I4677" s="28">
        <v>6.0</v>
      </c>
      <c r="J4677" s="39" t="s">
        <v>55</v>
      </c>
      <c r="K4677" s="41"/>
      <c r="L4677" s="31" t="str">
        <f>IFERROR(__xludf.DUMMYFUNCTION("IF(OR(E4677="""",K4677=""""),"""",IFERROR(IF(K4677="""","""",query('tbl user'!$A$2:$D10975,""SELECT A WHERE D = '""&amp;K4677&amp;""'"")),""USER TIDAK DIKETAHUI""))"),"")</f>
        <v/>
      </c>
    </row>
    <row r="4678">
      <c r="A4678" s="21" t="str">
        <f t="shared" si="1"/>
        <v/>
      </c>
      <c r="B4678" s="38"/>
      <c r="C4678" s="23" t="s">
        <v>1857</v>
      </c>
      <c r="D4678" s="23" t="s">
        <v>21</v>
      </c>
      <c r="E4678" s="24">
        <v>45467.0</v>
      </c>
      <c r="F4678" s="25">
        <v>0.25277777777777777</v>
      </c>
      <c r="G4678" s="25">
        <v>0.6875</v>
      </c>
      <c r="H4678" s="27">
        <f t="shared" si="2"/>
        <v>0.4347222222</v>
      </c>
      <c r="I4678" s="28">
        <v>6.0</v>
      </c>
      <c r="J4678" s="39" t="s">
        <v>55</v>
      </c>
      <c r="K4678" s="41"/>
      <c r="L4678" s="31" t="str">
        <f>IFERROR(__xludf.DUMMYFUNCTION("IF(OR(E4678="""",K4678=""""),"""",IFERROR(IF(K4678="""","""",query('tbl user'!$A$2:$D10975,""SELECT A WHERE D = '""&amp;K4678&amp;""'"")),""USER TIDAK DIKETAHUI""))"),"")</f>
        <v/>
      </c>
    </row>
    <row r="4679">
      <c r="A4679" s="21" t="str">
        <f t="shared" si="1"/>
        <v/>
      </c>
      <c r="B4679" s="38"/>
      <c r="C4679" s="23" t="s">
        <v>2005</v>
      </c>
      <c r="D4679" s="23" t="s">
        <v>21</v>
      </c>
      <c r="E4679" s="24">
        <v>45467.0</v>
      </c>
      <c r="F4679" s="25">
        <v>0.24722222222222223</v>
      </c>
      <c r="G4679" s="25">
        <v>0.6881944444444444</v>
      </c>
      <c r="H4679" s="27">
        <f t="shared" si="2"/>
        <v>0.4409722222</v>
      </c>
      <c r="I4679" s="28">
        <v>6.0</v>
      </c>
      <c r="J4679" s="39" t="s">
        <v>55</v>
      </c>
      <c r="K4679" s="41"/>
      <c r="L4679" s="31" t="str">
        <f>IFERROR(__xludf.DUMMYFUNCTION("IF(OR(E4679="""",K4679=""""),"""",IFERROR(IF(K4679="""","""",query('tbl user'!$A$2:$D10975,""SELECT A WHERE D = '""&amp;K4679&amp;""'"")),""USER TIDAK DIKETAHUI""))"),"")</f>
        <v/>
      </c>
    </row>
    <row r="4680">
      <c r="A4680" s="21" t="str">
        <f t="shared" si="1"/>
        <v/>
      </c>
      <c r="B4680" s="38"/>
      <c r="C4680" s="23" t="s">
        <v>1935</v>
      </c>
      <c r="D4680" s="23" t="s">
        <v>21</v>
      </c>
      <c r="E4680" s="24">
        <v>45467.0</v>
      </c>
      <c r="F4680" s="25">
        <v>0.25625</v>
      </c>
      <c r="G4680" s="25">
        <v>0.7013888888888888</v>
      </c>
      <c r="H4680" s="27">
        <f t="shared" si="2"/>
        <v>0.4451388889</v>
      </c>
      <c r="I4680" s="28">
        <v>6.0</v>
      </c>
      <c r="J4680" s="39" t="s">
        <v>55</v>
      </c>
      <c r="K4680" s="41"/>
      <c r="L4680" s="31" t="str">
        <f>IFERROR(__xludf.DUMMYFUNCTION("IF(OR(E4680="""",K4680=""""),"""",IFERROR(IF(K4680="""","""",query('tbl user'!$A$2:$D10975,""SELECT A WHERE D = '""&amp;K4680&amp;""'"")),""USER TIDAK DIKETAHUI""))"),"")</f>
        <v/>
      </c>
    </row>
    <row r="4681">
      <c r="A4681" s="21" t="str">
        <f t="shared" si="1"/>
        <v/>
      </c>
      <c r="B4681" s="38"/>
      <c r="C4681" s="23" t="s">
        <v>1917</v>
      </c>
      <c r="D4681" s="23" t="s">
        <v>21</v>
      </c>
      <c r="E4681" s="24">
        <v>45467.0</v>
      </c>
      <c r="F4681" s="25">
        <v>0.27291666666666664</v>
      </c>
      <c r="G4681" s="25">
        <v>0.5506944444444445</v>
      </c>
      <c r="H4681" s="27">
        <f t="shared" si="2"/>
        <v>0.2777777778</v>
      </c>
      <c r="I4681" s="28">
        <v>3.0</v>
      </c>
      <c r="J4681" s="39" t="s">
        <v>2198</v>
      </c>
      <c r="K4681" s="41"/>
      <c r="L4681" s="31" t="str">
        <f>IFERROR(__xludf.DUMMYFUNCTION("IF(OR(E4681="""",K4681=""""),"""",IFERROR(IF(K4681="""","""",query('tbl user'!$A$2:$D10975,""SELECT A WHERE D = '""&amp;K4681&amp;""'"")),""USER TIDAK DIKETAHUI""))"),"")</f>
        <v/>
      </c>
    </row>
    <row r="4682">
      <c r="A4682" s="21" t="str">
        <f t="shared" si="1"/>
        <v/>
      </c>
      <c r="B4682" s="38"/>
      <c r="C4682" s="23" t="s">
        <v>1841</v>
      </c>
      <c r="D4682" s="23" t="s">
        <v>21</v>
      </c>
      <c r="E4682" s="24">
        <v>45467.0</v>
      </c>
      <c r="F4682" s="25">
        <v>0.2881944444444444</v>
      </c>
      <c r="G4682" s="25">
        <v>0.60625</v>
      </c>
      <c r="H4682" s="27">
        <f t="shared" si="2"/>
        <v>0.3180555556</v>
      </c>
      <c r="I4682" s="28">
        <v>3.0</v>
      </c>
      <c r="J4682" s="39"/>
      <c r="K4682" s="41"/>
      <c r="L4682" s="31" t="str">
        <f>IFERROR(__xludf.DUMMYFUNCTION("IF(OR(E4682="""",K4682=""""),"""",IFERROR(IF(K4682="""","""",query('tbl user'!$A$2:$D10975,""SELECT A WHERE D = '""&amp;K4682&amp;""'"")),""USER TIDAK DIKETAHUI""))"),"")</f>
        <v/>
      </c>
    </row>
    <row r="4683">
      <c r="A4683" s="21" t="str">
        <f t="shared" si="1"/>
        <v/>
      </c>
      <c r="B4683" s="38"/>
      <c r="C4683" s="23" t="s">
        <v>1874</v>
      </c>
      <c r="D4683" s="23" t="s">
        <v>58</v>
      </c>
      <c r="E4683" s="24">
        <v>45467.0</v>
      </c>
      <c r="F4683" s="25">
        <v>0.27361111111111114</v>
      </c>
      <c r="G4683" s="25">
        <v>0.40555555555555556</v>
      </c>
      <c r="H4683" s="27">
        <f t="shared" si="2"/>
        <v>0.1319444444</v>
      </c>
      <c r="I4683" s="28">
        <v>1.0</v>
      </c>
      <c r="J4683" s="39" t="s">
        <v>2199</v>
      </c>
      <c r="K4683" s="41"/>
      <c r="L4683" s="31" t="str">
        <f>IFERROR(__xludf.DUMMYFUNCTION("IF(OR(E4683="""",K4683=""""),"""",IFERROR(IF(K4683="""","""",query('tbl user'!$A$2:$D10975,""SELECT A WHERE D = '""&amp;K4683&amp;""'"")),""USER TIDAK DIKETAHUI""))"),"")</f>
        <v/>
      </c>
    </row>
    <row r="4684">
      <c r="A4684" s="21" t="str">
        <f t="shared" si="1"/>
        <v/>
      </c>
      <c r="B4684" s="38"/>
      <c r="C4684" s="23" t="s">
        <v>1865</v>
      </c>
      <c r="D4684" s="23" t="s">
        <v>58</v>
      </c>
      <c r="E4684" s="24">
        <v>45467.0</v>
      </c>
      <c r="F4684" s="25">
        <v>0.2791666666666667</v>
      </c>
      <c r="G4684" s="25">
        <v>0.4284722222222222</v>
      </c>
      <c r="H4684" s="27">
        <f t="shared" si="2"/>
        <v>0.1493055556</v>
      </c>
      <c r="I4684" s="28">
        <v>1.0</v>
      </c>
      <c r="J4684" s="39" t="s">
        <v>2200</v>
      </c>
      <c r="K4684" s="41"/>
      <c r="L4684" s="31" t="str">
        <f>IFERROR(__xludf.DUMMYFUNCTION("IF(OR(E4684="""",K4684=""""),"""",IFERROR(IF(K4684="""","""",query('tbl user'!$A$2:$D10975,""SELECT A WHERE D = '""&amp;K4684&amp;""'"")),""USER TIDAK DIKETAHUI""))"),"")</f>
        <v/>
      </c>
    </row>
    <row r="4685">
      <c r="A4685" s="21" t="str">
        <f t="shared" si="1"/>
        <v/>
      </c>
      <c r="B4685" s="38"/>
      <c r="C4685" s="23" t="s">
        <v>1941</v>
      </c>
      <c r="D4685" s="23" t="s">
        <v>58</v>
      </c>
      <c r="E4685" s="24">
        <v>45467.0</v>
      </c>
      <c r="F4685" s="25">
        <v>0.26875</v>
      </c>
      <c r="G4685" s="25">
        <v>0.4125</v>
      </c>
      <c r="H4685" s="27">
        <f t="shared" si="2"/>
        <v>0.14375</v>
      </c>
      <c r="I4685" s="28">
        <v>1.0</v>
      </c>
      <c r="J4685" s="39" t="s">
        <v>2201</v>
      </c>
      <c r="K4685" s="41"/>
      <c r="L4685" s="31" t="str">
        <f>IFERROR(__xludf.DUMMYFUNCTION("IF(OR(E4685="""",K4685=""""),"""",IFERROR(IF(K4685="""","""",query('tbl user'!$A$2:$D10975,""SELECT A WHERE D = '""&amp;K4685&amp;""'"")),""USER TIDAK DIKETAHUI""))"),"")</f>
        <v/>
      </c>
    </row>
    <row r="4686">
      <c r="A4686" s="21" t="str">
        <f t="shared" si="1"/>
        <v/>
      </c>
      <c r="B4686" s="38"/>
      <c r="C4686" s="23" t="s">
        <v>1881</v>
      </c>
      <c r="D4686" s="23" t="s">
        <v>58</v>
      </c>
      <c r="E4686" s="24">
        <v>45467.0</v>
      </c>
      <c r="F4686" s="25">
        <v>0.22708333333333333</v>
      </c>
      <c r="G4686" s="25">
        <v>0.36041666666666666</v>
      </c>
      <c r="H4686" s="27">
        <f t="shared" si="2"/>
        <v>0.1333333333</v>
      </c>
      <c r="I4686" s="28">
        <v>1.0</v>
      </c>
      <c r="J4686" s="39" t="s">
        <v>2202</v>
      </c>
      <c r="K4686" s="41"/>
      <c r="L4686" s="31" t="str">
        <f>IFERROR(__xludf.DUMMYFUNCTION("IF(OR(E4686="""",K4686=""""),"""",IFERROR(IF(K4686="""","""",query('tbl user'!$A$2:$D10975,""SELECT A WHERE D = '""&amp;K4686&amp;""'"")),""USER TIDAK DIKETAHUI""))"),"")</f>
        <v/>
      </c>
    </row>
    <row r="4687">
      <c r="A4687" s="21" t="str">
        <f t="shared" si="1"/>
        <v/>
      </c>
      <c r="B4687" s="38"/>
      <c r="C4687" s="23" t="s">
        <v>1872</v>
      </c>
      <c r="D4687" s="23" t="s">
        <v>58</v>
      </c>
      <c r="E4687" s="24">
        <v>45467.0</v>
      </c>
      <c r="F4687" s="25">
        <v>0.36875</v>
      </c>
      <c r="G4687" s="25">
        <v>0.5465277777777777</v>
      </c>
      <c r="H4687" s="27">
        <f t="shared" si="2"/>
        <v>0.1777777778</v>
      </c>
      <c r="I4687" s="28">
        <v>1.0</v>
      </c>
      <c r="J4687" s="39" t="s">
        <v>2203</v>
      </c>
      <c r="K4687" s="41"/>
      <c r="L4687" s="31" t="str">
        <f>IFERROR(__xludf.DUMMYFUNCTION("IF(OR(E4687="""",K4687=""""),"""",IFERROR(IF(K4687="""","""",query('tbl user'!$A$2:$D10975,""SELECT A WHERE D = '""&amp;K4687&amp;""'"")),""USER TIDAK DIKETAHUI""))"),"")</f>
        <v/>
      </c>
    </row>
    <row r="4688">
      <c r="A4688" s="21" t="str">
        <f t="shared" si="1"/>
        <v/>
      </c>
      <c r="B4688" s="38"/>
      <c r="C4688" s="23" t="s">
        <v>1891</v>
      </c>
      <c r="D4688" s="23" t="s">
        <v>58</v>
      </c>
      <c r="E4688" s="24">
        <v>45467.0</v>
      </c>
      <c r="F4688" s="25">
        <v>0.2388888888888889</v>
      </c>
      <c r="G4688" s="25">
        <v>0.3701388888888889</v>
      </c>
      <c r="H4688" s="27">
        <f t="shared" si="2"/>
        <v>0.13125</v>
      </c>
      <c r="I4688" s="28">
        <v>1.0</v>
      </c>
      <c r="J4688" s="39" t="s">
        <v>1303</v>
      </c>
      <c r="K4688" s="41"/>
      <c r="L4688" s="31" t="str">
        <f>IFERROR(__xludf.DUMMYFUNCTION("IF(OR(E4688="""",K4688=""""),"""",IFERROR(IF(K4688="""","""",query('tbl user'!$A$2:$D10975,""SELECT A WHERE D = '""&amp;K4688&amp;""'"")),""USER TIDAK DIKETAHUI""))"),"")</f>
        <v/>
      </c>
    </row>
    <row r="4689">
      <c r="A4689" s="21" t="str">
        <f t="shared" si="1"/>
        <v/>
      </c>
      <c r="B4689" s="38"/>
      <c r="C4689" s="23" t="s">
        <v>1867</v>
      </c>
      <c r="D4689" s="23" t="s">
        <v>58</v>
      </c>
      <c r="E4689" s="24">
        <v>45467.0</v>
      </c>
      <c r="F4689" s="25">
        <v>0.2722222222222222</v>
      </c>
      <c r="G4689" s="25">
        <v>0.5708333333333333</v>
      </c>
      <c r="H4689" s="27">
        <f t="shared" si="2"/>
        <v>0.2986111111</v>
      </c>
      <c r="I4689" s="28">
        <v>2.0</v>
      </c>
      <c r="J4689" s="39" t="s">
        <v>2204</v>
      </c>
      <c r="K4689" s="41"/>
      <c r="L4689" s="31" t="str">
        <f>IFERROR(__xludf.DUMMYFUNCTION("IF(OR(E4689="""",K4689=""""),"""",IFERROR(IF(K4689="""","""",query('tbl user'!$A$2:$D10975,""SELECT A WHERE D = '""&amp;K4689&amp;""'"")),""USER TIDAK DIKETAHUI""))"),"")</f>
        <v/>
      </c>
    </row>
    <row r="4690">
      <c r="A4690" s="21" t="str">
        <f t="shared" si="1"/>
        <v/>
      </c>
      <c r="B4690" s="38"/>
      <c r="C4690" s="23" t="s">
        <v>1878</v>
      </c>
      <c r="D4690" s="23" t="s">
        <v>58</v>
      </c>
      <c r="E4690" s="24">
        <v>45467.0</v>
      </c>
      <c r="F4690" s="25">
        <v>0.2916666666666667</v>
      </c>
      <c r="G4690" s="25">
        <v>0.5777777777777777</v>
      </c>
      <c r="H4690" s="27">
        <f t="shared" si="2"/>
        <v>0.2861111111</v>
      </c>
      <c r="I4690" s="28">
        <v>2.0</v>
      </c>
      <c r="J4690" s="39" t="s">
        <v>2205</v>
      </c>
      <c r="K4690" s="41"/>
      <c r="L4690" s="31" t="str">
        <f>IFERROR(__xludf.DUMMYFUNCTION("IF(OR(E4690="""",K4690=""""),"""",IFERROR(IF(K4690="""","""",query('tbl user'!$A$2:$D10975,""SELECT A WHERE D = '""&amp;K4690&amp;""'"")),""USER TIDAK DIKETAHUI""))"),"")</f>
        <v/>
      </c>
    </row>
    <row r="4691">
      <c r="A4691" s="21" t="str">
        <f t="shared" si="1"/>
        <v/>
      </c>
      <c r="B4691" s="38"/>
      <c r="C4691" s="23" t="s">
        <v>1879</v>
      </c>
      <c r="D4691" s="23" t="s">
        <v>58</v>
      </c>
      <c r="E4691" s="24">
        <v>45467.0</v>
      </c>
      <c r="F4691" s="25">
        <v>0.25069444444444444</v>
      </c>
      <c r="G4691" s="25">
        <v>0.5472222222222223</v>
      </c>
      <c r="H4691" s="27">
        <f t="shared" si="2"/>
        <v>0.2965277778</v>
      </c>
      <c r="I4691" s="28">
        <v>2.0</v>
      </c>
      <c r="J4691" s="39" t="s">
        <v>2206</v>
      </c>
      <c r="K4691" s="41"/>
      <c r="L4691" s="31" t="str">
        <f>IFERROR(__xludf.DUMMYFUNCTION("IF(OR(E4691="""",K4691=""""),"""",IFERROR(IF(K4691="""","""",query('tbl user'!$A$2:$D10975,""SELECT A WHERE D = '""&amp;K4691&amp;""'"")),""USER TIDAK DIKETAHUI""))"),"")</f>
        <v/>
      </c>
    </row>
    <row r="4692">
      <c r="A4692" s="21" t="str">
        <f t="shared" si="1"/>
        <v/>
      </c>
      <c r="B4692" s="38"/>
      <c r="C4692" s="23" t="s">
        <v>1882</v>
      </c>
      <c r="D4692" s="23" t="s">
        <v>58</v>
      </c>
      <c r="E4692" s="24">
        <v>45467.0</v>
      </c>
      <c r="F4692" s="25">
        <v>0.2777777777777778</v>
      </c>
      <c r="G4692" s="25">
        <v>0.5583333333333333</v>
      </c>
      <c r="H4692" s="27">
        <f t="shared" si="2"/>
        <v>0.2805555556</v>
      </c>
      <c r="I4692" s="28">
        <v>2.0</v>
      </c>
      <c r="J4692" s="39" t="s">
        <v>2207</v>
      </c>
      <c r="K4692" s="41"/>
      <c r="L4692" s="31" t="str">
        <f>IFERROR(__xludf.DUMMYFUNCTION("IF(OR(E4692="""",K4692=""""),"""",IFERROR(IF(K4692="""","""",query('tbl user'!$A$2:$D10975,""SELECT A WHERE D = '""&amp;K4692&amp;""'"")),""USER TIDAK DIKETAHUI""))"),"")</f>
        <v/>
      </c>
    </row>
    <row r="4693">
      <c r="A4693" s="21" t="str">
        <f t="shared" si="1"/>
        <v/>
      </c>
      <c r="B4693" s="38"/>
      <c r="C4693" s="23" t="s">
        <v>1883</v>
      </c>
      <c r="D4693" s="23" t="s">
        <v>58</v>
      </c>
      <c r="E4693" s="24">
        <v>45467.0</v>
      </c>
      <c r="F4693" s="25">
        <v>0.28125</v>
      </c>
      <c r="G4693" s="25">
        <v>0.5638888888888889</v>
      </c>
      <c r="H4693" s="27">
        <f t="shared" si="2"/>
        <v>0.2826388889</v>
      </c>
      <c r="I4693" s="28">
        <v>2.0</v>
      </c>
      <c r="J4693" s="39" t="s">
        <v>2208</v>
      </c>
      <c r="K4693" s="41"/>
      <c r="L4693" s="31" t="str">
        <f>IFERROR(__xludf.DUMMYFUNCTION("IF(OR(E4693="""",K4693=""""),"""",IFERROR(IF(K4693="""","""",query('tbl user'!$A$2:$D10975,""SELECT A WHERE D = '""&amp;K4693&amp;""'"")),""USER TIDAK DIKETAHUI""))"),"")</f>
        <v/>
      </c>
    </row>
    <row r="4694">
      <c r="A4694" s="21" t="str">
        <f t="shared" si="1"/>
        <v/>
      </c>
      <c r="B4694" s="38"/>
      <c r="C4694" s="23" t="s">
        <v>1950</v>
      </c>
      <c r="D4694" s="23" t="s">
        <v>58</v>
      </c>
      <c r="E4694" s="24">
        <v>45467.0</v>
      </c>
      <c r="F4694" s="25">
        <v>0.2743055555555556</v>
      </c>
      <c r="G4694" s="25">
        <v>0.6458333333333334</v>
      </c>
      <c r="H4694" s="27">
        <f t="shared" si="2"/>
        <v>0.3715277778</v>
      </c>
      <c r="I4694" s="28">
        <v>2.0</v>
      </c>
      <c r="J4694" s="39" t="s">
        <v>2209</v>
      </c>
      <c r="K4694" s="41"/>
      <c r="L4694" s="31" t="str">
        <f>IFERROR(__xludf.DUMMYFUNCTION("IF(OR(E4694="""",K4694=""""),"""",IFERROR(IF(K4694="""","""",query('tbl user'!$A$2:$D10975,""SELECT A WHERE D = '""&amp;K4694&amp;""'"")),""USER TIDAK DIKETAHUI""))"),"")</f>
        <v/>
      </c>
    </row>
    <row r="4695">
      <c r="A4695" s="21" t="str">
        <f t="shared" si="1"/>
        <v/>
      </c>
      <c r="B4695" s="38"/>
      <c r="C4695" s="23" t="s">
        <v>1893</v>
      </c>
      <c r="D4695" s="23" t="s">
        <v>58</v>
      </c>
      <c r="E4695" s="24">
        <v>45467.0</v>
      </c>
      <c r="F4695" s="25">
        <v>0.225</v>
      </c>
      <c r="G4695" s="25">
        <v>0.4618055555555556</v>
      </c>
      <c r="H4695" s="27">
        <f t="shared" si="2"/>
        <v>0.2368055556</v>
      </c>
      <c r="I4695" s="28">
        <v>2.0</v>
      </c>
      <c r="J4695" s="39" t="s">
        <v>2210</v>
      </c>
      <c r="K4695" s="41"/>
      <c r="L4695" s="31" t="str">
        <f>IFERROR(__xludf.DUMMYFUNCTION("IF(OR(E4695="""",K4695=""""),"""",IFERROR(IF(K4695="""","""",query('tbl user'!$A$2:$D10975,""SELECT A WHERE D = '""&amp;K4695&amp;""'"")),""USER TIDAK DIKETAHUI""))"),"")</f>
        <v/>
      </c>
    </row>
    <row r="4696">
      <c r="A4696" s="21" t="str">
        <f t="shared" si="1"/>
        <v/>
      </c>
      <c r="B4696" s="38"/>
      <c r="C4696" s="23" t="s">
        <v>1886</v>
      </c>
      <c r="D4696" s="23" t="s">
        <v>58</v>
      </c>
      <c r="E4696" s="24">
        <v>45467.0</v>
      </c>
      <c r="F4696" s="25">
        <v>0.26805555555555555</v>
      </c>
      <c r="G4696" s="25">
        <v>0.525</v>
      </c>
      <c r="H4696" s="27">
        <f t="shared" si="2"/>
        <v>0.2569444444</v>
      </c>
      <c r="I4696" s="28">
        <v>2.0</v>
      </c>
      <c r="J4696" s="39" t="s">
        <v>2211</v>
      </c>
      <c r="K4696" s="41"/>
      <c r="L4696" s="31" t="str">
        <f>IFERROR(__xludf.DUMMYFUNCTION("IF(OR(E4696="""",K4696=""""),"""",IFERROR(IF(K4696="""","""",query('tbl user'!$A$2:$D10975,""SELECT A WHERE D = '""&amp;K4696&amp;""'"")),""USER TIDAK DIKETAHUI""))"),"")</f>
        <v/>
      </c>
    </row>
    <row r="4697">
      <c r="A4697" s="21" t="str">
        <f t="shared" si="1"/>
        <v/>
      </c>
      <c r="B4697" s="38"/>
      <c r="C4697" s="23" t="s">
        <v>1877</v>
      </c>
      <c r="D4697" s="23" t="s">
        <v>58</v>
      </c>
      <c r="E4697" s="24">
        <v>45467.0</v>
      </c>
      <c r="F4697" s="25">
        <v>0.2743055555555556</v>
      </c>
      <c r="G4697" s="25">
        <v>0.7555555555555555</v>
      </c>
      <c r="H4697" s="27">
        <f t="shared" si="2"/>
        <v>0.48125</v>
      </c>
      <c r="I4697" s="28">
        <v>3.0</v>
      </c>
      <c r="J4697" s="39" t="s">
        <v>2212</v>
      </c>
      <c r="K4697" s="41"/>
      <c r="L4697" s="31" t="str">
        <f>IFERROR(__xludf.DUMMYFUNCTION("IF(OR(E4697="""",K4697=""""),"""",IFERROR(IF(K4697="""","""",query('tbl user'!$A$2:$D10975,""SELECT A WHERE D = '""&amp;K4697&amp;""'"")),""USER TIDAK DIKETAHUI""))"),"")</f>
        <v/>
      </c>
    </row>
    <row r="4698">
      <c r="A4698" s="21" t="str">
        <f t="shared" si="1"/>
        <v/>
      </c>
      <c r="B4698" s="38"/>
      <c r="C4698" s="23" t="s">
        <v>1869</v>
      </c>
      <c r="D4698" s="23" t="s">
        <v>58</v>
      </c>
      <c r="E4698" s="24">
        <v>45467.0</v>
      </c>
      <c r="F4698" s="25">
        <v>0.28680555555555554</v>
      </c>
      <c r="G4698" s="25">
        <v>0.6611111111111111</v>
      </c>
      <c r="H4698" s="27">
        <f t="shared" si="2"/>
        <v>0.3743055556</v>
      </c>
      <c r="I4698" s="28">
        <v>3.0</v>
      </c>
      <c r="J4698" s="39" t="s">
        <v>2213</v>
      </c>
      <c r="K4698" s="41"/>
      <c r="L4698" s="31" t="str">
        <f>IFERROR(__xludf.DUMMYFUNCTION("IF(OR(E4698="""",K4698=""""),"""",IFERROR(IF(K4698="""","""",query('tbl user'!$A$2:$D10975,""SELECT A WHERE D = '""&amp;K4698&amp;""'"")),""USER TIDAK DIKETAHUI""))"),"")</f>
        <v/>
      </c>
    </row>
    <row r="4699">
      <c r="A4699" s="21" t="str">
        <f t="shared" si="1"/>
        <v/>
      </c>
      <c r="B4699" s="38"/>
      <c r="C4699" s="23" t="s">
        <v>1860</v>
      </c>
      <c r="D4699" s="23" t="s">
        <v>58</v>
      </c>
      <c r="E4699" s="24">
        <v>45467.0</v>
      </c>
      <c r="F4699" s="25">
        <v>0.28958333333333336</v>
      </c>
      <c r="G4699" s="25">
        <v>0.6472222222222223</v>
      </c>
      <c r="H4699" s="27">
        <f t="shared" si="2"/>
        <v>0.3576388889</v>
      </c>
      <c r="I4699" s="28">
        <v>3.0</v>
      </c>
      <c r="J4699" s="39" t="s">
        <v>2214</v>
      </c>
      <c r="K4699" s="41"/>
      <c r="L4699" s="31" t="str">
        <f>IFERROR(__xludf.DUMMYFUNCTION("IF(OR(E4699="""",K4699=""""),"""",IFERROR(IF(K4699="""","""",query('tbl user'!$A$2:$D10975,""SELECT A WHERE D = '""&amp;K4699&amp;""'"")),""USER TIDAK DIKETAHUI""))"),"")</f>
        <v/>
      </c>
    </row>
    <row r="4700">
      <c r="A4700" s="21" t="str">
        <f t="shared" si="1"/>
        <v/>
      </c>
      <c r="B4700" s="38"/>
      <c r="C4700" s="23" t="s">
        <v>1888</v>
      </c>
      <c r="D4700" s="23" t="s">
        <v>58</v>
      </c>
      <c r="E4700" s="24">
        <v>45467.0</v>
      </c>
      <c r="F4700" s="25">
        <v>0.3972222222222222</v>
      </c>
      <c r="G4700" s="25">
        <v>0.7236111111111111</v>
      </c>
      <c r="H4700" s="27">
        <f t="shared" si="2"/>
        <v>0.3263888889</v>
      </c>
      <c r="I4700" s="28">
        <v>3.0</v>
      </c>
      <c r="J4700" s="39" t="s">
        <v>2208</v>
      </c>
      <c r="K4700" s="41"/>
      <c r="L4700" s="31" t="str">
        <f>IFERROR(__xludf.DUMMYFUNCTION("IF(OR(E4700="""",K4700=""""),"""",IFERROR(IF(K4700="""","""",query('tbl user'!$A$2:$D10975,""SELECT A WHERE D = '""&amp;K4700&amp;""'"")),""USER TIDAK DIKETAHUI""))"),"")</f>
        <v/>
      </c>
    </row>
    <row r="4701">
      <c r="A4701" s="21" t="str">
        <f t="shared" si="1"/>
        <v/>
      </c>
      <c r="B4701" s="38"/>
      <c r="C4701" s="23" t="s">
        <v>2090</v>
      </c>
      <c r="D4701" s="23" t="s">
        <v>58</v>
      </c>
      <c r="E4701" s="24">
        <v>45467.0</v>
      </c>
      <c r="F4701" s="25">
        <v>0.2659722222222222</v>
      </c>
      <c r="G4701" s="25">
        <v>0.6263888888888889</v>
      </c>
      <c r="H4701" s="27">
        <f t="shared" si="2"/>
        <v>0.3604166667</v>
      </c>
      <c r="I4701" s="28">
        <v>3.0</v>
      </c>
      <c r="J4701" s="39" t="s">
        <v>2208</v>
      </c>
      <c r="K4701" s="41"/>
      <c r="L4701" s="31" t="str">
        <f>IFERROR(__xludf.DUMMYFUNCTION("IF(OR(E4701="""",K4701=""""),"""",IFERROR(IF(K4701="""","""",query('tbl user'!$A$2:$D10975,""SELECT A WHERE D = '""&amp;K4701&amp;""'"")),""USER TIDAK DIKETAHUI""))"),"")</f>
        <v/>
      </c>
    </row>
    <row r="4702">
      <c r="A4702" s="21" t="str">
        <f t="shared" si="1"/>
        <v/>
      </c>
      <c r="B4702" s="38"/>
      <c r="C4702" s="23" t="s">
        <v>1875</v>
      </c>
      <c r="D4702" s="23" t="s">
        <v>58</v>
      </c>
      <c r="E4702" s="24">
        <v>45467.0</v>
      </c>
      <c r="F4702" s="25">
        <v>0.24097222222222223</v>
      </c>
      <c r="G4702" s="25">
        <v>0.7159722222222222</v>
      </c>
      <c r="H4702" s="27">
        <f t="shared" si="2"/>
        <v>0.475</v>
      </c>
      <c r="I4702" s="28">
        <v>4.0</v>
      </c>
      <c r="J4702" s="39" t="s">
        <v>55</v>
      </c>
      <c r="K4702" s="41"/>
      <c r="L4702" s="31" t="str">
        <f>IFERROR(__xludf.DUMMYFUNCTION("IF(OR(E4702="""",K4702=""""),"""",IFERROR(IF(K4702="""","""",query('tbl user'!$A$2:$D10975,""SELECT A WHERE D = '""&amp;K4702&amp;""'"")),""USER TIDAK DIKETAHUI""))"),"")</f>
        <v/>
      </c>
    </row>
    <row r="4703">
      <c r="A4703" s="21" t="str">
        <f t="shared" si="1"/>
        <v/>
      </c>
      <c r="B4703" s="38"/>
      <c r="C4703" s="23" t="s">
        <v>1884</v>
      </c>
      <c r="D4703" s="23" t="s">
        <v>58</v>
      </c>
      <c r="E4703" s="24">
        <v>45467.0</v>
      </c>
      <c r="F4703" s="25">
        <v>0.225</v>
      </c>
      <c r="G4703" s="25">
        <v>0.70625</v>
      </c>
      <c r="H4703" s="27">
        <f t="shared" si="2"/>
        <v>0.48125</v>
      </c>
      <c r="I4703" s="28">
        <v>4.0</v>
      </c>
      <c r="J4703" s="39" t="s">
        <v>55</v>
      </c>
      <c r="K4703" s="41"/>
      <c r="L4703" s="31" t="str">
        <f>IFERROR(__xludf.DUMMYFUNCTION("IF(OR(E4703="""",K4703=""""),"""",IFERROR(IF(K4703="""","""",query('tbl user'!$A$2:$D10975,""SELECT A WHERE D = '""&amp;K4703&amp;""'"")),""USER TIDAK DIKETAHUI""))"),"")</f>
        <v/>
      </c>
    </row>
    <row r="4704">
      <c r="A4704" s="21" t="str">
        <f t="shared" si="1"/>
        <v/>
      </c>
      <c r="B4704" s="38"/>
      <c r="C4704" s="23" t="s">
        <v>1863</v>
      </c>
      <c r="D4704" s="23" t="s">
        <v>58</v>
      </c>
      <c r="E4704" s="24">
        <v>45467.0</v>
      </c>
      <c r="F4704" s="25">
        <v>0.2604166666666667</v>
      </c>
      <c r="G4704" s="25">
        <v>0.6784722222222223</v>
      </c>
      <c r="H4704" s="27">
        <f t="shared" si="2"/>
        <v>0.4180555556</v>
      </c>
      <c r="I4704" s="28">
        <v>4.0</v>
      </c>
      <c r="J4704" s="39" t="s">
        <v>55</v>
      </c>
      <c r="K4704" s="41"/>
      <c r="L4704" s="31" t="str">
        <f>IFERROR(__xludf.DUMMYFUNCTION("IF(OR(E4704="""",K4704=""""),"""",IFERROR(IF(K4704="""","""",query('tbl user'!$A$2:$D10975,""SELECT A WHERE D = '""&amp;K4704&amp;""'"")),""USER TIDAK DIKETAHUI""))"),"")</f>
        <v/>
      </c>
    </row>
    <row r="4705">
      <c r="A4705" s="21" t="str">
        <f t="shared" si="1"/>
        <v/>
      </c>
      <c r="B4705" s="38"/>
      <c r="C4705" s="23" t="s">
        <v>1887</v>
      </c>
      <c r="D4705" s="23" t="s">
        <v>58</v>
      </c>
      <c r="E4705" s="24">
        <v>45467.0</v>
      </c>
      <c r="F4705" s="25">
        <v>0.2861111111111111</v>
      </c>
      <c r="G4705" s="25">
        <v>0.7111111111111111</v>
      </c>
      <c r="H4705" s="27">
        <f t="shared" si="2"/>
        <v>0.425</v>
      </c>
      <c r="I4705" s="28">
        <v>4.0</v>
      </c>
      <c r="J4705" s="39" t="s">
        <v>55</v>
      </c>
      <c r="K4705" s="41"/>
      <c r="L4705" s="31" t="str">
        <f>IFERROR(__xludf.DUMMYFUNCTION("IF(OR(E4705="""",K4705=""""),"""",IFERROR(IF(K4705="""","""",query('tbl user'!$A$2:$D10975,""SELECT A WHERE D = '""&amp;K4705&amp;""'"")),""USER TIDAK DIKETAHUI""))"),"")</f>
        <v/>
      </c>
    </row>
    <row r="4706">
      <c r="A4706" s="21" t="str">
        <f t="shared" si="1"/>
        <v/>
      </c>
      <c r="B4706" s="38"/>
      <c r="C4706" s="23" t="s">
        <v>1889</v>
      </c>
      <c r="D4706" s="23" t="s">
        <v>58</v>
      </c>
      <c r="E4706" s="24">
        <v>45467.0</v>
      </c>
      <c r="F4706" s="25">
        <v>0.25</v>
      </c>
      <c r="G4706" s="25">
        <v>0.6784722222222223</v>
      </c>
      <c r="H4706" s="27">
        <f t="shared" si="2"/>
        <v>0.4284722222</v>
      </c>
      <c r="I4706" s="28">
        <v>4.0</v>
      </c>
      <c r="J4706" s="39" t="s">
        <v>55</v>
      </c>
      <c r="K4706" s="41"/>
      <c r="L4706" s="31" t="str">
        <f>IFERROR(__xludf.DUMMYFUNCTION("IF(OR(E4706="""",K4706=""""),"""",IFERROR(IF(K4706="""","""",query('tbl user'!$A$2:$D10975,""SELECT A WHERE D = '""&amp;K4706&amp;""'"")),""USER TIDAK DIKETAHUI""))"),"")</f>
        <v/>
      </c>
    </row>
    <row r="4707">
      <c r="A4707" s="21" t="str">
        <f t="shared" si="1"/>
        <v/>
      </c>
      <c r="B4707" s="38"/>
      <c r="C4707" s="23" t="s">
        <v>1892</v>
      </c>
      <c r="D4707" s="23" t="s">
        <v>58</v>
      </c>
      <c r="E4707" s="24">
        <v>45467.0</v>
      </c>
      <c r="F4707" s="25">
        <v>0.20069444444444445</v>
      </c>
      <c r="G4707" s="25">
        <v>0.6493055555555556</v>
      </c>
      <c r="H4707" s="27">
        <f t="shared" si="2"/>
        <v>0.4486111111</v>
      </c>
      <c r="I4707" s="28">
        <v>4.0</v>
      </c>
      <c r="J4707" s="39" t="s">
        <v>55</v>
      </c>
      <c r="K4707" s="41"/>
      <c r="L4707" s="31" t="str">
        <f>IFERROR(__xludf.DUMMYFUNCTION("IF(OR(E4707="""",K4707=""""),"""",IFERROR(IF(K4707="""","""",query('tbl user'!$A$2:$D10975,""SELECT A WHERE D = '""&amp;K4707&amp;""'"")),""USER TIDAK DIKETAHUI""))"),"")</f>
        <v/>
      </c>
    </row>
    <row r="4708">
      <c r="A4708" s="21" t="str">
        <f t="shared" si="1"/>
        <v/>
      </c>
      <c r="B4708" s="38"/>
      <c r="C4708" s="23" t="s">
        <v>1963</v>
      </c>
      <c r="D4708" s="23" t="s">
        <v>32</v>
      </c>
      <c r="E4708" s="24">
        <v>45467.0</v>
      </c>
      <c r="F4708" s="25">
        <v>0.2861111111111111</v>
      </c>
      <c r="G4708" s="25">
        <v>0.35833333333333334</v>
      </c>
      <c r="H4708" s="27">
        <f t="shared" si="2"/>
        <v>0.07222222222</v>
      </c>
      <c r="I4708" s="28">
        <v>1.0</v>
      </c>
      <c r="J4708" s="39" t="s">
        <v>1303</v>
      </c>
      <c r="K4708" s="41"/>
      <c r="L4708" s="31" t="str">
        <f>IFERROR(__xludf.DUMMYFUNCTION("IF(OR(E4708="""",K4708=""""),"""",IFERROR(IF(K4708="""","""",query('tbl user'!$A$2:$D10975,""SELECT A WHERE D = '""&amp;K4708&amp;""'"")),""USER TIDAK DIKETAHUI""))"),"")</f>
        <v/>
      </c>
    </row>
    <row r="4709">
      <c r="A4709" s="21" t="str">
        <f t="shared" si="1"/>
        <v/>
      </c>
      <c r="B4709" s="38"/>
      <c r="C4709" s="23" t="s">
        <v>1966</v>
      </c>
      <c r="D4709" s="23" t="s">
        <v>32</v>
      </c>
      <c r="E4709" s="24">
        <v>45467.0</v>
      </c>
      <c r="F4709" s="25">
        <v>0.36875</v>
      </c>
      <c r="G4709" s="25">
        <v>0.6083333333333333</v>
      </c>
      <c r="H4709" s="27">
        <f t="shared" si="2"/>
        <v>0.2395833333</v>
      </c>
      <c r="I4709" s="28">
        <v>2.0</v>
      </c>
      <c r="J4709" s="39" t="s">
        <v>2215</v>
      </c>
      <c r="K4709" s="41"/>
      <c r="L4709" s="31" t="str">
        <f>IFERROR(__xludf.DUMMYFUNCTION("IF(OR(E4709="""",K4709=""""),"""",IFERROR(IF(K4709="""","""",query('tbl user'!$A$2:$D10975,""SELECT A WHERE D = '""&amp;K4709&amp;""'"")),""USER TIDAK DIKETAHUI""))"),"")</f>
        <v/>
      </c>
    </row>
    <row r="4710">
      <c r="A4710" s="21" t="str">
        <f t="shared" si="1"/>
        <v/>
      </c>
      <c r="B4710" s="38"/>
      <c r="C4710" s="23" t="s">
        <v>1902</v>
      </c>
      <c r="D4710" s="23" t="s">
        <v>32</v>
      </c>
      <c r="E4710" s="24">
        <v>45467.0</v>
      </c>
      <c r="F4710" s="25">
        <v>0.2923611111111111</v>
      </c>
      <c r="G4710" s="25">
        <v>0.5666666666666667</v>
      </c>
      <c r="H4710" s="27">
        <f t="shared" si="2"/>
        <v>0.2743055556</v>
      </c>
      <c r="I4710" s="28">
        <v>2.0</v>
      </c>
      <c r="J4710" s="39" t="s">
        <v>2216</v>
      </c>
      <c r="K4710" s="41"/>
      <c r="L4710" s="31" t="str">
        <f>IFERROR(__xludf.DUMMYFUNCTION("IF(OR(E4710="""",K4710=""""),"""",IFERROR(IF(K4710="""","""",query('tbl user'!$A$2:$D10975,""SELECT A WHERE D = '""&amp;K4710&amp;""'"")),""USER TIDAK DIKETAHUI""))"),"")</f>
        <v/>
      </c>
    </row>
    <row r="4711">
      <c r="A4711" s="21" t="str">
        <f t="shared" si="1"/>
        <v/>
      </c>
      <c r="B4711" s="38"/>
      <c r="C4711" s="23" t="s">
        <v>1896</v>
      </c>
      <c r="D4711" s="23" t="s">
        <v>32</v>
      </c>
      <c r="E4711" s="24">
        <v>45467.0</v>
      </c>
      <c r="F4711" s="25">
        <v>0.44930555555555557</v>
      </c>
      <c r="G4711" s="25">
        <v>0.6993055555555555</v>
      </c>
      <c r="H4711" s="27">
        <f t="shared" si="2"/>
        <v>0.25</v>
      </c>
      <c r="I4711" s="28">
        <v>2.0</v>
      </c>
      <c r="J4711" s="39" t="s">
        <v>2217</v>
      </c>
      <c r="K4711" s="41"/>
      <c r="L4711" s="31" t="str">
        <f>IFERROR(__xludf.DUMMYFUNCTION("IF(OR(E4711="""",K4711=""""),"""",IFERROR(IF(K4711="""","""",query('tbl user'!$A$2:$D10975,""SELECT A WHERE D = '""&amp;K4711&amp;""'"")),""USER TIDAK DIKETAHUI""))"),"")</f>
        <v/>
      </c>
    </row>
    <row r="4712">
      <c r="A4712" s="21" t="str">
        <f t="shared" si="1"/>
        <v/>
      </c>
      <c r="B4712" s="38"/>
      <c r="C4712" s="23" t="s">
        <v>1913</v>
      </c>
      <c r="D4712" s="23" t="s">
        <v>32</v>
      </c>
      <c r="E4712" s="24">
        <v>45467.0</v>
      </c>
      <c r="F4712" s="25">
        <v>0.23472222222222222</v>
      </c>
      <c r="G4712" s="25">
        <v>0.7229166666666667</v>
      </c>
      <c r="H4712" s="27">
        <f t="shared" si="2"/>
        <v>0.4881944444</v>
      </c>
      <c r="I4712" s="28">
        <v>2.0</v>
      </c>
      <c r="J4712" s="39" t="s">
        <v>2218</v>
      </c>
      <c r="K4712" s="41"/>
      <c r="L4712" s="31" t="str">
        <f>IFERROR(__xludf.DUMMYFUNCTION("IF(OR(E4712="""",K4712=""""),"""",IFERROR(IF(K4712="""","""",query('tbl user'!$A$2:$D10975,""SELECT A WHERE D = '""&amp;K4712&amp;""'"")),""USER TIDAK DIKETAHUI""))"),"")</f>
        <v/>
      </c>
    </row>
    <row r="4713">
      <c r="A4713" s="21" t="str">
        <f t="shared" si="1"/>
        <v/>
      </c>
      <c r="B4713" s="38"/>
      <c r="C4713" s="23" t="s">
        <v>1910</v>
      </c>
      <c r="D4713" s="23" t="s">
        <v>32</v>
      </c>
      <c r="E4713" s="24">
        <v>45467.0</v>
      </c>
      <c r="F4713" s="25">
        <v>0.2048611111111111</v>
      </c>
      <c r="G4713" s="25">
        <v>0.5819444444444445</v>
      </c>
      <c r="H4713" s="27">
        <f t="shared" si="2"/>
        <v>0.3770833333</v>
      </c>
      <c r="I4713" s="28">
        <v>3.0</v>
      </c>
      <c r="J4713" s="39" t="s">
        <v>2219</v>
      </c>
      <c r="K4713" s="41"/>
      <c r="L4713" s="31" t="str">
        <f>IFERROR(__xludf.DUMMYFUNCTION("IF(OR(E4713="""",K4713=""""),"""",IFERROR(IF(K4713="""","""",query('tbl user'!$A$2:$D10975,""SELECT A WHERE D = '""&amp;K4713&amp;""'"")),""USER TIDAK DIKETAHUI""))"),"")</f>
        <v/>
      </c>
    </row>
    <row r="4714">
      <c r="A4714" s="21" t="str">
        <f t="shared" si="1"/>
        <v/>
      </c>
      <c r="B4714" s="38"/>
      <c r="C4714" s="23" t="s">
        <v>1967</v>
      </c>
      <c r="D4714" s="23" t="s">
        <v>32</v>
      </c>
      <c r="E4714" s="24">
        <v>45467.0</v>
      </c>
      <c r="F4714" s="25">
        <v>0.2923611111111111</v>
      </c>
      <c r="G4714" s="25">
        <v>0.6256944444444444</v>
      </c>
      <c r="H4714" s="27">
        <f t="shared" si="2"/>
        <v>0.3333333333</v>
      </c>
      <c r="I4714" s="28">
        <v>3.0</v>
      </c>
      <c r="J4714" s="39" t="s">
        <v>2220</v>
      </c>
      <c r="K4714" s="41"/>
      <c r="L4714" s="31" t="str">
        <f>IFERROR(__xludf.DUMMYFUNCTION("IF(OR(E4714="""",K4714=""""),"""",IFERROR(IF(K4714="""","""",query('tbl user'!$A$2:$D10975,""SELECT A WHERE D = '""&amp;K4714&amp;""'"")),""USER TIDAK DIKETAHUI""))"),"")</f>
        <v/>
      </c>
    </row>
    <row r="4715">
      <c r="A4715" s="21" t="str">
        <f t="shared" si="1"/>
        <v/>
      </c>
      <c r="B4715" s="38"/>
      <c r="C4715" s="23" t="s">
        <v>1903</v>
      </c>
      <c r="D4715" s="23" t="s">
        <v>32</v>
      </c>
      <c r="E4715" s="24">
        <v>45467.0</v>
      </c>
      <c r="F4715" s="25">
        <v>0.25972222222222224</v>
      </c>
      <c r="G4715" s="25">
        <v>0.6013888888888889</v>
      </c>
      <c r="H4715" s="27">
        <f t="shared" si="2"/>
        <v>0.3416666667</v>
      </c>
      <c r="I4715" s="28">
        <v>3.0</v>
      </c>
      <c r="J4715" s="39" t="s">
        <v>2221</v>
      </c>
      <c r="K4715" s="41"/>
      <c r="L4715" s="31" t="str">
        <f>IFERROR(__xludf.DUMMYFUNCTION("IF(OR(E4715="""",K4715=""""),"""",IFERROR(IF(K4715="""","""",query('tbl user'!$A$2:$D10975,""SELECT A WHERE D = '""&amp;K4715&amp;""'"")),""USER TIDAK DIKETAHUI""))"),"")</f>
        <v/>
      </c>
    </row>
    <row r="4716">
      <c r="A4716" s="21" t="str">
        <f t="shared" si="1"/>
        <v/>
      </c>
      <c r="B4716" s="38"/>
      <c r="C4716" s="23" t="s">
        <v>1907</v>
      </c>
      <c r="D4716" s="23" t="s">
        <v>32</v>
      </c>
      <c r="E4716" s="24">
        <v>45467.0</v>
      </c>
      <c r="F4716" s="25">
        <v>0.28541666666666665</v>
      </c>
      <c r="G4716" s="25">
        <v>0.6854166666666667</v>
      </c>
      <c r="H4716" s="27">
        <f t="shared" si="2"/>
        <v>0.4</v>
      </c>
      <c r="I4716" s="28">
        <v>3.0</v>
      </c>
      <c r="J4716" s="39" t="s">
        <v>2222</v>
      </c>
      <c r="K4716" s="41"/>
      <c r="L4716" s="31" t="str">
        <f>IFERROR(__xludf.DUMMYFUNCTION("IF(OR(E4716="""",K4716=""""),"""",IFERROR(IF(K4716="""","""",query('tbl user'!$A$2:$D10975,""SELECT A WHERE D = '""&amp;K4716&amp;""'"")),""USER TIDAK DIKETAHUI""))"),"")</f>
        <v/>
      </c>
    </row>
    <row r="4717">
      <c r="A4717" s="21" t="str">
        <f t="shared" si="1"/>
        <v/>
      </c>
      <c r="B4717" s="38"/>
      <c r="C4717" s="23" t="s">
        <v>1908</v>
      </c>
      <c r="D4717" s="23" t="s">
        <v>32</v>
      </c>
      <c r="E4717" s="24">
        <v>45467.0</v>
      </c>
      <c r="F4717" s="25">
        <v>0.27291666666666664</v>
      </c>
      <c r="G4717" s="25">
        <v>0.6138888888888889</v>
      </c>
      <c r="H4717" s="27">
        <f t="shared" si="2"/>
        <v>0.3409722222</v>
      </c>
      <c r="I4717" s="28">
        <v>3.0</v>
      </c>
      <c r="J4717" s="39" t="s">
        <v>2223</v>
      </c>
      <c r="K4717" s="41"/>
      <c r="L4717" s="31" t="str">
        <f>IFERROR(__xludf.DUMMYFUNCTION("IF(OR(E4717="""",K4717=""""),"""",IFERROR(IF(K4717="""","""",query('tbl user'!$A$2:$D10975,""SELECT A WHERE D = '""&amp;K4717&amp;""'"")),""USER TIDAK DIKETAHUI""))"),"")</f>
        <v/>
      </c>
    </row>
    <row r="4718">
      <c r="A4718" s="21" t="str">
        <f t="shared" si="1"/>
        <v/>
      </c>
      <c r="B4718" s="38"/>
      <c r="C4718" s="23" t="s">
        <v>1894</v>
      </c>
      <c r="D4718" s="23" t="s">
        <v>32</v>
      </c>
      <c r="E4718" s="24">
        <v>45467.0</v>
      </c>
      <c r="F4718" s="25">
        <v>0.25069444444444444</v>
      </c>
      <c r="G4718" s="25">
        <v>0.6909722222222222</v>
      </c>
      <c r="H4718" s="27">
        <f t="shared" si="2"/>
        <v>0.4402777778</v>
      </c>
      <c r="I4718" s="28">
        <v>4.0</v>
      </c>
      <c r="J4718" s="39" t="s">
        <v>55</v>
      </c>
      <c r="K4718" s="41"/>
      <c r="L4718" s="31" t="str">
        <f>IFERROR(__xludf.DUMMYFUNCTION("IF(OR(E4718="""",K4718=""""),"""",IFERROR(IF(K4718="""","""",query('tbl user'!$A$2:$D10975,""SELECT A WHERE D = '""&amp;K4718&amp;""'"")),""USER TIDAK DIKETAHUI""))"),"")</f>
        <v/>
      </c>
    </row>
    <row r="4719">
      <c r="A4719" s="21" t="str">
        <f t="shared" si="1"/>
        <v/>
      </c>
      <c r="B4719" s="38"/>
      <c r="C4719" s="23" t="s">
        <v>1912</v>
      </c>
      <c r="D4719" s="23" t="s">
        <v>32</v>
      </c>
      <c r="E4719" s="24">
        <v>45467.0</v>
      </c>
      <c r="F4719" s="25">
        <v>0.24305555555555555</v>
      </c>
      <c r="G4719" s="25">
        <v>0.6881944444444444</v>
      </c>
      <c r="H4719" s="27">
        <f t="shared" si="2"/>
        <v>0.4451388889</v>
      </c>
      <c r="I4719" s="28">
        <v>4.0</v>
      </c>
      <c r="J4719" s="39" t="s">
        <v>55</v>
      </c>
      <c r="K4719" s="41"/>
      <c r="L4719" s="31" t="str">
        <f>IFERROR(__xludf.DUMMYFUNCTION("IF(OR(E4719="""",K4719=""""),"""",IFERROR(IF(K4719="""","""",query('tbl user'!$A$2:$D10975,""SELECT A WHERE D = '""&amp;K4719&amp;""'"")),""USER TIDAK DIKETAHUI""))"),"")</f>
        <v/>
      </c>
    </row>
    <row r="4720">
      <c r="A4720" s="21" t="str">
        <f t="shared" si="1"/>
        <v/>
      </c>
      <c r="B4720" s="38"/>
      <c r="C4720" s="23" t="s">
        <v>1990</v>
      </c>
      <c r="D4720" s="23" t="s">
        <v>32</v>
      </c>
      <c r="E4720" s="24">
        <v>45467.0</v>
      </c>
      <c r="F4720" s="25">
        <v>0.2375</v>
      </c>
      <c r="G4720" s="25">
        <v>0.7118055555555556</v>
      </c>
      <c r="H4720" s="27">
        <f t="shared" si="2"/>
        <v>0.4743055556</v>
      </c>
      <c r="I4720" s="28">
        <v>4.0</v>
      </c>
      <c r="J4720" s="39" t="s">
        <v>55</v>
      </c>
      <c r="K4720" s="41"/>
      <c r="L4720" s="31" t="str">
        <f>IFERROR(__xludf.DUMMYFUNCTION("IF(OR(E4720="""",K4720=""""),"""",IFERROR(IF(K4720="""","""",query('tbl user'!$A$2:$D10975,""SELECT A WHERE D = '""&amp;K4720&amp;""'"")),""USER TIDAK DIKETAHUI""))"),"")</f>
        <v/>
      </c>
    </row>
    <row r="4721">
      <c r="A4721" s="21" t="str">
        <f t="shared" si="1"/>
        <v/>
      </c>
      <c r="B4721" s="38"/>
      <c r="C4721" s="23" t="s">
        <v>1904</v>
      </c>
      <c r="D4721" s="23" t="s">
        <v>32</v>
      </c>
      <c r="E4721" s="24">
        <v>45467.0</v>
      </c>
      <c r="F4721" s="25">
        <v>0.2673611111111111</v>
      </c>
      <c r="G4721" s="25">
        <v>0.7173611111111111</v>
      </c>
      <c r="H4721" s="27">
        <f t="shared" si="2"/>
        <v>0.45</v>
      </c>
      <c r="I4721" s="28">
        <v>4.0</v>
      </c>
      <c r="J4721" s="39" t="s">
        <v>55</v>
      </c>
      <c r="K4721" s="41"/>
      <c r="L4721" s="31" t="str">
        <f>IFERROR(__xludf.DUMMYFUNCTION("IF(OR(E4721="""",K4721=""""),"""",IFERROR(IF(K4721="""","""",query('tbl user'!$A$2:$D10975,""SELECT A WHERE D = '""&amp;K4721&amp;""'"")),""USER TIDAK DIKETAHUI""))"),"")</f>
        <v/>
      </c>
    </row>
    <row r="4722">
      <c r="A4722" s="21" t="str">
        <f t="shared" si="1"/>
        <v/>
      </c>
      <c r="B4722" s="38"/>
      <c r="C4722" s="23" t="s">
        <v>1962</v>
      </c>
      <c r="D4722" s="23" t="s">
        <v>32</v>
      </c>
      <c r="E4722" s="24">
        <v>45467.0</v>
      </c>
      <c r="F4722" s="25">
        <v>0.2652777777777778</v>
      </c>
      <c r="G4722" s="25">
        <v>0.7666666666666667</v>
      </c>
      <c r="H4722" s="27">
        <f t="shared" si="2"/>
        <v>0.5013888889</v>
      </c>
      <c r="I4722" s="28">
        <v>5.0</v>
      </c>
      <c r="J4722" s="39" t="s">
        <v>55</v>
      </c>
      <c r="K4722" s="41"/>
      <c r="L4722" s="31" t="str">
        <f>IFERROR(__xludf.DUMMYFUNCTION("IF(OR(E4722="""",K4722=""""),"""",IFERROR(IF(K4722="""","""",query('tbl user'!$A$2:$D10975,""SELECT A WHERE D = '""&amp;K4722&amp;""'"")),""USER TIDAK DIKETAHUI""))"),"")</f>
        <v/>
      </c>
    </row>
    <row r="4723">
      <c r="A4723" s="21" t="str">
        <f t="shared" si="1"/>
        <v/>
      </c>
      <c r="B4723" s="38"/>
      <c r="C4723" s="23" t="s">
        <v>1844</v>
      </c>
      <c r="D4723" s="23" t="s">
        <v>21</v>
      </c>
      <c r="E4723" s="24">
        <v>45468.0</v>
      </c>
      <c r="F4723" s="25">
        <v>0.27361111111111114</v>
      </c>
      <c r="G4723" s="25">
        <v>0.4215277777777778</v>
      </c>
      <c r="H4723" s="27">
        <f t="shared" si="2"/>
        <v>0.1479166667</v>
      </c>
      <c r="I4723" s="28">
        <v>1.0</v>
      </c>
      <c r="J4723" s="39" t="s">
        <v>2224</v>
      </c>
      <c r="K4723" s="41"/>
      <c r="L4723" s="31" t="str">
        <f>IFERROR(__xludf.DUMMYFUNCTION("IF(OR(E4723="""",K4723=""""),"""",IFERROR(IF(K4723="""","""",query('tbl user'!$A$2:$D10975,""SELECT A WHERE D = '""&amp;K4723&amp;""'"")),""USER TIDAK DIKETAHUI""))"),"")</f>
        <v/>
      </c>
    </row>
    <row r="4724">
      <c r="A4724" s="21" t="str">
        <f t="shared" si="1"/>
        <v/>
      </c>
      <c r="B4724" s="38"/>
      <c r="C4724" s="23" t="s">
        <v>2002</v>
      </c>
      <c r="D4724" s="23" t="s">
        <v>21</v>
      </c>
      <c r="E4724" s="24">
        <v>45468.0</v>
      </c>
      <c r="F4724" s="25">
        <v>0.28541666666666665</v>
      </c>
      <c r="G4724" s="25">
        <v>0.46805555555555556</v>
      </c>
      <c r="H4724" s="27">
        <f t="shared" si="2"/>
        <v>0.1826388889</v>
      </c>
      <c r="I4724" s="28">
        <v>2.0</v>
      </c>
      <c r="J4724" s="39" t="s">
        <v>2225</v>
      </c>
      <c r="K4724" s="41"/>
      <c r="L4724" s="31" t="str">
        <f>IFERROR(__xludf.DUMMYFUNCTION("IF(OR(E4724="""",K4724=""""),"""",IFERROR(IF(K4724="""","""",query('tbl user'!$A$2:$D10975,""SELECT A WHERE D = '""&amp;K4724&amp;""'"")),""USER TIDAK DIKETAHUI""))"),"")</f>
        <v/>
      </c>
    </row>
    <row r="4725">
      <c r="A4725" s="21" t="str">
        <f t="shared" si="1"/>
        <v/>
      </c>
      <c r="B4725" s="38"/>
      <c r="C4725" s="23" t="s">
        <v>1830</v>
      </c>
      <c r="D4725" s="23" t="s">
        <v>21</v>
      </c>
      <c r="E4725" s="24">
        <v>45468.0</v>
      </c>
      <c r="F4725" s="25">
        <v>0.2847222222222222</v>
      </c>
      <c r="G4725" s="25">
        <v>0.5673611111111111</v>
      </c>
      <c r="H4725" s="27">
        <f t="shared" si="2"/>
        <v>0.2826388889</v>
      </c>
      <c r="I4725" s="28">
        <v>3.0</v>
      </c>
      <c r="J4725" s="39" t="s">
        <v>2226</v>
      </c>
      <c r="K4725" s="41"/>
      <c r="L4725" s="31" t="str">
        <f>IFERROR(__xludf.DUMMYFUNCTION("IF(OR(E4725="""",K4725=""""),"""",IFERROR(IF(K4725="""","""",query('tbl user'!$A$2:$D10975,""SELECT A WHERE D = '""&amp;K4725&amp;""'"")),""USER TIDAK DIKETAHUI""))"),"")</f>
        <v/>
      </c>
    </row>
    <row r="4726">
      <c r="A4726" s="21" t="str">
        <f t="shared" si="1"/>
        <v/>
      </c>
      <c r="B4726" s="38"/>
      <c r="C4726" s="23" t="s">
        <v>1854</v>
      </c>
      <c r="D4726" s="23" t="s">
        <v>21</v>
      </c>
      <c r="E4726" s="24">
        <v>45468.0</v>
      </c>
      <c r="F4726" s="25">
        <v>0.2923611111111111</v>
      </c>
      <c r="G4726" s="25">
        <v>0.6263888888888889</v>
      </c>
      <c r="H4726" s="27">
        <f t="shared" si="2"/>
        <v>0.3340277778</v>
      </c>
      <c r="I4726" s="28">
        <v>3.0</v>
      </c>
      <c r="J4726" s="39" t="s">
        <v>934</v>
      </c>
      <c r="K4726" s="41"/>
      <c r="L4726" s="31" t="str">
        <f>IFERROR(__xludf.DUMMYFUNCTION("IF(OR(E4726="""",K4726=""""),"""",IFERROR(IF(K4726="""","""",query('tbl user'!$A$2:$D10975,""SELECT A WHERE D = '""&amp;K4726&amp;""'"")),""USER TIDAK DIKETAHUI""))"),"")</f>
        <v/>
      </c>
    </row>
    <row r="4727">
      <c r="A4727" s="21" t="str">
        <f t="shared" si="1"/>
        <v/>
      </c>
      <c r="B4727" s="38"/>
      <c r="C4727" s="23" t="s">
        <v>1925</v>
      </c>
      <c r="D4727" s="23" t="s">
        <v>21</v>
      </c>
      <c r="E4727" s="24">
        <v>45468.0</v>
      </c>
      <c r="F4727" s="25">
        <v>0.25833333333333336</v>
      </c>
      <c r="G4727" s="25">
        <v>0.5465277777777777</v>
      </c>
      <c r="H4727" s="27">
        <f t="shared" si="2"/>
        <v>0.2881944444</v>
      </c>
      <c r="I4727" s="28">
        <v>3.0</v>
      </c>
      <c r="J4727" s="39" t="s">
        <v>1495</v>
      </c>
      <c r="K4727" s="41"/>
      <c r="L4727" s="31" t="str">
        <f>IFERROR(__xludf.DUMMYFUNCTION("IF(OR(E4727="""",K4727=""""),"""",IFERROR(IF(K4727="""","""",query('tbl user'!$A$2:$D10975,""SELECT A WHERE D = '""&amp;K4727&amp;""'"")),""USER TIDAK DIKETAHUI""))"),"")</f>
        <v/>
      </c>
    </row>
    <row r="4728">
      <c r="A4728" s="21" t="str">
        <f t="shared" si="1"/>
        <v/>
      </c>
      <c r="B4728" s="38"/>
      <c r="C4728" s="23" t="s">
        <v>1930</v>
      </c>
      <c r="D4728" s="23" t="s">
        <v>21</v>
      </c>
      <c r="E4728" s="24">
        <v>45468.0</v>
      </c>
      <c r="F4728" s="25">
        <v>0.28541666666666665</v>
      </c>
      <c r="G4728" s="25">
        <v>0.65</v>
      </c>
      <c r="H4728" s="27">
        <f t="shared" si="2"/>
        <v>0.3645833333</v>
      </c>
      <c r="I4728" s="28">
        <v>3.0</v>
      </c>
      <c r="J4728" s="39" t="s">
        <v>2227</v>
      </c>
      <c r="K4728" s="41"/>
      <c r="L4728" s="31" t="str">
        <f>IFERROR(__xludf.DUMMYFUNCTION("IF(OR(E4728="""",K4728=""""),"""",IFERROR(IF(K4728="""","""",query('tbl user'!$A$2:$D10975,""SELECT A WHERE D = '""&amp;K4728&amp;""'"")),""USER TIDAK DIKETAHUI""))"),"")</f>
        <v/>
      </c>
    </row>
    <row r="4729">
      <c r="A4729" s="21" t="str">
        <f t="shared" si="1"/>
        <v/>
      </c>
      <c r="B4729" s="38"/>
      <c r="C4729" s="23" t="s">
        <v>1857</v>
      </c>
      <c r="D4729" s="23" t="s">
        <v>21</v>
      </c>
      <c r="E4729" s="24">
        <v>45468.0</v>
      </c>
      <c r="F4729" s="25">
        <v>0.25</v>
      </c>
      <c r="G4729" s="25">
        <v>0.5513888888888889</v>
      </c>
      <c r="H4729" s="27">
        <f t="shared" si="2"/>
        <v>0.3013888889</v>
      </c>
      <c r="I4729" s="28">
        <v>3.0</v>
      </c>
      <c r="J4729" s="39" t="s">
        <v>2013</v>
      </c>
      <c r="K4729" s="41"/>
      <c r="L4729" s="31" t="str">
        <f>IFERROR(__xludf.DUMMYFUNCTION("IF(OR(E4729="""",K4729=""""),"""",IFERROR(IF(K4729="""","""",query('tbl user'!$A$2:$D10975,""SELECT A WHERE D = '""&amp;K4729&amp;""'"")),""USER TIDAK DIKETAHUI""))"),"")</f>
        <v/>
      </c>
    </row>
    <row r="4730">
      <c r="A4730" s="21" t="str">
        <f t="shared" si="1"/>
        <v/>
      </c>
      <c r="B4730" s="38"/>
      <c r="C4730" s="23" t="s">
        <v>1839</v>
      </c>
      <c r="D4730" s="23" t="s">
        <v>21</v>
      </c>
      <c r="E4730" s="24">
        <v>45468.0</v>
      </c>
      <c r="F4730" s="25">
        <v>0.2923611111111111</v>
      </c>
      <c r="G4730" s="25">
        <v>0.6270833333333333</v>
      </c>
      <c r="H4730" s="27">
        <f t="shared" si="2"/>
        <v>0.3347222222</v>
      </c>
      <c r="I4730" s="28">
        <v>4.0</v>
      </c>
      <c r="J4730" s="39" t="s">
        <v>2228</v>
      </c>
      <c r="K4730" s="41"/>
      <c r="L4730" s="31" t="str">
        <f>IFERROR(__xludf.DUMMYFUNCTION("IF(OR(E4730="""",K4730=""""),"""",IFERROR(IF(K4730="""","""",query('tbl user'!$A$2:$D10975,""SELECT A WHERE D = '""&amp;K4730&amp;""'"")),""USER TIDAK DIKETAHUI""))"),"")</f>
        <v/>
      </c>
    </row>
    <row r="4731">
      <c r="A4731" s="21" t="str">
        <f t="shared" si="1"/>
        <v/>
      </c>
      <c r="B4731" s="38"/>
      <c r="C4731" s="23" t="s">
        <v>1920</v>
      </c>
      <c r="D4731" s="23" t="s">
        <v>21</v>
      </c>
      <c r="E4731" s="24">
        <v>45468.0</v>
      </c>
      <c r="F4731" s="25">
        <v>0.28541666666666665</v>
      </c>
      <c r="G4731" s="25">
        <v>0.6180555555555556</v>
      </c>
      <c r="H4731" s="27">
        <f t="shared" si="2"/>
        <v>0.3326388889</v>
      </c>
      <c r="I4731" s="28">
        <v>4.0</v>
      </c>
      <c r="J4731" s="39" t="s">
        <v>2229</v>
      </c>
      <c r="K4731" s="41"/>
      <c r="L4731" s="31" t="str">
        <f>IFERROR(__xludf.DUMMYFUNCTION("IF(OR(E4731="""",K4731=""""),"""",IFERROR(IF(K4731="""","""",query('tbl user'!$A$2:$D10975,""SELECT A WHERE D = '""&amp;K4731&amp;""'"")),""USER TIDAK DIKETAHUI""))"),"")</f>
        <v/>
      </c>
    </row>
    <row r="4732">
      <c r="A4732" s="21" t="str">
        <f t="shared" si="1"/>
        <v/>
      </c>
      <c r="B4732" s="38"/>
      <c r="C4732" s="23" t="s">
        <v>1923</v>
      </c>
      <c r="D4732" s="23" t="s">
        <v>21</v>
      </c>
      <c r="E4732" s="24">
        <v>45468.0</v>
      </c>
      <c r="F4732" s="25">
        <v>0.25763888888888886</v>
      </c>
      <c r="G4732" s="25">
        <v>0.6611111111111111</v>
      </c>
      <c r="H4732" s="27">
        <f t="shared" si="2"/>
        <v>0.4034722222</v>
      </c>
      <c r="I4732" s="28">
        <v>4.0</v>
      </c>
      <c r="J4732" s="39"/>
      <c r="K4732" s="41"/>
      <c r="L4732" s="31" t="str">
        <f>IFERROR(__xludf.DUMMYFUNCTION("IF(OR(E4732="""",K4732=""""),"""",IFERROR(IF(K4732="""","""",query('tbl user'!$A$2:$D10975,""SELECT A WHERE D = '""&amp;K4732&amp;""'"")),""USER TIDAK DIKETAHUI""))"),"")</f>
        <v/>
      </c>
    </row>
    <row r="4733">
      <c r="A4733" s="21" t="str">
        <f t="shared" si="1"/>
        <v/>
      </c>
      <c r="B4733" s="38"/>
      <c r="C4733" s="23" t="s">
        <v>2041</v>
      </c>
      <c r="D4733" s="23" t="s">
        <v>21</v>
      </c>
      <c r="E4733" s="24">
        <v>45468.0</v>
      </c>
      <c r="F4733" s="25">
        <v>0.25069444444444444</v>
      </c>
      <c r="G4733" s="25">
        <v>0.6743055555555556</v>
      </c>
      <c r="H4733" s="27">
        <f t="shared" si="2"/>
        <v>0.4236111111</v>
      </c>
      <c r="I4733" s="28">
        <v>4.0</v>
      </c>
      <c r="J4733" s="39" t="s">
        <v>2230</v>
      </c>
      <c r="K4733" s="41"/>
      <c r="L4733" s="31" t="str">
        <f>IFERROR(__xludf.DUMMYFUNCTION("IF(OR(E4733="""",K4733=""""),"""",IFERROR(IF(K4733="""","""",query('tbl user'!$A$2:$D10975,""SELECT A WHERE D = '""&amp;K4733&amp;""'"")),""USER TIDAK DIKETAHUI""))"),"")</f>
        <v/>
      </c>
    </row>
    <row r="4734">
      <c r="A4734" s="21" t="str">
        <f t="shared" si="1"/>
        <v/>
      </c>
      <c r="B4734" s="38"/>
      <c r="C4734" s="23" t="s">
        <v>1847</v>
      </c>
      <c r="D4734" s="23" t="s">
        <v>21</v>
      </c>
      <c r="E4734" s="24">
        <v>45468.0</v>
      </c>
      <c r="F4734" s="25">
        <v>0.2923611111111111</v>
      </c>
      <c r="G4734" s="25">
        <v>0.7506944444444444</v>
      </c>
      <c r="H4734" s="27">
        <f t="shared" si="2"/>
        <v>0.4583333333</v>
      </c>
      <c r="I4734" s="28">
        <v>4.0</v>
      </c>
      <c r="J4734" s="39" t="s">
        <v>2231</v>
      </c>
      <c r="K4734" s="41"/>
      <c r="L4734" s="31" t="str">
        <f>IFERROR(__xludf.DUMMYFUNCTION("IF(OR(E4734="""",K4734=""""),"""",IFERROR(IF(K4734="""","""",query('tbl user'!$A$2:$D10975,""SELECT A WHERE D = '""&amp;K4734&amp;""'"")),""USER TIDAK DIKETAHUI""))"),"")</f>
        <v/>
      </c>
    </row>
    <row r="4735">
      <c r="A4735" s="21" t="str">
        <f t="shared" si="1"/>
        <v/>
      </c>
      <c r="B4735" s="38"/>
      <c r="C4735" s="23" t="s">
        <v>2005</v>
      </c>
      <c r="D4735" s="23" t="s">
        <v>21</v>
      </c>
      <c r="E4735" s="24">
        <v>45468.0</v>
      </c>
      <c r="F4735" s="25">
        <v>0.24513888888888888</v>
      </c>
      <c r="G4735" s="25">
        <v>0.5770833333333333</v>
      </c>
      <c r="H4735" s="27">
        <f t="shared" si="2"/>
        <v>0.3319444444</v>
      </c>
      <c r="I4735" s="28">
        <v>4.0</v>
      </c>
      <c r="J4735" s="39" t="s">
        <v>2232</v>
      </c>
      <c r="K4735" s="41"/>
      <c r="L4735" s="31" t="str">
        <f>IFERROR(__xludf.DUMMYFUNCTION("IF(OR(E4735="""",K4735=""""),"""",IFERROR(IF(K4735="""","""",query('tbl user'!$A$2:$D10975,""SELECT A WHERE D = '""&amp;K4735&amp;""'"")),""USER TIDAK DIKETAHUI""))"),"")</f>
        <v/>
      </c>
    </row>
    <row r="4736">
      <c r="A4736" s="21" t="str">
        <f t="shared" si="1"/>
        <v/>
      </c>
      <c r="B4736" s="38"/>
      <c r="C4736" s="23" t="s">
        <v>1853</v>
      </c>
      <c r="D4736" s="23" t="s">
        <v>21</v>
      </c>
      <c r="E4736" s="24">
        <v>45468.0</v>
      </c>
      <c r="F4736" s="25">
        <v>0.2847222222222222</v>
      </c>
      <c r="G4736" s="25">
        <v>0.6888888888888889</v>
      </c>
      <c r="H4736" s="27">
        <f t="shared" si="2"/>
        <v>0.4041666667</v>
      </c>
      <c r="I4736" s="28">
        <v>5.0</v>
      </c>
      <c r="J4736" s="39" t="s">
        <v>55</v>
      </c>
      <c r="K4736" s="41"/>
      <c r="L4736" s="31" t="str">
        <f>IFERROR(__xludf.DUMMYFUNCTION("IF(OR(E4736="""",K4736=""""),"""",IFERROR(IF(K4736="""","""",query('tbl user'!$A$2:$D10975,""SELECT A WHERE D = '""&amp;K4736&amp;""'"")),""USER TIDAK DIKETAHUI""))"),"")</f>
        <v/>
      </c>
    </row>
    <row r="4737">
      <c r="A4737" s="21" t="str">
        <f t="shared" si="1"/>
        <v/>
      </c>
      <c r="B4737" s="38"/>
      <c r="C4737" s="23" t="s">
        <v>1843</v>
      </c>
      <c r="D4737" s="23" t="s">
        <v>21</v>
      </c>
      <c r="E4737" s="24">
        <v>45468.0</v>
      </c>
      <c r="F4737" s="25">
        <v>0.21805555555555556</v>
      </c>
      <c r="G4737" s="25">
        <v>0.6576388888888889</v>
      </c>
      <c r="H4737" s="27">
        <f t="shared" si="2"/>
        <v>0.4395833333</v>
      </c>
      <c r="I4737" s="28">
        <v>5.0</v>
      </c>
      <c r="J4737" s="39" t="s">
        <v>55</v>
      </c>
      <c r="K4737" s="41"/>
      <c r="L4737" s="31" t="str">
        <f>IFERROR(__xludf.DUMMYFUNCTION("IF(OR(E4737="""",K4737=""""),"""",IFERROR(IF(K4737="""","""",query('tbl user'!$A$2:$D10975,""SELECT A WHERE D = '""&amp;K4737&amp;""'"")),""USER TIDAK DIKETAHUI""))"),"")</f>
        <v/>
      </c>
    </row>
    <row r="4738">
      <c r="A4738" s="21" t="str">
        <f t="shared" si="1"/>
        <v/>
      </c>
      <c r="B4738" s="38"/>
      <c r="C4738" s="23" t="s">
        <v>2136</v>
      </c>
      <c r="D4738" s="23" t="s">
        <v>21</v>
      </c>
      <c r="E4738" s="24">
        <v>45468.0</v>
      </c>
      <c r="F4738" s="25">
        <v>0.24305555555555555</v>
      </c>
      <c r="G4738" s="25">
        <v>0.6666666666666666</v>
      </c>
      <c r="H4738" s="27">
        <f t="shared" si="2"/>
        <v>0.4236111111</v>
      </c>
      <c r="I4738" s="28">
        <v>5.0</v>
      </c>
      <c r="J4738" s="39" t="s">
        <v>55</v>
      </c>
      <c r="K4738" s="41"/>
      <c r="L4738" s="31" t="str">
        <f>IFERROR(__xludf.DUMMYFUNCTION("IF(OR(E4738="""",K4738=""""),"""",IFERROR(IF(K4738="""","""",query('tbl user'!$A$2:$D10975,""SELECT A WHERE D = '""&amp;K4738&amp;""'"")),""USER TIDAK DIKETAHUI""))"),"")</f>
        <v/>
      </c>
    </row>
    <row r="4739">
      <c r="A4739" s="21" t="str">
        <f t="shared" si="1"/>
        <v/>
      </c>
      <c r="B4739" s="38"/>
      <c r="C4739" s="23" t="s">
        <v>1835</v>
      </c>
      <c r="D4739" s="23" t="s">
        <v>21</v>
      </c>
      <c r="E4739" s="24">
        <v>45468.0</v>
      </c>
      <c r="F4739" s="25">
        <v>0.2833333333333333</v>
      </c>
      <c r="G4739" s="25">
        <v>0.6805555555555556</v>
      </c>
      <c r="H4739" s="27">
        <f t="shared" si="2"/>
        <v>0.3972222222</v>
      </c>
      <c r="I4739" s="28">
        <v>5.0</v>
      </c>
      <c r="J4739" s="39" t="s">
        <v>55</v>
      </c>
      <c r="K4739" s="41"/>
      <c r="L4739" s="31" t="str">
        <f>IFERROR(__xludf.DUMMYFUNCTION("IF(OR(E4739="""",K4739=""""),"""",IFERROR(IF(K4739="""","""",query('tbl user'!$A$2:$D10975,""SELECT A WHERE D = '""&amp;K4739&amp;""'"")),""USER TIDAK DIKETAHUI""))"),"")</f>
        <v/>
      </c>
    </row>
    <row r="4740">
      <c r="A4740" s="21" t="str">
        <f t="shared" si="1"/>
        <v/>
      </c>
      <c r="B4740" s="38"/>
      <c r="C4740" s="23" t="s">
        <v>1856</v>
      </c>
      <c r="D4740" s="23" t="s">
        <v>21</v>
      </c>
      <c r="E4740" s="24">
        <v>45468.0</v>
      </c>
      <c r="F4740" s="25">
        <v>0.25833333333333336</v>
      </c>
      <c r="G4740" s="25">
        <v>0.6944444444444444</v>
      </c>
      <c r="H4740" s="27">
        <f t="shared" si="2"/>
        <v>0.4361111111</v>
      </c>
      <c r="I4740" s="28">
        <v>5.0</v>
      </c>
      <c r="J4740" s="39" t="s">
        <v>55</v>
      </c>
      <c r="K4740" s="41"/>
      <c r="L4740" s="31" t="str">
        <f>IFERROR(__xludf.DUMMYFUNCTION("IF(OR(E4740="""",K4740=""""),"""",IFERROR(IF(K4740="""","""",query('tbl user'!$A$2:$D10975,""SELECT A WHERE D = '""&amp;K4740&amp;""'"")),""USER TIDAK DIKETAHUI""))"),"")</f>
        <v/>
      </c>
    </row>
    <row r="4741">
      <c r="A4741" s="21" t="str">
        <f t="shared" si="1"/>
        <v/>
      </c>
      <c r="B4741" s="38"/>
      <c r="C4741" s="23" t="s">
        <v>1845</v>
      </c>
      <c r="D4741" s="23" t="s">
        <v>21</v>
      </c>
      <c r="E4741" s="24">
        <v>45468.0</v>
      </c>
      <c r="F4741" s="25">
        <v>0.25069444444444444</v>
      </c>
      <c r="G4741" s="25">
        <v>0.6368055555555555</v>
      </c>
      <c r="H4741" s="27">
        <f t="shared" si="2"/>
        <v>0.3861111111</v>
      </c>
      <c r="I4741" s="28">
        <v>5.0</v>
      </c>
      <c r="J4741" s="39" t="s">
        <v>55</v>
      </c>
      <c r="K4741" s="41"/>
      <c r="L4741" s="31" t="str">
        <f>IFERROR(__xludf.DUMMYFUNCTION("IF(OR(E4741="""",K4741=""""),"""",IFERROR(IF(K4741="""","""",query('tbl user'!$A$2:$D10975,""SELECT A WHERE D = '""&amp;K4741&amp;""'"")),""USER TIDAK DIKETAHUI""))"),"")</f>
        <v/>
      </c>
    </row>
    <row r="4742">
      <c r="A4742" s="21" t="str">
        <f t="shared" si="1"/>
        <v/>
      </c>
      <c r="B4742" s="38"/>
      <c r="C4742" s="23" t="s">
        <v>1837</v>
      </c>
      <c r="D4742" s="23" t="s">
        <v>21</v>
      </c>
      <c r="E4742" s="24">
        <v>45468.0</v>
      </c>
      <c r="F4742" s="25">
        <v>0.26875</v>
      </c>
      <c r="G4742" s="25">
        <v>0.6888888888888889</v>
      </c>
      <c r="H4742" s="27">
        <f t="shared" si="2"/>
        <v>0.4201388889</v>
      </c>
      <c r="I4742" s="28">
        <v>5.0</v>
      </c>
      <c r="J4742" s="39" t="s">
        <v>55</v>
      </c>
      <c r="K4742" s="41"/>
      <c r="L4742" s="31" t="str">
        <f>IFERROR(__xludf.DUMMYFUNCTION("IF(OR(E4742="""",K4742=""""),"""",IFERROR(IF(K4742="""","""",query('tbl user'!$A$2:$D10975,""SELECT A WHERE D = '""&amp;K4742&amp;""'"")),""USER TIDAK DIKETAHUI""))"),"")</f>
        <v/>
      </c>
    </row>
    <row r="4743">
      <c r="A4743" s="21" t="str">
        <f t="shared" si="1"/>
        <v/>
      </c>
      <c r="B4743" s="38"/>
      <c r="C4743" s="23" t="s">
        <v>2049</v>
      </c>
      <c r="D4743" s="23" t="s">
        <v>21</v>
      </c>
      <c r="E4743" s="24">
        <v>45468.0</v>
      </c>
      <c r="F4743" s="25">
        <v>0.2847222222222222</v>
      </c>
      <c r="G4743" s="25">
        <v>0.7201388888888889</v>
      </c>
      <c r="H4743" s="27">
        <f t="shared" si="2"/>
        <v>0.4354166667</v>
      </c>
      <c r="I4743" s="28">
        <v>5.0</v>
      </c>
      <c r="J4743" s="39" t="s">
        <v>55</v>
      </c>
      <c r="K4743" s="41"/>
      <c r="L4743" s="31" t="str">
        <f>IFERROR(__xludf.DUMMYFUNCTION("IF(OR(E4743="""",K4743=""""),"""",IFERROR(IF(K4743="""","""",query('tbl user'!$A$2:$D10975,""SELECT A WHERE D = '""&amp;K4743&amp;""'"")),""USER TIDAK DIKETAHUI""))"),"")</f>
        <v/>
      </c>
    </row>
    <row r="4744">
      <c r="A4744" s="21" t="str">
        <f t="shared" si="1"/>
        <v/>
      </c>
      <c r="B4744" s="38"/>
      <c r="C4744" s="23" t="s">
        <v>1858</v>
      </c>
      <c r="D4744" s="23" t="s">
        <v>21</v>
      </c>
      <c r="E4744" s="24">
        <v>45468.0</v>
      </c>
      <c r="F4744" s="25">
        <v>0.275</v>
      </c>
      <c r="G4744" s="25">
        <v>0.6513888888888889</v>
      </c>
      <c r="H4744" s="27">
        <f t="shared" si="2"/>
        <v>0.3763888889</v>
      </c>
      <c r="I4744" s="28">
        <v>5.0</v>
      </c>
      <c r="J4744" s="39" t="s">
        <v>55</v>
      </c>
      <c r="K4744" s="41"/>
      <c r="L4744" s="31" t="str">
        <f>IFERROR(__xludf.DUMMYFUNCTION("IF(OR(E4744="""",K4744=""""),"""",IFERROR(IF(K4744="""","""",query('tbl user'!$A$2:$D10975,""SELECT A WHERE D = '""&amp;K4744&amp;""'"")),""USER TIDAK DIKETAHUI""))"),"")</f>
        <v/>
      </c>
    </row>
    <row r="4745">
      <c r="A4745" s="21" t="str">
        <f t="shared" si="1"/>
        <v/>
      </c>
      <c r="B4745" s="38"/>
      <c r="C4745" s="23" t="s">
        <v>1928</v>
      </c>
      <c r="D4745" s="23" t="s">
        <v>21</v>
      </c>
      <c r="E4745" s="24">
        <v>45468.0</v>
      </c>
      <c r="F4745" s="25">
        <v>0.28194444444444444</v>
      </c>
      <c r="G4745" s="25">
        <v>0.7145833333333333</v>
      </c>
      <c r="H4745" s="27">
        <f t="shared" si="2"/>
        <v>0.4326388889</v>
      </c>
      <c r="I4745" s="28">
        <v>5.0</v>
      </c>
      <c r="J4745" s="39" t="s">
        <v>55</v>
      </c>
      <c r="K4745" s="41"/>
      <c r="L4745" s="31" t="str">
        <f>IFERROR(__xludf.DUMMYFUNCTION("IF(OR(E4745="""",K4745=""""),"""",IFERROR(IF(K4745="""","""",query('tbl user'!$A$2:$D10975,""SELECT A WHERE D = '""&amp;K4745&amp;""'"")),""USER TIDAK DIKETAHUI""))"),"")</f>
        <v/>
      </c>
    </row>
    <row r="4746">
      <c r="A4746" s="21" t="str">
        <f t="shared" si="1"/>
        <v/>
      </c>
      <c r="B4746" s="38"/>
      <c r="C4746" s="23" t="s">
        <v>1850</v>
      </c>
      <c r="D4746" s="23" t="s">
        <v>21</v>
      </c>
      <c r="E4746" s="24">
        <v>45468.0</v>
      </c>
      <c r="F4746" s="25">
        <v>0.2881944444444444</v>
      </c>
      <c r="G4746" s="25">
        <v>0.7229166666666667</v>
      </c>
      <c r="H4746" s="27">
        <f t="shared" si="2"/>
        <v>0.4347222222</v>
      </c>
      <c r="I4746" s="28">
        <v>5.0</v>
      </c>
      <c r="J4746" s="39" t="s">
        <v>55</v>
      </c>
      <c r="K4746" s="41"/>
      <c r="L4746" s="31" t="str">
        <f>IFERROR(__xludf.DUMMYFUNCTION("IF(OR(E4746="""",K4746=""""),"""",IFERROR(IF(K4746="""","""",query('tbl user'!$A$2:$D10975,""SELECT A WHERE D = '""&amp;K4746&amp;""'"")),""USER TIDAK DIKETAHUI""))"),"")</f>
        <v/>
      </c>
    </row>
    <row r="4747">
      <c r="A4747" s="21" t="str">
        <f t="shared" si="1"/>
        <v/>
      </c>
      <c r="B4747" s="38"/>
      <c r="C4747" s="23" t="s">
        <v>1935</v>
      </c>
      <c r="D4747" s="23" t="s">
        <v>21</v>
      </c>
      <c r="E4747" s="24">
        <v>45468.0</v>
      </c>
      <c r="F4747" s="25">
        <v>0.24375</v>
      </c>
      <c r="G4747" s="25">
        <v>0.7013888888888888</v>
      </c>
      <c r="H4747" s="27">
        <f t="shared" si="2"/>
        <v>0.4576388889</v>
      </c>
      <c r="I4747" s="28">
        <v>6.0</v>
      </c>
      <c r="J4747" s="39" t="s">
        <v>55</v>
      </c>
      <c r="K4747" s="41"/>
      <c r="L4747" s="31" t="str">
        <f>IFERROR(__xludf.DUMMYFUNCTION("IF(OR(E4747="""",K4747=""""),"""",IFERROR(IF(K4747="""","""",query('tbl user'!$A$2:$D10975,""SELECT A WHERE D = '""&amp;K4747&amp;""'"")),""USER TIDAK DIKETAHUI""))"),"")</f>
        <v/>
      </c>
    </row>
    <row r="4748">
      <c r="A4748" s="21" t="str">
        <f t="shared" si="1"/>
        <v/>
      </c>
      <c r="B4748" s="38"/>
      <c r="C4748" s="23" t="s">
        <v>1841</v>
      </c>
      <c r="D4748" s="23" t="s">
        <v>21</v>
      </c>
      <c r="E4748" s="24">
        <v>45468.0</v>
      </c>
      <c r="F4748" s="25">
        <v>0.2923611111111111</v>
      </c>
      <c r="G4748" s="25">
        <v>0.5597222222222222</v>
      </c>
      <c r="H4748" s="27">
        <f t="shared" si="2"/>
        <v>0.2673611111</v>
      </c>
      <c r="I4748" s="28">
        <v>2.0</v>
      </c>
      <c r="J4748" s="39" t="s">
        <v>2233</v>
      </c>
      <c r="K4748" s="41"/>
      <c r="L4748" s="31" t="str">
        <f>IFERROR(__xludf.DUMMYFUNCTION("IF(OR(E4748="""",K4748=""""),"""",IFERROR(IF(K4748="""","""",query('tbl user'!$A$2:$D10975,""SELECT A WHERE D = '""&amp;K4748&amp;""'"")),""USER TIDAK DIKETAHUI""))"),"")</f>
        <v/>
      </c>
    </row>
    <row r="4749">
      <c r="A4749" s="21" t="str">
        <f t="shared" si="1"/>
        <v/>
      </c>
      <c r="B4749" s="38"/>
      <c r="C4749" s="23" t="s">
        <v>1829</v>
      </c>
      <c r="D4749" s="23" t="s">
        <v>21</v>
      </c>
      <c r="E4749" s="24">
        <v>45468.0</v>
      </c>
      <c r="F4749" s="25">
        <v>0.26666666666666666</v>
      </c>
      <c r="G4749" s="25">
        <v>0.6784722222222223</v>
      </c>
      <c r="H4749" s="27">
        <f t="shared" si="2"/>
        <v>0.4118055556</v>
      </c>
      <c r="I4749" s="28">
        <v>3.0</v>
      </c>
      <c r="J4749" s="39" t="s">
        <v>940</v>
      </c>
      <c r="K4749" s="41"/>
      <c r="L4749" s="31" t="str">
        <f>IFERROR(__xludf.DUMMYFUNCTION("IF(OR(E4749="""",K4749=""""),"""",IFERROR(IF(K4749="""","""",query('tbl user'!$A$2:$D10975,""SELECT A WHERE D = '""&amp;K4749&amp;""'"")),""USER TIDAK DIKETAHUI""))"),"")</f>
        <v/>
      </c>
    </row>
    <row r="4750">
      <c r="A4750" s="21" t="str">
        <f t="shared" si="1"/>
        <v/>
      </c>
      <c r="B4750" s="38"/>
      <c r="C4750" s="23" t="s">
        <v>1917</v>
      </c>
      <c r="D4750" s="23" t="s">
        <v>21</v>
      </c>
      <c r="E4750" s="24">
        <v>45468.0</v>
      </c>
      <c r="F4750" s="25">
        <v>0.2604166666666667</v>
      </c>
      <c r="G4750" s="25">
        <v>0.6715277777777777</v>
      </c>
      <c r="H4750" s="27">
        <f t="shared" si="2"/>
        <v>0.4111111111</v>
      </c>
      <c r="I4750" s="28">
        <v>3.0</v>
      </c>
      <c r="J4750" s="39" t="s">
        <v>2233</v>
      </c>
      <c r="K4750" s="41"/>
      <c r="L4750" s="31" t="str">
        <f>IFERROR(__xludf.DUMMYFUNCTION("IF(OR(E4750="""",K4750=""""),"""",IFERROR(IF(K4750="""","""",query('tbl user'!$A$2:$D10975,""SELECT A WHERE D = '""&amp;K4750&amp;""'"")),""USER TIDAK DIKETAHUI""))"),"")</f>
        <v/>
      </c>
    </row>
    <row r="4751">
      <c r="A4751" s="21" t="str">
        <f t="shared" si="1"/>
        <v/>
      </c>
      <c r="B4751" s="38"/>
      <c r="C4751" s="23" t="s">
        <v>1860</v>
      </c>
      <c r="D4751" s="23" t="s">
        <v>58</v>
      </c>
      <c r="E4751" s="24">
        <v>45468.0</v>
      </c>
      <c r="F4751" s="25">
        <v>0.2826388888888889</v>
      </c>
      <c r="G4751" s="25">
        <v>0.4263888888888889</v>
      </c>
      <c r="H4751" s="27">
        <f t="shared" si="2"/>
        <v>0.14375</v>
      </c>
      <c r="I4751" s="28">
        <v>1.0</v>
      </c>
      <c r="J4751" s="39" t="s">
        <v>2234</v>
      </c>
      <c r="K4751" s="41"/>
      <c r="L4751" s="31" t="str">
        <f>IFERROR(__xludf.DUMMYFUNCTION("IF(OR(E4751="""",K4751=""""),"""",IFERROR(IF(K4751="""","""",query('tbl user'!$A$2:$D10975,""SELECT A WHERE D = '""&amp;K4751&amp;""'"")),""USER TIDAK DIKETAHUI""))"),"")</f>
        <v/>
      </c>
    </row>
    <row r="4752">
      <c r="A4752" s="21" t="str">
        <f t="shared" si="1"/>
        <v/>
      </c>
      <c r="B4752" s="38"/>
      <c r="C4752" s="23" t="s">
        <v>1861</v>
      </c>
      <c r="D4752" s="23" t="s">
        <v>58</v>
      </c>
      <c r="E4752" s="24">
        <v>45468.0</v>
      </c>
      <c r="F4752" s="25">
        <v>0.4326388888888889</v>
      </c>
      <c r="G4752" s="25">
        <v>0.6256944444444444</v>
      </c>
      <c r="H4752" s="27">
        <f t="shared" si="2"/>
        <v>0.1930555556</v>
      </c>
      <c r="I4752" s="28">
        <v>1.0</v>
      </c>
      <c r="J4752" s="39" t="s">
        <v>2235</v>
      </c>
      <c r="K4752" s="41"/>
      <c r="L4752" s="31" t="str">
        <f>IFERROR(__xludf.DUMMYFUNCTION("IF(OR(E4752="""",K4752=""""),"""",IFERROR(IF(K4752="""","""",query('tbl user'!$A$2:$D10975,""SELECT A WHERE D = '""&amp;K4752&amp;""'"")),""USER TIDAK DIKETAHUI""))"),"")</f>
        <v/>
      </c>
    </row>
    <row r="4753">
      <c r="A4753" s="21" t="str">
        <f t="shared" si="1"/>
        <v/>
      </c>
      <c r="B4753" s="38"/>
      <c r="C4753" s="23" t="s">
        <v>1874</v>
      </c>
      <c r="D4753" s="23" t="s">
        <v>58</v>
      </c>
      <c r="E4753" s="24">
        <v>45468.0</v>
      </c>
      <c r="F4753" s="25">
        <v>0.2902777777777778</v>
      </c>
      <c r="G4753" s="25">
        <v>0.6027777777777777</v>
      </c>
      <c r="H4753" s="27">
        <f t="shared" si="2"/>
        <v>0.3125</v>
      </c>
      <c r="I4753" s="28">
        <v>2.0</v>
      </c>
      <c r="J4753" s="39" t="s">
        <v>2236</v>
      </c>
      <c r="K4753" s="41"/>
      <c r="L4753" s="31" t="str">
        <f>IFERROR(__xludf.DUMMYFUNCTION("IF(OR(E4753="""",K4753=""""),"""",IFERROR(IF(K4753="""","""",query('tbl user'!$A$2:$D10975,""SELECT A WHERE D = '""&amp;K4753&amp;""'"")),""USER TIDAK DIKETAHUI""))"),"")</f>
        <v/>
      </c>
    </row>
    <row r="4754">
      <c r="A4754" s="21" t="str">
        <f t="shared" si="1"/>
        <v/>
      </c>
      <c r="B4754" s="38"/>
      <c r="C4754" s="23" t="s">
        <v>1875</v>
      </c>
      <c r="D4754" s="23" t="s">
        <v>58</v>
      </c>
      <c r="E4754" s="24">
        <v>45468.0</v>
      </c>
      <c r="F4754" s="25">
        <v>0.2375</v>
      </c>
      <c r="G4754" s="25">
        <v>0.4979166666666667</v>
      </c>
      <c r="H4754" s="27">
        <f t="shared" si="2"/>
        <v>0.2604166667</v>
      </c>
      <c r="I4754" s="28">
        <v>2.0</v>
      </c>
      <c r="J4754" s="39" t="s">
        <v>2237</v>
      </c>
      <c r="K4754" s="41"/>
      <c r="L4754" s="31" t="str">
        <f>IFERROR(__xludf.DUMMYFUNCTION("IF(OR(E4754="""",K4754=""""),"""",IFERROR(IF(K4754="""","""",query('tbl user'!$A$2:$D10975,""SELECT A WHERE D = '""&amp;K4754&amp;""'"")),""USER TIDAK DIKETAHUI""))"),"")</f>
        <v/>
      </c>
    </row>
    <row r="4755">
      <c r="A4755" s="21" t="str">
        <f t="shared" si="1"/>
        <v/>
      </c>
      <c r="B4755" s="38"/>
      <c r="C4755" s="23" t="s">
        <v>1948</v>
      </c>
      <c r="D4755" s="23" t="s">
        <v>58</v>
      </c>
      <c r="E4755" s="24">
        <v>45468.0</v>
      </c>
      <c r="F4755" s="25">
        <v>0.3159722222222222</v>
      </c>
      <c r="G4755" s="25">
        <v>0.6340277777777777</v>
      </c>
      <c r="H4755" s="27">
        <f t="shared" si="2"/>
        <v>0.3180555556</v>
      </c>
      <c r="I4755" s="28">
        <v>2.0</v>
      </c>
      <c r="J4755" s="39" t="s">
        <v>2238</v>
      </c>
      <c r="K4755" s="41"/>
      <c r="L4755" s="31" t="str">
        <f>IFERROR(__xludf.DUMMYFUNCTION("IF(OR(E4755="""",K4755=""""),"""",IFERROR(IF(K4755="""","""",query('tbl user'!$A$2:$D10975,""SELECT A WHERE D = '""&amp;K4755&amp;""'"")),""USER TIDAK DIKETAHUI""))"),"")</f>
        <v/>
      </c>
    </row>
    <row r="4756">
      <c r="A4756" s="21" t="str">
        <f t="shared" si="1"/>
        <v/>
      </c>
      <c r="B4756" s="38"/>
      <c r="C4756" s="23" t="s">
        <v>1869</v>
      </c>
      <c r="D4756" s="23" t="s">
        <v>58</v>
      </c>
      <c r="E4756" s="24">
        <v>45468.0</v>
      </c>
      <c r="F4756" s="25">
        <v>0.2916666666666667</v>
      </c>
      <c r="G4756" s="25">
        <v>0.5597222222222222</v>
      </c>
      <c r="H4756" s="27">
        <f t="shared" si="2"/>
        <v>0.2680555556</v>
      </c>
      <c r="I4756" s="28">
        <v>2.0</v>
      </c>
      <c r="J4756" s="39" t="s">
        <v>2239</v>
      </c>
      <c r="K4756" s="41"/>
      <c r="L4756" s="31" t="str">
        <f>IFERROR(__xludf.DUMMYFUNCTION("IF(OR(E4756="""",K4756=""""),"""",IFERROR(IF(K4756="""","""",query('tbl user'!$A$2:$D10975,""SELECT A WHERE D = '""&amp;K4756&amp;""'"")),""USER TIDAK DIKETAHUI""))"),"")</f>
        <v/>
      </c>
    </row>
    <row r="4757">
      <c r="A4757" s="21" t="str">
        <f t="shared" si="1"/>
        <v/>
      </c>
      <c r="B4757" s="38"/>
      <c r="C4757" s="23" t="s">
        <v>1881</v>
      </c>
      <c r="D4757" s="23" t="s">
        <v>58</v>
      </c>
      <c r="E4757" s="24">
        <v>45468.0</v>
      </c>
      <c r="F4757" s="25">
        <v>0.22916666666666666</v>
      </c>
      <c r="G4757" s="25">
        <v>0.4930555555555556</v>
      </c>
      <c r="H4757" s="27">
        <f t="shared" si="2"/>
        <v>0.2638888889</v>
      </c>
      <c r="I4757" s="28">
        <v>2.0</v>
      </c>
      <c r="J4757" s="39" t="s">
        <v>2240</v>
      </c>
      <c r="K4757" s="41"/>
      <c r="L4757" s="31" t="str">
        <f>IFERROR(__xludf.DUMMYFUNCTION("IF(OR(E4757="""",K4757=""""),"""",IFERROR(IF(K4757="""","""",query('tbl user'!$A$2:$D10975,""SELECT A WHERE D = '""&amp;K4757&amp;""'"")),""USER TIDAK DIKETAHUI""))"),"")</f>
        <v/>
      </c>
    </row>
    <row r="4758">
      <c r="A4758" s="21" t="str">
        <f t="shared" si="1"/>
        <v/>
      </c>
      <c r="B4758" s="38"/>
      <c r="C4758" s="23" t="s">
        <v>1882</v>
      </c>
      <c r="D4758" s="23" t="s">
        <v>58</v>
      </c>
      <c r="E4758" s="24">
        <v>45468.0</v>
      </c>
      <c r="F4758" s="25">
        <v>0.2777777777777778</v>
      </c>
      <c r="G4758" s="25">
        <v>0.5215277777777778</v>
      </c>
      <c r="H4758" s="27">
        <f t="shared" si="2"/>
        <v>0.24375</v>
      </c>
      <c r="I4758" s="28">
        <v>2.0</v>
      </c>
      <c r="J4758" s="39" t="s">
        <v>2241</v>
      </c>
      <c r="K4758" s="41"/>
      <c r="L4758" s="31" t="str">
        <f>IFERROR(__xludf.DUMMYFUNCTION("IF(OR(E4758="""",K4758=""""),"""",IFERROR(IF(K4758="""","""",query('tbl user'!$A$2:$D10975,""SELECT A WHERE D = '""&amp;K4758&amp;""'"")),""USER TIDAK DIKETAHUI""))"),"")</f>
        <v/>
      </c>
    </row>
    <row r="4759">
      <c r="A4759" s="21" t="str">
        <f t="shared" si="1"/>
        <v/>
      </c>
      <c r="B4759" s="38"/>
      <c r="C4759" s="23" t="s">
        <v>1883</v>
      </c>
      <c r="D4759" s="23" t="s">
        <v>58</v>
      </c>
      <c r="E4759" s="24">
        <v>45468.0</v>
      </c>
      <c r="F4759" s="25">
        <v>0.2923611111111111</v>
      </c>
      <c r="G4759" s="25">
        <v>0.5729166666666666</v>
      </c>
      <c r="H4759" s="27">
        <f t="shared" si="2"/>
        <v>0.2805555556</v>
      </c>
      <c r="I4759" s="28">
        <v>2.0</v>
      </c>
      <c r="J4759" s="39" t="s">
        <v>1693</v>
      </c>
      <c r="K4759" s="41"/>
      <c r="L4759" s="31" t="str">
        <f>IFERROR(__xludf.DUMMYFUNCTION("IF(OR(E4759="""",K4759=""""),"""",IFERROR(IF(K4759="""","""",query('tbl user'!$A$2:$D10975,""SELECT A WHERE D = '""&amp;K4759&amp;""'"")),""USER TIDAK DIKETAHUI""))"),"")</f>
        <v/>
      </c>
    </row>
    <row r="4760">
      <c r="A4760" s="21" t="str">
        <f t="shared" si="1"/>
        <v/>
      </c>
      <c r="B4760" s="38"/>
      <c r="C4760" s="23" t="s">
        <v>1884</v>
      </c>
      <c r="D4760" s="23" t="s">
        <v>58</v>
      </c>
      <c r="E4760" s="24">
        <v>45468.0</v>
      </c>
      <c r="F4760" s="25">
        <v>0.22916666666666666</v>
      </c>
      <c r="G4760" s="25">
        <v>0.5</v>
      </c>
      <c r="H4760" s="27">
        <f t="shared" si="2"/>
        <v>0.2708333333</v>
      </c>
      <c r="I4760" s="28">
        <v>2.0</v>
      </c>
      <c r="J4760" s="39" t="s">
        <v>2242</v>
      </c>
      <c r="K4760" s="41"/>
      <c r="L4760" s="31" t="str">
        <f>IFERROR(__xludf.DUMMYFUNCTION("IF(OR(E4760="""",K4760=""""),"""",IFERROR(IF(K4760="""","""",query('tbl user'!$A$2:$D10975,""SELECT A WHERE D = '""&amp;K4760&amp;""'"")),""USER TIDAK DIKETAHUI""))"),"")</f>
        <v/>
      </c>
    </row>
    <row r="4761">
      <c r="A4761" s="21" t="str">
        <f t="shared" si="1"/>
        <v/>
      </c>
      <c r="B4761" s="38"/>
      <c r="C4761" s="23" t="s">
        <v>1950</v>
      </c>
      <c r="D4761" s="23" t="s">
        <v>58</v>
      </c>
      <c r="E4761" s="24">
        <v>45468.0</v>
      </c>
      <c r="F4761" s="25">
        <v>0.2861111111111111</v>
      </c>
      <c r="G4761" s="25">
        <v>0.55</v>
      </c>
      <c r="H4761" s="27">
        <f t="shared" si="2"/>
        <v>0.2638888889</v>
      </c>
      <c r="I4761" s="28">
        <v>2.0</v>
      </c>
      <c r="J4761" s="39" t="s">
        <v>2243</v>
      </c>
      <c r="K4761" s="41"/>
      <c r="L4761" s="31" t="str">
        <f>IFERROR(__xludf.DUMMYFUNCTION("IF(OR(E4761="""",K4761=""""),"""",IFERROR(IF(K4761="""","""",query('tbl user'!$A$2:$D10975,""SELECT A WHERE D = '""&amp;K4761&amp;""'"")),""USER TIDAK DIKETAHUI""))"),"")</f>
        <v/>
      </c>
    </row>
    <row r="4762">
      <c r="A4762" s="21" t="str">
        <f t="shared" si="1"/>
        <v/>
      </c>
      <c r="B4762" s="38"/>
      <c r="C4762" s="23" t="s">
        <v>1886</v>
      </c>
      <c r="D4762" s="23" t="s">
        <v>58</v>
      </c>
      <c r="E4762" s="24">
        <v>45468.0</v>
      </c>
      <c r="F4762" s="25">
        <v>0.28958333333333336</v>
      </c>
      <c r="G4762" s="25">
        <v>0.5652777777777778</v>
      </c>
      <c r="H4762" s="27">
        <f t="shared" si="2"/>
        <v>0.2756944444</v>
      </c>
      <c r="I4762" s="28">
        <v>2.0</v>
      </c>
      <c r="J4762" s="39" t="s">
        <v>2244</v>
      </c>
      <c r="K4762" s="41"/>
      <c r="L4762" s="31" t="str">
        <f>IFERROR(__xludf.DUMMYFUNCTION("IF(OR(E4762="""",K4762=""""),"""",IFERROR(IF(K4762="""","""",query('tbl user'!$A$2:$D10975,""SELECT A WHERE D = '""&amp;K4762&amp;""'"")),""USER TIDAK DIKETAHUI""))"),"")</f>
        <v/>
      </c>
    </row>
    <row r="4763">
      <c r="A4763" s="21" t="str">
        <f t="shared" si="1"/>
        <v/>
      </c>
      <c r="B4763" s="38"/>
      <c r="C4763" s="23" t="s">
        <v>1887</v>
      </c>
      <c r="D4763" s="23" t="s">
        <v>58</v>
      </c>
      <c r="E4763" s="24">
        <v>45468.0</v>
      </c>
      <c r="F4763" s="25">
        <v>0.45069444444444445</v>
      </c>
      <c r="G4763" s="25">
        <v>0.7131944444444445</v>
      </c>
      <c r="H4763" s="27">
        <f t="shared" si="2"/>
        <v>0.2625</v>
      </c>
      <c r="I4763" s="28">
        <v>2.0</v>
      </c>
      <c r="J4763" s="39" t="s">
        <v>2245</v>
      </c>
      <c r="K4763" s="41"/>
      <c r="L4763" s="31" t="str">
        <f>IFERROR(__xludf.DUMMYFUNCTION("IF(OR(E4763="""",K4763=""""),"""",IFERROR(IF(K4763="""","""",query('tbl user'!$A$2:$D10975,""SELECT A WHERE D = '""&amp;K4763&amp;""'"")),""USER TIDAK DIKETAHUI""))"),"")</f>
        <v/>
      </c>
    </row>
    <row r="4764">
      <c r="A4764" s="21" t="str">
        <f t="shared" si="1"/>
        <v/>
      </c>
      <c r="B4764" s="38"/>
      <c r="C4764" s="23" t="s">
        <v>1892</v>
      </c>
      <c r="D4764" s="23" t="s">
        <v>58</v>
      </c>
      <c r="E4764" s="24">
        <v>45468.0</v>
      </c>
      <c r="F4764" s="25">
        <v>0.20208333333333334</v>
      </c>
      <c r="G4764" s="25">
        <v>0.4263888888888889</v>
      </c>
      <c r="H4764" s="27">
        <f t="shared" si="2"/>
        <v>0.2243055556</v>
      </c>
      <c r="I4764" s="28">
        <v>2.0</v>
      </c>
      <c r="J4764" s="39" t="s">
        <v>2246</v>
      </c>
      <c r="K4764" s="41"/>
      <c r="L4764" s="31" t="str">
        <f>IFERROR(__xludf.DUMMYFUNCTION("IF(OR(E4764="""",K4764=""""),"""",IFERROR(IF(K4764="""","""",query('tbl user'!$A$2:$D10975,""SELECT A WHERE D = '""&amp;K4764&amp;""'"")),""USER TIDAK DIKETAHUI""))"),"")</f>
        <v/>
      </c>
    </row>
    <row r="4765">
      <c r="A4765" s="21" t="str">
        <f t="shared" si="1"/>
        <v/>
      </c>
      <c r="B4765" s="38"/>
      <c r="C4765" s="23" t="s">
        <v>2090</v>
      </c>
      <c r="D4765" s="23" t="s">
        <v>58</v>
      </c>
      <c r="E4765" s="24">
        <v>45468.0</v>
      </c>
      <c r="F4765" s="25">
        <v>0.27847222222222223</v>
      </c>
      <c r="G4765" s="25">
        <v>0.5534722222222223</v>
      </c>
      <c r="H4765" s="27">
        <f t="shared" si="2"/>
        <v>0.275</v>
      </c>
      <c r="I4765" s="28">
        <v>2.0</v>
      </c>
      <c r="J4765" s="39" t="s">
        <v>2247</v>
      </c>
      <c r="K4765" s="41"/>
      <c r="L4765" s="31" t="str">
        <f>IFERROR(__xludf.DUMMYFUNCTION("IF(OR(E4765="""",K4765=""""),"""",IFERROR(IF(K4765="""","""",query('tbl user'!$A$2:$D10975,""SELECT A WHERE D = '""&amp;K4765&amp;""'"")),""USER TIDAK DIKETAHUI""))"),"")</f>
        <v/>
      </c>
    </row>
    <row r="4766">
      <c r="A4766" s="21" t="str">
        <f t="shared" si="1"/>
        <v/>
      </c>
      <c r="B4766" s="38"/>
      <c r="C4766" s="23" t="s">
        <v>1890</v>
      </c>
      <c r="D4766" s="23" t="s">
        <v>58</v>
      </c>
      <c r="E4766" s="24">
        <v>45468.0</v>
      </c>
      <c r="F4766" s="25">
        <v>0.2548611111111111</v>
      </c>
      <c r="G4766" s="25">
        <v>0.5666666666666667</v>
      </c>
      <c r="H4766" s="27">
        <f t="shared" si="2"/>
        <v>0.3118055556</v>
      </c>
      <c r="I4766" s="28">
        <v>2.0</v>
      </c>
      <c r="J4766" s="39" t="s">
        <v>2248</v>
      </c>
      <c r="K4766" s="41"/>
      <c r="L4766" s="31" t="str">
        <f>IFERROR(__xludf.DUMMYFUNCTION("IF(OR(E4766="""",K4766=""""),"""",IFERROR(IF(K4766="""","""",query('tbl user'!$A$2:$D10975,""SELECT A WHERE D = '""&amp;K4766&amp;""'"")),""USER TIDAK DIKETAHUI""))"),"")</f>
        <v/>
      </c>
    </row>
    <row r="4767">
      <c r="A4767" s="21" t="str">
        <f t="shared" si="1"/>
        <v/>
      </c>
      <c r="B4767" s="38"/>
      <c r="C4767" s="23" t="s">
        <v>1867</v>
      </c>
      <c r="D4767" s="23" t="s">
        <v>58</v>
      </c>
      <c r="E4767" s="24">
        <v>45468.0</v>
      </c>
      <c r="F4767" s="25">
        <v>0.2638888888888889</v>
      </c>
      <c r="G4767" s="25">
        <v>0.6784722222222223</v>
      </c>
      <c r="H4767" s="27">
        <f t="shared" si="2"/>
        <v>0.4145833333</v>
      </c>
      <c r="I4767" s="28">
        <v>3.0</v>
      </c>
      <c r="J4767" s="39" t="s">
        <v>171</v>
      </c>
      <c r="K4767" s="41"/>
      <c r="L4767" s="31" t="str">
        <f>IFERROR(__xludf.DUMMYFUNCTION("IF(OR(E4767="""",K4767=""""),"""",IFERROR(IF(K4767="""","""",query('tbl user'!$A$2:$D10975,""SELECT A WHERE D = '""&amp;K4767&amp;""'"")),""USER TIDAK DIKETAHUI""))"),"")</f>
        <v/>
      </c>
    </row>
    <row r="4768">
      <c r="A4768" s="21" t="str">
        <f t="shared" si="1"/>
        <v/>
      </c>
      <c r="B4768" s="38"/>
      <c r="C4768" s="23" t="s">
        <v>1878</v>
      </c>
      <c r="D4768" s="23" t="s">
        <v>58</v>
      </c>
      <c r="E4768" s="24">
        <v>45468.0</v>
      </c>
      <c r="F4768" s="25">
        <v>0.2826388888888889</v>
      </c>
      <c r="G4768" s="25">
        <v>0.6611111111111111</v>
      </c>
      <c r="H4768" s="27">
        <f t="shared" si="2"/>
        <v>0.3784722222</v>
      </c>
      <c r="I4768" s="28">
        <v>3.0</v>
      </c>
      <c r="J4768" s="39" t="s">
        <v>171</v>
      </c>
      <c r="K4768" s="41"/>
      <c r="L4768" s="31" t="str">
        <f>IFERROR(__xludf.DUMMYFUNCTION("IF(OR(E4768="""",K4768=""""),"""",IFERROR(IF(K4768="""","""",query('tbl user'!$A$2:$D10975,""SELECT A WHERE D = '""&amp;K4768&amp;""'"")),""USER TIDAK DIKETAHUI""))"),"")</f>
        <v/>
      </c>
    </row>
    <row r="4769">
      <c r="A4769" s="21" t="str">
        <f t="shared" si="1"/>
        <v/>
      </c>
      <c r="B4769" s="38"/>
      <c r="C4769" s="23" t="s">
        <v>1879</v>
      </c>
      <c r="D4769" s="23" t="s">
        <v>58</v>
      </c>
      <c r="E4769" s="24">
        <v>45468.0</v>
      </c>
      <c r="F4769" s="25">
        <v>0.2673611111111111</v>
      </c>
      <c r="G4769" s="25">
        <v>0.6472222222222223</v>
      </c>
      <c r="H4769" s="27">
        <f t="shared" si="2"/>
        <v>0.3798611111</v>
      </c>
      <c r="I4769" s="28">
        <v>3.0</v>
      </c>
      <c r="J4769" s="39" t="s">
        <v>171</v>
      </c>
      <c r="K4769" s="41"/>
      <c r="L4769" s="31" t="str">
        <f>IFERROR(__xludf.DUMMYFUNCTION("IF(OR(E4769="""",K4769=""""),"""",IFERROR(IF(K4769="""","""",query('tbl user'!$A$2:$D10975,""SELECT A WHERE D = '""&amp;K4769&amp;""'"")),""USER TIDAK DIKETAHUI""))"),"")</f>
        <v/>
      </c>
    </row>
    <row r="4770">
      <c r="A4770" s="21" t="str">
        <f t="shared" si="1"/>
        <v/>
      </c>
      <c r="B4770" s="38"/>
      <c r="C4770" s="23" t="s">
        <v>1863</v>
      </c>
      <c r="D4770" s="23" t="s">
        <v>58</v>
      </c>
      <c r="E4770" s="24">
        <v>45468.0</v>
      </c>
      <c r="F4770" s="25">
        <v>0.2652777777777778</v>
      </c>
      <c r="G4770" s="25">
        <v>0.6354166666666666</v>
      </c>
      <c r="H4770" s="27">
        <f t="shared" si="2"/>
        <v>0.3701388889</v>
      </c>
      <c r="I4770" s="28">
        <v>3.0</v>
      </c>
      <c r="J4770" s="39" t="s">
        <v>2249</v>
      </c>
      <c r="K4770" s="41"/>
      <c r="L4770" s="31" t="str">
        <f>IFERROR(__xludf.DUMMYFUNCTION("IF(OR(E4770="""",K4770=""""),"""",IFERROR(IF(K4770="""","""",query('tbl user'!$A$2:$D10975,""SELECT A WHERE D = '""&amp;K4770&amp;""'"")),""USER TIDAK DIKETAHUI""))"),"")</f>
        <v/>
      </c>
    </row>
    <row r="4771">
      <c r="A4771" s="21" t="str">
        <f t="shared" si="1"/>
        <v/>
      </c>
      <c r="B4771" s="38"/>
      <c r="C4771" s="23" t="s">
        <v>1889</v>
      </c>
      <c r="D4771" s="23" t="s">
        <v>58</v>
      </c>
      <c r="E4771" s="24">
        <v>45468.0</v>
      </c>
      <c r="F4771" s="25">
        <v>0.22777777777777777</v>
      </c>
      <c r="G4771" s="25">
        <v>0.6951388888888889</v>
      </c>
      <c r="H4771" s="27">
        <f t="shared" si="2"/>
        <v>0.4673611111</v>
      </c>
      <c r="I4771" s="28">
        <v>3.0</v>
      </c>
      <c r="J4771" s="39" t="s">
        <v>171</v>
      </c>
      <c r="K4771" s="41"/>
      <c r="L4771" s="31" t="str">
        <f>IFERROR(__xludf.DUMMYFUNCTION("IF(OR(E4771="""",K4771=""""),"""",IFERROR(IF(K4771="""","""",query('tbl user'!$A$2:$D10975,""SELECT A WHERE D = '""&amp;K4771&amp;""'"")),""USER TIDAK DIKETAHUI""))"),"")</f>
        <v/>
      </c>
    </row>
    <row r="4772">
      <c r="A4772" s="21" t="str">
        <f t="shared" si="1"/>
        <v/>
      </c>
      <c r="B4772" s="38"/>
      <c r="C4772" s="23" t="s">
        <v>1871</v>
      </c>
      <c r="D4772" s="23" t="s">
        <v>58</v>
      </c>
      <c r="E4772" s="24">
        <v>45468.0</v>
      </c>
      <c r="F4772" s="25">
        <v>0.24097222222222223</v>
      </c>
      <c r="G4772" s="25">
        <v>0.6895833333333333</v>
      </c>
      <c r="H4772" s="27">
        <f t="shared" si="2"/>
        <v>0.4486111111</v>
      </c>
      <c r="I4772" s="28">
        <v>3.0</v>
      </c>
      <c r="J4772" s="39" t="s">
        <v>2250</v>
      </c>
      <c r="K4772" s="41"/>
      <c r="L4772" s="31" t="str">
        <f>IFERROR(__xludf.DUMMYFUNCTION("IF(OR(E4772="""",K4772=""""),"""",IFERROR(IF(K4772="""","""",query('tbl user'!$A$2:$D10975,""SELECT A WHERE D = '""&amp;K4772&amp;""'"")),""USER TIDAK DIKETAHUI""))"),"")</f>
        <v/>
      </c>
    </row>
    <row r="4773">
      <c r="A4773" s="21" t="str">
        <f t="shared" si="1"/>
        <v/>
      </c>
      <c r="B4773" s="38"/>
      <c r="C4773" s="23" t="s">
        <v>1872</v>
      </c>
      <c r="D4773" s="23" t="s">
        <v>58</v>
      </c>
      <c r="E4773" s="24">
        <v>45468.0</v>
      </c>
      <c r="F4773" s="25">
        <v>0.27291666666666664</v>
      </c>
      <c r="G4773" s="25">
        <v>0.6416666666666667</v>
      </c>
      <c r="H4773" s="27">
        <f t="shared" si="2"/>
        <v>0.36875</v>
      </c>
      <c r="I4773" s="28">
        <v>3.0</v>
      </c>
      <c r="J4773" s="39" t="s">
        <v>171</v>
      </c>
      <c r="K4773" s="41"/>
      <c r="L4773" s="31" t="str">
        <f>IFERROR(__xludf.DUMMYFUNCTION("IF(OR(E4773="""",K4773=""""),"""",IFERROR(IF(K4773="""","""",query('tbl user'!$A$2:$D10975,""SELECT A WHERE D = '""&amp;K4773&amp;""'"")),""USER TIDAK DIKETAHUI""))"),"")</f>
        <v/>
      </c>
    </row>
    <row r="4774">
      <c r="A4774" s="21" t="str">
        <f t="shared" si="1"/>
        <v/>
      </c>
      <c r="B4774" s="38"/>
      <c r="C4774" s="23" t="s">
        <v>1891</v>
      </c>
      <c r="D4774" s="23" t="s">
        <v>58</v>
      </c>
      <c r="E4774" s="24">
        <v>45468.0</v>
      </c>
      <c r="F4774" s="25">
        <v>0.2847222222222222</v>
      </c>
      <c r="G4774" s="25">
        <v>0.6770833333333334</v>
      </c>
      <c r="H4774" s="27">
        <f t="shared" si="2"/>
        <v>0.3923611111</v>
      </c>
      <c r="I4774" s="28">
        <v>3.0</v>
      </c>
      <c r="J4774" s="39" t="s">
        <v>2251</v>
      </c>
      <c r="K4774" s="41"/>
      <c r="L4774" s="31" t="str">
        <f>IFERROR(__xludf.DUMMYFUNCTION("IF(OR(E4774="""",K4774=""""),"""",IFERROR(IF(K4774="""","""",query('tbl user'!$A$2:$D10975,""SELECT A WHERE D = '""&amp;K4774&amp;""'"")),""USER TIDAK DIKETAHUI""))"),"")</f>
        <v/>
      </c>
    </row>
    <row r="4775">
      <c r="A4775" s="21" t="str">
        <f t="shared" si="1"/>
        <v/>
      </c>
      <c r="B4775" s="38"/>
      <c r="C4775" s="23" t="s">
        <v>1888</v>
      </c>
      <c r="D4775" s="23" t="s">
        <v>58</v>
      </c>
      <c r="E4775" s="24">
        <v>45468.0</v>
      </c>
      <c r="F4775" s="25">
        <v>0.2548611111111111</v>
      </c>
      <c r="G4775" s="25">
        <v>0.725</v>
      </c>
      <c r="H4775" s="27">
        <f t="shared" si="2"/>
        <v>0.4701388889</v>
      </c>
      <c r="I4775" s="28">
        <v>4.0</v>
      </c>
      <c r="J4775" s="39" t="s">
        <v>55</v>
      </c>
      <c r="K4775" s="41"/>
      <c r="L4775" s="31" t="str">
        <f>IFERROR(__xludf.DUMMYFUNCTION("IF(OR(E4775="""",K4775=""""),"""",IFERROR(IF(K4775="""","""",query('tbl user'!$A$2:$D10975,""SELECT A WHERE D = '""&amp;K4775&amp;""'"")),""USER TIDAK DIKETAHUI""))"),"")</f>
        <v/>
      </c>
    </row>
    <row r="4776">
      <c r="A4776" s="21" t="str">
        <f t="shared" si="1"/>
        <v/>
      </c>
      <c r="B4776" s="38"/>
      <c r="C4776" s="23" t="s">
        <v>1893</v>
      </c>
      <c r="D4776" s="23" t="s">
        <v>58</v>
      </c>
      <c r="E4776" s="24">
        <v>45468.0</v>
      </c>
      <c r="F4776" s="25">
        <v>0.2013888888888889</v>
      </c>
      <c r="G4776" s="25">
        <v>0.7166666666666667</v>
      </c>
      <c r="H4776" s="27">
        <f t="shared" si="2"/>
        <v>0.5152777778</v>
      </c>
      <c r="I4776" s="28">
        <v>4.0</v>
      </c>
      <c r="J4776" s="39" t="s">
        <v>55</v>
      </c>
      <c r="K4776" s="41"/>
      <c r="L4776" s="31" t="str">
        <f>IFERROR(__xludf.DUMMYFUNCTION("IF(OR(E4776="""",K4776=""""),"""",IFERROR(IF(K4776="""","""",query('tbl user'!$A$2:$D10975,""SELECT A WHERE D = '""&amp;K4776&amp;""'"")),""USER TIDAK DIKETAHUI""))"),"")</f>
        <v/>
      </c>
    </row>
    <row r="4777">
      <c r="A4777" s="21" t="str">
        <f t="shared" si="1"/>
        <v/>
      </c>
      <c r="B4777" s="38"/>
      <c r="C4777" s="23" t="s">
        <v>2252</v>
      </c>
      <c r="D4777" s="23" t="s">
        <v>32</v>
      </c>
      <c r="E4777" s="24">
        <v>45468.0</v>
      </c>
      <c r="F4777" s="25">
        <v>0.2923611111111111</v>
      </c>
      <c r="G4777" s="25">
        <v>0.5472222222222223</v>
      </c>
      <c r="H4777" s="27">
        <f t="shared" si="2"/>
        <v>0.2548611111</v>
      </c>
      <c r="I4777" s="28">
        <v>1.0</v>
      </c>
      <c r="J4777" s="39" t="s">
        <v>2253</v>
      </c>
      <c r="K4777" s="41"/>
      <c r="L4777" s="31" t="str">
        <f>IFERROR(__xludf.DUMMYFUNCTION("IF(OR(E4777="""",K4777=""""),"""",IFERROR(IF(K4777="""","""",query('tbl user'!$A$2:$D10975,""SELECT A WHERE D = '""&amp;K4777&amp;""'"")),""USER TIDAK DIKETAHUI""))"),"")</f>
        <v/>
      </c>
    </row>
    <row r="4778">
      <c r="A4778" s="21" t="str">
        <f t="shared" si="1"/>
        <v/>
      </c>
      <c r="B4778" s="38"/>
      <c r="C4778" s="23" t="s">
        <v>1965</v>
      </c>
      <c r="D4778" s="23" t="s">
        <v>32</v>
      </c>
      <c r="E4778" s="24">
        <v>45468.0</v>
      </c>
      <c r="F4778" s="25">
        <v>0.2923611111111111</v>
      </c>
      <c r="G4778" s="25">
        <v>0.5326388888888889</v>
      </c>
      <c r="H4778" s="27">
        <f t="shared" si="2"/>
        <v>0.2402777778</v>
      </c>
      <c r="I4778" s="28">
        <v>2.0</v>
      </c>
      <c r="J4778" s="39" t="s">
        <v>2254</v>
      </c>
      <c r="K4778" s="41"/>
      <c r="L4778" s="31" t="str">
        <f>IFERROR(__xludf.DUMMYFUNCTION("IF(OR(E4778="""",K4778=""""),"""",IFERROR(IF(K4778="""","""",query('tbl user'!$A$2:$D10975,""SELECT A WHERE D = '""&amp;K4778&amp;""'"")),""USER TIDAK DIKETAHUI""))"),"")</f>
        <v/>
      </c>
    </row>
    <row r="4779">
      <c r="A4779" s="21" t="str">
        <f t="shared" si="1"/>
        <v/>
      </c>
      <c r="B4779" s="38"/>
      <c r="C4779" s="23" t="s">
        <v>1951</v>
      </c>
      <c r="D4779" s="23" t="s">
        <v>32</v>
      </c>
      <c r="E4779" s="24">
        <v>45468.0</v>
      </c>
      <c r="F4779" s="25">
        <v>0.27152777777777776</v>
      </c>
      <c r="G4779" s="25">
        <v>0.7118055555555556</v>
      </c>
      <c r="H4779" s="27">
        <f t="shared" si="2"/>
        <v>0.4402777778</v>
      </c>
      <c r="I4779" s="28">
        <v>3.0</v>
      </c>
      <c r="J4779" s="39" t="s">
        <v>2255</v>
      </c>
      <c r="K4779" s="41"/>
      <c r="L4779" s="31" t="str">
        <f>IFERROR(__xludf.DUMMYFUNCTION("IF(OR(E4779="""",K4779=""""),"""",IFERROR(IF(K4779="""","""",query('tbl user'!$A$2:$D10975,""SELECT A WHERE D = '""&amp;K4779&amp;""'"")),""USER TIDAK DIKETAHUI""))"),"")</f>
        <v/>
      </c>
    </row>
    <row r="4780">
      <c r="A4780" s="21" t="str">
        <f t="shared" si="1"/>
        <v/>
      </c>
      <c r="B4780" s="38"/>
      <c r="C4780" s="23" t="s">
        <v>2092</v>
      </c>
      <c r="D4780" s="23" t="s">
        <v>32</v>
      </c>
      <c r="E4780" s="24">
        <v>45468.0</v>
      </c>
      <c r="F4780" s="25">
        <v>0.37777777777777777</v>
      </c>
      <c r="G4780" s="25">
        <v>0.71875</v>
      </c>
      <c r="H4780" s="27">
        <f t="shared" si="2"/>
        <v>0.3409722222</v>
      </c>
      <c r="I4780" s="28">
        <v>3.0</v>
      </c>
      <c r="J4780" s="39" t="s">
        <v>2256</v>
      </c>
      <c r="K4780" s="41"/>
      <c r="L4780" s="31" t="str">
        <f>IFERROR(__xludf.DUMMYFUNCTION("IF(OR(E4780="""",K4780=""""),"""",IFERROR(IF(K4780="""","""",query('tbl user'!$A$2:$D10975,""SELECT A WHERE D = '""&amp;K4780&amp;""'"")),""USER TIDAK DIKETAHUI""))"),"")</f>
        <v/>
      </c>
    </row>
    <row r="4781">
      <c r="A4781" s="21" t="str">
        <f t="shared" si="1"/>
        <v/>
      </c>
      <c r="B4781" s="38"/>
      <c r="C4781" s="23" t="s">
        <v>1898</v>
      </c>
      <c r="D4781" s="23" t="s">
        <v>32</v>
      </c>
      <c r="E4781" s="24">
        <v>45468.0</v>
      </c>
      <c r="F4781" s="25">
        <v>0.3541666666666667</v>
      </c>
      <c r="G4781" s="25">
        <v>0.6527777777777778</v>
      </c>
      <c r="H4781" s="27">
        <f t="shared" si="2"/>
        <v>0.2986111111</v>
      </c>
      <c r="I4781" s="28">
        <v>3.0</v>
      </c>
      <c r="J4781" s="39" t="s">
        <v>2257</v>
      </c>
      <c r="K4781" s="41"/>
      <c r="L4781" s="31" t="str">
        <f>IFERROR(__xludf.DUMMYFUNCTION("IF(OR(E4781="""",K4781=""""),"""",IFERROR(IF(K4781="""","""",query('tbl user'!$A$2:$D10975,""SELECT A WHERE D = '""&amp;K4781&amp;""'"")),""USER TIDAK DIKETAHUI""))"),"")</f>
        <v/>
      </c>
    </row>
    <row r="4782">
      <c r="A4782" s="21" t="str">
        <f t="shared" si="1"/>
        <v/>
      </c>
      <c r="B4782" s="38"/>
      <c r="C4782" s="23" t="s">
        <v>2066</v>
      </c>
      <c r="D4782" s="23" t="s">
        <v>32</v>
      </c>
      <c r="E4782" s="24">
        <v>45468.0</v>
      </c>
      <c r="F4782" s="25">
        <v>0.2861111111111111</v>
      </c>
      <c r="G4782" s="25">
        <v>0.7173611111111111</v>
      </c>
      <c r="H4782" s="27">
        <f t="shared" si="2"/>
        <v>0.43125</v>
      </c>
      <c r="I4782" s="28">
        <v>3.0</v>
      </c>
      <c r="J4782" s="39" t="s">
        <v>2258</v>
      </c>
      <c r="K4782" s="41"/>
      <c r="L4782" s="31" t="str">
        <f>IFERROR(__xludf.DUMMYFUNCTION("IF(OR(E4782="""",K4782=""""),"""",IFERROR(IF(K4782="""","""",query('tbl user'!$A$2:$D10975,""SELECT A WHERE D = '""&amp;K4782&amp;""'"")),""USER TIDAK DIKETAHUI""))"),"")</f>
        <v/>
      </c>
    </row>
    <row r="4783">
      <c r="A4783" s="21" t="str">
        <f t="shared" si="1"/>
        <v/>
      </c>
      <c r="B4783" s="38"/>
      <c r="C4783" s="23" t="s">
        <v>1902</v>
      </c>
      <c r="D4783" s="23" t="s">
        <v>32</v>
      </c>
      <c r="E4783" s="24">
        <v>45468.0</v>
      </c>
      <c r="F4783" s="25">
        <v>0.28958333333333336</v>
      </c>
      <c r="G4783" s="25">
        <v>0.6319444444444444</v>
      </c>
      <c r="H4783" s="27">
        <f t="shared" si="2"/>
        <v>0.3423611111</v>
      </c>
      <c r="I4783" s="28">
        <v>3.0</v>
      </c>
      <c r="J4783" s="39" t="s">
        <v>2259</v>
      </c>
      <c r="K4783" s="41"/>
      <c r="L4783" s="31" t="str">
        <f>IFERROR(__xludf.DUMMYFUNCTION("IF(OR(E4783="""",K4783=""""),"""",IFERROR(IF(K4783="""","""",query('tbl user'!$A$2:$D10975,""SELECT A WHERE D = '""&amp;K4783&amp;""'"")),""USER TIDAK DIKETAHUI""))"),"")</f>
        <v/>
      </c>
    </row>
    <row r="4784">
      <c r="A4784" s="21" t="str">
        <f t="shared" si="1"/>
        <v/>
      </c>
      <c r="B4784" s="38"/>
      <c r="C4784" s="23" t="s">
        <v>1901</v>
      </c>
      <c r="D4784" s="23" t="s">
        <v>32</v>
      </c>
      <c r="E4784" s="24">
        <v>45468.0</v>
      </c>
      <c r="F4784" s="25">
        <v>0.2847222222222222</v>
      </c>
      <c r="G4784" s="25">
        <v>0.725</v>
      </c>
      <c r="H4784" s="27">
        <f t="shared" si="2"/>
        <v>0.4402777778</v>
      </c>
      <c r="I4784" s="28">
        <v>4.0</v>
      </c>
      <c r="J4784" s="39" t="s">
        <v>55</v>
      </c>
      <c r="K4784" s="41"/>
      <c r="L4784" s="31" t="str">
        <f>IFERROR(__xludf.DUMMYFUNCTION("IF(OR(E4784="""",K4784=""""),"""",IFERROR(IF(K4784="""","""",query('tbl user'!$A$2:$D10975,""SELECT A WHERE D = '""&amp;K4784&amp;""'"")),""USER TIDAK DIKETAHUI""))"),"")</f>
        <v/>
      </c>
    </row>
    <row r="4785">
      <c r="A4785" s="21" t="str">
        <f t="shared" si="1"/>
        <v/>
      </c>
      <c r="B4785" s="38"/>
      <c r="C4785" s="23" t="s">
        <v>1964</v>
      </c>
      <c r="D4785" s="23" t="s">
        <v>32</v>
      </c>
      <c r="E4785" s="24">
        <v>45468.0</v>
      </c>
      <c r="F4785" s="25">
        <v>0.2569444444444444</v>
      </c>
      <c r="G4785" s="25">
        <v>0.7027777777777777</v>
      </c>
      <c r="H4785" s="27">
        <f t="shared" si="2"/>
        <v>0.4458333333</v>
      </c>
      <c r="I4785" s="28">
        <v>4.0</v>
      </c>
      <c r="J4785" s="39" t="s">
        <v>55</v>
      </c>
      <c r="K4785" s="41"/>
      <c r="L4785" s="31" t="str">
        <f>IFERROR(__xludf.DUMMYFUNCTION("IF(OR(E4785="""",K4785=""""),"""",IFERROR(IF(K4785="""","""",query('tbl user'!$A$2:$D10975,""SELECT A WHERE D = '""&amp;K4785&amp;""'"")),""USER TIDAK DIKETAHUI""))"),"")</f>
        <v/>
      </c>
    </row>
    <row r="4786">
      <c r="A4786" s="21" t="str">
        <f t="shared" si="1"/>
        <v/>
      </c>
      <c r="B4786" s="38"/>
      <c r="C4786" s="23" t="s">
        <v>1966</v>
      </c>
      <c r="D4786" s="23" t="s">
        <v>32</v>
      </c>
      <c r="E4786" s="24">
        <v>45468.0</v>
      </c>
      <c r="F4786" s="25">
        <v>0.25625</v>
      </c>
      <c r="G4786" s="25">
        <v>0.7229166666666667</v>
      </c>
      <c r="H4786" s="27">
        <f t="shared" si="2"/>
        <v>0.4666666667</v>
      </c>
      <c r="I4786" s="28">
        <v>4.0</v>
      </c>
      <c r="J4786" s="39" t="s">
        <v>55</v>
      </c>
      <c r="K4786" s="41"/>
      <c r="L4786" s="31" t="str">
        <f>IFERROR(__xludf.DUMMYFUNCTION("IF(OR(E4786="""",K4786=""""),"""",IFERROR(IF(K4786="""","""",query('tbl user'!$A$2:$D10975,""SELECT A WHERE D = '""&amp;K4786&amp;""'"")),""USER TIDAK DIKETAHUI""))"),"")</f>
        <v/>
      </c>
    </row>
    <row r="4787">
      <c r="A4787" s="21" t="str">
        <f t="shared" si="1"/>
        <v/>
      </c>
      <c r="B4787" s="38"/>
      <c r="C4787" s="23" t="s">
        <v>1967</v>
      </c>
      <c r="D4787" s="23" t="s">
        <v>32</v>
      </c>
      <c r="E4787" s="24">
        <v>45468.0</v>
      </c>
      <c r="F4787" s="25">
        <v>0.2638888888888889</v>
      </c>
      <c r="G4787" s="25">
        <v>0.7159722222222222</v>
      </c>
      <c r="H4787" s="27">
        <f t="shared" si="2"/>
        <v>0.4520833333</v>
      </c>
      <c r="I4787" s="28">
        <v>4.0</v>
      </c>
      <c r="J4787" s="39" t="s">
        <v>55</v>
      </c>
      <c r="K4787" s="41"/>
      <c r="L4787" s="31" t="str">
        <f>IFERROR(__xludf.DUMMYFUNCTION("IF(OR(E4787="""",K4787=""""),"""",IFERROR(IF(K4787="""","""",query('tbl user'!$A$2:$D10975,""SELECT A WHERE D = '""&amp;K4787&amp;""'"")),""USER TIDAK DIKETAHUI""))"),"")</f>
        <v/>
      </c>
    </row>
    <row r="4788">
      <c r="A4788" s="21" t="str">
        <f t="shared" si="1"/>
        <v/>
      </c>
      <c r="B4788" s="38"/>
      <c r="C4788" s="23" t="s">
        <v>1912</v>
      </c>
      <c r="D4788" s="23" t="s">
        <v>32</v>
      </c>
      <c r="E4788" s="24">
        <v>45468.0</v>
      </c>
      <c r="F4788" s="25">
        <v>0.22708333333333333</v>
      </c>
      <c r="G4788" s="25">
        <v>0.6875</v>
      </c>
      <c r="H4788" s="27">
        <f t="shared" si="2"/>
        <v>0.4604166667</v>
      </c>
      <c r="I4788" s="28">
        <v>4.0</v>
      </c>
      <c r="J4788" s="39" t="s">
        <v>55</v>
      </c>
      <c r="K4788" s="41"/>
      <c r="L4788" s="31" t="str">
        <f>IFERROR(__xludf.DUMMYFUNCTION("IF(OR(E4788="""",K4788=""""),"""",IFERROR(IF(K4788="""","""",query('tbl user'!$A$2:$D10975,""SELECT A WHERE D = '""&amp;K4788&amp;""'"")),""USER TIDAK DIKETAHUI""))"),"")</f>
        <v/>
      </c>
    </row>
    <row r="4789">
      <c r="A4789" s="21" t="str">
        <f t="shared" si="1"/>
        <v/>
      </c>
      <c r="B4789" s="38"/>
      <c r="C4789" s="23" t="s">
        <v>1900</v>
      </c>
      <c r="D4789" s="23" t="s">
        <v>32</v>
      </c>
      <c r="E4789" s="24">
        <v>45468.0</v>
      </c>
      <c r="F4789" s="25">
        <v>0.23819444444444443</v>
      </c>
      <c r="G4789" s="25">
        <v>0.6881944444444444</v>
      </c>
      <c r="H4789" s="27">
        <f t="shared" si="2"/>
        <v>0.45</v>
      </c>
      <c r="I4789" s="28">
        <v>4.0</v>
      </c>
      <c r="J4789" s="39" t="s">
        <v>55</v>
      </c>
      <c r="K4789" s="41"/>
      <c r="L4789" s="31" t="str">
        <f>IFERROR(__xludf.DUMMYFUNCTION("IF(OR(E4789="""",K4789=""""),"""",IFERROR(IF(K4789="""","""",query('tbl user'!$A$2:$D10975,""SELECT A WHERE D = '""&amp;K4789&amp;""'"")),""USER TIDAK DIKETAHUI""))"),"")</f>
        <v/>
      </c>
    </row>
    <row r="4790">
      <c r="A4790" s="21" t="str">
        <f t="shared" si="1"/>
        <v/>
      </c>
      <c r="B4790" s="38"/>
      <c r="C4790" s="23" t="s">
        <v>1909</v>
      </c>
      <c r="D4790" s="23" t="s">
        <v>32</v>
      </c>
      <c r="E4790" s="24">
        <v>45468.0</v>
      </c>
      <c r="F4790" s="25">
        <v>0.28055555555555556</v>
      </c>
      <c r="G4790" s="25">
        <v>0.70625</v>
      </c>
      <c r="H4790" s="27">
        <f t="shared" si="2"/>
        <v>0.4256944444</v>
      </c>
      <c r="I4790" s="28">
        <v>4.0</v>
      </c>
      <c r="J4790" s="39" t="s">
        <v>55</v>
      </c>
      <c r="K4790" s="41"/>
      <c r="L4790" s="31" t="str">
        <f>IFERROR(__xludf.DUMMYFUNCTION("IF(OR(E4790="""",K4790=""""),"""",IFERROR(IF(K4790="""","""",query('tbl user'!$A$2:$D10975,""SELECT A WHERE D = '""&amp;K4790&amp;""'"")),""USER TIDAK DIKETAHUI""))"),"")</f>
        <v/>
      </c>
    </row>
    <row r="4791">
      <c r="A4791" s="21" t="str">
        <f t="shared" si="1"/>
        <v/>
      </c>
      <c r="B4791" s="38"/>
      <c r="C4791" s="23" t="s">
        <v>1839</v>
      </c>
      <c r="D4791" s="23" t="s">
        <v>21</v>
      </c>
      <c r="E4791" s="24">
        <v>45469.0</v>
      </c>
      <c r="F4791" s="25">
        <v>0.2590277777777778</v>
      </c>
      <c r="G4791" s="25">
        <v>0.4041666666666667</v>
      </c>
      <c r="H4791" s="27">
        <f t="shared" si="2"/>
        <v>0.1451388889</v>
      </c>
      <c r="I4791" s="28">
        <v>1.0</v>
      </c>
      <c r="J4791" s="39" t="s">
        <v>2260</v>
      </c>
      <c r="K4791" s="41"/>
      <c r="L4791" s="31" t="str">
        <f>IFERROR(__xludf.DUMMYFUNCTION("IF(OR(E4791="""",K4791=""""),"""",IFERROR(IF(K4791="""","""",query('tbl user'!$A$2:$D10975,""SELECT A WHERE D = '""&amp;K4791&amp;""'"")),""USER TIDAK DIKETAHUI""))"),"")</f>
        <v/>
      </c>
    </row>
    <row r="4792">
      <c r="A4792" s="21" t="str">
        <f t="shared" si="1"/>
        <v/>
      </c>
      <c r="B4792" s="38"/>
      <c r="C4792" s="23" t="s">
        <v>1853</v>
      </c>
      <c r="D4792" s="23" t="s">
        <v>21</v>
      </c>
      <c r="E4792" s="24">
        <v>45469.0</v>
      </c>
      <c r="F4792" s="25">
        <v>0.28055555555555556</v>
      </c>
      <c r="G4792" s="25">
        <v>0.4173611111111111</v>
      </c>
      <c r="H4792" s="27">
        <f t="shared" si="2"/>
        <v>0.1368055556</v>
      </c>
      <c r="I4792" s="28">
        <v>1.0</v>
      </c>
      <c r="J4792" s="39" t="s">
        <v>2261</v>
      </c>
      <c r="K4792" s="41"/>
      <c r="L4792" s="31" t="str">
        <f>IFERROR(__xludf.DUMMYFUNCTION("IF(OR(E4792="""",K4792=""""),"""",IFERROR(IF(K4792="""","""",query('tbl user'!$A$2:$D10975,""SELECT A WHERE D = '""&amp;K4792&amp;""'"")),""USER TIDAK DIKETAHUI""))"),"")</f>
        <v/>
      </c>
    </row>
    <row r="4793">
      <c r="A4793" s="21" t="str">
        <f t="shared" si="1"/>
        <v/>
      </c>
      <c r="B4793" s="38"/>
      <c r="C4793" s="23" t="s">
        <v>1844</v>
      </c>
      <c r="D4793" s="23" t="s">
        <v>21</v>
      </c>
      <c r="E4793" s="24">
        <v>45469.0</v>
      </c>
      <c r="F4793" s="25">
        <v>0.25625</v>
      </c>
      <c r="G4793" s="25">
        <v>0.44583333333333336</v>
      </c>
      <c r="H4793" s="27">
        <f t="shared" si="2"/>
        <v>0.1895833333</v>
      </c>
      <c r="I4793" s="28">
        <v>1.0</v>
      </c>
      <c r="J4793" s="39" t="s">
        <v>2262</v>
      </c>
      <c r="K4793" s="41"/>
      <c r="L4793" s="31" t="str">
        <f>IFERROR(__xludf.DUMMYFUNCTION("IF(OR(E4793="""",K4793=""""),"""",IFERROR(IF(K4793="""","""",query('tbl user'!$A$2:$D10975,""SELECT A WHERE D = '""&amp;K4793&amp;""'"")),""USER TIDAK DIKETAHUI""))"),"")</f>
        <v/>
      </c>
    </row>
    <row r="4794">
      <c r="A4794" s="21" t="str">
        <f t="shared" si="1"/>
        <v/>
      </c>
      <c r="B4794" s="38"/>
      <c r="C4794" s="23" t="s">
        <v>1835</v>
      </c>
      <c r="D4794" s="23" t="s">
        <v>21</v>
      </c>
      <c r="E4794" s="24">
        <v>45469.0</v>
      </c>
      <c r="F4794" s="25">
        <v>0.2791666666666667</v>
      </c>
      <c r="G4794" s="25">
        <v>0.43125</v>
      </c>
      <c r="H4794" s="27">
        <f t="shared" si="2"/>
        <v>0.1520833333</v>
      </c>
      <c r="I4794" s="28">
        <v>1.0</v>
      </c>
      <c r="J4794" s="39" t="s">
        <v>2263</v>
      </c>
      <c r="K4794" s="41"/>
      <c r="L4794" s="31" t="str">
        <f>IFERROR(__xludf.DUMMYFUNCTION("IF(OR(E4794="""",K4794=""""),"""",IFERROR(IF(K4794="""","""",query('tbl user'!$A$2:$D10975,""SELECT A WHERE D = '""&amp;K4794&amp;""'"")),""USER TIDAK DIKETAHUI""))"),"")</f>
        <v/>
      </c>
    </row>
    <row r="4795">
      <c r="A4795" s="21" t="str">
        <f t="shared" si="1"/>
        <v/>
      </c>
      <c r="B4795" s="38"/>
      <c r="C4795" s="23" t="s">
        <v>1830</v>
      </c>
      <c r="D4795" s="23" t="s">
        <v>21</v>
      </c>
      <c r="E4795" s="24">
        <v>45469.0</v>
      </c>
      <c r="F4795" s="25">
        <v>0.2569444444444444</v>
      </c>
      <c r="G4795" s="25">
        <v>0.5493055555555556</v>
      </c>
      <c r="H4795" s="27">
        <f t="shared" si="2"/>
        <v>0.2923611111</v>
      </c>
      <c r="I4795" s="28">
        <v>2.0</v>
      </c>
      <c r="J4795" s="39" t="s">
        <v>2264</v>
      </c>
      <c r="K4795" s="41"/>
      <c r="L4795" s="31" t="str">
        <f>IFERROR(__xludf.DUMMYFUNCTION("IF(OR(E4795="""",K4795=""""),"""",IFERROR(IF(K4795="""","""",query('tbl user'!$A$2:$D10975,""SELECT A WHERE D = '""&amp;K4795&amp;""'"")),""USER TIDAK DIKETAHUI""))"),"")</f>
        <v/>
      </c>
    </row>
    <row r="4796">
      <c r="A4796" s="21" t="str">
        <f t="shared" si="1"/>
        <v/>
      </c>
      <c r="B4796" s="38"/>
      <c r="C4796" s="23" t="s">
        <v>1833</v>
      </c>
      <c r="D4796" s="23" t="s">
        <v>21</v>
      </c>
      <c r="E4796" s="24">
        <v>45469.0</v>
      </c>
      <c r="F4796" s="25">
        <v>0.2826388888888889</v>
      </c>
      <c r="G4796" s="25">
        <v>0.5423611111111111</v>
      </c>
      <c r="H4796" s="27">
        <f t="shared" si="2"/>
        <v>0.2597222222</v>
      </c>
      <c r="I4796" s="28">
        <v>2.0</v>
      </c>
      <c r="J4796" s="39" t="s">
        <v>934</v>
      </c>
      <c r="K4796" s="41"/>
      <c r="L4796" s="31" t="str">
        <f>IFERROR(__xludf.DUMMYFUNCTION("IF(OR(E4796="""",K4796=""""),"""",IFERROR(IF(K4796="""","""",query('tbl user'!$A$2:$D10975,""SELECT A WHERE D = '""&amp;K4796&amp;""'"")),""USER TIDAK DIKETAHUI""))"),"")</f>
        <v/>
      </c>
    </row>
    <row r="4797">
      <c r="A4797" s="21" t="str">
        <f t="shared" si="1"/>
        <v/>
      </c>
      <c r="B4797" s="38"/>
      <c r="C4797" s="23" t="s">
        <v>2041</v>
      </c>
      <c r="D4797" s="23" t="s">
        <v>21</v>
      </c>
      <c r="E4797" s="24">
        <v>45469.0</v>
      </c>
      <c r="F4797" s="25">
        <v>0.25763888888888886</v>
      </c>
      <c r="G4797" s="25">
        <v>0.5506944444444445</v>
      </c>
      <c r="H4797" s="27">
        <f t="shared" si="2"/>
        <v>0.2930555556</v>
      </c>
      <c r="I4797" s="28">
        <v>2.0</v>
      </c>
      <c r="J4797" s="39" t="s">
        <v>2265</v>
      </c>
      <c r="K4797" s="41"/>
      <c r="L4797" s="31" t="str">
        <f>IFERROR(__xludf.DUMMYFUNCTION("IF(OR(E4797="""",K4797=""""),"""",IFERROR(IF(K4797="""","""",query('tbl user'!$A$2:$D10975,""SELECT A WHERE D = '""&amp;K4797&amp;""'"")),""USER TIDAK DIKETAHUI""))"),"")</f>
        <v/>
      </c>
    </row>
    <row r="4798">
      <c r="A4798" s="21" t="str">
        <f t="shared" si="1"/>
        <v/>
      </c>
      <c r="B4798" s="38"/>
      <c r="C4798" s="23" t="s">
        <v>1928</v>
      </c>
      <c r="D4798" s="23" t="s">
        <v>21</v>
      </c>
      <c r="E4798" s="24">
        <v>45469.0</v>
      </c>
      <c r="F4798" s="25">
        <v>0.29583333333333334</v>
      </c>
      <c r="G4798" s="25">
        <v>0.49583333333333335</v>
      </c>
      <c r="H4798" s="27">
        <f t="shared" si="2"/>
        <v>0.2</v>
      </c>
      <c r="I4798" s="28">
        <v>2.0</v>
      </c>
      <c r="J4798" s="39" t="s">
        <v>727</v>
      </c>
      <c r="K4798" s="41"/>
      <c r="L4798" s="31" t="str">
        <f>IFERROR(__xludf.DUMMYFUNCTION("IF(OR(E4798="""",K4798=""""),"""",IFERROR(IF(K4798="""","""",query('tbl user'!$A$2:$D10975,""SELECT A WHERE D = '""&amp;K4798&amp;""'"")),""USER TIDAK DIKETAHUI""))"),"")</f>
        <v/>
      </c>
    </row>
    <row r="4799">
      <c r="A4799" s="21" t="str">
        <f t="shared" si="1"/>
        <v/>
      </c>
      <c r="B4799" s="38"/>
      <c r="C4799" s="23" t="s">
        <v>1837</v>
      </c>
      <c r="D4799" s="23" t="s">
        <v>21</v>
      </c>
      <c r="E4799" s="24">
        <v>45469.0</v>
      </c>
      <c r="F4799" s="25">
        <v>0.28194444444444444</v>
      </c>
      <c r="G4799" s="25">
        <v>0.6</v>
      </c>
      <c r="H4799" s="27">
        <f t="shared" si="2"/>
        <v>0.3180555556</v>
      </c>
      <c r="I4799" s="28">
        <v>3.0</v>
      </c>
      <c r="J4799" s="39" t="s">
        <v>1170</v>
      </c>
      <c r="K4799" s="41"/>
      <c r="L4799" s="31" t="str">
        <f>IFERROR(__xludf.DUMMYFUNCTION("IF(OR(E4799="""",K4799=""""),"""",IFERROR(IF(K4799="""","""",query('tbl user'!$A$2:$D10975,""SELECT A WHERE D = '""&amp;K4799&amp;""'"")),""USER TIDAK DIKETAHUI""))"),"")</f>
        <v/>
      </c>
    </row>
    <row r="4800">
      <c r="A4800" s="21" t="str">
        <f t="shared" si="1"/>
        <v/>
      </c>
      <c r="B4800" s="38"/>
      <c r="C4800" s="23" t="s">
        <v>1935</v>
      </c>
      <c r="D4800" s="23" t="s">
        <v>21</v>
      </c>
      <c r="E4800" s="24">
        <v>45469.0</v>
      </c>
      <c r="F4800" s="25">
        <v>0.25833333333333336</v>
      </c>
      <c r="G4800" s="25">
        <v>0.5666666666666667</v>
      </c>
      <c r="H4800" s="27">
        <f t="shared" si="2"/>
        <v>0.3083333333</v>
      </c>
      <c r="I4800" s="28">
        <v>3.0</v>
      </c>
      <c r="J4800" s="39" t="s">
        <v>2266</v>
      </c>
      <c r="K4800" s="41"/>
      <c r="L4800" s="31" t="str">
        <f>IFERROR(__xludf.DUMMYFUNCTION("IF(OR(E4800="""",K4800=""""),"""",IFERROR(IF(K4800="""","""",query('tbl user'!$A$2:$D10975,""SELECT A WHERE D = '""&amp;K4800&amp;""'"")),""USER TIDAK DIKETAHUI""))"),"")</f>
        <v/>
      </c>
    </row>
    <row r="4801">
      <c r="A4801" s="21" t="str">
        <f t="shared" si="1"/>
        <v/>
      </c>
      <c r="B4801" s="38"/>
      <c r="C4801" s="23" t="s">
        <v>1920</v>
      </c>
      <c r="D4801" s="23" t="s">
        <v>21</v>
      </c>
      <c r="E4801" s="24">
        <v>45469.0</v>
      </c>
      <c r="F4801" s="25">
        <v>0.275</v>
      </c>
      <c r="G4801" s="25">
        <v>0.6680555555555555</v>
      </c>
      <c r="H4801" s="27">
        <f t="shared" si="2"/>
        <v>0.3930555556</v>
      </c>
      <c r="I4801" s="28">
        <v>4.0</v>
      </c>
      <c r="J4801" s="39" t="s">
        <v>2267</v>
      </c>
      <c r="K4801" s="41"/>
      <c r="L4801" s="31" t="str">
        <f>IFERROR(__xludf.DUMMYFUNCTION("IF(OR(E4801="""",K4801=""""),"""",IFERROR(IF(K4801="""","""",query('tbl user'!$A$2:$D10975,""SELECT A WHERE D = '""&amp;K4801&amp;""'"")),""USER TIDAK DIKETAHUI""))"),"")</f>
        <v/>
      </c>
    </row>
    <row r="4802">
      <c r="A4802" s="21" t="str">
        <f t="shared" si="1"/>
        <v/>
      </c>
      <c r="B4802" s="38"/>
      <c r="C4802" s="23" t="s">
        <v>1923</v>
      </c>
      <c r="D4802" s="23" t="s">
        <v>21</v>
      </c>
      <c r="E4802" s="24">
        <v>45469.0</v>
      </c>
      <c r="F4802" s="25">
        <v>0.2743055555555556</v>
      </c>
      <c r="G4802" s="25">
        <v>0.6770833333333334</v>
      </c>
      <c r="H4802" s="27">
        <f t="shared" si="2"/>
        <v>0.4027777778</v>
      </c>
      <c r="I4802" s="28">
        <v>4.0</v>
      </c>
      <c r="J4802" s="39" t="s">
        <v>2267</v>
      </c>
      <c r="K4802" s="41"/>
      <c r="L4802" s="31" t="str">
        <f>IFERROR(__xludf.DUMMYFUNCTION("IF(OR(E4802="""",K4802=""""),"""",IFERROR(IF(K4802="""","""",query('tbl user'!$A$2:$D10975,""SELECT A WHERE D = '""&amp;K4802&amp;""'"")),""USER TIDAK DIKETAHUI""))"),"")</f>
        <v/>
      </c>
    </row>
    <row r="4803">
      <c r="A4803" s="21" t="str">
        <f t="shared" si="1"/>
        <v/>
      </c>
      <c r="B4803" s="38"/>
      <c r="C4803" s="23" t="s">
        <v>2136</v>
      </c>
      <c r="D4803" s="23" t="s">
        <v>21</v>
      </c>
      <c r="E4803" s="24">
        <v>45469.0</v>
      </c>
      <c r="F4803" s="25">
        <v>0.2923611111111111</v>
      </c>
      <c r="G4803" s="25">
        <v>0.6847222222222222</v>
      </c>
      <c r="H4803" s="27">
        <f t="shared" si="2"/>
        <v>0.3923611111</v>
      </c>
      <c r="I4803" s="28">
        <v>4.0</v>
      </c>
      <c r="J4803" s="39" t="s">
        <v>295</v>
      </c>
      <c r="K4803" s="41"/>
      <c r="L4803" s="31" t="str">
        <f>IFERROR(__xludf.DUMMYFUNCTION("IF(OR(E4803="""",K4803=""""),"""",IFERROR(IF(K4803="""","""",query('tbl user'!$A$2:$D10975,""SELECT A WHERE D = '""&amp;K4803&amp;""'"")),""USER TIDAK DIKETAHUI""))"),"")</f>
        <v/>
      </c>
    </row>
    <row r="4804">
      <c r="A4804" s="21" t="str">
        <f t="shared" si="1"/>
        <v/>
      </c>
      <c r="B4804" s="38"/>
      <c r="C4804" s="23" t="s">
        <v>1854</v>
      </c>
      <c r="D4804" s="23" t="s">
        <v>21</v>
      </c>
      <c r="E4804" s="24">
        <v>45469.0</v>
      </c>
      <c r="F4804" s="25">
        <v>0.27361111111111114</v>
      </c>
      <c r="G4804" s="25">
        <v>0.6854166666666667</v>
      </c>
      <c r="H4804" s="27">
        <f t="shared" si="2"/>
        <v>0.4118055556</v>
      </c>
      <c r="I4804" s="28">
        <v>4.0</v>
      </c>
      <c r="J4804" s="39" t="s">
        <v>2268</v>
      </c>
      <c r="K4804" s="41"/>
      <c r="L4804" s="31" t="str">
        <f>IFERROR(__xludf.DUMMYFUNCTION("IF(OR(E4804="""",K4804=""""),"""",IFERROR(IF(K4804="""","""",query('tbl user'!$A$2:$D10975,""SELECT A WHERE D = '""&amp;K4804&amp;""'"")),""USER TIDAK DIKETAHUI""))"),"")</f>
        <v/>
      </c>
    </row>
    <row r="4805">
      <c r="A4805" s="21" t="str">
        <f t="shared" si="1"/>
        <v/>
      </c>
      <c r="B4805" s="38"/>
      <c r="C4805" s="23" t="s">
        <v>2005</v>
      </c>
      <c r="D4805" s="23" t="s">
        <v>21</v>
      </c>
      <c r="E4805" s="24">
        <v>45469.0</v>
      </c>
      <c r="F4805" s="25">
        <v>0.25416666666666665</v>
      </c>
      <c r="G4805" s="25">
        <v>0.6305555555555555</v>
      </c>
      <c r="H4805" s="27">
        <f t="shared" si="2"/>
        <v>0.3763888889</v>
      </c>
      <c r="I4805" s="28">
        <v>4.0</v>
      </c>
      <c r="J4805" s="39" t="s">
        <v>2269</v>
      </c>
      <c r="K4805" s="41"/>
      <c r="L4805" s="31" t="str">
        <f>IFERROR(__xludf.DUMMYFUNCTION("IF(OR(E4805="""",K4805=""""),"""",IFERROR(IF(K4805="""","""",query('tbl user'!$A$2:$D10975,""SELECT A WHERE D = '""&amp;K4805&amp;""'"")),""USER TIDAK DIKETAHUI""))"),"")</f>
        <v/>
      </c>
    </row>
    <row r="4806">
      <c r="A4806" s="21" t="str">
        <f t="shared" si="1"/>
        <v/>
      </c>
      <c r="B4806" s="38"/>
      <c r="C4806" s="23" t="s">
        <v>1843</v>
      </c>
      <c r="D4806" s="23" t="s">
        <v>21</v>
      </c>
      <c r="E4806" s="24">
        <v>45469.0</v>
      </c>
      <c r="F4806" s="25">
        <v>0.2534722222222222</v>
      </c>
      <c r="G4806" s="25">
        <v>0.6854166666666667</v>
      </c>
      <c r="H4806" s="27">
        <f t="shared" si="2"/>
        <v>0.4319444444</v>
      </c>
      <c r="I4806" s="28">
        <v>5.0</v>
      </c>
      <c r="J4806" s="39" t="s">
        <v>55</v>
      </c>
      <c r="K4806" s="41"/>
      <c r="L4806" s="31" t="str">
        <f>IFERROR(__xludf.DUMMYFUNCTION("IF(OR(E4806="""",K4806=""""),"""",IFERROR(IF(K4806="""","""",query('tbl user'!$A$2:$D10975,""SELECT A WHERE D = '""&amp;K4806&amp;""'"")),""USER TIDAK DIKETAHUI""))"),"")</f>
        <v/>
      </c>
    </row>
    <row r="4807">
      <c r="A4807" s="21" t="str">
        <f t="shared" si="1"/>
        <v/>
      </c>
      <c r="B4807" s="38"/>
      <c r="C4807" s="23" t="s">
        <v>1922</v>
      </c>
      <c r="D4807" s="23" t="s">
        <v>21</v>
      </c>
      <c r="E4807" s="24">
        <v>45469.0</v>
      </c>
      <c r="F4807" s="25">
        <v>0.2923611111111111</v>
      </c>
      <c r="G4807" s="25">
        <v>0.7375</v>
      </c>
      <c r="H4807" s="27">
        <f t="shared" si="2"/>
        <v>0.4451388889</v>
      </c>
      <c r="I4807" s="28">
        <v>5.0</v>
      </c>
      <c r="J4807" s="39" t="s">
        <v>55</v>
      </c>
      <c r="K4807" s="41"/>
      <c r="L4807" s="31" t="str">
        <f>IFERROR(__xludf.DUMMYFUNCTION("IF(OR(E4807="""",K4807=""""),"""",IFERROR(IF(K4807="""","""",query('tbl user'!$A$2:$D10975,""SELECT A WHERE D = '""&amp;K4807&amp;""'"")),""USER TIDAK DIKETAHUI""))"),"")</f>
        <v/>
      </c>
    </row>
    <row r="4808">
      <c r="A4808" s="21" t="str">
        <f t="shared" si="1"/>
        <v/>
      </c>
      <c r="B4808" s="38"/>
      <c r="C4808" s="23" t="s">
        <v>1925</v>
      </c>
      <c r="D4808" s="23" t="s">
        <v>21</v>
      </c>
      <c r="E4808" s="24">
        <v>45469.0</v>
      </c>
      <c r="F4808" s="25">
        <v>0.26666666666666666</v>
      </c>
      <c r="G4808" s="25">
        <v>0.6979166666666666</v>
      </c>
      <c r="H4808" s="27">
        <f t="shared" si="2"/>
        <v>0.43125</v>
      </c>
      <c r="I4808" s="28">
        <v>5.0</v>
      </c>
      <c r="J4808" s="39" t="s">
        <v>55</v>
      </c>
      <c r="K4808" s="41"/>
      <c r="L4808" s="31" t="str">
        <f>IFERROR(__xludf.DUMMYFUNCTION("IF(OR(E4808="""",K4808=""""),"""",IFERROR(IF(K4808="""","""",query('tbl user'!$A$2:$D10975,""SELECT A WHERE D = '""&amp;K4808&amp;""'"")),""USER TIDAK DIKETAHUI""))"),"")</f>
        <v/>
      </c>
    </row>
    <row r="4809">
      <c r="A4809" s="21" t="str">
        <f t="shared" si="1"/>
        <v/>
      </c>
      <c r="B4809" s="38"/>
      <c r="C4809" s="23" t="s">
        <v>1856</v>
      </c>
      <c r="D4809" s="23" t="s">
        <v>21</v>
      </c>
      <c r="E4809" s="24">
        <v>45469.0</v>
      </c>
      <c r="F4809" s="25">
        <v>0.2652777777777778</v>
      </c>
      <c r="G4809" s="25">
        <v>0.7375</v>
      </c>
      <c r="H4809" s="27">
        <f t="shared" si="2"/>
        <v>0.4722222222</v>
      </c>
      <c r="I4809" s="28">
        <v>5.0</v>
      </c>
      <c r="J4809" s="39" t="s">
        <v>55</v>
      </c>
      <c r="K4809" s="41"/>
      <c r="L4809" s="31" t="str">
        <f>IFERROR(__xludf.DUMMYFUNCTION("IF(OR(E4809="""",K4809=""""),"""",IFERROR(IF(K4809="""","""",query('tbl user'!$A$2:$D10975,""SELECT A WHERE D = '""&amp;K4809&amp;""'"")),""USER TIDAK DIKETAHUI""))"),"")</f>
        <v/>
      </c>
    </row>
    <row r="4810">
      <c r="A4810" s="21" t="str">
        <f t="shared" si="1"/>
        <v/>
      </c>
      <c r="B4810" s="38"/>
      <c r="C4810" s="23" t="s">
        <v>1857</v>
      </c>
      <c r="D4810" s="23" t="s">
        <v>21</v>
      </c>
      <c r="E4810" s="24">
        <v>45469.0</v>
      </c>
      <c r="F4810" s="25">
        <v>0.2722222222222222</v>
      </c>
      <c r="G4810" s="25">
        <v>0.7270833333333333</v>
      </c>
      <c r="H4810" s="27">
        <f t="shared" si="2"/>
        <v>0.4548611111</v>
      </c>
      <c r="I4810" s="28">
        <v>5.0</v>
      </c>
      <c r="J4810" s="39" t="s">
        <v>55</v>
      </c>
      <c r="K4810" s="41"/>
      <c r="L4810" s="31" t="str">
        <f>IFERROR(__xludf.DUMMYFUNCTION("IF(OR(E4810="""",K4810=""""),"""",IFERROR(IF(K4810="""","""",query('tbl user'!$A$2:$D10975,""SELECT A WHERE D = '""&amp;K4810&amp;""'"")),""USER TIDAK DIKETAHUI""))"),"")</f>
        <v/>
      </c>
    </row>
    <row r="4811">
      <c r="A4811" s="21" t="str">
        <f t="shared" si="1"/>
        <v/>
      </c>
      <c r="B4811" s="38"/>
      <c r="C4811" s="23" t="s">
        <v>1845</v>
      </c>
      <c r="D4811" s="23" t="s">
        <v>21</v>
      </c>
      <c r="E4811" s="24">
        <v>45469.0</v>
      </c>
      <c r="F4811" s="25">
        <v>0.2548611111111111</v>
      </c>
      <c r="G4811" s="25">
        <v>0.6673611111111111</v>
      </c>
      <c r="H4811" s="27">
        <f t="shared" si="2"/>
        <v>0.4125</v>
      </c>
      <c r="I4811" s="28">
        <v>5.0</v>
      </c>
      <c r="J4811" s="39" t="s">
        <v>55</v>
      </c>
      <c r="K4811" s="41"/>
      <c r="L4811" s="31" t="str">
        <f>IFERROR(__xludf.DUMMYFUNCTION("IF(OR(E4811="""",K4811=""""),"""",IFERROR(IF(K4811="""","""",query('tbl user'!$A$2:$D10975,""SELECT A WHERE D = '""&amp;K4811&amp;""'"")),""USER TIDAK DIKETAHUI""))"),"")</f>
        <v/>
      </c>
    </row>
    <row r="4812">
      <c r="A4812" s="21" t="str">
        <f t="shared" si="1"/>
        <v/>
      </c>
      <c r="B4812" s="38"/>
      <c r="C4812" s="23" t="s">
        <v>2049</v>
      </c>
      <c r="D4812" s="23" t="s">
        <v>21</v>
      </c>
      <c r="E4812" s="24">
        <v>45469.0</v>
      </c>
      <c r="F4812" s="25">
        <v>0.2847222222222222</v>
      </c>
      <c r="G4812" s="25">
        <v>0.7361111111111112</v>
      </c>
      <c r="H4812" s="27">
        <f t="shared" si="2"/>
        <v>0.4513888889</v>
      </c>
      <c r="I4812" s="28">
        <v>5.0</v>
      </c>
      <c r="J4812" s="39" t="s">
        <v>55</v>
      </c>
      <c r="K4812" s="41"/>
      <c r="L4812" s="31" t="str">
        <f>IFERROR(__xludf.DUMMYFUNCTION("IF(OR(E4812="""",K4812=""""),"""",IFERROR(IF(K4812="""","""",query('tbl user'!$A$2:$D10975,""SELECT A WHERE D = '""&amp;K4812&amp;""'"")),""USER TIDAK DIKETAHUI""))"),"")</f>
        <v/>
      </c>
    </row>
    <row r="4813">
      <c r="A4813" s="21" t="str">
        <f t="shared" si="1"/>
        <v/>
      </c>
      <c r="B4813" s="38"/>
      <c r="C4813" s="23" t="s">
        <v>1858</v>
      </c>
      <c r="D4813" s="23" t="s">
        <v>21</v>
      </c>
      <c r="E4813" s="24">
        <v>45469.0</v>
      </c>
      <c r="F4813" s="25">
        <v>0.27291666666666664</v>
      </c>
      <c r="G4813" s="25">
        <v>0.7090277777777778</v>
      </c>
      <c r="H4813" s="27">
        <f t="shared" si="2"/>
        <v>0.4361111111</v>
      </c>
      <c r="I4813" s="28">
        <v>5.0</v>
      </c>
      <c r="J4813" s="39" t="s">
        <v>55</v>
      </c>
      <c r="K4813" s="41"/>
      <c r="L4813" s="31" t="str">
        <f>IFERROR(__xludf.DUMMYFUNCTION("IF(OR(E4813="""",K4813=""""),"""",IFERROR(IF(K4813="""","""",query('tbl user'!$A$2:$D10975,""SELECT A WHERE D = '""&amp;K4813&amp;""'"")),""USER TIDAK DIKETAHUI""))"),"")</f>
        <v/>
      </c>
    </row>
    <row r="4814">
      <c r="A4814" s="21" t="str">
        <f t="shared" si="1"/>
        <v/>
      </c>
      <c r="B4814" s="38"/>
      <c r="C4814" s="23" t="s">
        <v>1850</v>
      </c>
      <c r="D4814" s="23" t="s">
        <v>21</v>
      </c>
      <c r="E4814" s="24">
        <v>45469.0</v>
      </c>
      <c r="F4814" s="25">
        <v>0.2916666666666667</v>
      </c>
      <c r="G4814" s="25">
        <v>0.7368055555555556</v>
      </c>
      <c r="H4814" s="27">
        <f t="shared" si="2"/>
        <v>0.4451388889</v>
      </c>
      <c r="I4814" s="28">
        <v>5.0</v>
      </c>
      <c r="J4814" s="39" t="s">
        <v>55</v>
      </c>
      <c r="K4814" s="41"/>
      <c r="L4814" s="31" t="str">
        <f>IFERROR(__xludf.DUMMYFUNCTION("IF(OR(E4814="""",K4814=""""),"""",IFERROR(IF(K4814="""","""",query('tbl user'!$A$2:$D10975,""SELECT A WHERE D = '""&amp;K4814&amp;""'"")),""USER TIDAK DIKETAHUI""))"),"")</f>
        <v/>
      </c>
    </row>
    <row r="4815">
      <c r="A4815" s="21" t="str">
        <f t="shared" si="1"/>
        <v/>
      </c>
      <c r="B4815" s="38"/>
      <c r="C4815" s="23" t="s">
        <v>1847</v>
      </c>
      <c r="D4815" s="23" t="s">
        <v>21</v>
      </c>
      <c r="E4815" s="24">
        <v>45469.0</v>
      </c>
      <c r="F4815" s="25">
        <v>0.25555555555555554</v>
      </c>
      <c r="G4815" s="25">
        <v>0.7291666666666666</v>
      </c>
      <c r="H4815" s="27">
        <f t="shared" si="2"/>
        <v>0.4736111111</v>
      </c>
      <c r="I4815" s="28">
        <v>6.0</v>
      </c>
      <c r="J4815" s="39" t="s">
        <v>55</v>
      </c>
      <c r="K4815" s="41"/>
      <c r="L4815" s="31" t="str">
        <f>IFERROR(__xludf.DUMMYFUNCTION("IF(OR(E4815="""",K4815=""""),"""",IFERROR(IF(K4815="""","""",query('tbl user'!$A$2:$D10975,""SELECT A WHERE D = '""&amp;K4815&amp;""'"")),""USER TIDAK DIKETAHUI""))"),"")</f>
        <v/>
      </c>
    </row>
    <row r="4816">
      <c r="A4816" s="21" t="str">
        <f t="shared" si="1"/>
        <v/>
      </c>
      <c r="B4816" s="38"/>
      <c r="C4816" s="23" t="s">
        <v>1829</v>
      </c>
      <c r="D4816" s="23" t="s">
        <v>21</v>
      </c>
      <c r="E4816" s="24">
        <v>45469.0</v>
      </c>
      <c r="F4816" s="25">
        <v>0.2916666666666667</v>
      </c>
      <c r="G4816" s="25">
        <v>0.6819444444444445</v>
      </c>
      <c r="H4816" s="27">
        <f t="shared" si="2"/>
        <v>0.3902777778</v>
      </c>
      <c r="I4816" s="28">
        <v>2.0</v>
      </c>
      <c r="J4816" s="39" t="s">
        <v>2270</v>
      </c>
      <c r="K4816" s="41"/>
      <c r="L4816" s="31" t="str">
        <f>IFERROR(__xludf.DUMMYFUNCTION("IF(OR(E4816="""",K4816=""""),"""",IFERROR(IF(K4816="""","""",query('tbl user'!$A$2:$D10975,""SELECT A WHERE D = '""&amp;K4816&amp;""'"")),""USER TIDAK DIKETAHUI""))"),"")</f>
        <v/>
      </c>
    </row>
    <row r="4817">
      <c r="A4817" s="21" t="str">
        <f t="shared" si="1"/>
        <v/>
      </c>
      <c r="B4817" s="38"/>
      <c r="C4817" s="23" t="s">
        <v>1917</v>
      </c>
      <c r="D4817" s="23" t="s">
        <v>21</v>
      </c>
      <c r="E4817" s="24">
        <v>45469.0</v>
      </c>
      <c r="F4817" s="25">
        <v>0.27152777777777776</v>
      </c>
      <c r="G4817" s="25">
        <v>0.5902777777777778</v>
      </c>
      <c r="H4817" s="27">
        <f t="shared" si="2"/>
        <v>0.31875</v>
      </c>
      <c r="I4817" s="28">
        <v>2.0</v>
      </c>
      <c r="J4817" s="39" t="s">
        <v>2271</v>
      </c>
      <c r="K4817" s="41"/>
      <c r="L4817" s="31" t="str">
        <f>IFERROR(__xludf.DUMMYFUNCTION("IF(OR(E4817="""",K4817=""""),"""",IFERROR(IF(K4817="""","""",query('tbl user'!$A$2:$D10975,""SELECT A WHERE D = '""&amp;K4817&amp;""'"")),""USER TIDAK DIKETAHUI""))"),"")</f>
        <v/>
      </c>
    </row>
    <row r="4818">
      <c r="A4818" s="21" t="str">
        <f t="shared" si="1"/>
        <v/>
      </c>
      <c r="B4818" s="38"/>
      <c r="C4818" s="23" t="s">
        <v>1841</v>
      </c>
      <c r="D4818" s="23" t="s">
        <v>21</v>
      </c>
      <c r="E4818" s="24">
        <v>45469.0</v>
      </c>
      <c r="F4818" s="25">
        <v>0.29583333333333334</v>
      </c>
      <c r="G4818" s="25">
        <v>0.7048611111111112</v>
      </c>
      <c r="H4818" s="27">
        <f t="shared" si="2"/>
        <v>0.4090277778</v>
      </c>
      <c r="I4818" s="28">
        <v>2.0</v>
      </c>
      <c r="J4818" s="39" t="s">
        <v>2233</v>
      </c>
      <c r="K4818" s="41"/>
      <c r="L4818" s="31" t="str">
        <f>IFERROR(__xludf.DUMMYFUNCTION("IF(OR(E4818="""",K4818=""""),"""",IFERROR(IF(K4818="""","""",query('tbl user'!$A$2:$D10975,""SELECT A WHERE D = '""&amp;K4818&amp;""'"")),""USER TIDAK DIKETAHUI""))"),"")</f>
        <v/>
      </c>
    </row>
    <row r="4819">
      <c r="A4819" s="21" t="str">
        <f t="shared" si="1"/>
        <v/>
      </c>
      <c r="B4819" s="38"/>
      <c r="C4819" s="23" t="s">
        <v>1852</v>
      </c>
      <c r="D4819" s="23" t="s">
        <v>21</v>
      </c>
      <c r="E4819" s="24">
        <v>45469.0</v>
      </c>
      <c r="F4819" s="25">
        <v>0.2881944444444444</v>
      </c>
      <c r="G4819" s="25">
        <v>0.6444444444444445</v>
      </c>
      <c r="H4819" s="27">
        <f t="shared" si="2"/>
        <v>0.35625</v>
      </c>
      <c r="I4819" s="28">
        <v>3.0</v>
      </c>
      <c r="J4819" s="39" t="s">
        <v>2233</v>
      </c>
      <c r="K4819" s="41"/>
      <c r="L4819" s="31" t="str">
        <f>IFERROR(__xludf.DUMMYFUNCTION("IF(OR(E4819="""",K4819=""""),"""",IFERROR(IF(K4819="""","""",query('tbl user'!$A$2:$D10975,""SELECT A WHERE D = '""&amp;K4819&amp;""'"")),""USER TIDAK DIKETAHUI""))"),"")</f>
        <v/>
      </c>
    </row>
    <row r="4820">
      <c r="A4820" s="21" t="str">
        <f t="shared" si="1"/>
        <v/>
      </c>
      <c r="B4820" s="38"/>
      <c r="C4820" s="23" t="s">
        <v>1874</v>
      </c>
      <c r="D4820" s="23" t="s">
        <v>58</v>
      </c>
      <c r="E4820" s="24">
        <v>45469.0</v>
      </c>
      <c r="F4820" s="25">
        <v>0.2875</v>
      </c>
      <c r="G4820" s="25">
        <v>0.7388888888888889</v>
      </c>
      <c r="H4820" s="27">
        <f t="shared" si="2"/>
        <v>0.4513888889</v>
      </c>
      <c r="I4820" s="28">
        <v>1.0</v>
      </c>
      <c r="J4820" s="39" t="s">
        <v>2272</v>
      </c>
      <c r="K4820" s="41"/>
      <c r="L4820" s="31" t="str">
        <f>IFERROR(__xludf.DUMMYFUNCTION("IF(OR(E4820="""",K4820=""""),"""",IFERROR(IF(K4820="""","""",query('tbl user'!$A$2:$D10975,""SELECT A WHERE D = '""&amp;K4820&amp;""'"")),""USER TIDAK DIKETAHUI""))"),"")</f>
        <v/>
      </c>
    </row>
    <row r="4821">
      <c r="A4821" s="21" t="str">
        <f t="shared" si="1"/>
        <v/>
      </c>
      <c r="B4821" s="38"/>
      <c r="C4821" s="23" t="s">
        <v>1875</v>
      </c>
      <c r="D4821" s="23" t="s">
        <v>58</v>
      </c>
      <c r="E4821" s="24">
        <v>45469.0</v>
      </c>
      <c r="F4821" s="25">
        <v>0.2520833333333333</v>
      </c>
      <c r="G4821" s="25">
        <v>0.46111111111111114</v>
      </c>
      <c r="H4821" s="27">
        <f t="shared" si="2"/>
        <v>0.2090277778</v>
      </c>
      <c r="I4821" s="28">
        <v>1.0</v>
      </c>
      <c r="J4821" s="39" t="s">
        <v>2273</v>
      </c>
      <c r="K4821" s="41"/>
      <c r="L4821" s="31" t="str">
        <f>IFERROR(__xludf.DUMMYFUNCTION("IF(OR(E4821="""",K4821=""""),"""",IFERROR(IF(K4821="""","""",query('tbl user'!$A$2:$D10975,""SELECT A WHERE D = '""&amp;K4821&amp;""'"")),""USER TIDAK DIKETAHUI""))"),"")</f>
        <v/>
      </c>
    </row>
    <row r="4822">
      <c r="A4822" s="21" t="str">
        <f t="shared" si="1"/>
        <v/>
      </c>
      <c r="B4822" s="38"/>
      <c r="C4822" s="23" t="s">
        <v>1886</v>
      </c>
      <c r="D4822" s="23" t="s">
        <v>58</v>
      </c>
      <c r="E4822" s="24">
        <v>45469.0</v>
      </c>
      <c r="F4822" s="25">
        <v>0.2534722222222222</v>
      </c>
      <c r="G4822" s="25">
        <v>0.475</v>
      </c>
      <c r="H4822" s="27">
        <f t="shared" si="2"/>
        <v>0.2215277778</v>
      </c>
      <c r="I4822" s="28">
        <v>1.0</v>
      </c>
      <c r="J4822" s="39" t="s">
        <v>2274</v>
      </c>
      <c r="K4822" s="41"/>
      <c r="L4822" s="31" t="str">
        <f>IFERROR(__xludf.DUMMYFUNCTION("IF(OR(E4822="""",K4822=""""),"""",IFERROR(IF(K4822="""","""",query('tbl user'!$A$2:$D10975,""SELECT A WHERE D = '""&amp;K4822&amp;""'"")),""USER TIDAK DIKETAHUI""))"),"")</f>
        <v/>
      </c>
    </row>
    <row r="4823">
      <c r="A4823" s="21" t="str">
        <f t="shared" si="1"/>
        <v/>
      </c>
      <c r="B4823" s="38"/>
      <c r="C4823" s="23" t="s">
        <v>1892</v>
      </c>
      <c r="D4823" s="23" t="s">
        <v>58</v>
      </c>
      <c r="E4823" s="24">
        <v>45469.0</v>
      </c>
      <c r="F4823" s="25">
        <v>0.25277777777777777</v>
      </c>
      <c r="G4823" s="28" t="s">
        <v>1817</v>
      </c>
      <c r="H4823" s="27" t="str">
        <f t="shared" si="2"/>
        <v/>
      </c>
      <c r="I4823" s="28">
        <v>1.0</v>
      </c>
      <c r="J4823" s="39" t="s">
        <v>2275</v>
      </c>
      <c r="K4823" s="41"/>
      <c r="L4823" s="31" t="str">
        <f>IFERROR(__xludf.DUMMYFUNCTION("IF(OR(E4823="""",K4823=""""),"""",IFERROR(IF(K4823="""","""",query('tbl user'!$A$2:$D10975,""SELECT A WHERE D = '""&amp;K4823&amp;""'"")),""USER TIDAK DIKETAHUI""))"),"")</f>
        <v/>
      </c>
    </row>
    <row r="4824">
      <c r="A4824" s="21" t="str">
        <f t="shared" si="1"/>
        <v/>
      </c>
      <c r="B4824" s="38"/>
      <c r="C4824" s="23" t="s">
        <v>1872</v>
      </c>
      <c r="D4824" s="23" t="s">
        <v>58</v>
      </c>
      <c r="E4824" s="24">
        <v>45469.0</v>
      </c>
      <c r="F4824" s="25">
        <v>0.2847222222222222</v>
      </c>
      <c r="G4824" s="25">
        <v>0.5972222222222222</v>
      </c>
      <c r="H4824" s="27">
        <f t="shared" si="2"/>
        <v>0.3125</v>
      </c>
      <c r="I4824" s="28">
        <v>1.0</v>
      </c>
      <c r="J4824" s="39" t="s">
        <v>2276</v>
      </c>
      <c r="K4824" s="41"/>
      <c r="L4824" s="31" t="str">
        <f>IFERROR(__xludf.DUMMYFUNCTION("IF(OR(E4824="""",K4824=""""),"""",IFERROR(IF(K4824="""","""",query('tbl user'!$A$2:$D10975,""SELECT A WHERE D = '""&amp;K4824&amp;""'"")),""USER TIDAK DIKETAHUI""))"),"")</f>
        <v/>
      </c>
    </row>
    <row r="4825">
      <c r="A4825" s="21" t="str">
        <f t="shared" si="1"/>
        <v/>
      </c>
      <c r="B4825" s="38"/>
      <c r="C4825" s="23" t="s">
        <v>1865</v>
      </c>
      <c r="D4825" s="23" t="s">
        <v>58</v>
      </c>
      <c r="E4825" s="24">
        <v>45469.0</v>
      </c>
      <c r="F4825" s="25">
        <v>0.2986111111111111</v>
      </c>
      <c r="G4825" s="25">
        <v>0.6736111111111112</v>
      </c>
      <c r="H4825" s="27">
        <f t="shared" si="2"/>
        <v>0.375</v>
      </c>
      <c r="I4825" s="28">
        <v>2.0</v>
      </c>
      <c r="J4825" s="39" t="s">
        <v>2277</v>
      </c>
      <c r="K4825" s="41"/>
      <c r="L4825" s="31" t="str">
        <f>IFERROR(__xludf.DUMMYFUNCTION("IF(OR(E4825="""",K4825=""""),"""",IFERROR(IF(K4825="""","""",query('tbl user'!$A$2:$D10975,""SELECT A WHERE D = '""&amp;K4825&amp;""'"")),""USER TIDAK DIKETAHUI""))"),"")</f>
        <v/>
      </c>
    </row>
    <row r="4826">
      <c r="A4826" s="21" t="str">
        <f t="shared" si="1"/>
        <v/>
      </c>
      <c r="B4826" s="38"/>
      <c r="C4826" s="23" t="s">
        <v>1867</v>
      </c>
      <c r="D4826" s="23" t="s">
        <v>58</v>
      </c>
      <c r="E4826" s="24">
        <v>45469.0</v>
      </c>
      <c r="F4826" s="25">
        <v>0.2722222222222222</v>
      </c>
      <c r="G4826" s="25">
        <v>0.6069444444444444</v>
      </c>
      <c r="H4826" s="27">
        <f t="shared" si="2"/>
        <v>0.3347222222</v>
      </c>
      <c r="I4826" s="28">
        <v>2.0</v>
      </c>
      <c r="J4826" s="39" t="s">
        <v>2277</v>
      </c>
      <c r="K4826" s="41"/>
      <c r="L4826" s="31" t="str">
        <f>IFERROR(__xludf.DUMMYFUNCTION("IF(OR(E4826="""",K4826=""""),"""",IFERROR(IF(K4826="""","""",query('tbl user'!$A$2:$D10975,""SELECT A WHERE D = '""&amp;K4826&amp;""'"")),""USER TIDAK DIKETAHUI""))"),"")</f>
        <v/>
      </c>
    </row>
    <row r="4827">
      <c r="A4827" s="21" t="str">
        <f t="shared" si="1"/>
        <v/>
      </c>
      <c r="B4827" s="38"/>
      <c r="C4827" s="23" t="s">
        <v>1948</v>
      </c>
      <c r="D4827" s="23" t="s">
        <v>58</v>
      </c>
      <c r="E4827" s="24">
        <v>45469.0</v>
      </c>
      <c r="F4827" s="25">
        <v>0.2826388888888889</v>
      </c>
      <c r="G4827" s="25">
        <v>0.6527777777777778</v>
      </c>
      <c r="H4827" s="27">
        <f t="shared" si="2"/>
        <v>0.3701388889</v>
      </c>
      <c r="I4827" s="28">
        <v>2.0</v>
      </c>
      <c r="J4827" s="39" t="s">
        <v>2277</v>
      </c>
      <c r="K4827" s="41"/>
      <c r="L4827" s="31" t="str">
        <f>IFERROR(__xludf.DUMMYFUNCTION("IF(OR(E4827="""",K4827=""""),"""",IFERROR(IF(K4827="""","""",query('tbl user'!$A$2:$D10975,""SELECT A WHERE D = '""&amp;K4827&amp;""'"")),""USER TIDAK DIKETAHUI""))"),"")</f>
        <v/>
      </c>
    </row>
    <row r="4828">
      <c r="A4828" s="21" t="str">
        <f t="shared" si="1"/>
        <v/>
      </c>
      <c r="B4828" s="38"/>
      <c r="C4828" s="23" t="s">
        <v>1941</v>
      </c>
      <c r="D4828" s="23" t="s">
        <v>58</v>
      </c>
      <c r="E4828" s="24">
        <v>45469.0</v>
      </c>
      <c r="F4828" s="25">
        <v>0.25972222222222224</v>
      </c>
      <c r="G4828" s="25">
        <v>0.6111111111111112</v>
      </c>
      <c r="H4828" s="27">
        <f t="shared" si="2"/>
        <v>0.3513888889</v>
      </c>
      <c r="I4828" s="28">
        <v>2.0</v>
      </c>
      <c r="J4828" s="39" t="s">
        <v>2278</v>
      </c>
      <c r="K4828" s="41"/>
      <c r="L4828" s="31" t="str">
        <f>IFERROR(__xludf.DUMMYFUNCTION("IF(OR(E4828="""",K4828=""""),"""",IFERROR(IF(K4828="""","""",query('tbl user'!$A$2:$D10975,""SELECT A WHERE D = '""&amp;K4828&amp;""'"")),""USER TIDAK DIKETAHUI""))"),"")</f>
        <v/>
      </c>
    </row>
    <row r="4829">
      <c r="A4829" s="21" t="str">
        <f t="shared" si="1"/>
        <v/>
      </c>
      <c r="B4829" s="38"/>
      <c r="C4829" s="23" t="s">
        <v>1869</v>
      </c>
      <c r="D4829" s="23" t="s">
        <v>58</v>
      </c>
      <c r="E4829" s="24">
        <v>45469.0</v>
      </c>
      <c r="F4829" s="25">
        <v>0.3798611111111111</v>
      </c>
      <c r="G4829" s="25">
        <v>0.675</v>
      </c>
      <c r="H4829" s="27">
        <f t="shared" si="2"/>
        <v>0.2951388889</v>
      </c>
      <c r="I4829" s="28">
        <v>2.0</v>
      </c>
      <c r="J4829" s="39" t="s">
        <v>2279</v>
      </c>
      <c r="K4829" s="41"/>
      <c r="L4829" s="31" t="str">
        <f>IFERROR(__xludf.DUMMYFUNCTION("IF(OR(E4829="""",K4829=""""),"""",IFERROR(IF(K4829="""","""",query('tbl user'!$A$2:$D10975,""SELECT A WHERE D = '""&amp;K4829&amp;""'"")),""USER TIDAK DIKETAHUI""))"),"")</f>
        <v/>
      </c>
    </row>
    <row r="4830">
      <c r="A4830" s="21" t="str">
        <f t="shared" si="1"/>
        <v/>
      </c>
      <c r="B4830" s="38"/>
      <c r="C4830" s="23" t="s">
        <v>1882</v>
      </c>
      <c r="D4830" s="23" t="s">
        <v>58</v>
      </c>
      <c r="E4830" s="24">
        <v>45469.0</v>
      </c>
      <c r="F4830" s="25">
        <v>0.28541666666666665</v>
      </c>
      <c r="G4830" s="25">
        <v>0.6701388888888888</v>
      </c>
      <c r="H4830" s="27">
        <f t="shared" si="2"/>
        <v>0.3847222222</v>
      </c>
      <c r="I4830" s="28">
        <v>2.0</v>
      </c>
      <c r="J4830" s="39" t="s">
        <v>420</v>
      </c>
      <c r="K4830" s="41"/>
      <c r="L4830" s="31" t="str">
        <f>IFERROR(__xludf.DUMMYFUNCTION("IF(OR(E4830="""",K4830=""""),"""",IFERROR(IF(K4830="""","""",query('tbl user'!$A$2:$D10975,""SELECT A WHERE D = '""&amp;K4830&amp;""'"")),""USER TIDAK DIKETAHUI""))"),"")</f>
        <v/>
      </c>
    </row>
    <row r="4831">
      <c r="A4831" s="21" t="str">
        <f t="shared" si="1"/>
        <v/>
      </c>
      <c r="B4831" s="38"/>
      <c r="C4831" s="23" t="s">
        <v>1883</v>
      </c>
      <c r="D4831" s="23" t="s">
        <v>58</v>
      </c>
      <c r="E4831" s="24">
        <v>45469.0</v>
      </c>
      <c r="F4831" s="25">
        <v>0.2951388888888889</v>
      </c>
      <c r="G4831" s="25">
        <v>0.6743055555555556</v>
      </c>
      <c r="H4831" s="27">
        <f t="shared" si="2"/>
        <v>0.3791666667</v>
      </c>
      <c r="I4831" s="28">
        <v>2.0</v>
      </c>
      <c r="J4831" s="39" t="s">
        <v>2280</v>
      </c>
      <c r="K4831" s="41"/>
      <c r="L4831" s="31" t="str">
        <f>IFERROR(__xludf.DUMMYFUNCTION("IF(OR(E4831="""",K4831=""""),"""",IFERROR(IF(K4831="""","""",query('tbl user'!$A$2:$D10975,""SELECT A WHERE D = '""&amp;K4831&amp;""'"")),""USER TIDAK DIKETAHUI""))"),"")</f>
        <v/>
      </c>
    </row>
    <row r="4832">
      <c r="A4832" s="21" t="str">
        <f t="shared" si="1"/>
        <v/>
      </c>
      <c r="B4832" s="38"/>
      <c r="C4832" s="23" t="s">
        <v>1887</v>
      </c>
      <c r="D4832" s="23" t="s">
        <v>58</v>
      </c>
      <c r="E4832" s="24">
        <v>45469.0</v>
      </c>
      <c r="F4832" s="25">
        <v>0.2833333333333333</v>
      </c>
      <c r="G4832" s="25">
        <v>0.6604166666666667</v>
      </c>
      <c r="H4832" s="27">
        <f t="shared" si="2"/>
        <v>0.3770833333</v>
      </c>
      <c r="I4832" s="28">
        <v>2.0</v>
      </c>
      <c r="J4832" s="39" t="s">
        <v>2277</v>
      </c>
      <c r="K4832" s="41"/>
      <c r="L4832" s="31" t="str">
        <f>IFERROR(__xludf.DUMMYFUNCTION("IF(OR(E4832="""",K4832=""""),"""",IFERROR(IF(K4832="""","""",query('tbl user'!$A$2:$D10975,""SELECT A WHERE D = '""&amp;K4832&amp;""'"")),""USER TIDAK DIKETAHUI""))"),"")</f>
        <v/>
      </c>
    </row>
    <row r="4833">
      <c r="A4833" s="21" t="str">
        <f t="shared" si="1"/>
        <v/>
      </c>
      <c r="B4833" s="38"/>
      <c r="C4833" s="23" t="s">
        <v>1888</v>
      </c>
      <c r="D4833" s="23" t="s">
        <v>58</v>
      </c>
      <c r="E4833" s="24">
        <v>45469.0</v>
      </c>
      <c r="F4833" s="25">
        <v>0.45208333333333334</v>
      </c>
      <c r="G4833" s="25">
        <v>0.71875</v>
      </c>
      <c r="H4833" s="27">
        <f t="shared" si="2"/>
        <v>0.2666666667</v>
      </c>
      <c r="I4833" s="28">
        <v>2.0</v>
      </c>
      <c r="J4833" s="39" t="s">
        <v>2281</v>
      </c>
      <c r="K4833" s="41"/>
      <c r="L4833" s="31" t="str">
        <f>IFERROR(__xludf.DUMMYFUNCTION("IF(OR(E4833="""",K4833=""""),"""",IFERROR(IF(K4833="""","""",query('tbl user'!$A$2:$D10975,""SELECT A WHERE D = '""&amp;K4833&amp;""'"")),""USER TIDAK DIKETAHUI""))"),"")</f>
        <v/>
      </c>
    </row>
    <row r="4834">
      <c r="A4834" s="21" t="str">
        <f t="shared" si="1"/>
        <v/>
      </c>
      <c r="B4834" s="38"/>
      <c r="C4834" s="23" t="s">
        <v>1871</v>
      </c>
      <c r="D4834" s="23" t="s">
        <v>58</v>
      </c>
      <c r="E4834" s="24">
        <v>45469.0</v>
      </c>
      <c r="F4834" s="25">
        <v>0.2611111111111111</v>
      </c>
      <c r="G4834" s="25">
        <v>0.6840277777777778</v>
      </c>
      <c r="H4834" s="27">
        <f t="shared" si="2"/>
        <v>0.4229166667</v>
      </c>
      <c r="I4834" s="28">
        <v>2.0</v>
      </c>
      <c r="J4834" s="39" t="s">
        <v>2277</v>
      </c>
      <c r="K4834" s="41"/>
      <c r="L4834" s="31" t="str">
        <f>IFERROR(__xludf.DUMMYFUNCTION("IF(OR(E4834="""",K4834=""""),"""",IFERROR(IF(K4834="""","""",query('tbl user'!$A$2:$D10975,""SELECT A WHERE D = '""&amp;K4834&amp;""'"")),""USER TIDAK DIKETAHUI""))"),"")</f>
        <v/>
      </c>
    </row>
    <row r="4835">
      <c r="A4835" s="21" t="str">
        <f t="shared" si="1"/>
        <v/>
      </c>
      <c r="B4835" s="38"/>
      <c r="C4835" s="23" t="s">
        <v>1890</v>
      </c>
      <c r="D4835" s="23" t="s">
        <v>58</v>
      </c>
      <c r="E4835" s="24">
        <v>45469.0</v>
      </c>
      <c r="F4835" s="25">
        <v>0.25555555555555554</v>
      </c>
      <c r="G4835" s="25">
        <v>0.6256944444444444</v>
      </c>
      <c r="H4835" s="27">
        <f t="shared" si="2"/>
        <v>0.3701388889</v>
      </c>
      <c r="I4835" s="28">
        <v>2.0</v>
      </c>
      <c r="J4835" s="39" t="s">
        <v>2277</v>
      </c>
      <c r="K4835" s="41"/>
      <c r="L4835" s="31" t="str">
        <f>IFERROR(__xludf.DUMMYFUNCTION("IF(OR(E4835="""",K4835=""""),"""",IFERROR(IF(K4835="""","""",query('tbl user'!$A$2:$D10975,""SELECT A WHERE D = '""&amp;K4835&amp;""'"")),""USER TIDAK DIKETAHUI""))"),"")</f>
        <v/>
      </c>
    </row>
    <row r="4836">
      <c r="A4836" s="21" t="str">
        <f t="shared" si="1"/>
        <v/>
      </c>
      <c r="B4836" s="38"/>
      <c r="C4836" s="23" t="s">
        <v>1891</v>
      </c>
      <c r="D4836" s="23" t="s">
        <v>58</v>
      </c>
      <c r="E4836" s="24">
        <v>45469.0</v>
      </c>
      <c r="F4836" s="25">
        <v>0.26666666666666666</v>
      </c>
      <c r="G4836" s="25">
        <v>0.7430555555555556</v>
      </c>
      <c r="H4836" s="27">
        <f t="shared" si="2"/>
        <v>0.4763888889</v>
      </c>
      <c r="I4836" s="28">
        <v>2.0</v>
      </c>
      <c r="J4836" s="39" t="s">
        <v>2282</v>
      </c>
      <c r="K4836" s="41"/>
      <c r="L4836" s="31" t="str">
        <f>IFERROR(__xludf.DUMMYFUNCTION("IF(OR(E4836="""",K4836=""""),"""",IFERROR(IF(K4836="""","""",query('tbl user'!$A$2:$D10975,""SELECT A WHERE D = '""&amp;K4836&amp;""'"")),""USER TIDAK DIKETAHUI""))"),"")</f>
        <v/>
      </c>
    </row>
    <row r="4837">
      <c r="A4837" s="21" t="str">
        <f t="shared" si="1"/>
        <v/>
      </c>
      <c r="B4837" s="38"/>
      <c r="C4837" s="23" t="s">
        <v>1879</v>
      </c>
      <c r="D4837" s="23" t="s">
        <v>58</v>
      </c>
      <c r="E4837" s="24">
        <v>45469.0</v>
      </c>
      <c r="F4837" s="25">
        <v>0.25972222222222224</v>
      </c>
      <c r="G4837" s="25">
        <v>0.675</v>
      </c>
      <c r="H4837" s="27">
        <f t="shared" si="2"/>
        <v>0.4152777778</v>
      </c>
      <c r="I4837" s="28">
        <v>3.0</v>
      </c>
      <c r="J4837" s="39" t="s">
        <v>2283</v>
      </c>
      <c r="K4837" s="41"/>
      <c r="L4837" s="31" t="str">
        <f>IFERROR(__xludf.DUMMYFUNCTION("IF(OR(E4837="""",K4837=""""),"""",IFERROR(IF(K4837="""","""",query('tbl user'!$A$2:$D10975,""SELECT A WHERE D = '""&amp;K4837&amp;""'"")),""USER TIDAK DIKETAHUI""))"),"")</f>
        <v/>
      </c>
    </row>
    <row r="4838">
      <c r="A4838" s="21" t="str">
        <f t="shared" si="1"/>
        <v/>
      </c>
      <c r="B4838" s="38"/>
      <c r="C4838" s="23" t="s">
        <v>1881</v>
      </c>
      <c r="D4838" s="23" t="s">
        <v>58</v>
      </c>
      <c r="E4838" s="24">
        <v>45469.0</v>
      </c>
      <c r="F4838" s="25">
        <v>0.25069444444444444</v>
      </c>
      <c r="G4838" s="25">
        <v>0.6701388888888888</v>
      </c>
      <c r="H4838" s="27">
        <f t="shared" si="2"/>
        <v>0.4194444444</v>
      </c>
      <c r="I4838" s="28">
        <v>3.0</v>
      </c>
      <c r="J4838" s="39" t="s">
        <v>2277</v>
      </c>
      <c r="K4838" s="41"/>
      <c r="L4838" s="31" t="str">
        <f>IFERROR(__xludf.DUMMYFUNCTION("IF(OR(E4838="""",K4838=""""),"""",IFERROR(IF(K4838="""","""",query('tbl user'!$A$2:$D10975,""SELECT A WHERE D = '""&amp;K4838&amp;""'"")),""USER TIDAK DIKETAHUI""))"),"")</f>
        <v/>
      </c>
    </row>
    <row r="4839">
      <c r="A4839" s="21" t="str">
        <f t="shared" si="1"/>
        <v/>
      </c>
      <c r="B4839" s="38"/>
      <c r="C4839" s="23" t="s">
        <v>1950</v>
      </c>
      <c r="D4839" s="23" t="s">
        <v>58</v>
      </c>
      <c r="E4839" s="24">
        <v>45469.0</v>
      </c>
      <c r="F4839" s="25">
        <v>0.2513888888888889</v>
      </c>
      <c r="G4839" s="25">
        <v>0.6854166666666667</v>
      </c>
      <c r="H4839" s="27">
        <f t="shared" si="2"/>
        <v>0.4340277778</v>
      </c>
      <c r="I4839" s="28">
        <v>3.0</v>
      </c>
      <c r="J4839" s="39" t="s">
        <v>2284</v>
      </c>
      <c r="K4839" s="41"/>
      <c r="L4839" s="31" t="str">
        <f>IFERROR(__xludf.DUMMYFUNCTION("IF(OR(E4839="""",K4839=""""),"""",IFERROR(IF(K4839="""","""",query('tbl user'!$A$2:$D10975,""SELECT A WHERE D = '""&amp;K4839&amp;""'"")),""USER TIDAK DIKETAHUI""))"),"")</f>
        <v/>
      </c>
    </row>
    <row r="4840">
      <c r="A4840" s="21" t="str">
        <f t="shared" si="1"/>
        <v/>
      </c>
      <c r="B4840" s="38"/>
      <c r="C4840" s="23" t="s">
        <v>1889</v>
      </c>
      <c r="D4840" s="23" t="s">
        <v>58</v>
      </c>
      <c r="E4840" s="24">
        <v>45469.0</v>
      </c>
      <c r="F4840" s="25">
        <v>0.2569444444444444</v>
      </c>
      <c r="G4840" s="25">
        <v>0.6534722222222222</v>
      </c>
      <c r="H4840" s="27">
        <f t="shared" si="2"/>
        <v>0.3965277778</v>
      </c>
      <c r="I4840" s="28">
        <v>3.0</v>
      </c>
      <c r="J4840" s="39" t="s">
        <v>2285</v>
      </c>
      <c r="K4840" s="41"/>
      <c r="L4840" s="31" t="str">
        <f>IFERROR(__xludf.DUMMYFUNCTION("IF(OR(E4840="""",K4840=""""),"""",IFERROR(IF(K4840="""","""",query('tbl user'!$A$2:$D10975,""SELECT A WHERE D = '""&amp;K4840&amp;""'"")),""USER TIDAK DIKETAHUI""))"),"")</f>
        <v/>
      </c>
    </row>
    <row r="4841">
      <c r="A4841" s="21" t="str">
        <f t="shared" si="1"/>
        <v/>
      </c>
      <c r="B4841" s="38"/>
      <c r="C4841" s="23" t="s">
        <v>2090</v>
      </c>
      <c r="D4841" s="23" t="s">
        <v>58</v>
      </c>
      <c r="E4841" s="24">
        <v>45469.0</v>
      </c>
      <c r="F4841" s="25">
        <v>0.2847222222222222</v>
      </c>
      <c r="G4841" s="25">
        <v>0.6631944444444444</v>
      </c>
      <c r="H4841" s="27">
        <f t="shared" si="2"/>
        <v>0.3784722222</v>
      </c>
      <c r="I4841" s="28">
        <v>3.0</v>
      </c>
      <c r="J4841" s="39" t="s">
        <v>2277</v>
      </c>
      <c r="K4841" s="41"/>
      <c r="L4841" s="31" t="str">
        <f>IFERROR(__xludf.DUMMYFUNCTION("IF(OR(E4841="""",K4841=""""),"""",IFERROR(IF(K4841="""","""",query('tbl user'!$A$2:$D10975,""SELECT A WHERE D = '""&amp;K4841&amp;""'"")),""USER TIDAK DIKETAHUI""))"),"")</f>
        <v/>
      </c>
    </row>
    <row r="4842">
      <c r="A4842" s="21" t="str">
        <f t="shared" si="1"/>
        <v/>
      </c>
      <c r="B4842" s="38"/>
      <c r="C4842" s="23" t="s">
        <v>1861</v>
      </c>
      <c r="D4842" s="23" t="s">
        <v>58</v>
      </c>
      <c r="E4842" s="24">
        <v>45469.0</v>
      </c>
      <c r="F4842" s="25">
        <v>0.2708333333333333</v>
      </c>
      <c r="G4842" s="25">
        <v>0.7111111111111111</v>
      </c>
      <c r="H4842" s="27">
        <f t="shared" si="2"/>
        <v>0.4402777778</v>
      </c>
      <c r="I4842" s="28">
        <v>3.0</v>
      </c>
      <c r="J4842" s="39" t="s">
        <v>2286</v>
      </c>
      <c r="K4842" s="41"/>
      <c r="L4842" s="31" t="str">
        <f>IFERROR(__xludf.DUMMYFUNCTION("IF(OR(E4842="""",K4842=""""),"""",IFERROR(IF(K4842="""","""",query('tbl user'!$A$2:$D10975,""SELECT A WHERE D = '""&amp;K4842&amp;""'"")),""USER TIDAK DIKETAHUI""))"),"")</f>
        <v/>
      </c>
    </row>
    <row r="4843">
      <c r="A4843" s="21" t="str">
        <f t="shared" si="1"/>
        <v/>
      </c>
      <c r="B4843" s="38"/>
      <c r="C4843" s="23" t="s">
        <v>1910</v>
      </c>
      <c r="D4843" s="23" t="s">
        <v>32</v>
      </c>
      <c r="E4843" s="24">
        <v>45469.0</v>
      </c>
      <c r="F4843" s="25">
        <v>0.3972222222222222</v>
      </c>
      <c r="G4843" s="25">
        <v>0.5423611111111111</v>
      </c>
      <c r="H4843" s="27">
        <f t="shared" si="2"/>
        <v>0.1451388889</v>
      </c>
      <c r="I4843" s="28">
        <v>1.0</v>
      </c>
      <c r="J4843" s="39" t="s">
        <v>2287</v>
      </c>
      <c r="K4843" s="41"/>
      <c r="L4843" s="31" t="str">
        <f>IFERROR(__xludf.DUMMYFUNCTION("IF(OR(E4843="""",K4843=""""),"""",IFERROR(IF(K4843="""","""",query('tbl user'!$A$2:$D10975,""SELECT A WHERE D = '""&amp;K4843&amp;""'"")),""USER TIDAK DIKETAHUI""))"),"")</f>
        <v/>
      </c>
    </row>
    <row r="4844">
      <c r="A4844" s="21" t="str">
        <f t="shared" si="1"/>
        <v/>
      </c>
      <c r="B4844" s="38"/>
      <c r="C4844" s="23" t="s">
        <v>1898</v>
      </c>
      <c r="D4844" s="23" t="s">
        <v>32</v>
      </c>
      <c r="E4844" s="24">
        <v>45469.0</v>
      </c>
      <c r="F4844" s="25">
        <v>0.29375</v>
      </c>
      <c r="G4844" s="25">
        <v>0.5583333333333333</v>
      </c>
      <c r="H4844" s="27">
        <f t="shared" si="2"/>
        <v>0.2645833333</v>
      </c>
      <c r="I4844" s="28">
        <v>2.0</v>
      </c>
      <c r="J4844" s="39" t="s">
        <v>1629</v>
      </c>
      <c r="K4844" s="41"/>
      <c r="L4844" s="31" t="str">
        <f>IFERROR(__xludf.DUMMYFUNCTION("IF(OR(E4844="""",K4844=""""),"""",IFERROR(IF(K4844="""","""",query('tbl user'!$A$2:$D10975,""SELECT A WHERE D = '""&amp;K4844&amp;""'"")),""USER TIDAK DIKETAHUI""))"),"")</f>
        <v/>
      </c>
    </row>
    <row r="4845">
      <c r="A4845" s="21" t="str">
        <f t="shared" si="1"/>
        <v/>
      </c>
      <c r="B4845" s="38"/>
      <c r="C4845" s="23" t="s">
        <v>1903</v>
      </c>
      <c r="D4845" s="23" t="s">
        <v>32</v>
      </c>
      <c r="E4845" s="24">
        <v>45469.0</v>
      </c>
      <c r="F4845" s="25">
        <v>0.29305555555555557</v>
      </c>
      <c r="G4845" s="25">
        <v>0.5604166666666667</v>
      </c>
      <c r="H4845" s="27">
        <f t="shared" si="2"/>
        <v>0.2673611111</v>
      </c>
      <c r="I4845" s="28">
        <v>2.0</v>
      </c>
      <c r="J4845" s="39" t="s">
        <v>2288</v>
      </c>
      <c r="K4845" s="41"/>
      <c r="L4845" s="31" t="str">
        <f>IFERROR(__xludf.DUMMYFUNCTION("IF(OR(E4845="""",K4845=""""),"""",IFERROR(IF(K4845="""","""",query('tbl user'!$A$2:$D10975,""SELECT A WHERE D = '""&amp;K4845&amp;""'"")),""USER TIDAK DIKETAHUI""))"),"")</f>
        <v/>
      </c>
    </row>
    <row r="4846">
      <c r="A4846" s="21" t="str">
        <f t="shared" si="1"/>
        <v/>
      </c>
      <c r="B4846" s="38"/>
      <c r="C4846" s="23" t="s">
        <v>1913</v>
      </c>
      <c r="D4846" s="23" t="s">
        <v>32</v>
      </c>
      <c r="E4846" s="24">
        <v>45469.0</v>
      </c>
      <c r="F4846" s="25">
        <v>0.2673611111111111</v>
      </c>
      <c r="G4846" s="25">
        <v>0.6069444444444444</v>
      </c>
      <c r="H4846" s="27">
        <f t="shared" si="2"/>
        <v>0.3395833333</v>
      </c>
      <c r="I4846" s="28">
        <v>2.0</v>
      </c>
      <c r="J4846" s="39" t="s">
        <v>2289</v>
      </c>
      <c r="K4846" s="41"/>
      <c r="L4846" s="31" t="str">
        <f>IFERROR(__xludf.DUMMYFUNCTION("IF(OR(E4846="""",K4846=""""),"""",IFERROR(IF(K4846="""","""",query('tbl user'!$A$2:$D10975,""SELECT A WHERE D = '""&amp;K4846&amp;""'"")),""USER TIDAK DIKETAHUI""))"),"")</f>
        <v/>
      </c>
    </row>
    <row r="4847">
      <c r="A4847" s="21" t="str">
        <f t="shared" si="1"/>
        <v/>
      </c>
      <c r="B4847" s="38"/>
      <c r="C4847" s="23" t="s">
        <v>1904</v>
      </c>
      <c r="D4847" s="23" t="s">
        <v>32</v>
      </c>
      <c r="E4847" s="24">
        <v>45469.0</v>
      </c>
      <c r="F4847" s="25">
        <v>0.26805555555555555</v>
      </c>
      <c r="G4847" s="25">
        <v>0.6333333333333333</v>
      </c>
      <c r="H4847" s="27">
        <f t="shared" si="2"/>
        <v>0.3652777778</v>
      </c>
      <c r="I4847" s="28">
        <v>2.0</v>
      </c>
      <c r="J4847" s="39" t="s">
        <v>171</v>
      </c>
      <c r="K4847" s="41"/>
      <c r="L4847" s="31" t="str">
        <f>IFERROR(__xludf.DUMMYFUNCTION("IF(OR(E4847="""",K4847=""""),"""",IFERROR(IF(K4847="""","""",query('tbl user'!$A$2:$D10975,""SELECT A WHERE D = '""&amp;K4847&amp;""'"")),""USER TIDAK DIKETAHUI""))"),"")</f>
        <v/>
      </c>
    </row>
    <row r="4848">
      <c r="A4848" s="21" t="str">
        <f t="shared" si="1"/>
        <v/>
      </c>
      <c r="B4848" s="38"/>
      <c r="C4848" s="23" t="s">
        <v>1963</v>
      </c>
      <c r="D4848" s="23" t="s">
        <v>32</v>
      </c>
      <c r="E4848" s="24">
        <v>45469.0</v>
      </c>
      <c r="F4848" s="25">
        <v>0.3680555555555556</v>
      </c>
      <c r="G4848" s="25">
        <v>0.7208333333333333</v>
      </c>
      <c r="H4848" s="27">
        <f t="shared" si="2"/>
        <v>0.3527777778</v>
      </c>
      <c r="I4848" s="28">
        <v>3.0</v>
      </c>
      <c r="J4848" s="39" t="s">
        <v>1545</v>
      </c>
      <c r="K4848" s="41"/>
      <c r="L4848" s="31" t="str">
        <f>IFERROR(__xludf.DUMMYFUNCTION("IF(OR(E4848="""",K4848=""""),"""",IFERROR(IF(K4848="""","""",query('tbl user'!$A$2:$D10975,""SELECT A WHERE D = '""&amp;K4848&amp;""'"")),""USER TIDAK DIKETAHUI""))"),"")</f>
        <v/>
      </c>
    </row>
    <row r="4849">
      <c r="A4849" s="21" t="str">
        <f t="shared" si="1"/>
        <v/>
      </c>
      <c r="B4849" s="38"/>
      <c r="C4849" s="23" t="s">
        <v>1951</v>
      </c>
      <c r="D4849" s="23" t="s">
        <v>32</v>
      </c>
      <c r="E4849" s="24">
        <v>45469.0</v>
      </c>
      <c r="F4849" s="25">
        <v>0.2604166666666667</v>
      </c>
      <c r="G4849" s="25">
        <v>0.6423611111111112</v>
      </c>
      <c r="H4849" s="27">
        <f t="shared" si="2"/>
        <v>0.3819444444</v>
      </c>
      <c r="I4849" s="28">
        <v>3.0</v>
      </c>
      <c r="J4849" s="39" t="s">
        <v>2290</v>
      </c>
      <c r="K4849" s="41"/>
      <c r="L4849" s="31" t="str">
        <f>IFERROR(__xludf.DUMMYFUNCTION("IF(OR(E4849="""",K4849=""""),"""",IFERROR(IF(K4849="""","""",query('tbl user'!$A$2:$D10975,""SELECT A WHERE D = '""&amp;K4849&amp;""'"")),""USER TIDAK DIKETAHUI""))"),"")</f>
        <v/>
      </c>
    </row>
    <row r="4850">
      <c r="A4850" s="21" t="str">
        <f t="shared" si="1"/>
        <v/>
      </c>
      <c r="B4850" s="38"/>
      <c r="C4850" s="23" t="s">
        <v>1894</v>
      </c>
      <c r="D4850" s="23" t="s">
        <v>32</v>
      </c>
      <c r="E4850" s="24">
        <v>45469.0</v>
      </c>
      <c r="F4850" s="25">
        <v>0.2604166666666667</v>
      </c>
      <c r="G4850" s="25">
        <v>0.6340277777777777</v>
      </c>
      <c r="H4850" s="27">
        <f t="shared" si="2"/>
        <v>0.3736111111</v>
      </c>
      <c r="I4850" s="28">
        <v>3.0</v>
      </c>
      <c r="J4850" s="39" t="s">
        <v>171</v>
      </c>
      <c r="K4850" s="41"/>
      <c r="L4850" s="31" t="str">
        <f>IFERROR(__xludf.DUMMYFUNCTION("IF(OR(E4850="""",K4850=""""),"""",IFERROR(IF(K4850="""","""",query('tbl user'!$A$2:$D10975,""SELECT A WHERE D = '""&amp;K4850&amp;""'"")),""USER TIDAK DIKETAHUI""))"),"")</f>
        <v/>
      </c>
    </row>
    <row r="4851">
      <c r="A4851" s="21" t="str">
        <f t="shared" si="1"/>
        <v/>
      </c>
      <c r="B4851" s="38"/>
      <c r="C4851" s="23" t="s">
        <v>2252</v>
      </c>
      <c r="D4851" s="23" t="s">
        <v>32</v>
      </c>
      <c r="E4851" s="24">
        <v>45469.0</v>
      </c>
      <c r="F4851" s="25">
        <v>0.28541666666666665</v>
      </c>
      <c r="G4851" s="25">
        <v>0.7291666666666666</v>
      </c>
      <c r="H4851" s="27">
        <f t="shared" si="2"/>
        <v>0.44375</v>
      </c>
      <c r="I4851" s="28">
        <v>3.0</v>
      </c>
      <c r="J4851" s="39" t="s">
        <v>171</v>
      </c>
      <c r="K4851" s="41"/>
      <c r="L4851" s="31" t="str">
        <f>IFERROR(__xludf.DUMMYFUNCTION("IF(OR(E4851="""",K4851=""""),"""",IFERROR(IF(K4851="""","""",query('tbl user'!$A$2:$D10975,""SELECT A WHERE D = '""&amp;K4851&amp;""'"")),""USER TIDAK DIKETAHUI""))"),"")</f>
        <v/>
      </c>
    </row>
    <row r="4852">
      <c r="A4852" s="21" t="str">
        <f t="shared" si="1"/>
        <v/>
      </c>
      <c r="B4852" s="38"/>
      <c r="C4852" s="23" t="s">
        <v>1990</v>
      </c>
      <c r="D4852" s="23" t="s">
        <v>32</v>
      </c>
      <c r="E4852" s="24">
        <v>45469.0</v>
      </c>
      <c r="F4852" s="25">
        <v>0.29444444444444445</v>
      </c>
      <c r="G4852" s="25">
        <v>0.6638888888888889</v>
      </c>
      <c r="H4852" s="27">
        <f t="shared" si="2"/>
        <v>0.3694444444</v>
      </c>
      <c r="I4852" s="28">
        <v>3.0</v>
      </c>
      <c r="J4852" s="39" t="s">
        <v>2291</v>
      </c>
      <c r="K4852" s="41"/>
      <c r="L4852" s="31" t="str">
        <f>IFERROR(__xludf.DUMMYFUNCTION("IF(OR(E4852="""",K4852=""""),"""",IFERROR(IF(K4852="""","""",query('tbl user'!$A$2:$D10975,""SELECT A WHERE D = '""&amp;K4852&amp;""'"")),""USER TIDAK DIKETAHUI""))"),"")</f>
        <v/>
      </c>
    </row>
    <row r="4853">
      <c r="A4853" s="21" t="str">
        <f t="shared" si="1"/>
        <v/>
      </c>
      <c r="B4853" s="38"/>
      <c r="C4853" s="23" t="s">
        <v>1905</v>
      </c>
      <c r="D4853" s="23" t="s">
        <v>32</v>
      </c>
      <c r="E4853" s="24">
        <v>45469.0</v>
      </c>
      <c r="F4853" s="25">
        <v>0.27291666666666664</v>
      </c>
      <c r="G4853" s="25">
        <v>0.6555555555555556</v>
      </c>
      <c r="H4853" s="27">
        <f t="shared" si="2"/>
        <v>0.3826388889</v>
      </c>
      <c r="I4853" s="28">
        <v>3.0</v>
      </c>
      <c r="J4853" s="39" t="s">
        <v>171</v>
      </c>
      <c r="K4853" s="41"/>
      <c r="L4853" s="31" t="str">
        <f>IFERROR(__xludf.DUMMYFUNCTION("IF(OR(E4853="""",K4853=""""),"""",IFERROR(IF(K4853="""","""",query('tbl user'!$A$2:$D10975,""SELECT A WHERE D = '""&amp;K4853&amp;""'"")),""USER TIDAK DIKETAHUI""))"),"")</f>
        <v/>
      </c>
    </row>
    <row r="4854">
      <c r="A4854" s="21" t="str">
        <f t="shared" si="1"/>
        <v/>
      </c>
      <c r="B4854" s="38"/>
      <c r="C4854" s="23" t="s">
        <v>1907</v>
      </c>
      <c r="D4854" s="23" t="s">
        <v>32</v>
      </c>
      <c r="E4854" s="24">
        <v>45469.0</v>
      </c>
      <c r="F4854" s="25">
        <v>0.2923611111111111</v>
      </c>
      <c r="G4854" s="25">
        <v>0.7347222222222223</v>
      </c>
      <c r="H4854" s="27">
        <f t="shared" si="2"/>
        <v>0.4423611111</v>
      </c>
      <c r="I4854" s="28">
        <v>3.0</v>
      </c>
      <c r="J4854" s="39" t="s">
        <v>2292</v>
      </c>
      <c r="K4854" s="41"/>
      <c r="L4854" s="31" t="str">
        <f>IFERROR(__xludf.DUMMYFUNCTION("IF(OR(E4854="""",K4854=""""),"""",IFERROR(IF(K4854="""","""",query('tbl user'!$A$2:$D10975,""SELECT A WHERE D = '""&amp;K4854&amp;""'"")),""USER TIDAK DIKETAHUI""))"),"")</f>
        <v/>
      </c>
    </row>
    <row r="4855">
      <c r="A4855" s="21" t="str">
        <f t="shared" si="1"/>
        <v/>
      </c>
      <c r="B4855" s="38"/>
      <c r="C4855" s="23" t="s">
        <v>1962</v>
      </c>
      <c r="D4855" s="23" t="s">
        <v>32</v>
      </c>
      <c r="E4855" s="24">
        <v>45469.0</v>
      </c>
      <c r="F4855" s="25">
        <v>0.26319444444444445</v>
      </c>
      <c r="G4855" s="25">
        <v>0.7243055555555555</v>
      </c>
      <c r="H4855" s="27">
        <f t="shared" si="2"/>
        <v>0.4611111111</v>
      </c>
      <c r="I4855" s="28">
        <v>4.0</v>
      </c>
      <c r="J4855" s="39" t="s">
        <v>55</v>
      </c>
      <c r="K4855" s="41"/>
      <c r="L4855" s="31" t="str">
        <f>IFERROR(__xludf.DUMMYFUNCTION("IF(OR(E4855="""",K4855=""""),"""",IFERROR(IF(K4855="""","""",query('tbl user'!$A$2:$D10975,""SELECT A WHERE D = '""&amp;K4855&amp;""'"")),""USER TIDAK DIKETAHUI""))"),"")</f>
        <v/>
      </c>
    </row>
    <row r="4856">
      <c r="A4856" s="21" t="str">
        <f t="shared" si="1"/>
        <v/>
      </c>
      <c r="B4856" s="38"/>
      <c r="C4856" s="23" t="s">
        <v>1908</v>
      </c>
      <c r="D4856" s="23" t="s">
        <v>32</v>
      </c>
      <c r="E4856" s="24">
        <v>45469.0</v>
      </c>
      <c r="F4856" s="25">
        <v>0.2638888888888889</v>
      </c>
      <c r="G4856" s="25">
        <v>0.7131944444444445</v>
      </c>
      <c r="H4856" s="27">
        <f t="shared" si="2"/>
        <v>0.4493055556</v>
      </c>
      <c r="I4856" s="28">
        <v>4.0</v>
      </c>
      <c r="J4856" s="39" t="s">
        <v>55</v>
      </c>
      <c r="K4856" s="41"/>
      <c r="L4856" s="31" t="str">
        <f>IFERROR(__xludf.DUMMYFUNCTION("IF(OR(E4856="""",K4856=""""),"""",IFERROR(IF(K4856="""","""",query('tbl user'!$A$2:$D10975,""SELECT A WHERE D = '""&amp;K4856&amp;""'"")),""USER TIDAK DIKETAHUI""))"),"")</f>
        <v/>
      </c>
    </row>
    <row r="4857">
      <c r="A4857" s="21" t="str">
        <f t="shared" si="1"/>
        <v/>
      </c>
      <c r="B4857" s="38"/>
      <c r="C4857" s="23" t="s">
        <v>1847</v>
      </c>
      <c r="D4857" s="23" t="s">
        <v>21</v>
      </c>
      <c r="E4857" s="24">
        <v>45470.0</v>
      </c>
      <c r="F4857" s="25">
        <v>0.25277777777777777</v>
      </c>
      <c r="G4857" s="25">
        <v>0.3819444444444444</v>
      </c>
      <c r="H4857" s="27">
        <f t="shared" si="2"/>
        <v>0.1291666667</v>
      </c>
      <c r="I4857" s="28">
        <v>1.0</v>
      </c>
      <c r="J4857" s="39" t="s">
        <v>2293</v>
      </c>
      <c r="K4857" s="41"/>
      <c r="L4857" s="31" t="str">
        <f>IFERROR(__xludf.DUMMYFUNCTION("IF(OR(E4857="""",K4857=""""),"""",IFERROR(IF(K4857="""","""",query('tbl user'!$A$2:$D10975,""SELECT A WHERE D = '""&amp;K4857&amp;""'"")),""USER TIDAK DIKETAHUI""))"),"")</f>
        <v/>
      </c>
    </row>
    <row r="4858">
      <c r="A4858" s="21" t="str">
        <f t="shared" si="1"/>
        <v/>
      </c>
      <c r="B4858" s="38"/>
      <c r="C4858" s="23" t="s">
        <v>1833</v>
      </c>
      <c r="D4858" s="23" t="s">
        <v>21</v>
      </c>
      <c r="E4858" s="24">
        <v>45470.0</v>
      </c>
      <c r="F4858" s="25">
        <v>0.27152777777777776</v>
      </c>
      <c r="G4858" s="25">
        <v>0.5430555555555555</v>
      </c>
      <c r="H4858" s="27">
        <f t="shared" si="2"/>
        <v>0.2715277778</v>
      </c>
      <c r="I4858" s="28">
        <v>2.0</v>
      </c>
      <c r="J4858" s="39" t="s">
        <v>934</v>
      </c>
      <c r="K4858" s="41"/>
      <c r="L4858" s="31" t="str">
        <f>IFERROR(__xludf.DUMMYFUNCTION("IF(OR(E4858="""",K4858=""""),"""",IFERROR(IF(K4858="""","""",query('tbl user'!$A$2:$D10975,""SELECT A WHERE D = '""&amp;K4858&amp;""'"")),""USER TIDAK DIKETAHUI""))"),"")</f>
        <v/>
      </c>
    </row>
    <row r="4859">
      <c r="A4859" s="21" t="str">
        <f t="shared" si="1"/>
        <v/>
      </c>
      <c r="B4859" s="38"/>
      <c r="C4859" s="23" t="s">
        <v>2041</v>
      </c>
      <c r="D4859" s="23" t="s">
        <v>21</v>
      </c>
      <c r="E4859" s="24">
        <v>45470.0</v>
      </c>
      <c r="F4859" s="25">
        <v>0.3611111111111111</v>
      </c>
      <c r="G4859" s="25">
        <v>0.55</v>
      </c>
      <c r="H4859" s="27">
        <f t="shared" si="2"/>
        <v>0.1888888889</v>
      </c>
      <c r="I4859" s="28">
        <v>2.0</v>
      </c>
      <c r="J4859" s="39" t="s">
        <v>2294</v>
      </c>
      <c r="K4859" s="41"/>
      <c r="L4859" s="31" t="str">
        <f>IFERROR(__xludf.DUMMYFUNCTION("IF(OR(E4859="""",K4859=""""),"""",IFERROR(IF(K4859="""","""",query('tbl user'!$A$2:$D10975,""SELECT A WHERE D = '""&amp;K4859&amp;""'"")),""USER TIDAK DIKETAHUI""))"),"")</f>
        <v/>
      </c>
    </row>
    <row r="4860">
      <c r="A4860" s="21" t="str">
        <f t="shared" si="1"/>
        <v/>
      </c>
      <c r="B4860" s="38"/>
      <c r="C4860" s="23" t="s">
        <v>1835</v>
      </c>
      <c r="D4860" s="23" t="s">
        <v>21</v>
      </c>
      <c r="E4860" s="24">
        <v>45470.0</v>
      </c>
      <c r="F4860" s="25">
        <v>0.275</v>
      </c>
      <c r="G4860" s="25">
        <v>0.5027777777777778</v>
      </c>
      <c r="H4860" s="27">
        <f t="shared" si="2"/>
        <v>0.2277777778</v>
      </c>
      <c r="I4860" s="28">
        <v>2.0</v>
      </c>
      <c r="J4860" s="39" t="s">
        <v>2295</v>
      </c>
      <c r="K4860" s="41"/>
      <c r="L4860" s="31" t="str">
        <f>IFERROR(__xludf.DUMMYFUNCTION("IF(OR(E4860="""",K4860=""""),"""",IFERROR(IF(K4860="""","""",query('tbl user'!$A$2:$D10975,""SELECT A WHERE D = '""&amp;K4860&amp;""'"")),""USER TIDAK DIKETAHUI""))"),"")</f>
        <v/>
      </c>
    </row>
    <row r="4861">
      <c r="A4861" s="21" t="str">
        <f t="shared" si="1"/>
        <v/>
      </c>
      <c r="B4861" s="38"/>
      <c r="C4861" s="23" t="s">
        <v>2005</v>
      </c>
      <c r="D4861" s="23" t="s">
        <v>21</v>
      </c>
      <c r="E4861" s="24">
        <v>45470.0</v>
      </c>
      <c r="F4861" s="25">
        <v>0.27291666666666664</v>
      </c>
      <c r="G4861" s="25">
        <v>0.5090277777777777</v>
      </c>
      <c r="H4861" s="27">
        <f t="shared" si="2"/>
        <v>0.2361111111</v>
      </c>
      <c r="I4861" s="28">
        <v>2.0</v>
      </c>
      <c r="J4861" s="39" t="s">
        <v>2296</v>
      </c>
      <c r="K4861" s="41"/>
      <c r="L4861" s="31" t="str">
        <f>IFERROR(__xludf.DUMMYFUNCTION("IF(OR(E4861="""",K4861=""""),"""",IFERROR(IF(K4861="""","""",query('tbl user'!$A$2:$D10975,""SELECT A WHERE D = '""&amp;K4861&amp;""'"")),""USER TIDAK DIKETAHUI""))"),"")</f>
        <v/>
      </c>
    </row>
    <row r="4862">
      <c r="A4862" s="21" t="str">
        <f t="shared" si="1"/>
        <v/>
      </c>
      <c r="B4862" s="38"/>
      <c r="C4862" s="23" t="s">
        <v>1867</v>
      </c>
      <c r="D4862" s="23" t="s">
        <v>21</v>
      </c>
      <c r="E4862" s="24">
        <v>45470.0</v>
      </c>
      <c r="F4862" s="25">
        <v>0.3659722222222222</v>
      </c>
      <c r="G4862" s="25">
        <v>0.74375</v>
      </c>
      <c r="H4862" s="27">
        <f t="shared" si="2"/>
        <v>0.3777777778</v>
      </c>
      <c r="I4862" s="28">
        <v>3.0</v>
      </c>
      <c r="J4862" s="39" t="s">
        <v>2297</v>
      </c>
      <c r="K4862" s="41"/>
      <c r="L4862" s="31" t="str">
        <f>IFERROR(__xludf.DUMMYFUNCTION("IF(OR(E4862="""",K4862=""""),"""",IFERROR(IF(K4862="""","""",query('tbl user'!$A$2:$D10975,""SELECT A WHERE D = '""&amp;K4862&amp;""'"")),""USER TIDAK DIKETAHUI""))"),"")</f>
        <v/>
      </c>
    </row>
    <row r="4863">
      <c r="A4863" s="21" t="str">
        <f t="shared" si="1"/>
        <v/>
      </c>
      <c r="B4863" s="38"/>
      <c r="C4863" s="23" t="s">
        <v>1854</v>
      </c>
      <c r="D4863" s="23" t="s">
        <v>21</v>
      </c>
      <c r="E4863" s="24">
        <v>45470.0</v>
      </c>
      <c r="F4863" s="25">
        <v>0.2798611111111111</v>
      </c>
      <c r="G4863" s="25">
        <v>0.6576388888888889</v>
      </c>
      <c r="H4863" s="27">
        <f t="shared" si="2"/>
        <v>0.3777777778</v>
      </c>
      <c r="I4863" s="28">
        <v>3.0</v>
      </c>
      <c r="J4863" s="39" t="s">
        <v>1456</v>
      </c>
      <c r="K4863" s="41"/>
      <c r="L4863" s="31" t="str">
        <f>IFERROR(__xludf.DUMMYFUNCTION("IF(OR(E4863="""",K4863=""""),"""",IFERROR(IF(K4863="""","""",query('tbl user'!$A$2:$D10975,""SELECT A WHERE D = '""&amp;K4863&amp;""'"")),""USER TIDAK DIKETAHUI""))"),"")</f>
        <v/>
      </c>
    </row>
    <row r="4864">
      <c r="A4864" s="21" t="str">
        <f t="shared" si="1"/>
        <v/>
      </c>
      <c r="B4864" s="38"/>
      <c r="C4864" s="23" t="s">
        <v>1930</v>
      </c>
      <c r="D4864" s="23" t="s">
        <v>21</v>
      </c>
      <c r="E4864" s="24">
        <v>45470.0</v>
      </c>
      <c r="F4864" s="25">
        <v>0.2722222222222222</v>
      </c>
      <c r="G4864" s="25">
        <v>0.5881944444444445</v>
      </c>
      <c r="H4864" s="27">
        <f t="shared" si="2"/>
        <v>0.3159722222</v>
      </c>
      <c r="I4864" s="28">
        <v>3.0</v>
      </c>
      <c r="J4864" s="39" t="s">
        <v>934</v>
      </c>
      <c r="K4864" s="41"/>
      <c r="L4864" s="31" t="str">
        <f>IFERROR(__xludf.DUMMYFUNCTION("IF(OR(E4864="""",K4864=""""),"""",IFERROR(IF(K4864="""","""",query('tbl user'!$A$2:$D10975,""SELECT A WHERE D = '""&amp;K4864&amp;""'"")),""USER TIDAK DIKETAHUI""))"),"")</f>
        <v/>
      </c>
    </row>
    <row r="4865">
      <c r="A4865" s="21" t="str">
        <f t="shared" si="1"/>
        <v/>
      </c>
      <c r="B4865" s="38"/>
      <c r="C4865" s="23" t="s">
        <v>1839</v>
      </c>
      <c r="D4865" s="23" t="s">
        <v>21</v>
      </c>
      <c r="E4865" s="24">
        <v>45470.0</v>
      </c>
      <c r="F4865" s="25">
        <v>0.2916666666666667</v>
      </c>
      <c r="G4865" s="25">
        <v>0.8277777777777777</v>
      </c>
      <c r="H4865" s="27">
        <f t="shared" si="2"/>
        <v>0.5361111111</v>
      </c>
      <c r="I4865" s="28">
        <v>4.0</v>
      </c>
      <c r="J4865" s="39" t="s">
        <v>2298</v>
      </c>
      <c r="K4865" s="41"/>
      <c r="L4865" s="31" t="str">
        <f>IFERROR(__xludf.DUMMYFUNCTION("IF(OR(E4865="""",K4865=""""),"""",IFERROR(IF(K4865="""","""",query('tbl user'!$A$2:$D10975,""SELECT A WHERE D = '""&amp;K4865&amp;""'"")),""USER TIDAK DIKETAHUI""))"),"")</f>
        <v/>
      </c>
    </row>
    <row r="4866">
      <c r="A4866" s="21" t="str">
        <f t="shared" si="1"/>
        <v/>
      </c>
      <c r="B4866" s="38"/>
      <c r="C4866" s="23" t="s">
        <v>2002</v>
      </c>
      <c r="D4866" s="23" t="s">
        <v>21</v>
      </c>
      <c r="E4866" s="24">
        <v>45470.0</v>
      </c>
      <c r="F4866" s="25">
        <v>0.2881944444444444</v>
      </c>
      <c r="G4866" s="25">
        <v>0.7118055555555556</v>
      </c>
      <c r="H4866" s="27">
        <f t="shared" si="2"/>
        <v>0.4236111111</v>
      </c>
      <c r="I4866" s="28">
        <v>4.0</v>
      </c>
      <c r="J4866" s="39" t="s">
        <v>2299</v>
      </c>
      <c r="K4866" s="41"/>
      <c r="L4866" s="31" t="str">
        <f>IFERROR(__xludf.DUMMYFUNCTION("IF(OR(E4866="""",K4866=""""),"""",IFERROR(IF(K4866="""","""",query('tbl user'!$A$2:$D10975,""SELECT A WHERE D = '""&amp;K4866&amp;""'"")),""USER TIDAK DIKETAHUI""))"),"")</f>
        <v/>
      </c>
    </row>
    <row r="4867">
      <c r="A4867" s="21" t="str">
        <f t="shared" si="1"/>
        <v/>
      </c>
      <c r="B4867" s="38"/>
      <c r="C4867" s="23" t="s">
        <v>1920</v>
      </c>
      <c r="D4867" s="23" t="s">
        <v>21</v>
      </c>
      <c r="E4867" s="24">
        <v>45470.0</v>
      </c>
      <c r="F4867" s="25">
        <v>0.2833333333333333</v>
      </c>
      <c r="G4867" s="25">
        <v>0.7125</v>
      </c>
      <c r="H4867" s="27">
        <f t="shared" si="2"/>
        <v>0.4291666667</v>
      </c>
      <c r="I4867" s="28">
        <v>4.0</v>
      </c>
      <c r="J4867" s="39" t="s">
        <v>2299</v>
      </c>
      <c r="K4867" s="41"/>
      <c r="L4867" s="31" t="str">
        <f>IFERROR(__xludf.DUMMYFUNCTION("IF(OR(E4867="""",K4867=""""),"""",IFERROR(IF(K4867="""","""",query('tbl user'!$A$2:$D10975,""SELECT A WHERE D = '""&amp;K4867&amp;""'"")),""USER TIDAK DIKETAHUI""))"),"")</f>
        <v/>
      </c>
    </row>
    <row r="4868">
      <c r="A4868" s="21" t="str">
        <f t="shared" si="1"/>
        <v/>
      </c>
      <c r="B4868" s="38"/>
      <c r="C4868" s="23" t="s">
        <v>1830</v>
      </c>
      <c r="D4868" s="23" t="s">
        <v>21</v>
      </c>
      <c r="E4868" s="24">
        <v>45470.0</v>
      </c>
      <c r="F4868" s="25">
        <v>0.28888888888888886</v>
      </c>
      <c r="G4868" s="25">
        <v>0.68125</v>
      </c>
      <c r="H4868" s="27">
        <f t="shared" si="2"/>
        <v>0.3923611111</v>
      </c>
      <c r="I4868" s="28">
        <v>4.0</v>
      </c>
      <c r="J4868" s="39" t="s">
        <v>2300</v>
      </c>
      <c r="K4868" s="41"/>
      <c r="L4868" s="31" t="str">
        <f>IFERROR(__xludf.DUMMYFUNCTION("IF(OR(E4868="""",K4868=""""),"""",IFERROR(IF(K4868="""","""",query('tbl user'!$A$2:$D10975,""SELECT A WHERE D = '""&amp;K4868&amp;""'"")),""USER TIDAK DIKETAHUI""))"),"")</f>
        <v/>
      </c>
    </row>
    <row r="4869">
      <c r="A4869" s="21" t="str">
        <f t="shared" si="1"/>
        <v/>
      </c>
      <c r="B4869" s="38"/>
      <c r="C4869" s="23" t="s">
        <v>1834</v>
      </c>
      <c r="D4869" s="23" t="s">
        <v>21</v>
      </c>
      <c r="E4869" s="24">
        <v>45470.0</v>
      </c>
      <c r="F4869" s="25">
        <v>0.26458333333333334</v>
      </c>
      <c r="G4869" s="25">
        <v>0.6875</v>
      </c>
      <c r="H4869" s="27">
        <f t="shared" si="2"/>
        <v>0.4229166667</v>
      </c>
      <c r="I4869" s="28">
        <v>4.0</v>
      </c>
      <c r="J4869" s="39" t="s">
        <v>2299</v>
      </c>
      <c r="K4869" s="41"/>
      <c r="L4869" s="31" t="str">
        <f>IFERROR(__xludf.DUMMYFUNCTION("IF(OR(E4869="""",K4869=""""),"""",IFERROR(IF(K4869="""","""",query('tbl user'!$A$2:$D10975,""SELECT A WHERE D = '""&amp;K4869&amp;""'"")),""USER TIDAK DIKETAHUI""))"),"")</f>
        <v/>
      </c>
    </row>
    <row r="4870">
      <c r="A4870" s="21" t="str">
        <f t="shared" si="1"/>
        <v/>
      </c>
      <c r="B4870" s="38"/>
      <c r="C4870" s="23" t="s">
        <v>1925</v>
      </c>
      <c r="D4870" s="23" t="s">
        <v>21</v>
      </c>
      <c r="E4870" s="24">
        <v>45470.0</v>
      </c>
      <c r="F4870" s="25">
        <v>0.25763888888888886</v>
      </c>
      <c r="G4870" s="25">
        <v>0.6555555555555556</v>
      </c>
      <c r="H4870" s="27">
        <f t="shared" si="2"/>
        <v>0.3979166667</v>
      </c>
      <c r="I4870" s="28">
        <v>4.0</v>
      </c>
      <c r="J4870" s="39" t="s">
        <v>2299</v>
      </c>
      <c r="K4870" s="41"/>
      <c r="L4870" s="31" t="str">
        <f>IFERROR(__xludf.DUMMYFUNCTION("IF(OR(E4870="""",K4870=""""),"""",IFERROR(IF(K4870="""","""",query('tbl user'!$A$2:$D10975,""SELECT A WHERE D = '""&amp;K4870&amp;""'"")),""USER TIDAK DIKETAHUI""))"),"")</f>
        <v/>
      </c>
    </row>
    <row r="4871">
      <c r="A4871" s="21" t="str">
        <f t="shared" si="1"/>
        <v/>
      </c>
      <c r="B4871" s="38"/>
      <c r="C4871" s="23" t="s">
        <v>2049</v>
      </c>
      <c r="D4871" s="23" t="s">
        <v>21</v>
      </c>
      <c r="E4871" s="24">
        <v>45470.0</v>
      </c>
      <c r="F4871" s="25">
        <v>0.36180555555555555</v>
      </c>
      <c r="G4871" s="25">
        <v>0.7465277777777778</v>
      </c>
      <c r="H4871" s="27">
        <f t="shared" si="2"/>
        <v>0.3847222222</v>
      </c>
      <c r="I4871" s="28">
        <v>4.0</v>
      </c>
      <c r="J4871" s="39" t="s">
        <v>2301</v>
      </c>
      <c r="K4871" s="41"/>
      <c r="L4871" s="31" t="str">
        <f>IFERROR(__xludf.DUMMYFUNCTION("IF(OR(E4871="""",K4871=""""),"""",IFERROR(IF(K4871="""","""",query('tbl user'!$A$2:$D10975,""SELECT A WHERE D = '""&amp;K4871&amp;""'"")),""USER TIDAK DIKETAHUI""))"),"")</f>
        <v/>
      </c>
    </row>
    <row r="4872">
      <c r="A4872" s="21" t="str">
        <f t="shared" si="1"/>
        <v/>
      </c>
      <c r="B4872" s="38"/>
      <c r="C4872" s="23" t="s">
        <v>1858</v>
      </c>
      <c r="D4872" s="23" t="s">
        <v>21</v>
      </c>
      <c r="E4872" s="24">
        <v>45470.0</v>
      </c>
      <c r="F4872" s="25">
        <v>0.2875</v>
      </c>
      <c r="G4872" s="25">
        <v>0.68125</v>
      </c>
      <c r="H4872" s="27">
        <f t="shared" si="2"/>
        <v>0.39375</v>
      </c>
      <c r="I4872" s="28">
        <v>4.0</v>
      </c>
      <c r="J4872" s="39" t="s">
        <v>2299</v>
      </c>
      <c r="K4872" s="41"/>
      <c r="L4872" s="31" t="str">
        <f>IFERROR(__xludf.DUMMYFUNCTION("IF(OR(E4872="""",K4872=""""),"""",IFERROR(IF(K4872="""","""",query('tbl user'!$A$2:$D10975,""SELECT A WHERE D = '""&amp;K4872&amp;""'"")),""USER TIDAK DIKETAHUI""))"),"")</f>
        <v/>
      </c>
    </row>
    <row r="4873">
      <c r="A4873" s="21" t="str">
        <f t="shared" si="1"/>
        <v/>
      </c>
      <c r="B4873" s="38"/>
      <c r="C4873" s="23" t="s">
        <v>1849</v>
      </c>
      <c r="D4873" s="23" t="s">
        <v>21</v>
      </c>
      <c r="E4873" s="24">
        <v>45470.0</v>
      </c>
      <c r="F4873" s="25">
        <v>0.2923611111111111</v>
      </c>
      <c r="G4873" s="25">
        <v>0.7194444444444444</v>
      </c>
      <c r="H4873" s="27">
        <f t="shared" si="2"/>
        <v>0.4270833333</v>
      </c>
      <c r="I4873" s="28">
        <v>4.0</v>
      </c>
      <c r="J4873" s="39" t="s">
        <v>1001</v>
      </c>
      <c r="K4873" s="41"/>
      <c r="L4873" s="31" t="str">
        <f>IFERROR(__xludf.DUMMYFUNCTION("IF(OR(E4873="""",K4873=""""),"""",IFERROR(IF(K4873="""","""",query('tbl user'!$A$2:$D10975,""SELECT A WHERE D = '""&amp;K4873&amp;""'"")),""USER TIDAK DIKETAHUI""))"),"")</f>
        <v/>
      </c>
    </row>
    <row r="4874">
      <c r="A4874" s="21" t="str">
        <f t="shared" si="1"/>
        <v/>
      </c>
      <c r="B4874" s="38"/>
      <c r="C4874" s="23" t="s">
        <v>1928</v>
      </c>
      <c r="D4874" s="23" t="s">
        <v>21</v>
      </c>
      <c r="E4874" s="24">
        <v>45470.0</v>
      </c>
      <c r="F4874" s="25">
        <v>0.2875</v>
      </c>
      <c r="G4874" s="25">
        <v>0.7104166666666667</v>
      </c>
      <c r="H4874" s="27">
        <f t="shared" si="2"/>
        <v>0.4229166667</v>
      </c>
      <c r="I4874" s="28">
        <v>4.0</v>
      </c>
      <c r="J4874" s="39" t="s">
        <v>2299</v>
      </c>
      <c r="K4874" s="41"/>
      <c r="L4874" s="31" t="str">
        <f>IFERROR(__xludf.DUMMYFUNCTION("IF(OR(E4874="""",K4874=""""),"""",IFERROR(IF(K4874="""","""",query('tbl user'!$A$2:$D10975,""SELECT A WHERE D = '""&amp;K4874&amp;""'"")),""USER TIDAK DIKETAHUI""))"),"")</f>
        <v/>
      </c>
    </row>
    <row r="4875">
      <c r="A4875" s="21" t="str">
        <f t="shared" si="1"/>
        <v/>
      </c>
      <c r="B4875" s="38"/>
      <c r="C4875" s="23" t="s">
        <v>1935</v>
      </c>
      <c r="D4875" s="23" t="s">
        <v>21</v>
      </c>
      <c r="E4875" s="24">
        <v>45470.0</v>
      </c>
      <c r="F4875" s="25">
        <v>0.38263888888888886</v>
      </c>
      <c r="G4875" s="25">
        <v>0.7388888888888889</v>
      </c>
      <c r="H4875" s="27">
        <f t="shared" si="2"/>
        <v>0.35625</v>
      </c>
      <c r="I4875" s="28">
        <v>4.0</v>
      </c>
      <c r="J4875" s="39" t="s">
        <v>2299</v>
      </c>
      <c r="K4875" s="41"/>
      <c r="L4875" s="31" t="str">
        <f>IFERROR(__xludf.DUMMYFUNCTION("IF(OR(E4875="""",K4875=""""),"""",IFERROR(IF(K4875="""","""",query('tbl user'!$A$2:$D10975,""SELECT A WHERE D = '""&amp;K4875&amp;""'"")),""USER TIDAK DIKETAHUI""))"),"")</f>
        <v/>
      </c>
    </row>
    <row r="4876">
      <c r="A4876" s="21" t="str">
        <f t="shared" si="1"/>
        <v/>
      </c>
      <c r="B4876" s="38"/>
      <c r="C4876" s="23" t="s">
        <v>1922</v>
      </c>
      <c r="D4876" s="23" t="s">
        <v>21</v>
      </c>
      <c r="E4876" s="24">
        <v>45470.0</v>
      </c>
      <c r="F4876" s="25">
        <v>0.2916666666666667</v>
      </c>
      <c r="G4876" s="25">
        <v>0.7513888888888889</v>
      </c>
      <c r="H4876" s="27">
        <f t="shared" si="2"/>
        <v>0.4597222222</v>
      </c>
      <c r="I4876" s="28">
        <v>5.0</v>
      </c>
      <c r="J4876" s="39" t="s">
        <v>2299</v>
      </c>
      <c r="K4876" s="41"/>
      <c r="L4876" s="31" t="str">
        <f>IFERROR(__xludf.DUMMYFUNCTION("IF(OR(E4876="""",K4876=""""),"""",IFERROR(IF(K4876="""","""",query('tbl user'!$A$2:$D10975,""SELECT A WHERE D = '""&amp;K4876&amp;""'"")),""USER TIDAK DIKETAHUI""))"),"")</f>
        <v/>
      </c>
    </row>
    <row r="4877">
      <c r="A4877" s="21" t="str">
        <f t="shared" si="1"/>
        <v/>
      </c>
      <c r="B4877" s="38"/>
      <c r="C4877" s="23" t="s">
        <v>1923</v>
      </c>
      <c r="D4877" s="23" t="s">
        <v>21</v>
      </c>
      <c r="E4877" s="24">
        <v>45470.0</v>
      </c>
      <c r="F4877" s="25">
        <v>0.25833333333333336</v>
      </c>
      <c r="G4877" s="25">
        <v>0.7527777777777778</v>
      </c>
      <c r="H4877" s="27">
        <f t="shared" si="2"/>
        <v>0.4944444444</v>
      </c>
      <c r="I4877" s="28">
        <v>5.0</v>
      </c>
      <c r="J4877" s="39" t="s">
        <v>55</v>
      </c>
      <c r="K4877" s="41"/>
      <c r="L4877" s="31" t="str">
        <f>IFERROR(__xludf.DUMMYFUNCTION("IF(OR(E4877="""",K4877=""""),"""",IFERROR(IF(K4877="""","""",query('tbl user'!$A$2:$D10975,""SELECT A WHERE D = '""&amp;K4877&amp;""'"")),""USER TIDAK DIKETAHUI""))"),"")</f>
        <v/>
      </c>
    </row>
    <row r="4878">
      <c r="A4878" s="21" t="str">
        <f t="shared" si="1"/>
        <v/>
      </c>
      <c r="B4878" s="38"/>
      <c r="C4878" s="23" t="s">
        <v>2136</v>
      </c>
      <c r="D4878" s="23" t="s">
        <v>21</v>
      </c>
      <c r="E4878" s="24">
        <v>45470.0</v>
      </c>
      <c r="F4878" s="25">
        <v>0.28888888888888886</v>
      </c>
      <c r="G4878" s="25">
        <v>0.7409722222222223</v>
      </c>
      <c r="H4878" s="27">
        <f t="shared" si="2"/>
        <v>0.4520833333</v>
      </c>
      <c r="I4878" s="28">
        <v>5.0</v>
      </c>
      <c r="J4878" s="39" t="s">
        <v>55</v>
      </c>
      <c r="K4878" s="41"/>
      <c r="L4878" s="31" t="str">
        <f>IFERROR(__xludf.DUMMYFUNCTION("IF(OR(E4878="""",K4878=""""),"""",IFERROR(IF(K4878="""","""",query('tbl user'!$A$2:$D10975,""SELECT A WHERE D = '""&amp;K4878&amp;""'"")),""USER TIDAK DIKETAHUI""))"),"")</f>
        <v/>
      </c>
    </row>
    <row r="4879">
      <c r="A4879" s="21" t="str">
        <f t="shared" si="1"/>
        <v/>
      </c>
      <c r="B4879" s="38"/>
      <c r="C4879" s="23" t="s">
        <v>1856</v>
      </c>
      <c r="D4879" s="23" t="s">
        <v>21</v>
      </c>
      <c r="E4879" s="24">
        <v>45470.0</v>
      </c>
      <c r="F4879" s="25">
        <v>0.25</v>
      </c>
      <c r="G4879" s="25">
        <v>0.7097222222222223</v>
      </c>
      <c r="H4879" s="27">
        <f t="shared" si="2"/>
        <v>0.4597222222</v>
      </c>
      <c r="I4879" s="28">
        <v>5.0</v>
      </c>
      <c r="J4879" s="39" t="s">
        <v>55</v>
      </c>
      <c r="K4879" s="41"/>
      <c r="L4879" s="31" t="str">
        <f>IFERROR(__xludf.DUMMYFUNCTION("IF(OR(E4879="""",K4879=""""),"""",IFERROR(IF(K4879="""","""",query('tbl user'!$A$2:$D10975,""SELECT A WHERE D = '""&amp;K4879&amp;""'"")),""USER TIDAK DIKETAHUI""))"),"")</f>
        <v/>
      </c>
    </row>
    <row r="4880">
      <c r="A4880" s="21" t="str">
        <f t="shared" si="1"/>
        <v/>
      </c>
      <c r="B4880" s="38"/>
      <c r="C4880" s="23" t="s">
        <v>1857</v>
      </c>
      <c r="D4880" s="23" t="s">
        <v>21</v>
      </c>
      <c r="E4880" s="24">
        <v>45470.0</v>
      </c>
      <c r="F4880" s="25">
        <v>0.26180555555555557</v>
      </c>
      <c r="G4880" s="25">
        <v>0.725</v>
      </c>
      <c r="H4880" s="27">
        <f t="shared" si="2"/>
        <v>0.4631944444</v>
      </c>
      <c r="I4880" s="28">
        <v>5.0</v>
      </c>
      <c r="J4880" s="39" t="s">
        <v>55</v>
      </c>
      <c r="K4880" s="41"/>
      <c r="L4880" s="31" t="str">
        <f>IFERROR(__xludf.DUMMYFUNCTION("IF(OR(E4880="""",K4880=""""),"""",IFERROR(IF(K4880="""","""",query('tbl user'!$A$2:$D10975,""SELECT A WHERE D = '""&amp;K4880&amp;""'"")),""USER TIDAK DIKETAHUI""))"),"")</f>
        <v/>
      </c>
    </row>
    <row r="4881">
      <c r="A4881" s="21" t="str">
        <f t="shared" si="1"/>
        <v/>
      </c>
      <c r="B4881" s="38"/>
      <c r="C4881" s="23" t="s">
        <v>1837</v>
      </c>
      <c r="D4881" s="23" t="s">
        <v>21</v>
      </c>
      <c r="E4881" s="24">
        <v>45470.0</v>
      </c>
      <c r="F4881" s="25">
        <v>0.25625</v>
      </c>
      <c r="G4881" s="25">
        <v>0.7326388888888888</v>
      </c>
      <c r="H4881" s="27">
        <f t="shared" si="2"/>
        <v>0.4763888889</v>
      </c>
      <c r="I4881" s="28">
        <v>5.0</v>
      </c>
      <c r="J4881" s="39" t="s">
        <v>55</v>
      </c>
      <c r="K4881" s="41"/>
      <c r="L4881" s="31" t="str">
        <f>IFERROR(__xludf.DUMMYFUNCTION("IF(OR(E4881="""",K4881=""""),"""",IFERROR(IF(K4881="""","""",query('tbl user'!$A$2:$D10975,""SELECT A WHERE D = '""&amp;K4881&amp;""'"")),""USER TIDAK DIKETAHUI""))"),"")</f>
        <v/>
      </c>
    </row>
    <row r="4882">
      <c r="A4882" s="21" t="str">
        <f t="shared" si="1"/>
        <v/>
      </c>
      <c r="B4882" s="38"/>
      <c r="C4882" s="23" t="s">
        <v>1829</v>
      </c>
      <c r="D4882" s="23" t="s">
        <v>21</v>
      </c>
      <c r="E4882" s="24">
        <v>45470.0</v>
      </c>
      <c r="F4882" s="25">
        <v>0.2916666666666667</v>
      </c>
      <c r="G4882" s="25">
        <v>0.6770833333333334</v>
      </c>
      <c r="H4882" s="27">
        <f t="shared" si="2"/>
        <v>0.3854166667</v>
      </c>
      <c r="I4882" s="28">
        <v>3.0</v>
      </c>
      <c r="J4882" s="39" t="s">
        <v>2233</v>
      </c>
      <c r="K4882" s="41"/>
      <c r="L4882" s="31" t="str">
        <f>IFERROR(__xludf.DUMMYFUNCTION("IF(OR(E4882="""",K4882=""""),"""",IFERROR(IF(K4882="""","""",query('tbl user'!$A$2:$D10975,""SELECT A WHERE D = '""&amp;K4882&amp;""'"")),""USER TIDAK DIKETAHUI""))"),"")</f>
        <v/>
      </c>
    </row>
    <row r="4883">
      <c r="A4883" s="21" t="str">
        <f t="shared" si="1"/>
        <v/>
      </c>
      <c r="B4883" s="38"/>
      <c r="C4883" s="23" t="s">
        <v>1917</v>
      </c>
      <c r="D4883" s="23" t="s">
        <v>21</v>
      </c>
      <c r="E4883" s="24">
        <v>45470.0</v>
      </c>
      <c r="F4883" s="25">
        <v>0.2673611111111111</v>
      </c>
      <c r="G4883" s="25">
        <v>0.6548611111111111</v>
      </c>
      <c r="H4883" s="27">
        <f t="shared" si="2"/>
        <v>0.3875</v>
      </c>
      <c r="I4883" s="28">
        <v>3.0</v>
      </c>
      <c r="J4883" s="39" t="s">
        <v>2233</v>
      </c>
      <c r="K4883" s="41"/>
      <c r="L4883" s="31" t="str">
        <f>IFERROR(__xludf.DUMMYFUNCTION("IF(OR(E4883="""",K4883=""""),"""",IFERROR(IF(K4883="""","""",query('tbl user'!$A$2:$D10975,""SELECT A WHERE D = '""&amp;K4883&amp;""'"")),""USER TIDAK DIKETAHUI""))"),"")</f>
        <v/>
      </c>
    </row>
    <row r="4884">
      <c r="A4884" s="21" t="str">
        <f t="shared" si="1"/>
        <v/>
      </c>
      <c r="B4884" s="38"/>
      <c r="C4884" s="23" t="s">
        <v>1841</v>
      </c>
      <c r="D4884" s="23" t="s">
        <v>21</v>
      </c>
      <c r="E4884" s="24">
        <v>45470.0</v>
      </c>
      <c r="F4884" s="25">
        <v>0.28541666666666665</v>
      </c>
      <c r="G4884" s="25">
        <v>0.6770833333333334</v>
      </c>
      <c r="H4884" s="27">
        <f t="shared" si="2"/>
        <v>0.3916666667</v>
      </c>
      <c r="I4884" s="28">
        <v>3.0</v>
      </c>
      <c r="J4884" s="39" t="s">
        <v>2233</v>
      </c>
      <c r="K4884" s="41"/>
      <c r="L4884" s="31" t="str">
        <f>IFERROR(__xludf.DUMMYFUNCTION("IF(OR(E4884="""",K4884=""""),"""",IFERROR(IF(K4884="""","""",query('tbl user'!$A$2:$D10975,""SELECT A WHERE D = '""&amp;K4884&amp;""'"")),""USER TIDAK DIKETAHUI""))"),"")</f>
        <v/>
      </c>
    </row>
    <row r="4885">
      <c r="A4885" s="21" t="str">
        <f t="shared" si="1"/>
        <v/>
      </c>
      <c r="B4885" s="38"/>
      <c r="C4885" s="23" t="s">
        <v>1874</v>
      </c>
      <c r="D4885" s="23" t="s">
        <v>58</v>
      </c>
      <c r="E4885" s="24">
        <v>45470.0</v>
      </c>
      <c r="F4885" s="25">
        <v>0.2923611111111111</v>
      </c>
      <c r="G4885" s="25">
        <v>0.4666666666666667</v>
      </c>
      <c r="H4885" s="27">
        <f t="shared" si="2"/>
        <v>0.1743055556</v>
      </c>
      <c r="I4885" s="28">
        <v>1.0</v>
      </c>
      <c r="J4885" s="39" t="s">
        <v>2302</v>
      </c>
      <c r="K4885" s="41"/>
      <c r="L4885" s="31" t="str">
        <f>IFERROR(__xludf.DUMMYFUNCTION("IF(OR(E4885="""",K4885=""""),"""",IFERROR(IF(K4885="""","""",query('tbl user'!$A$2:$D10975,""SELECT A WHERE D = '""&amp;K4885&amp;""'"")),""USER TIDAK DIKETAHUI""))"),"")</f>
        <v/>
      </c>
    </row>
    <row r="4886">
      <c r="A4886" s="21" t="str">
        <f t="shared" si="1"/>
        <v/>
      </c>
      <c r="B4886" s="38"/>
      <c r="C4886" s="23" t="s">
        <v>1879</v>
      </c>
      <c r="D4886" s="23" t="s">
        <v>58</v>
      </c>
      <c r="E4886" s="24">
        <v>45470.0</v>
      </c>
      <c r="F4886" s="25">
        <v>0.25069444444444444</v>
      </c>
      <c r="G4886" s="28" t="s">
        <v>2303</v>
      </c>
      <c r="H4886" s="27" t="str">
        <f t="shared" si="2"/>
        <v/>
      </c>
      <c r="I4886" s="28">
        <v>1.0</v>
      </c>
      <c r="J4886" s="39" t="s">
        <v>2304</v>
      </c>
      <c r="K4886" s="41"/>
      <c r="L4886" s="31" t="str">
        <f>IFERROR(__xludf.DUMMYFUNCTION("IF(OR(E4886="""",K4886=""""),"""",IFERROR(IF(K4886="""","""",query('tbl user'!$A$2:$D10975,""SELECT A WHERE D = '""&amp;K4886&amp;""'"")),""USER TIDAK DIKETAHUI""))"),"")</f>
        <v/>
      </c>
    </row>
    <row r="4887">
      <c r="A4887" s="21" t="str">
        <f t="shared" si="1"/>
        <v/>
      </c>
      <c r="B4887" s="38"/>
      <c r="C4887" s="23" t="s">
        <v>1892</v>
      </c>
      <c r="D4887" s="23" t="s">
        <v>58</v>
      </c>
      <c r="E4887" s="24">
        <v>45470.0</v>
      </c>
      <c r="F4887" s="25">
        <v>0.20833333333333334</v>
      </c>
      <c r="G4887" s="25">
        <v>0.3548611111111111</v>
      </c>
      <c r="H4887" s="27">
        <f t="shared" si="2"/>
        <v>0.1465277778</v>
      </c>
      <c r="I4887" s="28">
        <v>1.0</v>
      </c>
      <c r="J4887" s="39" t="s">
        <v>2305</v>
      </c>
      <c r="K4887" s="41"/>
      <c r="L4887" s="31" t="str">
        <f>IFERROR(__xludf.DUMMYFUNCTION("IF(OR(E4887="""",K4887=""""),"""",IFERROR(IF(K4887="""","""",query('tbl user'!$A$2:$D10975,""SELECT A WHERE D = '""&amp;K4887&amp;""'"")),""USER TIDAK DIKETAHUI""))"),"")</f>
        <v/>
      </c>
    </row>
    <row r="4888">
      <c r="A4888" s="21" t="str">
        <f t="shared" si="1"/>
        <v/>
      </c>
      <c r="B4888" s="38"/>
      <c r="C4888" s="23" t="s">
        <v>1890</v>
      </c>
      <c r="D4888" s="23" t="s">
        <v>58</v>
      </c>
      <c r="E4888" s="24">
        <v>45470.0</v>
      </c>
      <c r="F4888" s="25">
        <v>0.46875</v>
      </c>
      <c r="G4888" s="25">
        <v>0.6395833333333333</v>
      </c>
      <c r="H4888" s="27">
        <f t="shared" si="2"/>
        <v>0.1708333333</v>
      </c>
      <c r="I4888" s="28">
        <v>1.0</v>
      </c>
      <c r="J4888" s="39" t="s">
        <v>2306</v>
      </c>
      <c r="K4888" s="41"/>
      <c r="L4888" s="31" t="str">
        <f>IFERROR(__xludf.DUMMYFUNCTION("IF(OR(E4888="""",K4888=""""),"""",IFERROR(IF(K4888="""","""",query('tbl user'!$A$2:$D10975,""SELECT A WHERE D = '""&amp;K4888&amp;""'"")),""USER TIDAK DIKETAHUI""))"),"")</f>
        <v/>
      </c>
    </row>
    <row r="4889">
      <c r="A4889" s="21" t="str">
        <f t="shared" si="1"/>
        <v/>
      </c>
      <c r="B4889" s="38"/>
      <c r="C4889" s="23" t="s">
        <v>1865</v>
      </c>
      <c r="D4889" s="23" t="s">
        <v>58</v>
      </c>
      <c r="E4889" s="24">
        <v>45470.0</v>
      </c>
      <c r="F4889" s="25">
        <v>0.2861111111111111</v>
      </c>
      <c r="G4889" s="25">
        <v>0.65</v>
      </c>
      <c r="H4889" s="27">
        <f t="shared" si="2"/>
        <v>0.3638888889</v>
      </c>
      <c r="I4889" s="28">
        <v>2.0</v>
      </c>
      <c r="J4889" s="39" t="s">
        <v>1735</v>
      </c>
      <c r="K4889" s="41"/>
      <c r="L4889" s="31" t="str">
        <f>IFERROR(__xludf.DUMMYFUNCTION("IF(OR(E4889="""",K4889=""""),"""",IFERROR(IF(K4889="""","""",query('tbl user'!$A$2:$D10975,""SELECT A WHERE D = '""&amp;K4889&amp;""'"")),""USER TIDAK DIKETAHUI""))"),"")</f>
        <v/>
      </c>
    </row>
    <row r="4890">
      <c r="A4890" s="21" t="str">
        <f t="shared" si="1"/>
        <v/>
      </c>
      <c r="B4890" s="38"/>
      <c r="C4890" s="23" t="s">
        <v>1867</v>
      </c>
      <c r="D4890" s="23" t="s">
        <v>58</v>
      </c>
      <c r="E4890" s="24">
        <v>45470.0</v>
      </c>
      <c r="F4890" s="25">
        <v>0.2652777777777778</v>
      </c>
      <c r="G4890" s="25">
        <v>0.7284722222222222</v>
      </c>
      <c r="H4890" s="27">
        <f t="shared" si="2"/>
        <v>0.4631944444</v>
      </c>
      <c r="I4890" s="28">
        <v>2.0</v>
      </c>
      <c r="J4890" s="39" t="s">
        <v>2307</v>
      </c>
      <c r="K4890" s="41"/>
      <c r="L4890" s="31" t="str">
        <f>IFERROR(__xludf.DUMMYFUNCTION("IF(OR(E4890="""",K4890=""""),"""",IFERROR(IF(K4890="""","""",query('tbl user'!$A$2:$D10975,""SELECT A WHERE D = '""&amp;K4890&amp;""'"")),""USER TIDAK DIKETAHUI""))"),"")</f>
        <v/>
      </c>
    </row>
    <row r="4891">
      <c r="A4891" s="21" t="str">
        <f t="shared" si="1"/>
        <v/>
      </c>
      <c r="B4891" s="38"/>
      <c r="C4891" s="23" t="s">
        <v>1948</v>
      </c>
      <c r="D4891" s="23" t="s">
        <v>58</v>
      </c>
      <c r="E4891" s="24">
        <v>45470.0</v>
      </c>
      <c r="F4891" s="25">
        <v>0.2861111111111111</v>
      </c>
      <c r="G4891" s="25">
        <v>0.6388888888888888</v>
      </c>
      <c r="H4891" s="27">
        <f t="shared" si="2"/>
        <v>0.3527777778</v>
      </c>
      <c r="I4891" s="28">
        <v>2.0</v>
      </c>
      <c r="J4891" s="39" t="s">
        <v>2308</v>
      </c>
      <c r="K4891" s="41"/>
      <c r="L4891" s="31" t="str">
        <f>IFERROR(__xludf.DUMMYFUNCTION("IF(OR(E4891="""",K4891=""""),"""",IFERROR(IF(K4891="""","""",query('tbl user'!$A$2:$D10975,""SELECT A WHERE D = '""&amp;K4891&amp;""'"")),""USER TIDAK DIKETAHUI""))"),"")</f>
        <v/>
      </c>
    </row>
    <row r="4892">
      <c r="A4892" s="21" t="str">
        <f t="shared" si="1"/>
        <v/>
      </c>
      <c r="B4892" s="38"/>
      <c r="C4892" s="23" t="s">
        <v>1941</v>
      </c>
      <c r="D4892" s="23" t="s">
        <v>58</v>
      </c>
      <c r="E4892" s="24">
        <v>45470.0</v>
      </c>
      <c r="F4892" s="25">
        <v>0.2604166666666667</v>
      </c>
      <c r="G4892" s="25">
        <v>0.5645833333333333</v>
      </c>
      <c r="H4892" s="27">
        <f t="shared" si="2"/>
        <v>0.3041666667</v>
      </c>
      <c r="I4892" s="28">
        <v>2.0</v>
      </c>
      <c r="J4892" s="39" t="s">
        <v>2309</v>
      </c>
      <c r="K4892" s="41"/>
      <c r="L4892" s="31" t="str">
        <f>IFERROR(__xludf.DUMMYFUNCTION("IF(OR(E4892="""",K4892=""""),"""",IFERROR(IF(K4892="""","""",query('tbl user'!$A$2:$D10975,""SELECT A WHERE D = '""&amp;K4892&amp;""'"")),""USER TIDAK DIKETAHUI""))"),"")</f>
        <v/>
      </c>
    </row>
    <row r="4893">
      <c r="A4893" s="21" t="str">
        <f t="shared" si="1"/>
        <v/>
      </c>
      <c r="B4893" s="38"/>
      <c r="C4893" s="23" t="s">
        <v>1882</v>
      </c>
      <c r="D4893" s="23" t="s">
        <v>58</v>
      </c>
      <c r="E4893" s="24">
        <v>45470.0</v>
      </c>
      <c r="F4893" s="25">
        <v>0.26805555555555555</v>
      </c>
      <c r="G4893" s="25">
        <v>0.5868055555555556</v>
      </c>
      <c r="H4893" s="27">
        <f t="shared" si="2"/>
        <v>0.31875</v>
      </c>
      <c r="I4893" s="28">
        <v>2.0</v>
      </c>
      <c r="J4893" s="39" t="s">
        <v>2310</v>
      </c>
      <c r="K4893" s="41"/>
      <c r="L4893" s="31" t="str">
        <f>IFERROR(__xludf.DUMMYFUNCTION("IF(OR(E4893="""",K4893=""""),"""",IFERROR(IF(K4893="""","""",query('tbl user'!$A$2:$D10975,""SELECT A WHERE D = '""&amp;K4893&amp;""'"")),""USER TIDAK DIKETAHUI""))"),"")</f>
        <v/>
      </c>
    </row>
    <row r="4894">
      <c r="A4894" s="21" t="str">
        <f t="shared" si="1"/>
        <v/>
      </c>
      <c r="B4894" s="38"/>
      <c r="C4894" s="23" t="s">
        <v>1883</v>
      </c>
      <c r="D4894" s="23" t="s">
        <v>58</v>
      </c>
      <c r="E4894" s="24">
        <v>45470.0</v>
      </c>
      <c r="F4894" s="25">
        <v>0.2916666666666667</v>
      </c>
      <c r="G4894" s="25">
        <v>0.5881944444444445</v>
      </c>
      <c r="H4894" s="27">
        <f t="shared" si="2"/>
        <v>0.2965277778</v>
      </c>
      <c r="I4894" s="28">
        <v>2.0</v>
      </c>
      <c r="J4894" s="39" t="s">
        <v>2311</v>
      </c>
      <c r="K4894" s="41"/>
      <c r="L4894" s="31" t="str">
        <f>IFERROR(__xludf.DUMMYFUNCTION("IF(OR(E4894="""",K4894=""""),"""",IFERROR(IF(K4894="""","""",query('tbl user'!$A$2:$D10975,""SELECT A WHERE D = '""&amp;K4894&amp;""'"")),""USER TIDAK DIKETAHUI""))"),"")</f>
        <v/>
      </c>
    </row>
    <row r="4895">
      <c r="A4895" s="21" t="str">
        <f t="shared" si="1"/>
        <v/>
      </c>
      <c r="B4895" s="38"/>
      <c r="C4895" s="23" t="s">
        <v>1863</v>
      </c>
      <c r="D4895" s="23" t="s">
        <v>58</v>
      </c>
      <c r="E4895" s="24">
        <v>45470.0</v>
      </c>
      <c r="F4895" s="25">
        <v>0.2520833333333333</v>
      </c>
      <c r="G4895" s="25">
        <v>0.5736111111111111</v>
      </c>
      <c r="H4895" s="27">
        <f t="shared" si="2"/>
        <v>0.3215277778</v>
      </c>
      <c r="I4895" s="28">
        <v>2.0</v>
      </c>
      <c r="J4895" s="39" t="s">
        <v>2312</v>
      </c>
      <c r="K4895" s="41"/>
      <c r="L4895" s="31" t="str">
        <f>IFERROR(__xludf.DUMMYFUNCTION("IF(OR(E4895="""",K4895=""""),"""",IFERROR(IF(K4895="""","""",query('tbl user'!$A$2:$D10975,""SELECT A WHERE D = '""&amp;K4895&amp;""'"")),""USER TIDAK DIKETAHUI""))"),"")</f>
        <v/>
      </c>
    </row>
    <row r="4896">
      <c r="A4896" s="21" t="str">
        <f t="shared" si="1"/>
        <v/>
      </c>
      <c r="B4896" s="38"/>
      <c r="C4896" s="23" t="s">
        <v>1889</v>
      </c>
      <c r="D4896" s="23" t="s">
        <v>58</v>
      </c>
      <c r="E4896" s="24">
        <v>45470.0</v>
      </c>
      <c r="F4896" s="25">
        <v>0.2326388888888889</v>
      </c>
      <c r="G4896" s="25">
        <v>0.48680555555555555</v>
      </c>
      <c r="H4896" s="27">
        <f t="shared" si="2"/>
        <v>0.2541666667</v>
      </c>
      <c r="I4896" s="28">
        <v>2.0</v>
      </c>
      <c r="J4896" s="39" t="s">
        <v>2313</v>
      </c>
      <c r="K4896" s="41"/>
      <c r="L4896" s="31" t="str">
        <f>IFERROR(__xludf.DUMMYFUNCTION("IF(OR(E4896="""",K4896=""""),"""",IFERROR(IF(K4896="""","""",query('tbl user'!$A$2:$D10975,""SELECT A WHERE D = '""&amp;K4896&amp;""'"")),""USER TIDAK DIKETAHUI""))"),"")</f>
        <v/>
      </c>
    </row>
    <row r="4897">
      <c r="A4897" s="21" t="str">
        <f t="shared" si="1"/>
        <v/>
      </c>
      <c r="B4897" s="38"/>
      <c r="C4897" s="23" t="s">
        <v>1893</v>
      </c>
      <c r="D4897" s="23" t="s">
        <v>58</v>
      </c>
      <c r="E4897" s="24">
        <v>45470.0</v>
      </c>
      <c r="F4897" s="25">
        <v>0.2013888888888889</v>
      </c>
      <c r="G4897" s="25">
        <v>0.5555555555555556</v>
      </c>
      <c r="H4897" s="27">
        <f t="shared" si="2"/>
        <v>0.3541666667</v>
      </c>
      <c r="I4897" s="28">
        <v>2.0</v>
      </c>
      <c r="J4897" s="39" t="s">
        <v>2314</v>
      </c>
      <c r="K4897" s="41"/>
      <c r="L4897" s="31" t="str">
        <f>IFERROR(__xludf.DUMMYFUNCTION("IF(OR(E4897="""",K4897=""""),"""",IFERROR(IF(K4897="""","""",query('tbl user'!$A$2:$D10975,""SELECT A WHERE D = '""&amp;K4897&amp;""'"")),""USER TIDAK DIKETAHUI""))"),"")</f>
        <v/>
      </c>
    </row>
    <row r="4898">
      <c r="A4898" s="21" t="str">
        <f t="shared" si="1"/>
        <v/>
      </c>
      <c r="B4898" s="38"/>
      <c r="C4898" s="23" t="s">
        <v>1871</v>
      </c>
      <c r="D4898" s="23" t="s">
        <v>58</v>
      </c>
      <c r="E4898" s="24">
        <v>45470.0</v>
      </c>
      <c r="F4898" s="25">
        <v>0.2388888888888889</v>
      </c>
      <c r="G4898" s="25">
        <v>0.7041666666666667</v>
      </c>
      <c r="H4898" s="27">
        <f t="shared" si="2"/>
        <v>0.4652777778</v>
      </c>
      <c r="I4898" s="28">
        <v>2.0</v>
      </c>
      <c r="J4898" s="39" t="s">
        <v>2315</v>
      </c>
      <c r="K4898" s="41"/>
      <c r="L4898" s="31" t="str">
        <f>IFERROR(__xludf.DUMMYFUNCTION("IF(OR(E4898="""",K4898=""""),"""",IFERROR(IF(K4898="""","""",query('tbl user'!$A$2:$D10975,""SELECT A WHERE D = '""&amp;K4898&amp;""'"")),""USER TIDAK DIKETAHUI""))"),"")</f>
        <v/>
      </c>
    </row>
    <row r="4899">
      <c r="A4899" s="21" t="str">
        <f t="shared" si="1"/>
        <v/>
      </c>
      <c r="B4899" s="38"/>
      <c r="C4899" s="23" t="s">
        <v>1872</v>
      </c>
      <c r="D4899" s="23" t="s">
        <v>58</v>
      </c>
      <c r="E4899" s="24">
        <v>45470.0</v>
      </c>
      <c r="F4899" s="25">
        <v>0.2881944444444444</v>
      </c>
      <c r="G4899" s="25">
        <v>0.5743055555555555</v>
      </c>
      <c r="H4899" s="27">
        <f t="shared" si="2"/>
        <v>0.2861111111</v>
      </c>
      <c r="I4899" s="28">
        <v>2.0</v>
      </c>
      <c r="J4899" s="39" t="s">
        <v>934</v>
      </c>
      <c r="K4899" s="41"/>
      <c r="L4899" s="31" t="str">
        <f>IFERROR(__xludf.DUMMYFUNCTION("IF(OR(E4899="""",K4899=""""),"""",IFERROR(IF(K4899="""","""",query('tbl user'!$A$2:$D10975,""SELECT A WHERE D = '""&amp;K4899&amp;""'"")),""USER TIDAK DIKETAHUI""))"),"")</f>
        <v/>
      </c>
    </row>
    <row r="4900">
      <c r="A4900" s="21" t="str">
        <f t="shared" si="1"/>
        <v/>
      </c>
      <c r="B4900" s="38"/>
      <c r="C4900" s="23" t="s">
        <v>1875</v>
      </c>
      <c r="D4900" s="23" t="s">
        <v>58</v>
      </c>
      <c r="E4900" s="24">
        <v>45470.0</v>
      </c>
      <c r="F4900" s="25">
        <v>0.23958333333333334</v>
      </c>
      <c r="G4900" s="25">
        <v>0.6458333333333334</v>
      </c>
      <c r="H4900" s="27">
        <f t="shared" si="2"/>
        <v>0.40625</v>
      </c>
      <c r="I4900" s="28">
        <v>3.0</v>
      </c>
      <c r="J4900" s="39" t="s">
        <v>171</v>
      </c>
      <c r="K4900" s="41"/>
      <c r="L4900" s="31" t="str">
        <f>IFERROR(__xludf.DUMMYFUNCTION("IF(OR(E4900="""",K4900=""""),"""",IFERROR(IF(K4900="""","""",query('tbl user'!$A$2:$D10975,""SELECT A WHERE D = '""&amp;K4900&amp;""'"")),""USER TIDAK DIKETAHUI""))"),"")</f>
        <v/>
      </c>
    </row>
    <row r="4901">
      <c r="A4901" s="21" t="str">
        <f t="shared" si="1"/>
        <v/>
      </c>
      <c r="B4901" s="38"/>
      <c r="C4901" s="23" t="s">
        <v>1869</v>
      </c>
      <c r="D4901" s="23" t="s">
        <v>58</v>
      </c>
      <c r="E4901" s="24">
        <v>45470.0</v>
      </c>
      <c r="F4901" s="25">
        <v>0.2916666666666667</v>
      </c>
      <c r="G4901" s="25">
        <v>0.6666666666666666</v>
      </c>
      <c r="H4901" s="27">
        <f t="shared" si="2"/>
        <v>0.375</v>
      </c>
      <c r="I4901" s="28">
        <v>3.0</v>
      </c>
      <c r="J4901" s="39" t="s">
        <v>171</v>
      </c>
      <c r="K4901" s="41"/>
      <c r="L4901" s="31" t="str">
        <f>IFERROR(__xludf.DUMMYFUNCTION("IF(OR(E4901="""",K4901=""""),"""",IFERROR(IF(K4901="""","""",query('tbl user'!$A$2:$D10975,""SELECT A WHERE D = '""&amp;K4901&amp;""'"")),""USER TIDAK DIKETAHUI""))"),"")</f>
        <v/>
      </c>
    </row>
    <row r="4902">
      <c r="A4902" s="21" t="str">
        <f t="shared" si="1"/>
        <v/>
      </c>
      <c r="B4902" s="38"/>
      <c r="C4902" s="23" t="s">
        <v>1881</v>
      </c>
      <c r="D4902" s="23" t="s">
        <v>58</v>
      </c>
      <c r="E4902" s="24">
        <v>45470.0</v>
      </c>
      <c r="F4902" s="25">
        <v>0.22291666666666668</v>
      </c>
      <c r="G4902" s="25">
        <v>0.7083333333333334</v>
      </c>
      <c r="H4902" s="27">
        <f t="shared" si="2"/>
        <v>0.4854166667</v>
      </c>
      <c r="I4902" s="28">
        <v>3.0</v>
      </c>
      <c r="J4902" s="39" t="s">
        <v>2316</v>
      </c>
      <c r="K4902" s="41"/>
      <c r="L4902" s="31" t="str">
        <f>IFERROR(__xludf.DUMMYFUNCTION("IF(OR(E4902="""",K4902=""""),"""",IFERROR(IF(K4902="""","""",query('tbl user'!$A$2:$D10975,""SELECT A WHERE D = '""&amp;K4902&amp;""'"")),""USER TIDAK DIKETAHUI""))"),"")</f>
        <v/>
      </c>
    </row>
    <row r="4903">
      <c r="A4903" s="21" t="str">
        <f t="shared" si="1"/>
        <v/>
      </c>
      <c r="B4903" s="38"/>
      <c r="C4903" s="23" t="s">
        <v>1860</v>
      </c>
      <c r="D4903" s="23" t="s">
        <v>58</v>
      </c>
      <c r="E4903" s="24">
        <v>45470.0</v>
      </c>
      <c r="F4903" s="25">
        <v>0.28125</v>
      </c>
      <c r="G4903" s="25">
        <v>0.6583333333333333</v>
      </c>
      <c r="H4903" s="27">
        <f t="shared" si="2"/>
        <v>0.3770833333</v>
      </c>
      <c r="I4903" s="28">
        <v>3.0</v>
      </c>
      <c r="J4903" s="39" t="s">
        <v>171</v>
      </c>
      <c r="K4903" s="41"/>
      <c r="L4903" s="31" t="str">
        <f>IFERROR(__xludf.DUMMYFUNCTION("IF(OR(E4903="""",K4903=""""),"""",IFERROR(IF(K4903="""","""",query('tbl user'!$A$2:$D10975,""SELECT A WHERE D = '""&amp;K4903&amp;""'"")),""USER TIDAK DIKETAHUI""))"),"")</f>
        <v/>
      </c>
    </row>
    <row r="4904">
      <c r="A4904" s="21" t="str">
        <f t="shared" si="1"/>
        <v/>
      </c>
      <c r="B4904" s="38"/>
      <c r="C4904" s="23" t="s">
        <v>1886</v>
      </c>
      <c r="D4904" s="23" t="s">
        <v>58</v>
      </c>
      <c r="E4904" s="24">
        <v>45470.0</v>
      </c>
      <c r="F4904" s="25">
        <v>0.2923611111111111</v>
      </c>
      <c r="G4904" s="25">
        <v>0.6958333333333333</v>
      </c>
      <c r="H4904" s="27">
        <f t="shared" si="2"/>
        <v>0.4034722222</v>
      </c>
      <c r="I4904" s="28">
        <v>3.0</v>
      </c>
      <c r="J4904" s="39" t="s">
        <v>171</v>
      </c>
      <c r="K4904" s="41"/>
      <c r="L4904" s="31" t="str">
        <f>IFERROR(__xludf.DUMMYFUNCTION("IF(OR(E4904="""",K4904=""""),"""",IFERROR(IF(K4904="""","""",query('tbl user'!$A$2:$D10975,""SELECT A WHERE D = '""&amp;K4904&amp;""'"")),""USER TIDAK DIKETAHUI""))"),"")</f>
        <v/>
      </c>
    </row>
    <row r="4905">
      <c r="A4905" s="21" t="str">
        <f t="shared" si="1"/>
        <v/>
      </c>
      <c r="B4905" s="38"/>
      <c r="C4905" s="23" t="s">
        <v>1887</v>
      </c>
      <c r="D4905" s="23" t="s">
        <v>58</v>
      </c>
      <c r="E4905" s="24">
        <v>45470.0</v>
      </c>
      <c r="F4905" s="25">
        <v>0.27847222222222223</v>
      </c>
      <c r="G4905" s="25">
        <v>0.6770833333333334</v>
      </c>
      <c r="H4905" s="27">
        <f t="shared" si="2"/>
        <v>0.3986111111</v>
      </c>
      <c r="I4905" s="28">
        <v>3.0</v>
      </c>
      <c r="J4905" s="39" t="s">
        <v>171</v>
      </c>
      <c r="K4905" s="41"/>
      <c r="L4905" s="31" t="str">
        <f>IFERROR(__xludf.DUMMYFUNCTION("IF(OR(E4905="""",K4905=""""),"""",IFERROR(IF(K4905="""","""",query('tbl user'!$A$2:$D10975,""SELECT A WHERE D = '""&amp;K4905&amp;""'"")),""USER TIDAK DIKETAHUI""))"),"")</f>
        <v/>
      </c>
    </row>
    <row r="4906">
      <c r="A4906" s="21" t="str">
        <f t="shared" si="1"/>
        <v/>
      </c>
      <c r="B4906" s="38"/>
      <c r="C4906" s="23" t="s">
        <v>2090</v>
      </c>
      <c r="D4906" s="23" t="s">
        <v>58</v>
      </c>
      <c r="E4906" s="24">
        <v>45470.0</v>
      </c>
      <c r="F4906" s="25">
        <v>0.26666666666666666</v>
      </c>
      <c r="G4906" s="25">
        <v>0.6416666666666667</v>
      </c>
      <c r="H4906" s="27">
        <f t="shared" si="2"/>
        <v>0.375</v>
      </c>
      <c r="I4906" s="28">
        <v>3.0</v>
      </c>
      <c r="J4906" s="39" t="s">
        <v>1297</v>
      </c>
      <c r="K4906" s="41"/>
      <c r="L4906" s="31" t="str">
        <f>IFERROR(__xludf.DUMMYFUNCTION("IF(OR(E4906="""",K4906=""""),"""",IFERROR(IF(K4906="""","""",query('tbl user'!$A$2:$D10975,""SELECT A WHERE D = '""&amp;K4906&amp;""'"")),""USER TIDAK DIKETAHUI""))"),"")</f>
        <v/>
      </c>
    </row>
    <row r="4907">
      <c r="A4907" s="21" t="str">
        <f t="shared" si="1"/>
        <v/>
      </c>
      <c r="B4907" s="38"/>
      <c r="C4907" s="23" t="s">
        <v>1861</v>
      </c>
      <c r="D4907" s="23" t="s">
        <v>58</v>
      </c>
      <c r="E4907" s="24">
        <v>45470.0</v>
      </c>
      <c r="F4907" s="25">
        <v>0.2548611111111111</v>
      </c>
      <c r="G4907" s="25">
        <v>0.6819444444444445</v>
      </c>
      <c r="H4907" s="27">
        <f t="shared" si="2"/>
        <v>0.4270833333</v>
      </c>
      <c r="I4907" s="28">
        <v>3.0</v>
      </c>
      <c r="J4907" s="39" t="s">
        <v>2317</v>
      </c>
      <c r="K4907" s="41"/>
      <c r="L4907" s="31" t="str">
        <f>IFERROR(__xludf.DUMMYFUNCTION("IF(OR(E4907="""",K4907=""""),"""",IFERROR(IF(K4907="""","""",query('tbl user'!$A$2:$D10975,""SELECT A WHERE D = '""&amp;K4907&amp;""'"")),""USER TIDAK DIKETAHUI""))"),"")</f>
        <v/>
      </c>
    </row>
    <row r="4908">
      <c r="A4908" s="21" t="str">
        <f t="shared" si="1"/>
        <v/>
      </c>
      <c r="B4908" s="38"/>
      <c r="C4908" s="23" t="s">
        <v>1891</v>
      </c>
      <c r="D4908" s="23" t="s">
        <v>58</v>
      </c>
      <c r="E4908" s="24">
        <v>45470.0</v>
      </c>
      <c r="F4908" s="25">
        <v>0.2125</v>
      </c>
      <c r="G4908" s="25">
        <v>0.7236111111111111</v>
      </c>
      <c r="H4908" s="27">
        <f t="shared" si="2"/>
        <v>0.5111111111</v>
      </c>
      <c r="I4908" s="28">
        <v>3.0</v>
      </c>
      <c r="J4908" s="39" t="s">
        <v>171</v>
      </c>
      <c r="K4908" s="41"/>
      <c r="L4908" s="31" t="str">
        <f>IFERROR(__xludf.DUMMYFUNCTION("IF(OR(E4908="""",K4908=""""),"""",IFERROR(IF(K4908="""","""",query('tbl user'!$A$2:$D10975,""SELECT A WHERE D = '""&amp;K4908&amp;""'"")),""USER TIDAK DIKETAHUI""))"),"")</f>
        <v/>
      </c>
    </row>
    <row r="4909">
      <c r="A4909" s="21" t="str">
        <f t="shared" si="1"/>
        <v/>
      </c>
      <c r="B4909" s="38"/>
      <c r="C4909" s="23" t="s">
        <v>1884</v>
      </c>
      <c r="D4909" s="23" t="s">
        <v>58</v>
      </c>
      <c r="E4909" s="24">
        <v>45470.0</v>
      </c>
      <c r="F4909" s="25">
        <v>0.225</v>
      </c>
      <c r="G4909" s="25">
        <v>0.7111111111111111</v>
      </c>
      <c r="H4909" s="27">
        <f t="shared" si="2"/>
        <v>0.4861111111</v>
      </c>
      <c r="I4909" s="28">
        <v>4.0</v>
      </c>
      <c r="J4909" s="39" t="s">
        <v>55</v>
      </c>
      <c r="K4909" s="41"/>
      <c r="L4909" s="31" t="str">
        <f>IFERROR(__xludf.DUMMYFUNCTION("IF(OR(E4909="""",K4909=""""),"""",IFERROR(IF(K4909="""","""",query('tbl user'!$A$2:$D10975,""SELECT A WHERE D = '""&amp;K4909&amp;""'"")),""USER TIDAK DIKETAHUI""))"),"")</f>
        <v/>
      </c>
    </row>
    <row r="4910">
      <c r="A4910" s="21" t="str">
        <f t="shared" si="1"/>
        <v/>
      </c>
      <c r="B4910" s="38"/>
      <c r="C4910" s="23" t="s">
        <v>1950</v>
      </c>
      <c r="D4910" s="23" t="s">
        <v>58</v>
      </c>
      <c r="E4910" s="24">
        <v>45470.0</v>
      </c>
      <c r="F4910" s="25">
        <v>0.26875</v>
      </c>
      <c r="G4910" s="25">
        <v>0.6909722222222222</v>
      </c>
      <c r="H4910" s="27">
        <f t="shared" si="2"/>
        <v>0.4222222222</v>
      </c>
      <c r="I4910" s="28">
        <v>4.0</v>
      </c>
      <c r="J4910" s="39" t="s">
        <v>55</v>
      </c>
      <c r="K4910" s="41"/>
      <c r="L4910" s="31" t="str">
        <f>IFERROR(__xludf.DUMMYFUNCTION("IF(OR(E4910="""",K4910=""""),"""",IFERROR(IF(K4910="""","""",query('tbl user'!$A$2:$D10975,""SELECT A WHERE D = '""&amp;K4910&amp;""'"")),""USER TIDAK DIKETAHUI""))"),"")</f>
        <v/>
      </c>
    </row>
    <row r="4911">
      <c r="A4911" s="21" t="str">
        <f t="shared" si="1"/>
        <v/>
      </c>
      <c r="B4911" s="38"/>
      <c r="C4911" s="23" t="s">
        <v>1963</v>
      </c>
      <c r="D4911" s="23" t="s">
        <v>32</v>
      </c>
      <c r="E4911" s="24">
        <v>45470.0</v>
      </c>
      <c r="F4911" s="25">
        <v>0.2847222222222222</v>
      </c>
      <c r="G4911" s="25">
        <v>0.48819444444444443</v>
      </c>
      <c r="H4911" s="27">
        <f t="shared" si="2"/>
        <v>0.2034722222</v>
      </c>
      <c r="I4911" s="28">
        <v>1.0</v>
      </c>
      <c r="J4911" s="39" t="s">
        <v>2318</v>
      </c>
      <c r="K4911" s="41"/>
      <c r="L4911" s="31" t="str">
        <f>IFERROR(__xludf.DUMMYFUNCTION("IF(OR(E4911="""",K4911=""""),"""",IFERROR(IF(K4911="""","""",query('tbl user'!$A$2:$D10975,""SELECT A WHERE D = '""&amp;K4911&amp;""'"")),""USER TIDAK DIKETAHUI""))"),"")</f>
        <v/>
      </c>
    </row>
    <row r="4912">
      <c r="A4912" s="21" t="str">
        <f t="shared" si="1"/>
        <v/>
      </c>
      <c r="B4912" s="38"/>
      <c r="C4912" s="23" t="s">
        <v>1990</v>
      </c>
      <c r="D4912" s="23" t="s">
        <v>32</v>
      </c>
      <c r="E4912" s="24">
        <v>45470.0</v>
      </c>
      <c r="F4912" s="25">
        <v>0.2652777777777778</v>
      </c>
      <c r="G4912" s="25">
        <v>0.7131944444444445</v>
      </c>
      <c r="H4912" s="27">
        <f t="shared" si="2"/>
        <v>0.4479166667</v>
      </c>
      <c r="I4912" s="28">
        <v>1.0</v>
      </c>
      <c r="J4912" s="39" t="s">
        <v>2319</v>
      </c>
      <c r="K4912" s="41"/>
      <c r="L4912" s="31" t="str">
        <f>IFERROR(__xludf.DUMMYFUNCTION("IF(OR(E4912="""",K4912=""""),"""",IFERROR(IF(K4912="""","""",query('tbl user'!$A$2:$D10975,""SELECT A WHERE D = '""&amp;K4912&amp;""'"")),""USER TIDAK DIKETAHUI""))"),"")</f>
        <v/>
      </c>
    </row>
    <row r="4913">
      <c r="A4913" s="21" t="str">
        <f t="shared" si="1"/>
        <v/>
      </c>
      <c r="B4913" s="38"/>
      <c r="C4913" s="23" t="s">
        <v>1894</v>
      </c>
      <c r="D4913" s="23" t="s">
        <v>32</v>
      </c>
      <c r="E4913" s="24">
        <v>45470.0</v>
      </c>
      <c r="F4913" s="25">
        <v>0.24513888888888888</v>
      </c>
      <c r="G4913" s="25">
        <v>0.4777777777777778</v>
      </c>
      <c r="H4913" s="27">
        <f t="shared" si="2"/>
        <v>0.2326388889</v>
      </c>
      <c r="I4913" s="28">
        <v>2.0</v>
      </c>
      <c r="J4913" s="39" t="s">
        <v>2320</v>
      </c>
      <c r="K4913" s="41"/>
      <c r="L4913" s="31" t="str">
        <f>IFERROR(__xludf.DUMMYFUNCTION("IF(OR(E4913="""",K4913=""""),"""",IFERROR(IF(K4913="""","""",query('tbl user'!$A$2:$D10975,""SELECT A WHERE D = '""&amp;K4913&amp;""'"")),""USER TIDAK DIKETAHUI""))"),"")</f>
        <v/>
      </c>
    </row>
    <row r="4914">
      <c r="A4914" s="21" t="str">
        <f t="shared" si="1"/>
        <v/>
      </c>
      <c r="B4914" s="38"/>
      <c r="C4914" s="23" t="s">
        <v>1912</v>
      </c>
      <c r="D4914" s="23" t="s">
        <v>32</v>
      </c>
      <c r="E4914" s="24">
        <v>45470.0</v>
      </c>
      <c r="F4914" s="25">
        <v>0.28888888888888886</v>
      </c>
      <c r="G4914" s="25">
        <v>0.5444444444444444</v>
      </c>
      <c r="H4914" s="27">
        <f t="shared" si="2"/>
        <v>0.2555555556</v>
      </c>
      <c r="I4914" s="28">
        <v>2.0</v>
      </c>
      <c r="J4914" s="39" t="s">
        <v>2321</v>
      </c>
      <c r="K4914" s="41"/>
      <c r="L4914" s="31" t="str">
        <f>IFERROR(__xludf.DUMMYFUNCTION("IF(OR(E4914="""",K4914=""""),"""",IFERROR(IF(K4914="""","""",query('tbl user'!$A$2:$D10975,""SELECT A WHERE D = '""&amp;K4914&amp;""'"")),""USER TIDAK DIKETAHUI""))"),"")</f>
        <v/>
      </c>
    </row>
    <row r="4915">
      <c r="A4915" s="21" t="str">
        <f t="shared" si="1"/>
        <v/>
      </c>
      <c r="B4915" s="38"/>
      <c r="C4915" s="23" t="s">
        <v>2092</v>
      </c>
      <c r="D4915" s="23" t="s">
        <v>32</v>
      </c>
      <c r="E4915" s="24">
        <v>45470.0</v>
      </c>
      <c r="F4915" s="25">
        <v>0.2388888888888889</v>
      </c>
      <c r="G4915" s="25">
        <v>0.5694444444444444</v>
      </c>
      <c r="H4915" s="27">
        <f t="shared" si="2"/>
        <v>0.3305555556</v>
      </c>
      <c r="I4915" s="28">
        <v>3.0</v>
      </c>
      <c r="J4915" s="39" t="s">
        <v>2322</v>
      </c>
      <c r="K4915" s="41"/>
      <c r="L4915" s="31" t="str">
        <f>IFERROR(__xludf.DUMMYFUNCTION("IF(OR(E4915="""",K4915=""""),"""",IFERROR(IF(K4915="""","""",query('tbl user'!$A$2:$D10975,""SELECT A WHERE D = '""&amp;K4915&amp;""'"")),""USER TIDAK DIKETAHUI""))"),"")</f>
        <v/>
      </c>
    </row>
    <row r="4916">
      <c r="A4916" s="21" t="str">
        <f t="shared" si="1"/>
        <v/>
      </c>
      <c r="B4916" s="38"/>
      <c r="C4916" s="23" t="s">
        <v>1898</v>
      </c>
      <c r="D4916" s="23" t="s">
        <v>32</v>
      </c>
      <c r="E4916" s="24">
        <v>45470.0</v>
      </c>
      <c r="F4916" s="25">
        <v>0.2881944444444444</v>
      </c>
      <c r="G4916" s="25">
        <v>0.6541666666666667</v>
      </c>
      <c r="H4916" s="27">
        <f t="shared" si="2"/>
        <v>0.3659722222</v>
      </c>
      <c r="I4916" s="28">
        <v>3.0</v>
      </c>
      <c r="J4916" s="39" t="s">
        <v>2299</v>
      </c>
      <c r="K4916" s="41"/>
      <c r="L4916" s="31" t="str">
        <f>IFERROR(__xludf.DUMMYFUNCTION("IF(OR(E4916="""",K4916=""""),"""",IFERROR(IF(K4916="""","""",query('tbl user'!$A$2:$D10975,""SELECT A WHERE D = '""&amp;K4916&amp;""'"")),""USER TIDAK DIKETAHUI""))"),"")</f>
        <v/>
      </c>
    </row>
    <row r="4917">
      <c r="A4917" s="21" t="str">
        <f t="shared" si="1"/>
        <v/>
      </c>
      <c r="B4917" s="38"/>
      <c r="C4917" s="23" t="s">
        <v>2066</v>
      </c>
      <c r="D4917" s="23" t="s">
        <v>32</v>
      </c>
      <c r="E4917" s="24">
        <v>45470.0</v>
      </c>
      <c r="F4917" s="25">
        <v>0.28888888888888886</v>
      </c>
      <c r="G4917" s="25">
        <v>0.6541666666666667</v>
      </c>
      <c r="H4917" s="27">
        <f t="shared" si="2"/>
        <v>0.3652777778</v>
      </c>
      <c r="I4917" s="28">
        <v>3.0</v>
      </c>
      <c r="J4917" s="39" t="s">
        <v>1333</v>
      </c>
      <c r="K4917" s="41"/>
      <c r="L4917" s="31" t="str">
        <f>IFERROR(__xludf.DUMMYFUNCTION("IF(OR(E4917="""",K4917=""""),"""",IFERROR(IF(K4917="""","""",query('tbl user'!$A$2:$D10975,""SELECT A WHERE D = '""&amp;K4917&amp;""'"")),""USER TIDAK DIKETAHUI""))"),"")</f>
        <v/>
      </c>
    </row>
    <row r="4918">
      <c r="A4918" s="21" t="str">
        <f t="shared" si="1"/>
        <v/>
      </c>
      <c r="B4918" s="38"/>
      <c r="C4918" s="23" t="s">
        <v>1959</v>
      </c>
      <c r="D4918" s="23" t="s">
        <v>32</v>
      </c>
      <c r="E4918" s="24">
        <v>45470.0</v>
      </c>
      <c r="F4918" s="25">
        <v>0.2513888888888889</v>
      </c>
      <c r="G4918" s="25">
        <v>0.6958333333333333</v>
      </c>
      <c r="H4918" s="27">
        <f t="shared" si="2"/>
        <v>0.4444444444</v>
      </c>
      <c r="I4918" s="28">
        <v>3.0</v>
      </c>
      <c r="J4918" s="39" t="s">
        <v>218</v>
      </c>
      <c r="K4918" s="41"/>
      <c r="L4918" s="31" t="str">
        <f>IFERROR(__xludf.DUMMYFUNCTION("IF(OR(E4918="""",K4918=""""),"""",IFERROR(IF(K4918="""","""",query('tbl user'!$A$2:$D10975,""SELECT A WHERE D = '""&amp;K4918&amp;""'"")),""USER TIDAK DIKETAHUI""))"),"")</f>
        <v/>
      </c>
    </row>
    <row r="4919">
      <c r="A4919" s="21" t="str">
        <f t="shared" si="1"/>
        <v/>
      </c>
      <c r="B4919" s="38"/>
      <c r="C4919" s="23" t="s">
        <v>1903</v>
      </c>
      <c r="D4919" s="23" t="s">
        <v>32</v>
      </c>
      <c r="E4919" s="24">
        <v>45470.0</v>
      </c>
      <c r="F4919" s="25">
        <v>0.29097222222222224</v>
      </c>
      <c r="G4919" s="25">
        <v>0.6604166666666667</v>
      </c>
      <c r="H4919" s="27">
        <f t="shared" si="2"/>
        <v>0.3694444444</v>
      </c>
      <c r="I4919" s="28">
        <v>3.0</v>
      </c>
      <c r="J4919" s="39" t="s">
        <v>2299</v>
      </c>
      <c r="K4919" s="41"/>
      <c r="L4919" s="31" t="str">
        <f>IFERROR(__xludf.DUMMYFUNCTION("IF(OR(E4919="""",K4919=""""),"""",IFERROR(IF(K4919="""","""",query('tbl user'!$A$2:$D10975,""SELECT A WHERE D = '""&amp;K4919&amp;""'"")),""USER TIDAK DIKETAHUI""))"),"")</f>
        <v/>
      </c>
    </row>
    <row r="4920">
      <c r="A4920" s="21" t="str">
        <f t="shared" si="1"/>
        <v/>
      </c>
      <c r="B4920" s="38"/>
      <c r="C4920" s="23" t="s">
        <v>1904</v>
      </c>
      <c r="D4920" s="23" t="s">
        <v>32</v>
      </c>
      <c r="E4920" s="24">
        <v>45470.0</v>
      </c>
      <c r="F4920" s="25">
        <v>0.28055555555555556</v>
      </c>
      <c r="G4920" s="25">
        <v>0.6458333333333334</v>
      </c>
      <c r="H4920" s="27">
        <f t="shared" si="2"/>
        <v>0.3652777778</v>
      </c>
      <c r="I4920" s="28">
        <v>3.0</v>
      </c>
      <c r="J4920" s="39" t="s">
        <v>2299</v>
      </c>
      <c r="K4920" s="41"/>
      <c r="L4920" s="31" t="str">
        <f>IFERROR(__xludf.DUMMYFUNCTION("IF(OR(E4920="""",K4920=""""),"""",IFERROR(IF(K4920="""","""",query('tbl user'!$A$2:$D10975,""SELECT A WHERE D = '""&amp;K4920&amp;""'"")),""USER TIDAK DIKETAHUI""))"),"")</f>
        <v/>
      </c>
    </row>
    <row r="4921">
      <c r="A4921" s="21" t="str">
        <f t="shared" si="1"/>
        <v/>
      </c>
      <c r="B4921" s="38"/>
      <c r="C4921" s="23" t="s">
        <v>1964</v>
      </c>
      <c r="D4921" s="23" t="s">
        <v>32</v>
      </c>
      <c r="E4921" s="24">
        <v>45470.0</v>
      </c>
      <c r="F4921" s="25">
        <v>0.25277777777777777</v>
      </c>
      <c r="G4921" s="25">
        <v>0.7256944444444444</v>
      </c>
      <c r="H4921" s="27">
        <f t="shared" si="2"/>
        <v>0.4729166667</v>
      </c>
      <c r="I4921" s="28">
        <v>4.0</v>
      </c>
      <c r="J4921" s="39" t="s">
        <v>55</v>
      </c>
      <c r="K4921" s="41"/>
      <c r="L4921" s="31" t="str">
        <f>IFERROR(__xludf.DUMMYFUNCTION("IF(OR(E4921="""",K4921=""""),"""",IFERROR(IF(K4921="""","""",query('tbl user'!$A$2:$D10975,""SELECT A WHERE D = '""&amp;K4921&amp;""'"")),""USER TIDAK DIKETAHUI""))"),"")</f>
        <v/>
      </c>
    </row>
    <row r="4922">
      <c r="A4922" s="21" t="str">
        <f t="shared" si="1"/>
        <v/>
      </c>
      <c r="B4922" s="38"/>
      <c r="C4922" s="23" t="s">
        <v>1965</v>
      </c>
      <c r="D4922" s="23" t="s">
        <v>32</v>
      </c>
      <c r="E4922" s="24">
        <v>45470.0</v>
      </c>
      <c r="F4922" s="25">
        <v>0.26666666666666666</v>
      </c>
      <c r="G4922" s="25">
        <v>0.6965277777777777</v>
      </c>
      <c r="H4922" s="27">
        <f t="shared" si="2"/>
        <v>0.4298611111</v>
      </c>
      <c r="I4922" s="28">
        <v>4.0</v>
      </c>
      <c r="J4922" s="39" t="s">
        <v>55</v>
      </c>
      <c r="K4922" s="41"/>
      <c r="L4922" s="31" t="str">
        <f>IFERROR(__xludf.DUMMYFUNCTION("IF(OR(E4922="""",K4922=""""),"""",IFERROR(IF(K4922="""","""",query('tbl user'!$A$2:$D10975,""SELECT A WHERE D = '""&amp;K4922&amp;""'"")),""USER TIDAK DIKETAHUI""))"),"")</f>
        <v/>
      </c>
    </row>
    <row r="4923">
      <c r="A4923" s="21" t="str">
        <f t="shared" si="1"/>
        <v/>
      </c>
      <c r="B4923" s="38"/>
      <c r="C4923" s="23" t="s">
        <v>1966</v>
      </c>
      <c r="D4923" s="23" t="s">
        <v>32</v>
      </c>
      <c r="E4923" s="24">
        <v>45470.0</v>
      </c>
      <c r="F4923" s="25">
        <v>0.24097222222222223</v>
      </c>
      <c r="G4923" s="25">
        <v>0.7430555555555556</v>
      </c>
      <c r="H4923" s="27">
        <f t="shared" si="2"/>
        <v>0.5020833333</v>
      </c>
      <c r="I4923" s="28">
        <v>4.0</v>
      </c>
      <c r="J4923" s="39" t="s">
        <v>55</v>
      </c>
      <c r="K4923" s="41"/>
      <c r="L4923" s="31" t="str">
        <f>IFERROR(__xludf.DUMMYFUNCTION("IF(OR(E4923="""",K4923=""""),"""",IFERROR(IF(K4923="""","""",query('tbl user'!$A$2:$D10975,""SELECT A WHERE D = '""&amp;K4923&amp;""'"")),""USER TIDAK DIKETAHUI""))"),"")</f>
        <v/>
      </c>
    </row>
    <row r="4924">
      <c r="A4924" s="21" t="str">
        <f t="shared" si="1"/>
        <v/>
      </c>
      <c r="B4924" s="38"/>
      <c r="C4924" s="23" t="s">
        <v>1967</v>
      </c>
      <c r="D4924" s="23" t="s">
        <v>32</v>
      </c>
      <c r="E4924" s="24">
        <v>45470.0</v>
      </c>
      <c r="F4924" s="25">
        <v>0.23680555555555555</v>
      </c>
      <c r="G4924" s="25">
        <v>0.6472222222222223</v>
      </c>
      <c r="H4924" s="27">
        <f t="shared" si="2"/>
        <v>0.4104166667</v>
      </c>
      <c r="I4924" s="28">
        <v>4.0</v>
      </c>
      <c r="J4924" s="39" t="s">
        <v>55</v>
      </c>
      <c r="K4924" s="41"/>
      <c r="L4924" s="31" t="str">
        <f>IFERROR(__xludf.DUMMYFUNCTION("IF(OR(E4924="""",K4924=""""),"""",IFERROR(IF(K4924="""","""",query('tbl user'!$A$2:$D10975,""SELECT A WHERE D = '""&amp;K4924&amp;""'"")),""USER TIDAK DIKETAHUI""))"),"")</f>
        <v/>
      </c>
    </row>
    <row r="4925">
      <c r="A4925" s="21" t="str">
        <f t="shared" si="1"/>
        <v/>
      </c>
      <c r="B4925" s="38"/>
      <c r="C4925" s="23" t="s">
        <v>2190</v>
      </c>
      <c r="D4925" s="23" t="s">
        <v>32</v>
      </c>
      <c r="E4925" s="24">
        <v>45470.0</v>
      </c>
      <c r="F4925" s="25">
        <v>0.2881944444444444</v>
      </c>
      <c r="G4925" s="25">
        <v>0.71875</v>
      </c>
      <c r="H4925" s="27">
        <f t="shared" si="2"/>
        <v>0.4305555556</v>
      </c>
      <c r="I4925" s="28">
        <v>4.0</v>
      </c>
      <c r="J4925" s="39" t="s">
        <v>55</v>
      </c>
      <c r="K4925" s="41"/>
      <c r="L4925" s="31" t="str">
        <f>IFERROR(__xludf.DUMMYFUNCTION("IF(OR(E4925="""",K4925=""""),"""",IFERROR(IF(K4925="""","""",query('tbl user'!$A$2:$D10975,""SELECT A WHERE D = '""&amp;K4925&amp;""'"")),""USER TIDAK DIKETAHUI""))"),"")</f>
        <v/>
      </c>
    </row>
    <row r="4926">
      <c r="A4926" s="21" t="str">
        <f t="shared" si="1"/>
        <v/>
      </c>
      <c r="B4926" s="38"/>
      <c r="C4926" s="23" t="s">
        <v>1920</v>
      </c>
      <c r="D4926" s="23" t="s">
        <v>21</v>
      </c>
      <c r="E4926" s="24">
        <v>45471.0</v>
      </c>
      <c r="F4926" s="25">
        <v>0.28888888888888886</v>
      </c>
      <c r="G4926" s="25">
        <v>0.3798611111111111</v>
      </c>
      <c r="H4926" s="27">
        <f t="shared" si="2"/>
        <v>0.09097222222</v>
      </c>
      <c r="I4926" s="28">
        <v>0.0</v>
      </c>
      <c r="J4926" s="39" t="s">
        <v>2323</v>
      </c>
      <c r="K4926" s="41"/>
      <c r="L4926" s="31" t="str">
        <f>IFERROR(__xludf.DUMMYFUNCTION("IF(OR(E4926="""",K4926=""""),"""",IFERROR(IF(K4926="""","""",query('tbl user'!$A$2:$D10975,""SELECT A WHERE D = '""&amp;K4926&amp;""'"")),""USER TIDAK DIKETAHUI""))"),"")</f>
        <v/>
      </c>
    </row>
    <row r="4927">
      <c r="A4927" s="21" t="str">
        <f t="shared" si="1"/>
        <v/>
      </c>
      <c r="B4927" s="38"/>
      <c r="C4927" s="23" t="s">
        <v>1827</v>
      </c>
      <c r="D4927" s="23" t="s">
        <v>21</v>
      </c>
      <c r="E4927" s="24">
        <v>45471.0</v>
      </c>
      <c r="F4927" s="25">
        <v>0.5520833333333334</v>
      </c>
      <c r="G4927" s="25">
        <v>0.70625</v>
      </c>
      <c r="H4927" s="27">
        <f t="shared" si="2"/>
        <v>0.1541666667</v>
      </c>
      <c r="I4927" s="28">
        <v>1.0</v>
      </c>
      <c r="J4927" s="39" t="s">
        <v>2324</v>
      </c>
      <c r="K4927" s="41"/>
      <c r="L4927" s="31" t="str">
        <f>IFERROR(__xludf.DUMMYFUNCTION("IF(OR(E4927="""",K4927=""""),"""",IFERROR(IF(K4927="""","""",query('tbl user'!$A$2:$D10975,""SELECT A WHERE D = '""&amp;K4927&amp;""'"")),""USER TIDAK DIKETAHUI""))"),"")</f>
        <v/>
      </c>
    </row>
    <row r="4928">
      <c r="A4928" s="21" t="str">
        <f t="shared" si="1"/>
        <v/>
      </c>
      <c r="B4928" s="38"/>
      <c r="C4928" s="23" t="s">
        <v>1830</v>
      </c>
      <c r="D4928" s="23" t="s">
        <v>21</v>
      </c>
      <c r="E4928" s="24">
        <v>45471.0</v>
      </c>
      <c r="F4928" s="25">
        <v>0.2791666666666667</v>
      </c>
      <c r="G4928" s="25">
        <v>0.4826388888888889</v>
      </c>
      <c r="H4928" s="27">
        <f t="shared" si="2"/>
        <v>0.2034722222</v>
      </c>
      <c r="I4928" s="28">
        <v>1.0</v>
      </c>
      <c r="J4928" s="39" t="s">
        <v>2325</v>
      </c>
      <c r="K4928" s="41"/>
      <c r="L4928" s="31" t="str">
        <f>IFERROR(__xludf.DUMMYFUNCTION("IF(OR(E4928="""",K4928=""""),"""",IFERROR(IF(K4928="""","""",query('tbl user'!$A$2:$D10975,""SELECT A WHERE D = '""&amp;K4928&amp;""'"")),""USER TIDAK DIKETAHUI""))"),"")</f>
        <v/>
      </c>
    </row>
    <row r="4929">
      <c r="A4929" s="21" t="str">
        <f t="shared" si="1"/>
        <v/>
      </c>
      <c r="B4929" s="38"/>
      <c r="C4929" s="23" t="s">
        <v>1844</v>
      </c>
      <c r="D4929" s="23" t="s">
        <v>21</v>
      </c>
      <c r="E4929" s="24">
        <v>45471.0</v>
      </c>
      <c r="F4929" s="25">
        <v>0.23472222222222222</v>
      </c>
      <c r="G4929" s="25">
        <v>0.46805555555555556</v>
      </c>
      <c r="H4929" s="27">
        <f t="shared" si="2"/>
        <v>0.2333333333</v>
      </c>
      <c r="I4929" s="28">
        <v>1.0</v>
      </c>
      <c r="J4929" s="39" t="s">
        <v>2326</v>
      </c>
      <c r="K4929" s="41"/>
      <c r="L4929" s="31" t="str">
        <f>IFERROR(__xludf.DUMMYFUNCTION("IF(OR(E4929="""",K4929=""""),"""",IFERROR(IF(K4929="""","""",query('tbl user'!$A$2:$D10975,""SELECT A WHERE D = '""&amp;K4929&amp;""'"")),""USER TIDAK DIKETAHUI""))"),"")</f>
        <v/>
      </c>
    </row>
    <row r="4930">
      <c r="A4930" s="21" t="str">
        <f t="shared" si="1"/>
        <v/>
      </c>
      <c r="B4930" s="38"/>
      <c r="C4930" s="23" t="s">
        <v>1930</v>
      </c>
      <c r="D4930" s="23" t="s">
        <v>21</v>
      </c>
      <c r="E4930" s="24">
        <v>45471.0</v>
      </c>
      <c r="F4930" s="25">
        <v>0.2763888888888889</v>
      </c>
      <c r="G4930" s="25">
        <v>0.4215277777777778</v>
      </c>
      <c r="H4930" s="27">
        <f t="shared" si="2"/>
        <v>0.1451388889</v>
      </c>
      <c r="I4930" s="28">
        <v>1.0</v>
      </c>
      <c r="J4930" s="39" t="s">
        <v>2327</v>
      </c>
      <c r="K4930" s="41"/>
      <c r="L4930" s="31" t="str">
        <f>IFERROR(__xludf.DUMMYFUNCTION("IF(OR(E4930="""",K4930=""""),"""",IFERROR(IF(K4930="""","""",query('tbl user'!$A$2:$D10975,""SELECT A WHERE D = '""&amp;K4930&amp;""'"")),""USER TIDAK DIKETAHUI""))"),"")</f>
        <v/>
      </c>
    </row>
    <row r="4931">
      <c r="A4931" s="21" t="str">
        <f t="shared" si="1"/>
        <v/>
      </c>
      <c r="B4931" s="38"/>
      <c r="C4931" s="23" t="s">
        <v>1845</v>
      </c>
      <c r="D4931" s="23" t="s">
        <v>21</v>
      </c>
      <c r="E4931" s="24">
        <v>45471.0</v>
      </c>
      <c r="F4931" s="25">
        <v>0.2861111111111111</v>
      </c>
      <c r="G4931" s="25">
        <v>0.42430555555555555</v>
      </c>
      <c r="H4931" s="27">
        <f t="shared" si="2"/>
        <v>0.1381944444</v>
      </c>
      <c r="I4931" s="28">
        <v>1.0</v>
      </c>
      <c r="J4931" s="39" t="s">
        <v>2328</v>
      </c>
      <c r="K4931" s="41"/>
      <c r="L4931" s="31" t="str">
        <f>IFERROR(__xludf.DUMMYFUNCTION("IF(OR(E4931="""",K4931=""""),"""",IFERROR(IF(K4931="""","""",query('tbl user'!$A$2:$D10975,""SELECT A WHERE D = '""&amp;K4931&amp;""'"")),""USER TIDAK DIKETAHUI""))"),"")</f>
        <v/>
      </c>
    </row>
    <row r="4932">
      <c r="A4932" s="21" t="str">
        <f t="shared" si="1"/>
        <v/>
      </c>
      <c r="B4932" s="38"/>
      <c r="C4932" s="23" t="s">
        <v>2002</v>
      </c>
      <c r="D4932" s="23" t="s">
        <v>21</v>
      </c>
      <c r="E4932" s="24">
        <v>45471.0</v>
      </c>
      <c r="F4932" s="25">
        <v>0.4597222222222222</v>
      </c>
      <c r="G4932" s="25">
        <v>0.7048611111111112</v>
      </c>
      <c r="H4932" s="27">
        <f t="shared" si="2"/>
        <v>0.2451388889</v>
      </c>
      <c r="I4932" s="28">
        <v>2.0</v>
      </c>
      <c r="J4932" s="39" t="s">
        <v>2329</v>
      </c>
      <c r="K4932" s="41"/>
      <c r="L4932" s="31" t="str">
        <f>IFERROR(__xludf.DUMMYFUNCTION("IF(OR(E4932="""",K4932=""""),"""",IFERROR(IF(K4932="""","""",query('tbl user'!$A$2:$D10975,""SELECT A WHERE D = '""&amp;K4932&amp;""'"")),""USER TIDAK DIKETAHUI""))"),"")</f>
        <v/>
      </c>
    </row>
    <row r="4933">
      <c r="A4933" s="21" t="str">
        <f t="shared" si="1"/>
        <v/>
      </c>
      <c r="B4933" s="38"/>
      <c r="C4933" s="23" t="s">
        <v>1853</v>
      </c>
      <c r="D4933" s="23" t="s">
        <v>21</v>
      </c>
      <c r="E4933" s="24">
        <v>45471.0</v>
      </c>
      <c r="F4933" s="25">
        <v>0.27847222222222223</v>
      </c>
      <c r="G4933" s="25">
        <v>0.6118055555555556</v>
      </c>
      <c r="H4933" s="27">
        <f t="shared" si="2"/>
        <v>0.3333333333</v>
      </c>
      <c r="I4933" s="28">
        <v>2.0</v>
      </c>
      <c r="J4933" s="39" t="s">
        <v>1365</v>
      </c>
      <c r="K4933" s="41"/>
      <c r="L4933" s="31" t="str">
        <f>IFERROR(__xludf.DUMMYFUNCTION("IF(OR(E4933="""",K4933=""""),"""",IFERROR(IF(K4933="""","""",query('tbl user'!$A$2:$D10975,""SELECT A WHERE D = '""&amp;K4933&amp;""'"")),""USER TIDAK DIKETAHUI""))"),"")</f>
        <v/>
      </c>
    </row>
    <row r="4934">
      <c r="A4934" s="21" t="str">
        <f t="shared" si="1"/>
        <v/>
      </c>
      <c r="B4934" s="38"/>
      <c r="C4934" s="23" t="s">
        <v>2041</v>
      </c>
      <c r="D4934" s="23" t="s">
        <v>21</v>
      </c>
      <c r="E4934" s="24">
        <v>45471.0</v>
      </c>
      <c r="F4934" s="25">
        <v>0.23402777777777778</v>
      </c>
      <c r="G4934" s="25">
        <v>0.4722222222222222</v>
      </c>
      <c r="H4934" s="27">
        <f t="shared" si="2"/>
        <v>0.2381944444</v>
      </c>
      <c r="I4934" s="28">
        <v>2.0</v>
      </c>
      <c r="J4934" s="39" t="s">
        <v>2330</v>
      </c>
      <c r="K4934" s="41"/>
      <c r="L4934" s="31" t="str">
        <f>IFERROR(__xludf.DUMMYFUNCTION("IF(OR(E4934="""",K4934=""""),"""",IFERROR(IF(K4934="""","""",query('tbl user'!$A$2:$D10975,""SELECT A WHERE D = '""&amp;K4934&amp;""'"")),""USER TIDAK DIKETAHUI""))"),"")</f>
        <v/>
      </c>
    </row>
    <row r="4935">
      <c r="A4935" s="21" t="str">
        <f t="shared" si="1"/>
        <v/>
      </c>
      <c r="B4935" s="38"/>
      <c r="C4935" s="23" t="s">
        <v>1925</v>
      </c>
      <c r="D4935" s="23" t="s">
        <v>21</v>
      </c>
      <c r="E4935" s="24">
        <v>45471.0</v>
      </c>
      <c r="F4935" s="25">
        <v>0.2534722222222222</v>
      </c>
      <c r="G4935" s="25">
        <v>0.5444444444444444</v>
      </c>
      <c r="H4935" s="27">
        <f t="shared" si="2"/>
        <v>0.2909722222</v>
      </c>
      <c r="I4935" s="28">
        <v>2.0</v>
      </c>
      <c r="J4935" s="39" t="s">
        <v>2331</v>
      </c>
      <c r="K4935" s="41"/>
      <c r="L4935" s="31" t="str">
        <f>IFERROR(__xludf.DUMMYFUNCTION("IF(OR(E4935="""",K4935=""""),"""",IFERROR(IF(K4935="""","""",query('tbl user'!$A$2:$D10975,""SELECT A WHERE D = '""&amp;K4935&amp;""'"")),""USER TIDAK DIKETAHUI""))"),"")</f>
        <v/>
      </c>
    </row>
    <row r="4936">
      <c r="A4936" s="21" t="str">
        <f t="shared" si="1"/>
        <v/>
      </c>
      <c r="B4936" s="38"/>
      <c r="C4936" s="23" t="s">
        <v>1856</v>
      </c>
      <c r="D4936" s="23" t="s">
        <v>21</v>
      </c>
      <c r="E4936" s="24">
        <v>45471.0</v>
      </c>
      <c r="F4936" s="25">
        <v>0.24444444444444444</v>
      </c>
      <c r="G4936" s="25">
        <v>0.5555555555555556</v>
      </c>
      <c r="H4936" s="27">
        <f t="shared" si="2"/>
        <v>0.3111111111</v>
      </c>
      <c r="I4936" s="28">
        <v>2.0</v>
      </c>
      <c r="J4936" s="39" t="s">
        <v>2332</v>
      </c>
      <c r="K4936" s="41"/>
      <c r="L4936" s="31" t="str">
        <f>IFERROR(__xludf.DUMMYFUNCTION("IF(OR(E4936="""",K4936=""""),"""",IFERROR(IF(K4936="""","""",query('tbl user'!$A$2:$D10975,""SELECT A WHERE D = '""&amp;K4936&amp;""'"")),""USER TIDAK DIKETAHUI""))"),"")</f>
        <v/>
      </c>
    </row>
    <row r="4937">
      <c r="A4937" s="21" t="str">
        <f t="shared" si="1"/>
        <v/>
      </c>
      <c r="B4937" s="38"/>
      <c r="C4937" s="23" t="s">
        <v>1857</v>
      </c>
      <c r="D4937" s="23" t="s">
        <v>21</v>
      </c>
      <c r="E4937" s="24">
        <v>45471.0</v>
      </c>
      <c r="F4937" s="25">
        <v>0.2520833333333333</v>
      </c>
      <c r="G4937" s="25">
        <v>0.6256944444444444</v>
      </c>
      <c r="H4937" s="27">
        <f t="shared" si="2"/>
        <v>0.3736111111</v>
      </c>
      <c r="I4937" s="28">
        <v>2.0</v>
      </c>
      <c r="J4937" s="39" t="s">
        <v>2333</v>
      </c>
      <c r="K4937" s="41"/>
      <c r="L4937" s="31" t="str">
        <f>IFERROR(__xludf.DUMMYFUNCTION("IF(OR(E4937="""",K4937=""""),"""",IFERROR(IF(K4937="""","""",query('tbl user'!$A$2:$D10975,""SELECT A WHERE D = '""&amp;K4937&amp;""'"")),""USER TIDAK DIKETAHUI""))"),"")</f>
        <v/>
      </c>
    </row>
    <row r="4938">
      <c r="A4938" s="21" t="str">
        <f t="shared" si="1"/>
        <v/>
      </c>
      <c r="B4938" s="38"/>
      <c r="C4938" s="23" t="s">
        <v>2049</v>
      </c>
      <c r="D4938" s="23" t="s">
        <v>21</v>
      </c>
      <c r="E4938" s="24">
        <v>45471.0</v>
      </c>
      <c r="F4938" s="25">
        <v>0.27361111111111114</v>
      </c>
      <c r="G4938" s="25">
        <v>0.5479166666666667</v>
      </c>
      <c r="H4938" s="27">
        <f t="shared" si="2"/>
        <v>0.2743055556</v>
      </c>
      <c r="I4938" s="28">
        <v>2.0</v>
      </c>
      <c r="J4938" s="39" t="s">
        <v>2334</v>
      </c>
      <c r="K4938" s="41"/>
      <c r="L4938" s="31" t="str">
        <f>IFERROR(__xludf.DUMMYFUNCTION("IF(OR(E4938="""",K4938=""""),"""",IFERROR(IF(K4938="""","""",query('tbl user'!$A$2:$D10975,""SELECT A WHERE D = '""&amp;K4938&amp;""'"")),""USER TIDAK DIKETAHUI""))"),"")</f>
        <v/>
      </c>
    </row>
    <row r="4939">
      <c r="A4939" s="21" t="str">
        <f t="shared" si="1"/>
        <v/>
      </c>
      <c r="B4939" s="38"/>
      <c r="C4939" s="23" t="s">
        <v>1843</v>
      </c>
      <c r="D4939" s="23" t="s">
        <v>21</v>
      </c>
      <c r="E4939" s="24">
        <v>45471.0</v>
      </c>
      <c r="F4939" s="25">
        <v>0.22916666666666666</v>
      </c>
      <c r="G4939" s="25">
        <v>0.6145833333333334</v>
      </c>
      <c r="H4939" s="27">
        <f t="shared" si="2"/>
        <v>0.3854166667</v>
      </c>
      <c r="I4939" s="28">
        <v>3.0</v>
      </c>
      <c r="J4939" s="39" t="s">
        <v>2335</v>
      </c>
      <c r="K4939" s="41"/>
      <c r="L4939" s="31" t="str">
        <f>IFERROR(__xludf.DUMMYFUNCTION("IF(OR(E4939="""",K4939=""""),"""",IFERROR(IF(K4939="""","""",query('tbl user'!$A$2:$D10975,""SELECT A WHERE D = '""&amp;K4939&amp;""'"")),""USER TIDAK DIKETAHUI""))"),"")</f>
        <v/>
      </c>
    </row>
    <row r="4940">
      <c r="A4940" s="21" t="str">
        <f t="shared" si="1"/>
        <v/>
      </c>
      <c r="B4940" s="38"/>
      <c r="C4940" s="23" t="s">
        <v>1922</v>
      </c>
      <c r="D4940" s="23" t="s">
        <v>21</v>
      </c>
      <c r="E4940" s="24">
        <v>45471.0</v>
      </c>
      <c r="F4940" s="25">
        <v>0.2902777777777778</v>
      </c>
      <c r="G4940" s="25">
        <v>0.6916666666666667</v>
      </c>
      <c r="H4940" s="27">
        <f t="shared" si="2"/>
        <v>0.4013888889</v>
      </c>
      <c r="I4940" s="28">
        <v>3.0</v>
      </c>
      <c r="J4940" s="39" t="s">
        <v>2336</v>
      </c>
      <c r="K4940" s="41"/>
      <c r="L4940" s="31" t="str">
        <f>IFERROR(__xludf.DUMMYFUNCTION("IF(OR(E4940="""",K4940=""""),"""",IFERROR(IF(K4940="""","""",query('tbl user'!$A$2:$D10975,""SELECT A WHERE D = '""&amp;K4940&amp;""'"")),""USER TIDAK DIKETAHUI""))"),"")</f>
        <v/>
      </c>
    </row>
    <row r="4941">
      <c r="A4941" s="21" t="str">
        <f t="shared" si="1"/>
        <v/>
      </c>
      <c r="B4941" s="38"/>
      <c r="C4941" s="23" t="s">
        <v>1923</v>
      </c>
      <c r="D4941" s="23" t="s">
        <v>21</v>
      </c>
      <c r="E4941" s="24">
        <v>45471.0</v>
      </c>
      <c r="F4941" s="25">
        <v>0.26458333333333334</v>
      </c>
      <c r="G4941" s="25">
        <v>0.6590277777777778</v>
      </c>
      <c r="H4941" s="27">
        <f t="shared" si="2"/>
        <v>0.3944444444</v>
      </c>
      <c r="I4941" s="28">
        <v>3.0</v>
      </c>
      <c r="J4941" s="39" t="s">
        <v>2337</v>
      </c>
      <c r="K4941" s="41"/>
      <c r="L4941" s="31" t="str">
        <f>IFERROR(__xludf.DUMMYFUNCTION("IF(OR(E4941="""",K4941=""""),"""",IFERROR(IF(K4941="""","""",query('tbl user'!$A$2:$D10975,""SELECT A WHERE D = '""&amp;K4941&amp;""'"")),""USER TIDAK DIKETAHUI""))"),"")</f>
        <v/>
      </c>
    </row>
    <row r="4942">
      <c r="A4942" s="21" t="str">
        <f t="shared" si="1"/>
        <v/>
      </c>
      <c r="B4942" s="38"/>
      <c r="C4942" s="23" t="s">
        <v>1834</v>
      </c>
      <c r="D4942" s="23" t="s">
        <v>21</v>
      </c>
      <c r="E4942" s="24">
        <v>45471.0</v>
      </c>
      <c r="F4942" s="25">
        <v>0.2263888888888889</v>
      </c>
      <c r="G4942" s="25">
        <v>0.68125</v>
      </c>
      <c r="H4942" s="27">
        <f t="shared" si="2"/>
        <v>0.4548611111</v>
      </c>
      <c r="I4942" s="28">
        <v>3.0</v>
      </c>
      <c r="J4942" s="39" t="s">
        <v>1842</v>
      </c>
      <c r="K4942" s="41"/>
      <c r="L4942" s="31" t="str">
        <f>IFERROR(__xludf.DUMMYFUNCTION("IF(OR(E4942="""",K4942=""""),"""",IFERROR(IF(K4942="""","""",query('tbl user'!$A$2:$D10975,""SELECT A WHERE D = '""&amp;K4942&amp;""'"")),""USER TIDAK DIKETAHUI""))"),"")</f>
        <v/>
      </c>
    </row>
    <row r="4943">
      <c r="A4943" s="21" t="str">
        <f t="shared" si="1"/>
        <v/>
      </c>
      <c r="B4943" s="38"/>
      <c r="C4943" s="23" t="s">
        <v>1835</v>
      </c>
      <c r="D4943" s="23" t="s">
        <v>21</v>
      </c>
      <c r="E4943" s="24">
        <v>45471.0</v>
      </c>
      <c r="F4943" s="25">
        <v>0.2902777777777778</v>
      </c>
      <c r="G4943" s="25">
        <v>0.7256944444444444</v>
      </c>
      <c r="H4943" s="27">
        <f t="shared" si="2"/>
        <v>0.4354166667</v>
      </c>
      <c r="I4943" s="28">
        <v>3.0</v>
      </c>
      <c r="J4943" s="39" t="s">
        <v>2338</v>
      </c>
      <c r="K4943" s="41"/>
      <c r="L4943" s="31" t="str">
        <f>IFERROR(__xludf.DUMMYFUNCTION("IF(OR(E4943="""",K4943=""""),"""",IFERROR(IF(K4943="""","""",query('tbl user'!$A$2:$D10975,""SELECT A WHERE D = '""&amp;K4943&amp;""'"")),""USER TIDAK DIKETAHUI""))"),"")</f>
        <v/>
      </c>
    </row>
    <row r="4944">
      <c r="A4944" s="21" t="str">
        <f t="shared" si="1"/>
        <v/>
      </c>
      <c r="B4944" s="38"/>
      <c r="C4944" s="23" t="s">
        <v>1858</v>
      </c>
      <c r="D4944" s="23" t="s">
        <v>21</v>
      </c>
      <c r="E4944" s="24">
        <v>45471.0</v>
      </c>
      <c r="F4944" s="25">
        <v>0.27708333333333335</v>
      </c>
      <c r="G4944" s="25">
        <v>0.6409722222222223</v>
      </c>
      <c r="H4944" s="27">
        <f t="shared" si="2"/>
        <v>0.3638888889</v>
      </c>
      <c r="I4944" s="28">
        <v>3.0</v>
      </c>
      <c r="J4944" s="39" t="s">
        <v>2339</v>
      </c>
      <c r="K4944" s="41"/>
      <c r="L4944" s="31" t="str">
        <f>IFERROR(__xludf.DUMMYFUNCTION("IF(OR(E4944="""",K4944=""""),"""",IFERROR(IF(K4944="""","""",query('tbl user'!$A$2:$D10975,""SELECT A WHERE D = '""&amp;K4944&amp;""'"")),""USER TIDAK DIKETAHUI""))"),"")</f>
        <v/>
      </c>
    </row>
    <row r="4945">
      <c r="A4945" s="21" t="str">
        <f t="shared" si="1"/>
        <v/>
      </c>
      <c r="B4945" s="38"/>
      <c r="C4945" s="23" t="s">
        <v>1928</v>
      </c>
      <c r="D4945" s="23" t="s">
        <v>21</v>
      </c>
      <c r="E4945" s="24">
        <v>45471.0</v>
      </c>
      <c r="F4945" s="25">
        <v>0.28125</v>
      </c>
      <c r="G4945" s="25">
        <v>0.6416666666666667</v>
      </c>
      <c r="H4945" s="27">
        <f t="shared" si="2"/>
        <v>0.3604166667</v>
      </c>
      <c r="I4945" s="28">
        <v>3.0</v>
      </c>
      <c r="J4945" s="39" t="s">
        <v>2340</v>
      </c>
      <c r="K4945" s="41"/>
      <c r="L4945" s="31" t="str">
        <f>IFERROR(__xludf.DUMMYFUNCTION("IF(OR(E4945="""",K4945=""""),"""",IFERROR(IF(K4945="""","""",query('tbl user'!$A$2:$D10975,""SELECT A WHERE D = '""&amp;K4945&amp;""'"")),""USER TIDAK DIKETAHUI""))"),"")</f>
        <v/>
      </c>
    </row>
    <row r="4946">
      <c r="A4946" s="21" t="str">
        <f t="shared" si="1"/>
        <v/>
      </c>
      <c r="B4946" s="38"/>
      <c r="C4946" s="23" t="s">
        <v>2136</v>
      </c>
      <c r="D4946" s="23" t="s">
        <v>21</v>
      </c>
      <c r="E4946" s="24">
        <v>45471.0</v>
      </c>
      <c r="F4946" s="25">
        <v>0.25277777777777777</v>
      </c>
      <c r="G4946" s="25">
        <v>0.6840277777777778</v>
      </c>
      <c r="H4946" s="27">
        <f t="shared" si="2"/>
        <v>0.43125</v>
      </c>
      <c r="I4946" s="28">
        <v>4.0</v>
      </c>
      <c r="J4946" s="39" t="s">
        <v>2341</v>
      </c>
      <c r="K4946" s="41"/>
      <c r="L4946" s="31" t="str">
        <f>IFERROR(__xludf.DUMMYFUNCTION("IF(OR(E4946="""",K4946=""""),"""",IFERROR(IF(K4946="""","""",query('tbl user'!$A$2:$D10975,""SELECT A WHERE D = '""&amp;K4946&amp;""'"")),""USER TIDAK DIKETAHUI""))"),"")</f>
        <v/>
      </c>
    </row>
    <row r="4947">
      <c r="A4947" s="21" t="str">
        <f t="shared" si="1"/>
        <v/>
      </c>
      <c r="B4947" s="38"/>
      <c r="C4947" s="23" t="s">
        <v>1837</v>
      </c>
      <c r="D4947" s="23" t="s">
        <v>21</v>
      </c>
      <c r="E4947" s="24">
        <v>45471.0</v>
      </c>
      <c r="F4947" s="25">
        <v>0.27152777777777776</v>
      </c>
      <c r="G4947" s="25">
        <v>0.6895833333333333</v>
      </c>
      <c r="H4947" s="27">
        <f t="shared" si="2"/>
        <v>0.4180555556</v>
      </c>
      <c r="I4947" s="28">
        <v>4.0</v>
      </c>
      <c r="J4947" s="39" t="s">
        <v>1842</v>
      </c>
      <c r="K4947" s="41"/>
      <c r="L4947" s="31" t="str">
        <f>IFERROR(__xludf.DUMMYFUNCTION("IF(OR(E4947="""",K4947=""""),"""",IFERROR(IF(K4947="""","""",query('tbl user'!$A$2:$D10975,""SELECT A WHERE D = '""&amp;K4947&amp;""'"")),""USER TIDAK DIKETAHUI""))"),"")</f>
        <v/>
      </c>
    </row>
    <row r="4948">
      <c r="A4948" s="21" t="str">
        <f t="shared" si="1"/>
        <v/>
      </c>
      <c r="B4948" s="38"/>
      <c r="C4948" s="23" t="s">
        <v>1935</v>
      </c>
      <c r="D4948" s="23" t="s">
        <v>21</v>
      </c>
      <c r="E4948" s="24">
        <v>45471.0</v>
      </c>
      <c r="F4948" s="25">
        <v>0.22569444444444445</v>
      </c>
      <c r="G4948" s="25">
        <v>0.7152777777777778</v>
      </c>
      <c r="H4948" s="27">
        <f t="shared" si="2"/>
        <v>0.4895833333</v>
      </c>
      <c r="I4948" s="28">
        <v>4.0</v>
      </c>
      <c r="J4948" s="39" t="s">
        <v>1842</v>
      </c>
      <c r="K4948" s="41"/>
      <c r="L4948" s="31" t="str">
        <f>IFERROR(__xludf.DUMMYFUNCTION("IF(OR(E4948="""",K4948=""""),"""",IFERROR(IF(K4948="""","""",query('tbl user'!$A$2:$D10975,""SELECT A WHERE D = '""&amp;K4948&amp;""'"")),""USER TIDAK DIKETAHUI""))"),"")</f>
        <v/>
      </c>
    </row>
    <row r="4949">
      <c r="A4949" s="21" t="str">
        <f t="shared" si="1"/>
        <v/>
      </c>
      <c r="B4949" s="38"/>
      <c r="C4949" s="23" t="s">
        <v>1850</v>
      </c>
      <c r="D4949" s="23" t="s">
        <v>21</v>
      </c>
      <c r="E4949" s="24">
        <v>45471.0</v>
      </c>
      <c r="F4949" s="25">
        <v>0.27361111111111114</v>
      </c>
      <c r="G4949" s="25">
        <v>0.7430555555555556</v>
      </c>
      <c r="H4949" s="27">
        <f t="shared" si="2"/>
        <v>0.4694444444</v>
      </c>
      <c r="I4949" s="28">
        <v>4.0</v>
      </c>
      <c r="J4949" s="39" t="s">
        <v>2342</v>
      </c>
      <c r="K4949" s="41"/>
      <c r="L4949" s="31" t="str">
        <f>IFERROR(__xludf.DUMMYFUNCTION("IF(OR(E4949="""",K4949=""""),"""",IFERROR(IF(K4949="""","""",query('tbl user'!$A$2:$D10975,""SELECT A WHERE D = '""&amp;K4949&amp;""'"")),""USER TIDAK DIKETAHUI""))"),"")</f>
        <v/>
      </c>
    </row>
    <row r="4950">
      <c r="A4950" s="21" t="str">
        <f t="shared" si="1"/>
        <v/>
      </c>
      <c r="B4950" s="38"/>
      <c r="C4950" s="23" t="s">
        <v>1917</v>
      </c>
      <c r="D4950" s="23" t="s">
        <v>21</v>
      </c>
      <c r="E4950" s="24">
        <v>45471.0</v>
      </c>
      <c r="F4950" s="25">
        <v>0.25069444444444444</v>
      </c>
      <c r="G4950" s="25">
        <v>0.45625</v>
      </c>
      <c r="H4950" s="27">
        <f t="shared" si="2"/>
        <v>0.2055555556</v>
      </c>
      <c r="I4950" s="28">
        <v>1.0</v>
      </c>
      <c r="J4950" s="39" t="s">
        <v>2343</v>
      </c>
      <c r="K4950" s="41"/>
      <c r="L4950" s="31" t="str">
        <f>IFERROR(__xludf.DUMMYFUNCTION("IF(OR(E4950="""",K4950=""""),"""",IFERROR(IF(K4950="""","""",query('tbl user'!$A$2:$D10975,""SELECT A WHERE D = '""&amp;K4950&amp;""'"")),""USER TIDAK DIKETAHUI""))"),"")</f>
        <v/>
      </c>
    </row>
    <row r="4951">
      <c r="A4951" s="21" t="str">
        <f t="shared" si="1"/>
        <v/>
      </c>
      <c r="B4951" s="38"/>
      <c r="C4951" s="23" t="s">
        <v>1841</v>
      </c>
      <c r="D4951" s="23" t="s">
        <v>21</v>
      </c>
      <c r="E4951" s="24">
        <v>45471.0</v>
      </c>
      <c r="F4951" s="25">
        <v>0.28958333333333336</v>
      </c>
      <c r="G4951" s="25">
        <v>0.6479166666666667</v>
      </c>
      <c r="H4951" s="27">
        <f t="shared" si="2"/>
        <v>0.3583333333</v>
      </c>
      <c r="I4951" s="28">
        <v>2.0</v>
      </c>
      <c r="J4951" s="39" t="s">
        <v>2344</v>
      </c>
      <c r="K4951" s="41"/>
      <c r="L4951" s="31" t="str">
        <f>IFERROR(__xludf.DUMMYFUNCTION("IF(OR(E4951="""",K4951=""""),"""",IFERROR(IF(K4951="""","""",query('tbl user'!$A$2:$D10975,""SELECT A WHERE D = '""&amp;K4951&amp;""'"")),""USER TIDAK DIKETAHUI""))"),"")</f>
        <v/>
      </c>
    </row>
    <row r="4952">
      <c r="A4952" s="21" t="str">
        <f t="shared" si="1"/>
        <v/>
      </c>
      <c r="B4952" s="38"/>
      <c r="C4952" s="23" t="s">
        <v>1829</v>
      </c>
      <c r="D4952" s="23" t="s">
        <v>21</v>
      </c>
      <c r="E4952" s="24">
        <v>45471.0</v>
      </c>
      <c r="F4952" s="25">
        <v>0.28888888888888886</v>
      </c>
      <c r="G4952" s="25">
        <v>0.7125</v>
      </c>
      <c r="H4952" s="27">
        <f t="shared" si="2"/>
        <v>0.4236111111</v>
      </c>
      <c r="I4952" s="28">
        <v>3.0</v>
      </c>
      <c r="J4952" s="39" t="s">
        <v>2345</v>
      </c>
      <c r="K4952" s="41"/>
      <c r="L4952" s="31" t="str">
        <f>IFERROR(__xludf.DUMMYFUNCTION("IF(OR(E4952="""",K4952=""""),"""",IFERROR(IF(K4952="""","""",query('tbl user'!$A$2:$D10975,""SELECT A WHERE D = '""&amp;K4952&amp;""'"")),""USER TIDAK DIKETAHUI""))"),"")</f>
        <v/>
      </c>
    </row>
    <row r="4953">
      <c r="A4953" s="21" t="str">
        <f t="shared" si="1"/>
        <v/>
      </c>
      <c r="B4953" s="38"/>
      <c r="C4953" s="23" t="s">
        <v>1874</v>
      </c>
      <c r="D4953" s="23" t="s">
        <v>58</v>
      </c>
      <c r="E4953" s="24">
        <v>45471.0</v>
      </c>
      <c r="F4953" s="25">
        <v>0.5604166666666667</v>
      </c>
      <c r="G4953" s="25">
        <v>0.7027777777777777</v>
      </c>
      <c r="H4953" s="27">
        <f t="shared" si="2"/>
        <v>0.1423611111</v>
      </c>
      <c r="I4953" s="28">
        <v>1.0</v>
      </c>
      <c r="J4953" s="39" t="s">
        <v>2346</v>
      </c>
      <c r="K4953" s="41"/>
      <c r="L4953" s="31" t="str">
        <f>IFERROR(__xludf.DUMMYFUNCTION("IF(OR(E4953="""",K4953=""""),"""",IFERROR(IF(K4953="""","""",query('tbl user'!$A$2:$D10975,""SELECT A WHERE D = '""&amp;K4953&amp;""'"")),""USER TIDAK DIKETAHUI""))"),"")</f>
        <v/>
      </c>
    </row>
    <row r="4954">
      <c r="A4954" s="21" t="str">
        <f t="shared" si="1"/>
        <v/>
      </c>
      <c r="B4954" s="38"/>
      <c r="C4954" s="23" t="s">
        <v>1865</v>
      </c>
      <c r="D4954" s="23" t="s">
        <v>58</v>
      </c>
      <c r="E4954" s="24">
        <v>45471.0</v>
      </c>
      <c r="F4954" s="25">
        <v>0.28125</v>
      </c>
      <c r="G4954" s="25">
        <v>0.5472222222222223</v>
      </c>
      <c r="H4954" s="27">
        <f t="shared" si="2"/>
        <v>0.2659722222</v>
      </c>
      <c r="I4954" s="28">
        <v>1.0</v>
      </c>
      <c r="J4954" s="39" t="s">
        <v>2347</v>
      </c>
      <c r="K4954" s="41"/>
      <c r="L4954" s="31" t="str">
        <f>IFERROR(__xludf.DUMMYFUNCTION("IF(OR(E4954="""",K4954=""""),"""",IFERROR(IF(K4954="""","""",query('tbl user'!$A$2:$D10975,""SELECT A WHERE D = '""&amp;K4954&amp;""'"")),""USER TIDAK DIKETAHUI""))"),"")</f>
        <v/>
      </c>
    </row>
    <row r="4955">
      <c r="A4955" s="21" t="str">
        <f t="shared" si="1"/>
        <v/>
      </c>
      <c r="B4955" s="38"/>
      <c r="C4955" s="23" t="s">
        <v>1878</v>
      </c>
      <c r="D4955" s="23" t="s">
        <v>58</v>
      </c>
      <c r="E4955" s="24">
        <v>45471.0</v>
      </c>
      <c r="F4955" s="25">
        <v>0.2881944444444444</v>
      </c>
      <c r="G4955" s="25">
        <v>0.6305555555555555</v>
      </c>
      <c r="H4955" s="27">
        <f t="shared" si="2"/>
        <v>0.3423611111</v>
      </c>
      <c r="I4955" s="28">
        <v>2.0</v>
      </c>
      <c r="J4955" s="39" t="s">
        <v>1842</v>
      </c>
      <c r="K4955" s="41"/>
      <c r="L4955" s="31" t="str">
        <f>IFERROR(__xludf.DUMMYFUNCTION("IF(OR(E4955="""",K4955=""""),"""",IFERROR(IF(K4955="""","""",query('tbl user'!$A$2:$D10975,""SELECT A WHERE D = '""&amp;K4955&amp;""'"")),""USER TIDAK DIKETAHUI""))"),"")</f>
        <v/>
      </c>
    </row>
    <row r="4956">
      <c r="A4956" s="21" t="str">
        <f t="shared" si="1"/>
        <v/>
      </c>
      <c r="B4956" s="38"/>
      <c r="C4956" s="23" t="s">
        <v>1869</v>
      </c>
      <c r="D4956" s="23" t="s">
        <v>58</v>
      </c>
      <c r="E4956" s="24">
        <v>45471.0</v>
      </c>
      <c r="F4956" s="25">
        <v>0.28958333333333336</v>
      </c>
      <c r="G4956" s="25">
        <v>0.7145833333333333</v>
      </c>
      <c r="H4956" s="27">
        <f t="shared" si="2"/>
        <v>0.425</v>
      </c>
      <c r="I4956" s="28">
        <v>2.0</v>
      </c>
      <c r="J4956" s="39" t="s">
        <v>1842</v>
      </c>
      <c r="K4956" s="41"/>
      <c r="L4956" s="31" t="str">
        <f>IFERROR(__xludf.DUMMYFUNCTION("IF(OR(E4956="""",K4956=""""),"""",IFERROR(IF(K4956="""","""",query('tbl user'!$A$2:$D10975,""SELECT A WHERE D = '""&amp;K4956&amp;""'"")),""USER TIDAK DIKETAHUI""))"),"")</f>
        <v/>
      </c>
    </row>
    <row r="4957">
      <c r="A4957" s="21" t="str">
        <f t="shared" si="1"/>
        <v/>
      </c>
      <c r="B4957" s="38"/>
      <c r="C4957" s="23" t="s">
        <v>1879</v>
      </c>
      <c r="D4957" s="23" t="s">
        <v>58</v>
      </c>
      <c r="E4957" s="24">
        <v>45471.0</v>
      </c>
      <c r="F4957" s="25">
        <v>0.2375</v>
      </c>
      <c r="G4957" s="25">
        <v>0.6604166666666667</v>
      </c>
      <c r="H4957" s="27">
        <f t="shared" si="2"/>
        <v>0.4229166667</v>
      </c>
      <c r="I4957" s="28">
        <v>2.0</v>
      </c>
      <c r="J4957" s="39" t="s">
        <v>2348</v>
      </c>
      <c r="K4957" s="41"/>
      <c r="L4957" s="31" t="str">
        <f>IFERROR(__xludf.DUMMYFUNCTION("IF(OR(E4957="""",K4957=""""),"""",IFERROR(IF(K4957="""","""",query('tbl user'!$A$2:$D10975,""SELECT A WHERE D = '""&amp;K4957&amp;""'"")),""USER TIDAK DIKETAHUI""))"),"")</f>
        <v/>
      </c>
    </row>
    <row r="4958">
      <c r="A4958" s="21" t="str">
        <f t="shared" si="1"/>
        <v/>
      </c>
      <c r="B4958" s="38"/>
      <c r="C4958" s="23" t="s">
        <v>1860</v>
      </c>
      <c r="D4958" s="23" t="s">
        <v>58</v>
      </c>
      <c r="E4958" s="24">
        <v>45471.0</v>
      </c>
      <c r="F4958" s="25">
        <v>0.28541666666666665</v>
      </c>
      <c r="G4958" s="25">
        <v>0.6631944444444444</v>
      </c>
      <c r="H4958" s="27">
        <f t="shared" si="2"/>
        <v>0.3777777778</v>
      </c>
      <c r="I4958" s="28">
        <v>2.0</v>
      </c>
      <c r="J4958" s="39" t="s">
        <v>1842</v>
      </c>
      <c r="K4958" s="41"/>
      <c r="L4958" s="31" t="str">
        <f>IFERROR(__xludf.DUMMYFUNCTION("IF(OR(E4958="""",K4958=""""),"""",IFERROR(IF(K4958="""","""",query('tbl user'!$A$2:$D10975,""SELECT A WHERE D = '""&amp;K4958&amp;""'"")),""USER TIDAK DIKETAHUI""))"),"")</f>
        <v/>
      </c>
    </row>
    <row r="4959">
      <c r="A4959" s="21" t="str">
        <f t="shared" si="1"/>
        <v/>
      </c>
      <c r="B4959" s="38"/>
      <c r="C4959" s="23" t="s">
        <v>1889</v>
      </c>
      <c r="D4959" s="23" t="s">
        <v>58</v>
      </c>
      <c r="E4959" s="24">
        <v>45471.0</v>
      </c>
      <c r="F4959" s="25">
        <v>0.2548611111111111</v>
      </c>
      <c r="G4959" s="25">
        <v>0.6715277777777777</v>
      </c>
      <c r="H4959" s="27">
        <f t="shared" si="2"/>
        <v>0.4166666667</v>
      </c>
      <c r="I4959" s="28">
        <v>2.0</v>
      </c>
      <c r="J4959" s="39" t="s">
        <v>1842</v>
      </c>
      <c r="K4959" s="41"/>
      <c r="L4959" s="31" t="str">
        <f>IFERROR(__xludf.DUMMYFUNCTION("IF(OR(E4959="""",K4959=""""),"""",IFERROR(IF(K4959="""","""",query('tbl user'!$A$2:$D10975,""SELECT A WHERE D = '""&amp;K4959&amp;""'"")),""USER TIDAK DIKETAHUI""))"),"")</f>
        <v/>
      </c>
    </row>
    <row r="4960">
      <c r="A4960" s="21" t="str">
        <f t="shared" si="1"/>
        <v/>
      </c>
      <c r="B4960" s="38"/>
      <c r="C4960" s="23" t="s">
        <v>1872</v>
      </c>
      <c r="D4960" s="23" t="s">
        <v>58</v>
      </c>
      <c r="E4960" s="24">
        <v>45471.0</v>
      </c>
      <c r="F4960" s="25">
        <v>0.30416666666666664</v>
      </c>
      <c r="G4960" s="25">
        <v>0.5930555555555556</v>
      </c>
      <c r="H4960" s="27">
        <f t="shared" si="2"/>
        <v>0.2888888889</v>
      </c>
      <c r="I4960" s="28">
        <v>2.0</v>
      </c>
      <c r="J4960" s="39" t="s">
        <v>2349</v>
      </c>
      <c r="K4960" s="41"/>
      <c r="L4960" s="31" t="str">
        <f>IFERROR(__xludf.DUMMYFUNCTION("IF(OR(E4960="""",K4960=""""),"""",IFERROR(IF(K4960="""","""",query('tbl user'!$A$2:$D10975,""SELECT A WHERE D = '""&amp;K4960&amp;""'"")),""USER TIDAK DIKETAHUI""))"),"")</f>
        <v/>
      </c>
    </row>
    <row r="4961">
      <c r="A4961" s="21" t="str">
        <f t="shared" si="1"/>
        <v/>
      </c>
      <c r="B4961" s="38"/>
      <c r="C4961" s="23" t="s">
        <v>1875</v>
      </c>
      <c r="D4961" s="23" t="s">
        <v>58</v>
      </c>
      <c r="E4961" s="24">
        <v>45471.0</v>
      </c>
      <c r="F4961" s="25">
        <v>0.23680555555555555</v>
      </c>
      <c r="G4961" s="25">
        <v>0.6895833333333333</v>
      </c>
      <c r="H4961" s="27">
        <f t="shared" si="2"/>
        <v>0.4527777778</v>
      </c>
      <c r="I4961" s="28">
        <v>3.0</v>
      </c>
      <c r="J4961" s="39" t="s">
        <v>1842</v>
      </c>
      <c r="K4961" s="41"/>
      <c r="L4961" s="31" t="str">
        <f>IFERROR(__xludf.DUMMYFUNCTION("IF(OR(E4961="""",K4961=""""),"""",IFERROR(IF(K4961="""","""",query('tbl user'!$A$2:$D10975,""SELECT A WHERE D = '""&amp;K4961&amp;""'"")),""USER TIDAK DIKETAHUI""))"),"")</f>
        <v/>
      </c>
    </row>
    <row r="4962">
      <c r="A4962" s="21" t="str">
        <f t="shared" si="1"/>
        <v/>
      </c>
      <c r="B4962" s="38"/>
      <c r="C4962" s="23" t="s">
        <v>1941</v>
      </c>
      <c r="D4962" s="23" t="s">
        <v>58</v>
      </c>
      <c r="E4962" s="24">
        <v>45471.0</v>
      </c>
      <c r="F4962" s="25">
        <v>0.27291666666666664</v>
      </c>
      <c r="G4962" s="25">
        <v>0.69375</v>
      </c>
      <c r="H4962" s="27">
        <f t="shared" si="2"/>
        <v>0.4208333333</v>
      </c>
      <c r="I4962" s="28">
        <v>3.0</v>
      </c>
      <c r="J4962" s="39" t="s">
        <v>1842</v>
      </c>
      <c r="K4962" s="41"/>
      <c r="L4962" s="31" t="str">
        <f>IFERROR(__xludf.DUMMYFUNCTION("IF(OR(E4962="""",K4962=""""),"""",IFERROR(IF(K4962="""","""",query('tbl user'!$A$2:$D10975,""SELECT A WHERE D = '""&amp;K4962&amp;""'"")),""USER TIDAK DIKETAHUI""))"),"")</f>
        <v/>
      </c>
    </row>
    <row r="4963">
      <c r="A4963" s="21" t="str">
        <f t="shared" si="1"/>
        <v/>
      </c>
      <c r="B4963" s="38"/>
      <c r="C4963" s="23" t="s">
        <v>1882</v>
      </c>
      <c r="D4963" s="23" t="s">
        <v>58</v>
      </c>
      <c r="E4963" s="24">
        <v>45471.0</v>
      </c>
      <c r="F4963" s="25">
        <v>0.26458333333333334</v>
      </c>
      <c r="G4963" s="25">
        <v>0.7013888888888888</v>
      </c>
      <c r="H4963" s="27">
        <f t="shared" si="2"/>
        <v>0.4368055556</v>
      </c>
      <c r="I4963" s="28">
        <v>3.0</v>
      </c>
      <c r="J4963" s="39" t="s">
        <v>1842</v>
      </c>
      <c r="K4963" s="41"/>
      <c r="L4963" s="31" t="str">
        <f>IFERROR(__xludf.DUMMYFUNCTION("IF(OR(E4963="""",K4963=""""),"""",IFERROR(IF(K4963="""","""",query('tbl user'!$A$2:$D10975,""SELECT A WHERE D = '""&amp;K4963&amp;""'"")),""USER TIDAK DIKETAHUI""))"),"")</f>
        <v/>
      </c>
    </row>
    <row r="4964">
      <c r="A4964" s="21" t="str">
        <f t="shared" si="1"/>
        <v/>
      </c>
      <c r="B4964" s="38"/>
      <c r="C4964" s="23" t="s">
        <v>1884</v>
      </c>
      <c r="D4964" s="23" t="s">
        <v>58</v>
      </c>
      <c r="E4964" s="24">
        <v>45471.0</v>
      </c>
      <c r="F4964" s="25">
        <v>0.22083333333333333</v>
      </c>
      <c r="G4964" s="25">
        <v>0.6409722222222223</v>
      </c>
      <c r="H4964" s="27">
        <f t="shared" si="2"/>
        <v>0.4201388889</v>
      </c>
      <c r="I4964" s="28">
        <v>3.0</v>
      </c>
      <c r="J4964" s="39" t="s">
        <v>1509</v>
      </c>
      <c r="K4964" s="41"/>
      <c r="L4964" s="31" t="str">
        <f>IFERROR(__xludf.DUMMYFUNCTION("IF(OR(E4964="""",K4964=""""),"""",IFERROR(IF(K4964="""","""",query('tbl user'!$A$2:$D10975,""SELECT A WHERE D = '""&amp;K4964&amp;""'"")),""USER TIDAK DIKETAHUI""))"),"")</f>
        <v/>
      </c>
    </row>
    <row r="4965">
      <c r="A4965" s="21" t="str">
        <f t="shared" si="1"/>
        <v/>
      </c>
      <c r="B4965" s="38"/>
      <c r="C4965" s="23" t="s">
        <v>1950</v>
      </c>
      <c r="D4965" s="23" t="s">
        <v>58</v>
      </c>
      <c r="E4965" s="24">
        <v>45471.0</v>
      </c>
      <c r="F4965" s="25">
        <v>0.24166666666666667</v>
      </c>
      <c r="G4965" s="25">
        <v>0.6395833333333333</v>
      </c>
      <c r="H4965" s="27">
        <f t="shared" si="2"/>
        <v>0.3979166667</v>
      </c>
      <c r="I4965" s="28">
        <v>3.0</v>
      </c>
      <c r="J4965" s="39" t="s">
        <v>1842</v>
      </c>
      <c r="K4965" s="41"/>
      <c r="L4965" s="31" t="str">
        <f>IFERROR(__xludf.DUMMYFUNCTION("IF(OR(E4965="""",K4965=""""),"""",IFERROR(IF(K4965="""","""",query('tbl user'!$A$2:$D10975,""SELECT A WHERE D = '""&amp;K4965&amp;""'"")),""USER TIDAK DIKETAHUI""))"),"")</f>
        <v/>
      </c>
    </row>
    <row r="4966">
      <c r="A4966" s="21" t="str">
        <f t="shared" si="1"/>
        <v/>
      </c>
      <c r="B4966" s="38"/>
      <c r="C4966" s="23" t="s">
        <v>1863</v>
      </c>
      <c r="D4966" s="23" t="s">
        <v>58</v>
      </c>
      <c r="E4966" s="24">
        <v>45471.0</v>
      </c>
      <c r="F4966" s="25">
        <v>0.25069444444444444</v>
      </c>
      <c r="G4966" s="25">
        <v>0.6402777777777777</v>
      </c>
      <c r="H4966" s="27">
        <f t="shared" si="2"/>
        <v>0.3895833333</v>
      </c>
      <c r="I4966" s="28">
        <v>3.0</v>
      </c>
      <c r="J4966" s="39" t="s">
        <v>1842</v>
      </c>
      <c r="K4966" s="41"/>
      <c r="L4966" s="31" t="str">
        <f>IFERROR(__xludf.DUMMYFUNCTION("IF(OR(E4966="""",K4966=""""),"""",IFERROR(IF(K4966="""","""",query('tbl user'!$A$2:$D10975,""SELECT A WHERE D = '""&amp;K4966&amp;""'"")),""USER TIDAK DIKETAHUI""))"),"")</f>
        <v/>
      </c>
    </row>
    <row r="4967">
      <c r="A4967" s="21" t="str">
        <f t="shared" si="1"/>
        <v/>
      </c>
      <c r="B4967" s="38"/>
      <c r="C4967" s="23" t="s">
        <v>1886</v>
      </c>
      <c r="D4967" s="23" t="s">
        <v>58</v>
      </c>
      <c r="E4967" s="24">
        <v>45471.0</v>
      </c>
      <c r="F4967" s="25">
        <v>0.2326388888888889</v>
      </c>
      <c r="G4967" s="25">
        <v>0.6388888888888888</v>
      </c>
      <c r="H4967" s="27">
        <f t="shared" si="2"/>
        <v>0.40625</v>
      </c>
      <c r="I4967" s="28">
        <v>3.0</v>
      </c>
      <c r="J4967" s="39" t="s">
        <v>1842</v>
      </c>
      <c r="K4967" s="41"/>
      <c r="L4967" s="31" t="str">
        <f>IFERROR(__xludf.DUMMYFUNCTION("IF(OR(E4967="""",K4967=""""),"""",IFERROR(IF(K4967="""","""",query('tbl user'!$A$2:$D10975,""SELECT A WHERE D = '""&amp;K4967&amp;""'"")),""USER TIDAK DIKETAHUI""))"),"")</f>
        <v/>
      </c>
    </row>
    <row r="4968">
      <c r="A4968" s="21" t="str">
        <f t="shared" si="1"/>
        <v/>
      </c>
      <c r="B4968" s="38"/>
      <c r="C4968" s="23" t="s">
        <v>1887</v>
      </c>
      <c r="D4968" s="23" t="s">
        <v>58</v>
      </c>
      <c r="E4968" s="24">
        <v>45471.0</v>
      </c>
      <c r="F4968" s="25">
        <v>0.2743055555555556</v>
      </c>
      <c r="G4968" s="25">
        <v>0.7090277777777778</v>
      </c>
      <c r="H4968" s="27">
        <f t="shared" si="2"/>
        <v>0.4347222222</v>
      </c>
      <c r="I4968" s="28">
        <v>3.0</v>
      </c>
      <c r="J4968" s="39" t="s">
        <v>1842</v>
      </c>
      <c r="K4968" s="41"/>
      <c r="L4968" s="31" t="str">
        <f>IFERROR(__xludf.DUMMYFUNCTION("IF(OR(E4968="""",K4968=""""),"""",IFERROR(IF(K4968="""","""",query('tbl user'!$A$2:$D10975,""SELECT A WHERE D = '""&amp;K4968&amp;""'"")),""USER TIDAK DIKETAHUI""))"),"")</f>
        <v/>
      </c>
    </row>
    <row r="4969">
      <c r="A4969" s="21" t="str">
        <f t="shared" si="1"/>
        <v/>
      </c>
      <c r="B4969" s="38"/>
      <c r="C4969" s="23" t="s">
        <v>1888</v>
      </c>
      <c r="D4969" s="23" t="s">
        <v>58</v>
      </c>
      <c r="E4969" s="24">
        <v>45471.0</v>
      </c>
      <c r="F4969" s="25">
        <v>0.25416666666666665</v>
      </c>
      <c r="G4969" s="25">
        <v>0.6375</v>
      </c>
      <c r="H4969" s="27">
        <f t="shared" si="2"/>
        <v>0.3833333333</v>
      </c>
      <c r="I4969" s="28">
        <v>3.0</v>
      </c>
      <c r="J4969" s="39" t="s">
        <v>1842</v>
      </c>
      <c r="K4969" s="41"/>
      <c r="L4969" s="31" t="str">
        <f>IFERROR(__xludf.DUMMYFUNCTION("IF(OR(E4969="""",K4969=""""),"""",IFERROR(IF(K4969="""","""",query('tbl user'!$A$2:$D10975,""SELECT A WHERE D = '""&amp;K4969&amp;""'"")),""USER TIDAK DIKETAHUI""))"),"")</f>
        <v/>
      </c>
    </row>
    <row r="4970">
      <c r="A4970" s="21" t="str">
        <f t="shared" si="1"/>
        <v/>
      </c>
      <c r="B4970" s="38"/>
      <c r="C4970" s="23" t="s">
        <v>1892</v>
      </c>
      <c r="D4970" s="23" t="s">
        <v>58</v>
      </c>
      <c r="E4970" s="24">
        <v>45471.0</v>
      </c>
      <c r="F4970" s="25">
        <v>0.36944444444444446</v>
      </c>
      <c r="G4970" s="25">
        <v>0.7111111111111111</v>
      </c>
      <c r="H4970" s="27">
        <f t="shared" si="2"/>
        <v>0.3416666667</v>
      </c>
      <c r="I4970" s="28">
        <v>3.0</v>
      </c>
      <c r="J4970" s="39" t="s">
        <v>1842</v>
      </c>
      <c r="K4970" s="41"/>
      <c r="L4970" s="31" t="str">
        <f>IFERROR(__xludf.DUMMYFUNCTION("IF(OR(E4970="""",K4970=""""),"""",IFERROR(IF(K4970="""","""",query('tbl user'!$A$2:$D10975,""SELECT A WHERE D = '""&amp;K4970&amp;""'"")),""USER TIDAK DIKETAHUI""))"),"")</f>
        <v/>
      </c>
    </row>
    <row r="4971">
      <c r="A4971" s="21" t="str">
        <f t="shared" si="1"/>
        <v/>
      </c>
      <c r="B4971" s="38"/>
      <c r="C4971" s="23" t="s">
        <v>1871</v>
      </c>
      <c r="D4971" s="23" t="s">
        <v>58</v>
      </c>
      <c r="E4971" s="24">
        <v>45471.0</v>
      </c>
      <c r="F4971" s="25">
        <v>0.2361111111111111</v>
      </c>
      <c r="G4971" s="25">
        <v>0.7305555555555555</v>
      </c>
      <c r="H4971" s="27">
        <f t="shared" si="2"/>
        <v>0.4944444444</v>
      </c>
      <c r="I4971" s="28">
        <v>3.0</v>
      </c>
      <c r="J4971" s="39" t="s">
        <v>2255</v>
      </c>
      <c r="K4971" s="41"/>
      <c r="L4971" s="31" t="str">
        <f>IFERROR(__xludf.DUMMYFUNCTION("IF(OR(E4971="""",K4971=""""),"""",IFERROR(IF(K4971="""","""",query('tbl user'!$A$2:$D10975,""SELECT A WHERE D = '""&amp;K4971&amp;""'"")),""USER TIDAK DIKETAHUI""))"),"")</f>
        <v/>
      </c>
    </row>
    <row r="4972">
      <c r="A4972" s="21" t="str">
        <f t="shared" si="1"/>
        <v/>
      </c>
      <c r="B4972" s="38"/>
      <c r="C4972" s="23" t="s">
        <v>1861</v>
      </c>
      <c r="D4972" s="23" t="s">
        <v>58</v>
      </c>
      <c r="E4972" s="24">
        <v>45471.0</v>
      </c>
      <c r="F4972" s="25">
        <v>0.2625</v>
      </c>
      <c r="G4972" s="25">
        <v>0.7229166666666667</v>
      </c>
      <c r="H4972" s="27">
        <f t="shared" si="2"/>
        <v>0.4604166667</v>
      </c>
      <c r="I4972" s="28">
        <v>3.0</v>
      </c>
      <c r="J4972" s="39" t="s">
        <v>2350</v>
      </c>
      <c r="K4972" s="41"/>
      <c r="L4972" s="31" t="str">
        <f>IFERROR(__xludf.DUMMYFUNCTION("IF(OR(E4972="""",K4972=""""),"""",IFERROR(IF(K4972="""","""",query('tbl user'!$A$2:$D10975,""SELECT A WHERE D = '""&amp;K4972&amp;""'"")),""USER TIDAK DIKETAHUI""))"),"")</f>
        <v/>
      </c>
    </row>
    <row r="4973">
      <c r="A4973" s="21" t="str">
        <f t="shared" si="1"/>
        <v/>
      </c>
      <c r="B4973" s="38"/>
      <c r="C4973" s="23" t="s">
        <v>1881</v>
      </c>
      <c r="D4973" s="23" t="s">
        <v>58</v>
      </c>
      <c r="E4973" s="24">
        <v>45471.0</v>
      </c>
      <c r="F4973" s="25">
        <v>0.19722222222222222</v>
      </c>
      <c r="G4973" s="25">
        <v>0.7493055555555556</v>
      </c>
      <c r="H4973" s="27">
        <f t="shared" si="2"/>
        <v>0.5520833333</v>
      </c>
      <c r="I4973" s="28">
        <v>4.0</v>
      </c>
      <c r="J4973" s="39" t="s">
        <v>55</v>
      </c>
      <c r="K4973" s="41"/>
      <c r="L4973" s="31" t="str">
        <f>IFERROR(__xludf.DUMMYFUNCTION("IF(OR(E4973="""",K4973=""""),"""",IFERROR(IF(K4973="""","""",query('tbl user'!$A$2:$D10975,""SELECT A WHERE D = '""&amp;K4973&amp;""'"")),""USER TIDAK DIKETAHUI""))"),"")</f>
        <v/>
      </c>
    </row>
    <row r="4974">
      <c r="A4974" s="21">
        <f t="shared" si="1"/>
        <v>45475.66357</v>
      </c>
      <c r="B4974" s="40" t="s">
        <v>2351</v>
      </c>
      <c r="C4974" s="23" t="s">
        <v>1891</v>
      </c>
      <c r="D4974" s="23" t="s">
        <v>58</v>
      </c>
      <c r="E4974" s="24">
        <v>45471.0</v>
      </c>
      <c r="F4974" s="25">
        <v>0.2013888888888889</v>
      </c>
      <c r="G4974" s="25">
        <v>0.71875</v>
      </c>
      <c r="H4974" s="27">
        <f t="shared" si="2"/>
        <v>0.5173611111</v>
      </c>
      <c r="I4974" s="28">
        <v>4.0</v>
      </c>
      <c r="J4974" s="39" t="s">
        <v>55</v>
      </c>
      <c r="K4974" s="41"/>
      <c r="L4974" s="31" t="str">
        <f>IFERROR(__xludf.DUMMYFUNCTION("IF(OR(E4974="""",K4974=""""),"""",IFERROR(IF(K4974="""","""",query('tbl user'!$A$2:$D10975,""SELECT A WHERE D = '""&amp;K4974&amp;""'"")),""USER TIDAK DIKETAHUI""))"),"")</f>
        <v/>
      </c>
    </row>
    <row r="4975">
      <c r="A4975" s="21" t="str">
        <f t="shared" si="1"/>
        <v/>
      </c>
      <c r="B4975" s="38"/>
      <c r="C4975" s="23" t="s">
        <v>1898</v>
      </c>
      <c r="D4975" s="23" t="s">
        <v>32</v>
      </c>
      <c r="E4975" s="24">
        <v>45471.0</v>
      </c>
      <c r="F4975" s="25">
        <v>0.3819444444444444</v>
      </c>
      <c r="G4975" s="25">
        <v>0.6597222222222222</v>
      </c>
      <c r="H4975" s="27">
        <f t="shared" si="2"/>
        <v>0.2777777778</v>
      </c>
      <c r="I4975" s="28">
        <v>1.0</v>
      </c>
      <c r="J4975" s="39" t="s">
        <v>2352</v>
      </c>
      <c r="K4975" s="41"/>
      <c r="L4975" s="31" t="str">
        <f>IFERROR(__xludf.DUMMYFUNCTION("IF(OR(E4975="""",K4975=""""),"""",IFERROR(IF(K4975="""","""",query('tbl user'!$A$2:$D10975,""SELECT A WHERE D = '""&amp;K4975&amp;""'"")),""USER TIDAK DIKETAHUI""))"),"")</f>
        <v/>
      </c>
    </row>
    <row r="4976">
      <c r="A4976" s="21" t="str">
        <f t="shared" si="1"/>
        <v/>
      </c>
      <c r="B4976" s="38"/>
      <c r="C4976" s="23" t="s">
        <v>1962</v>
      </c>
      <c r="D4976" s="23" t="s">
        <v>32</v>
      </c>
      <c r="E4976" s="24">
        <v>45471.0</v>
      </c>
      <c r="F4976" s="25">
        <v>0.2791666666666667</v>
      </c>
      <c r="G4976" s="25">
        <v>0.6131944444444445</v>
      </c>
      <c r="H4976" s="27">
        <f t="shared" si="2"/>
        <v>0.3340277778</v>
      </c>
      <c r="I4976" s="28">
        <v>2.0</v>
      </c>
      <c r="J4976" s="39" t="s">
        <v>2353</v>
      </c>
      <c r="K4976" s="41"/>
      <c r="L4976" s="31" t="str">
        <f>IFERROR(__xludf.DUMMYFUNCTION("IF(OR(E4976="""",K4976=""""),"""",IFERROR(IF(K4976="""","""",query('tbl user'!$A$2:$D10975,""SELECT A WHERE D = '""&amp;K4976&amp;""'"")),""USER TIDAK DIKETAHUI""))"),"")</f>
        <v/>
      </c>
    </row>
    <row r="4977">
      <c r="A4977" s="21" t="str">
        <f t="shared" si="1"/>
        <v/>
      </c>
      <c r="B4977" s="38"/>
      <c r="C4977" s="23" t="s">
        <v>1965</v>
      </c>
      <c r="D4977" s="23" t="s">
        <v>32</v>
      </c>
      <c r="E4977" s="24">
        <v>45471.0</v>
      </c>
      <c r="F4977" s="25">
        <v>0.23055555555555557</v>
      </c>
      <c r="G4977" s="25">
        <v>0.5395833333333333</v>
      </c>
      <c r="H4977" s="27">
        <f t="shared" si="2"/>
        <v>0.3090277778</v>
      </c>
      <c r="I4977" s="28">
        <v>2.0</v>
      </c>
      <c r="J4977" s="39" t="s">
        <v>2354</v>
      </c>
      <c r="K4977" s="41"/>
      <c r="L4977" s="31" t="str">
        <f>IFERROR(__xludf.DUMMYFUNCTION("IF(OR(E4977="""",K4977=""""),"""",IFERROR(IF(K4977="""","""",query('tbl user'!$A$2:$D10975,""SELECT A WHERE D = '""&amp;K4977&amp;""'"")),""USER TIDAK DIKETAHUI""))"),"")</f>
        <v/>
      </c>
    </row>
    <row r="4978">
      <c r="A4978" s="21" t="str">
        <f t="shared" si="1"/>
        <v/>
      </c>
      <c r="B4978" s="38"/>
      <c r="C4978" s="23" t="s">
        <v>1954</v>
      </c>
      <c r="D4978" s="23" t="s">
        <v>32</v>
      </c>
      <c r="E4978" s="24">
        <v>45471.0</v>
      </c>
      <c r="F4978" s="25">
        <v>0.2881944444444444</v>
      </c>
      <c r="G4978" s="25">
        <v>0.7326388888888888</v>
      </c>
      <c r="H4978" s="27">
        <f t="shared" si="2"/>
        <v>0.4444444444</v>
      </c>
      <c r="I4978" s="28">
        <v>2.0</v>
      </c>
      <c r="J4978" s="39" t="s">
        <v>2355</v>
      </c>
      <c r="K4978" s="41"/>
      <c r="L4978" s="31" t="str">
        <f>IFERROR(__xludf.DUMMYFUNCTION("IF(OR(E4978="""",K4978=""""),"""",IFERROR(IF(K4978="""","""",query('tbl user'!$A$2:$D10975,""SELECT A WHERE D = '""&amp;K4978&amp;""'"")),""USER TIDAK DIKETAHUI""))"),"")</f>
        <v/>
      </c>
    </row>
    <row r="4979">
      <c r="A4979" s="21" t="str">
        <f t="shared" si="1"/>
        <v/>
      </c>
      <c r="B4979" s="38"/>
      <c r="C4979" s="23" t="s">
        <v>1905</v>
      </c>
      <c r="D4979" s="23" t="s">
        <v>32</v>
      </c>
      <c r="E4979" s="24">
        <v>45471.0</v>
      </c>
      <c r="F4979" s="25">
        <v>0.2222222222222222</v>
      </c>
      <c r="G4979" s="25">
        <v>0.5666666666666667</v>
      </c>
      <c r="H4979" s="27">
        <f t="shared" si="2"/>
        <v>0.3444444444</v>
      </c>
      <c r="I4979" s="28">
        <v>2.0</v>
      </c>
      <c r="J4979" s="39" t="s">
        <v>2356</v>
      </c>
      <c r="K4979" s="41"/>
      <c r="L4979" s="31" t="str">
        <f>IFERROR(__xludf.DUMMYFUNCTION("IF(OR(E4979="""",K4979=""""),"""",IFERROR(IF(K4979="""","""",query('tbl user'!$A$2:$D10975,""SELECT A WHERE D = '""&amp;K4979&amp;""'"")),""USER TIDAK DIKETAHUI""))"),"")</f>
        <v/>
      </c>
    </row>
    <row r="4980">
      <c r="A4980" s="21" t="str">
        <f t="shared" si="1"/>
        <v/>
      </c>
      <c r="B4980" s="38"/>
      <c r="C4980" s="23" t="s">
        <v>2357</v>
      </c>
      <c r="D4980" s="23" t="s">
        <v>32</v>
      </c>
      <c r="E4980" s="24">
        <v>45471.0</v>
      </c>
      <c r="F4980" s="25">
        <v>0.2743055555555556</v>
      </c>
      <c r="G4980" s="25">
        <v>0.5173611111111112</v>
      </c>
      <c r="H4980" s="27">
        <f t="shared" si="2"/>
        <v>0.2430555556</v>
      </c>
      <c r="I4980" s="28">
        <v>2.0</v>
      </c>
      <c r="J4980" s="39" t="s">
        <v>2358</v>
      </c>
      <c r="K4980" s="41"/>
      <c r="L4980" s="31" t="str">
        <f>IFERROR(__xludf.DUMMYFUNCTION("IF(OR(E4980="""",K4980=""""),"""",IFERROR(IF(K4980="""","""",query('tbl user'!$A$2:$D10975,""SELECT A WHERE D = '""&amp;K4980&amp;""'"")),""USER TIDAK DIKETAHUI""))"),"")</f>
        <v/>
      </c>
    </row>
    <row r="4981">
      <c r="A4981" s="21" t="str">
        <f t="shared" si="1"/>
        <v/>
      </c>
      <c r="B4981" s="38"/>
      <c r="C4981" s="23" t="s">
        <v>1901</v>
      </c>
      <c r="D4981" s="23" t="s">
        <v>32</v>
      </c>
      <c r="E4981" s="24">
        <v>45471.0</v>
      </c>
      <c r="F4981" s="25">
        <v>0.2847222222222222</v>
      </c>
      <c r="G4981" s="25">
        <v>0.7201388888888889</v>
      </c>
      <c r="H4981" s="27">
        <f t="shared" si="2"/>
        <v>0.4354166667</v>
      </c>
      <c r="I4981" s="28">
        <v>3.0</v>
      </c>
      <c r="J4981" s="39" t="s">
        <v>1842</v>
      </c>
      <c r="K4981" s="41"/>
      <c r="L4981" s="31" t="str">
        <f>IFERROR(__xludf.DUMMYFUNCTION("IF(OR(E4981="""",K4981=""""),"""",IFERROR(IF(K4981="""","""",query('tbl user'!$A$2:$D10975,""SELECT A WHERE D = '""&amp;K4981&amp;""'"")),""USER TIDAK DIKETAHUI""))"),"")</f>
        <v/>
      </c>
    </row>
    <row r="4982">
      <c r="A4982" s="21" t="str">
        <f t="shared" si="1"/>
        <v/>
      </c>
      <c r="B4982" s="38"/>
      <c r="C4982" s="23" t="s">
        <v>1963</v>
      </c>
      <c r="D4982" s="23" t="s">
        <v>32</v>
      </c>
      <c r="E4982" s="24">
        <v>45471.0</v>
      </c>
      <c r="F4982" s="25">
        <v>0.26458333333333334</v>
      </c>
      <c r="G4982" s="25">
        <v>0.6534722222222222</v>
      </c>
      <c r="H4982" s="27">
        <f t="shared" si="2"/>
        <v>0.3888888889</v>
      </c>
      <c r="I4982" s="28">
        <v>3.0</v>
      </c>
      <c r="J4982" s="39" t="s">
        <v>1842</v>
      </c>
      <c r="K4982" s="41"/>
      <c r="L4982" s="31" t="str">
        <f>IFERROR(__xludf.DUMMYFUNCTION("IF(OR(E4982="""",K4982=""""),"""",IFERROR(IF(K4982="""","""",query('tbl user'!$A$2:$D10975,""SELECT A WHERE D = '""&amp;K4982&amp;""'"")),""USER TIDAK DIKETAHUI""))"),"")</f>
        <v/>
      </c>
    </row>
    <row r="4983">
      <c r="A4983" s="21" t="str">
        <f t="shared" si="1"/>
        <v/>
      </c>
      <c r="B4983" s="38"/>
      <c r="C4983" s="23" t="s">
        <v>1951</v>
      </c>
      <c r="D4983" s="23" t="s">
        <v>32</v>
      </c>
      <c r="E4983" s="24">
        <v>45471.0</v>
      </c>
      <c r="F4983" s="25">
        <v>0.26458333333333334</v>
      </c>
      <c r="G4983" s="25">
        <v>0.6631944444444444</v>
      </c>
      <c r="H4983" s="27">
        <f t="shared" si="2"/>
        <v>0.3986111111</v>
      </c>
      <c r="I4983" s="28">
        <v>3.0</v>
      </c>
      <c r="J4983" s="39" t="s">
        <v>1842</v>
      </c>
      <c r="K4983" s="41"/>
      <c r="L4983" s="31" t="str">
        <f>IFERROR(__xludf.DUMMYFUNCTION("IF(OR(E4983="""",K4983=""""),"""",IFERROR(IF(K4983="""","""",query('tbl user'!$A$2:$D10975,""SELECT A WHERE D = '""&amp;K4983&amp;""'"")),""USER TIDAK DIKETAHUI""))"),"")</f>
        <v/>
      </c>
    </row>
    <row r="4984">
      <c r="A4984" s="21" t="str">
        <f t="shared" si="1"/>
        <v/>
      </c>
      <c r="B4984" s="38"/>
      <c r="C4984" s="23" t="s">
        <v>1990</v>
      </c>
      <c r="D4984" s="23" t="s">
        <v>32</v>
      </c>
      <c r="E4984" s="24">
        <v>45471.0</v>
      </c>
      <c r="F4984" s="25">
        <v>0.2916666666666667</v>
      </c>
      <c r="G4984" s="25">
        <v>0.7055555555555556</v>
      </c>
      <c r="H4984" s="27">
        <f t="shared" si="2"/>
        <v>0.4138888889</v>
      </c>
      <c r="I4984" s="28">
        <v>3.0</v>
      </c>
      <c r="J4984" s="39" t="s">
        <v>1842</v>
      </c>
      <c r="K4984" s="41"/>
      <c r="L4984" s="31" t="str">
        <f>IFERROR(__xludf.DUMMYFUNCTION("IF(OR(E4984="""",K4984=""""),"""",IFERROR(IF(K4984="""","""",query('tbl user'!$A$2:$D10975,""SELECT A WHERE D = '""&amp;K4984&amp;""'"")),""USER TIDAK DIKETAHUI""))"),"")</f>
        <v/>
      </c>
    </row>
    <row r="4985">
      <c r="A4985" s="21" t="str">
        <f t="shared" si="1"/>
        <v/>
      </c>
      <c r="B4985" s="38"/>
      <c r="C4985" s="23" t="s">
        <v>1908</v>
      </c>
      <c r="D4985" s="23" t="s">
        <v>32</v>
      </c>
      <c r="E4985" s="24">
        <v>45471.0</v>
      </c>
      <c r="F4985" s="25">
        <v>0.25</v>
      </c>
      <c r="G4985" s="25">
        <v>0.6388888888888888</v>
      </c>
      <c r="H4985" s="27">
        <f t="shared" si="2"/>
        <v>0.3888888889</v>
      </c>
      <c r="I4985" s="28">
        <v>3.0</v>
      </c>
      <c r="J4985" s="39" t="s">
        <v>1842</v>
      </c>
      <c r="K4985" s="41"/>
      <c r="L4985" s="31" t="str">
        <f>IFERROR(__xludf.DUMMYFUNCTION("IF(OR(E4985="""",K4985=""""),"""",IFERROR(IF(K4985="""","""",query('tbl user'!$A$2:$D10975,""SELECT A WHERE D = '""&amp;K4985&amp;""'"")),""USER TIDAK DIKETAHUI""))"),"")</f>
        <v/>
      </c>
    </row>
    <row r="4986">
      <c r="A4986" s="21" t="str">
        <f t="shared" si="1"/>
        <v/>
      </c>
      <c r="B4986" s="38"/>
      <c r="C4986" s="23" t="s">
        <v>1964</v>
      </c>
      <c r="D4986" s="23" t="s">
        <v>32</v>
      </c>
      <c r="E4986" s="24">
        <v>45471.0</v>
      </c>
      <c r="F4986" s="25">
        <v>0.2625</v>
      </c>
      <c r="G4986" s="25">
        <v>0.7402777777777778</v>
      </c>
      <c r="H4986" s="27">
        <f t="shared" si="2"/>
        <v>0.4777777778</v>
      </c>
      <c r="I4986" s="28">
        <v>4.0</v>
      </c>
      <c r="J4986" s="39" t="s">
        <v>55</v>
      </c>
      <c r="K4986" s="41"/>
      <c r="L4986" s="31" t="str">
        <f>IFERROR(__xludf.DUMMYFUNCTION("IF(OR(E4986="""",K4986=""""),"""",IFERROR(IF(K4986="""","""",query('tbl user'!$A$2:$D10975,""SELECT A WHERE D = '""&amp;K4986&amp;""'"")),""USER TIDAK DIKETAHUI""))"),"")</f>
        <v/>
      </c>
    </row>
    <row r="4987">
      <c r="A4987" s="21" t="str">
        <f t="shared" si="1"/>
        <v/>
      </c>
      <c r="B4987" s="38"/>
      <c r="C4987" s="23" t="s">
        <v>1907</v>
      </c>
      <c r="D4987" s="23" t="s">
        <v>32</v>
      </c>
      <c r="E4987" s="24">
        <v>45471.0</v>
      </c>
      <c r="F4987" s="25">
        <v>0.24305555555555555</v>
      </c>
      <c r="G4987" s="25">
        <v>0.7083333333333334</v>
      </c>
      <c r="H4987" s="27">
        <f t="shared" si="2"/>
        <v>0.4652777778</v>
      </c>
      <c r="I4987" s="28">
        <v>4.0</v>
      </c>
      <c r="J4987" s="39" t="s">
        <v>55</v>
      </c>
      <c r="K4987" s="41"/>
      <c r="L4987" s="31" t="str">
        <f>IFERROR(__xludf.DUMMYFUNCTION("IF(OR(E4987="""",K4987=""""),"""",IFERROR(IF(K4987="""","""",query('tbl user'!$A$2:$D10975,""SELECT A WHERE D = '""&amp;K4987&amp;""'"")),""USER TIDAK DIKETAHUI""))"),"")</f>
        <v/>
      </c>
    </row>
    <row r="4988">
      <c r="A4988" s="21" t="str">
        <f t="shared" si="1"/>
        <v/>
      </c>
      <c r="B4988" s="38"/>
      <c r="C4988" s="23" t="s">
        <v>1913</v>
      </c>
      <c r="D4988" s="23" t="s">
        <v>32</v>
      </c>
      <c r="E4988" s="24">
        <v>45471.0</v>
      </c>
      <c r="F4988" s="25">
        <v>0.24166666666666667</v>
      </c>
      <c r="G4988" s="25">
        <v>0.7256944444444444</v>
      </c>
      <c r="H4988" s="27">
        <f t="shared" si="2"/>
        <v>0.4840277778</v>
      </c>
      <c r="I4988" s="28">
        <v>4.0</v>
      </c>
      <c r="J4988" s="39" t="s">
        <v>55</v>
      </c>
      <c r="K4988" s="41"/>
      <c r="L4988" s="31" t="str">
        <f>IFERROR(__xludf.DUMMYFUNCTION("IF(OR(E4988="""",K4988=""""),"""",IFERROR(IF(K4988="""","""",query('tbl user'!$A$2:$D10975,""SELECT A WHERE D = '""&amp;K4988&amp;""'"")),""USER TIDAK DIKETAHUI""))"),"")</f>
        <v/>
      </c>
    </row>
    <row r="4989">
      <c r="A4989" s="21" t="str">
        <f t="shared" si="1"/>
        <v/>
      </c>
      <c r="B4989" s="38"/>
      <c r="C4989" s="23" t="s">
        <v>1900</v>
      </c>
      <c r="D4989" s="23" t="s">
        <v>32</v>
      </c>
      <c r="E4989" s="24">
        <v>45471.0</v>
      </c>
      <c r="F4989" s="25">
        <v>0.24097222222222223</v>
      </c>
      <c r="G4989" s="25">
        <v>0.7305555555555555</v>
      </c>
      <c r="H4989" s="27">
        <f t="shared" si="2"/>
        <v>0.4895833333</v>
      </c>
      <c r="I4989" s="28">
        <v>4.0</v>
      </c>
      <c r="J4989" s="39" t="s">
        <v>55</v>
      </c>
      <c r="K4989" s="41"/>
      <c r="L4989" s="31" t="str">
        <f>IFERROR(__xludf.DUMMYFUNCTION("IF(OR(E4989="""",K4989=""""),"""",IFERROR(IF(K4989="""","""",query('tbl user'!$A$2:$D10975,""SELECT A WHERE D = '""&amp;K4989&amp;""'"")),""USER TIDAK DIKETAHUI""))"),"")</f>
        <v/>
      </c>
    </row>
    <row r="4990">
      <c r="A4990" s="21">
        <f t="shared" si="1"/>
        <v>45475.6678</v>
      </c>
      <c r="B4990" s="40" t="s">
        <v>2359</v>
      </c>
      <c r="C4990" s="23" t="s">
        <v>1834</v>
      </c>
      <c r="D4990" s="23" t="s">
        <v>21</v>
      </c>
      <c r="E4990" s="24">
        <v>45472.0</v>
      </c>
      <c r="F4990" s="25">
        <v>0.2388888888888889</v>
      </c>
      <c r="G4990" s="25">
        <v>0.3798611111111111</v>
      </c>
      <c r="H4990" s="27">
        <f t="shared" si="2"/>
        <v>0.1409722222</v>
      </c>
      <c r="I4990" s="28">
        <v>1.0</v>
      </c>
      <c r="J4990" s="39" t="s">
        <v>2360</v>
      </c>
      <c r="K4990" s="41"/>
      <c r="L4990" s="31" t="str">
        <f>IFERROR(__xludf.DUMMYFUNCTION("IF(OR(E4990="""",K4990=""""),"""",IFERROR(IF(K4990="""","""",query('tbl user'!$A$2:$D10975,""SELECT A WHERE D = '""&amp;K4990&amp;""'"")),""USER TIDAK DIKETAHUI""))"),"")</f>
        <v/>
      </c>
    </row>
    <row r="4991">
      <c r="A4991" s="21">
        <f t="shared" si="1"/>
        <v>45475.66786</v>
      </c>
      <c r="B4991" s="40" t="s">
        <v>2361</v>
      </c>
      <c r="C4991" s="23" t="s">
        <v>2005</v>
      </c>
      <c r="D4991" s="23" t="s">
        <v>21</v>
      </c>
      <c r="E4991" s="24">
        <v>45472.0</v>
      </c>
      <c r="F4991" s="25">
        <v>0.2923611111111111</v>
      </c>
      <c r="G4991" s="25">
        <v>0.46805555555555556</v>
      </c>
      <c r="H4991" s="27">
        <f t="shared" si="2"/>
        <v>0.1756944444</v>
      </c>
      <c r="I4991" s="28">
        <v>1.0</v>
      </c>
      <c r="J4991" s="39" t="s">
        <v>2362</v>
      </c>
      <c r="K4991" s="41"/>
      <c r="L4991" s="31" t="str">
        <f>IFERROR(__xludf.DUMMYFUNCTION("IF(OR(E4991="""",K4991=""""),"""",IFERROR(IF(K4991="""","""",query('tbl user'!$A$2:$D10975,""SELECT A WHERE D = '""&amp;K4991&amp;""'"")),""USER TIDAK DIKETAHUI""))"),"")</f>
        <v/>
      </c>
    </row>
    <row r="4992">
      <c r="A4992" s="21">
        <f t="shared" si="1"/>
        <v>45475.66791</v>
      </c>
      <c r="B4992" s="40" t="s">
        <v>2363</v>
      </c>
      <c r="C4992" s="23" t="s">
        <v>1851</v>
      </c>
      <c r="D4992" s="23" t="s">
        <v>21</v>
      </c>
      <c r="E4992" s="24">
        <v>45472.0</v>
      </c>
      <c r="F4992" s="25">
        <v>0.28888888888888886</v>
      </c>
      <c r="G4992" s="25">
        <v>0.5479166666666667</v>
      </c>
      <c r="H4992" s="27">
        <f t="shared" si="2"/>
        <v>0.2590277778</v>
      </c>
      <c r="I4992" s="28">
        <v>2.0</v>
      </c>
      <c r="J4992" s="39" t="s">
        <v>2364</v>
      </c>
      <c r="K4992" s="41"/>
      <c r="L4992" s="31" t="str">
        <f>IFERROR(__xludf.DUMMYFUNCTION("IF(OR(E4992="""",K4992=""""),"""",IFERROR(IF(K4992="""","""",query('tbl user'!$A$2:$D10975,""SELECT A WHERE D = '""&amp;K4992&amp;""'"")),""USER TIDAK DIKETAHUI""))"),"")</f>
        <v/>
      </c>
    </row>
    <row r="4993">
      <c r="A4993" s="21">
        <f t="shared" si="1"/>
        <v>45475.66796</v>
      </c>
      <c r="B4993" s="40" t="s">
        <v>2365</v>
      </c>
      <c r="C4993" s="23" t="s">
        <v>1830</v>
      </c>
      <c r="D4993" s="23" t="s">
        <v>21</v>
      </c>
      <c r="E4993" s="24">
        <v>45472.0</v>
      </c>
      <c r="F4993" s="25">
        <v>0.2861111111111111</v>
      </c>
      <c r="G4993" s="25">
        <v>0.6006944444444444</v>
      </c>
      <c r="H4993" s="27">
        <f t="shared" si="2"/>
        <v>0.3145833333</v>
      </c>
      <c r="I4993" s="28">
        <v>2.0</v>
      </c>
      <c r="J4993" s="39" t="s">
        <v>2366</v>
      </c>
      <c r="K4993" s="41"/>
      <c r="L4993" s="31" t="str">
        <f>IFERROR(__xludf.DUMMYFUNCTION("IF(OR(E4993="""",K4993=""""),"""",IFERROR(IF(K4993="""","""",query('tbl user'!$A$2:$D10975,""SELECT A WHERE D = '""&amp;K4993&amp;""'"")),""USER TIDAK DIKETAHUI""))"),"")</f>
        <v/>
      </c>
    </row>
    <row r="4994">
      <c r="A4994" s="21">
        <f t="shared" si="1"/>
        <v>45475.66801</v>
      </c>
      <c r="B4994" s="40" t="s">
        <v>2367</v>
      </c>
      <c r="C4994" s="23" t="s">
        <v>1854</v>
      </c>
      <c r="D4994" s="23" t="s">
        <v>21</v>
      </c>
      <c r="E4994" s="24">
        <v>45472.0</v>
      </c>
      <c r="F4994" s="25">
        <v>0.2652777777777778</v>
      </c>
      <c r="G4994" s="25">
        <v>0.6041666666666666</v>
      </c>
      <c r="H4994" s="27">
        <f t="shared" si="2"/>
        <v>0.3388888889</v>
      </c>
      <c r="I4994" s="28">
        <v>2.0</v>
      </c>
      <c r="J4994" s="39" t="s">
        <v>2368</v>
      </c>
      <c r="K4994" s="41"/>
      <c r="L4994" s="31" t="str">
        <f>IFERROR(__xludf.DUMMYFUNCTION("IF(OR(E4994="""",K4994=""""),"""",IFERROR(IF(K4994="""","""",query('tbl user'!$A$2:$D10975,""SELECT A WHERE D = '""&amp;K4994&amp;""'"")),""USER TIDAK DIKETAHUI""))"),"")</f>
        <v/>
      </c>
    </row>
    <row r="4995">
      <c r="A4995" s="21">
        <f t="shared" si="1"/>
        <v>45475.66805</v>
      </c>
      <c r="B4995" s="40" t="s">
        <v>2369</v>
      </c>
      <c r="C4995" s="23" t="s">
        <v>1930</v>
      </c>
      <c r="D4995" s="23" t="s">
        <v>21</v>
      </c>
      <c r="E4995" s="24">
        <v>45472.0</v>
      </c>
      <c r="F4995" s="25">
        <v>0.28958333333333336</v>
      </c>
      <c r="G4995" s="25">
        <v>0.5347222222222222</v>
      </c>
      <c r="H4995" s="27">
        <f t="shared" si="2"/>
        <v>0.2451388889</v>
      </c>
      <c r="I4995" s="28">
        <v>2.0</v>
      </c>
      <c r="J4995" s="39" t="s">
        <v>2370</v>
      </c>
      <c r="K4995" s="41"/>
      <c r="L4995" s="31" t="str">
        <f>IFERROR(__xludf.DUMMYFUNCTION("IF(OR(E4995="""",K4995=""""),"""",IFERROR(IF(K4995="""","""",query('tbl user'!$A$2:$D10975,""SELECT A WHERE D = '""&amp;K4995&amp;""'"")),""USER TIDAK DIKETAHUI""))"),"")</f>
        <v/>
      </c>
    </row>
    <row r="4996">
      <c r="A4996" s="21">
        <f t="shared" si="1"/>
        <v>45475.66811</v>
      </c>
      <c r="B4996" s="40" t="s">
        <v>2371</v>
      </c>
      <c r="C4996" s="23" t="s">
        <v>1845</v>
      </c>
      <c r="D4996" s="23" t="s">
        <v>21</v>
      </c>
      <c r="E4996" s="24">
        <v>45472.0</v>
      </c>
      <c r="F4996" s="25">
        <v>0.25833333333333336</v>
      </c>
      <c r="G4996" s="25">
        <v>0.53125</v>
      </c>
      <c r="H4996" s="27">
        <f t="shared" si="2"/>
        <v>0.2729166667</v>
      </c>
      <c r="I4996" s="28">
        <v>2.0</v>
      </c>
      <c r="J4996" s="39" t="s">
        <v>2372</v>
      </c>
      <c r="K4996" s="41"/>
      <c r="L4996" s="31" t="str">
        <f>IFERROR(__xludf.DUMMYFUNCTION("IF(OR(E4996="""",K4996=""""),"""",IFERROR(IF(K4996="""","""",query('tbl user'!$A$2:$D10975,""SELECT A WHERE D = '""&amp;K4996&amp;""'"")),""USER TIDAK DIKETAHUI""))"),"")</f>
        <v/>
      </c>
    </row>
    <row r="4997">
      <c r="A4997" s="21">
        <f t="shared" si="1"/>
        <v>45475.66817</v>
      </c>
      <c r="B4997" s="40" t="s">
        <v>2373</v>
      </c>
      <c r="C4997" s="23" t="s">
        <v>1847</v>
      </c>
      <c r="D4997" s="23" t="s">
        <v>21</v>
      </c>
      <c r="E4997" s="24">
        <v>45472.0</v>
      </c>
      <c r="F4997" s="25">
        <v>0.38680555555555557</v>
      </c>
      <c r="G4997" s="25">
        <v>0.5951388888888889</v>
      </c>
      <c r="H4997" s="27">
        <f t="shared" si="2"/>
        <v>0.2083333333</v>
      </c>
      <c r="I4997" s="28">
        <v>2.0</v>
      </c>
      <c r="J4997" s="39" t="s">
        <v>129</v>
      </c>
      <c r="K4997" s="41"/>
      <c r="L4997" s="31" t="str">
        <f>IFERROR(__xludf.DUMMYFUNCTION("IF(OR(E4997="""",K4997=""""),"""",IFERROR(IF(K4997="""","""",query('tbl user'!$A$2:$D10975,""SELECT A WHERE D = '""&amp;K4997&amp;""'"")),""USER TIDAK DIKETAHUI""))"),"")</f>
        <v/>
      </c>
    </row>
    <row r="4998">
      <c r="A4998" s="21">
        <f t="shared" si="1"/>
        <v>45475.66823</v>
      </c>
      <c r="B4998" s="40" t="s">
        <v>2374</v>
      </c>
      <c r="C4998" s="23" t="s">
        <v>1850</v>
      </c>
      <c r="D4998" s="23" t="s">
        <v>21</v>
      </c>
      <c r="E4998" s="24">
        <v>45472.0</v>
      </c>
      <c r="F4998" s="25">
        <v>0.27291666666666664</v>
      </c>
      <c r="G4998" s="25">
        <v>0.5597222222222222</v>
      </c>
      <c r="H4998" s="27">
        <f t="shared" si="2"/>
        <v>0.2868055556</v>
      </c>
      <c r="I4998" s="28">
        <v>2.0</v>
      </c>
      <c r="J4998" s="39" t="s">
        <v>2375</v>
      </c>
      <c r="K4998" s="41"/>
      <c r="L4998" s="31" t="str">
        <f>IFERROR(__xludf.DUMMYFUNCTION("IF(OR(E4998="""",K4998=""""),"""",IFERROR(IF(K4998="""","""",query('tbl user'!$A$2:$D10975,""SELECT A WHERE D = '""&amp;K4998&amp;""'"")),""USER TIDAK DIKETAHUI""))"),"")</f>
        <v/>
      </c>
    </row>
    <row r="4999">
      <c r="A4999" s="21">
        <f t="shared" si="1"/>
        <v>45475.66835</v>
      </c>
      <c r="B4999" s="40" t="s">
        <v>2376</v>
      </c>
      <c r="C4999" s="23" t="s">
        <v>1853</v>
      </c>
      <c r="D4999" s="23" t="s">
        <v>21</v>
      </c>
      <c r="E4999" s="24">
        <v>45472.0</v>
      </c>
      <c r="F4999" s="25">
        <v>0.2875</v>
      </c>
      <c r="G4999" s="25">
        <v>0.65</v>
      </c>
      <c r="H4999" s="27">
        <f t="shared" si="2"/>
        <v>0.3625</v>
      </c>
      <c r="I4999" s="28">
        <v>3.0</v>
      </c>
      <c r="J4999" s="39" t="s">
        <v>2377</v>
      </c>
      <c r="K4999" s="41"/>
      <c r="L4999" s="31" t="str">
        <f>IFERROR(__xludf.DUMMYFUNCTION("IF(OR(E4999="""",K4999=""""),"""",IFERROR(IF(K4999="""","""",query('tbl user'!$A$2:$D10975,""SELECT A WHERE D = '""&amp;K4999&amp;""'"")),""USER TIDAK DIKETAHUI""))"),"")</f>
        <v/>
      </c>
    </row>
    <row r="5000">
      <c r="A5000" s="21">
        <f t="shared" si="1"/>
        <v>45475.66846</v>
      </c>
      <c r="B5000" s="40" t="s">
        <v>2378</v>
      </c>
      <c r="C5000" s="23" t="s">
        <v>1844</v>
      </c>
      <c r="D5000" s="23" t="s">
        <v>21</v>
      </c>
      <c r="E5000" s="24">
        <v>45472.0</v>
      </c>
      <c r="F5000" s="25">
        <v>0.24583333333333332</v>
      </c>
      <c r="G5000" s="25">
        <v>0.6611111111111111</v>
      </c>
      <c r="H5000" s="27">
        <f t="shared" si="2"/>
        <v>0.4152777778</v>
      </c>
      <c r="I5000" s="28">
        <v>3.0</v>
      </c>
      <c r="J5000" s="39" t="s">
        <v>2377</v>
      </c>
      <c r="K5000" s="41"/>
      <c r="L5000" s="31" t="str">
        <f>IFERROR(__xludf.DUMMYFUNCTION("IF(OR(E5000="""",K5000=""""),"""",IFERROR(IF(K5000="""","""",query('tbl user'!$A$2:$D10975,""SELECT A WHERE D = '""&amp;K5000&amp;""'"")),""USER TIDAK DIKETAHUI""))"),"")</f>
        <v/>
      </c>
    </row>
    <row r="5001">
      <c r="A5001" s="21">
        <f t="shared" si="1"/>
        <v>45475.66856</v>
      </c>
      <c r="B5001" s="40" t="s">
        <v>2379</v>
      </c>
      <c r="C5001" s="23" t="s">
        <v>1835</v>
      </c>
      <c r="D5001" s="23" t="s">
        <v>21</v>
      </c>
      <c r="E5001" s="24">
        <v>45472.0</v>
      </c>
      <c r="F5001" s="25">
        <v>0.26875</v>
      </c>
      <c r="G5001" s="25">
        <v>0.60625</v>
      </c>
      <c r="H5001" s="27">
        <f t="shared" si="2"/>
        <v>0.3375</v>
      </c>
      <c r="I5001" s="28">
        <v>3.0</v>
      </c>
      <c r="J5001" s="39" t="s">
        <v>585</v>
      </c>
      <c r="K5001" s="41"/>
      <c r="L5001" s="31" t="str">
        <f>IFERROR(__xludf.DUMMYFUNCTION("IF(OR(E5001="""",K5001=""""),"""",IFERROR(IF(K5001="""","""",query('tbl user'!$A$2:$D10975,""SELECT A WHERE D = '""&amp;K5001&amp;""'"")),""USER TIDAK DIKETAHUI""))"),"")</f>
        <v/>
      </c>
    </row>
    <row r="5002">
      <c r="A5002" s="21">
        <f t="shared" si="1"/>
        <v>45475.66873</v>
      </c>
      <c r="B5002" s="40" t="s">
        <v>2380</v>
      </c>
      <c r="C5002" s="23" t="s">
        <v>1857</v>
      </c>
      <c r="D5002" s="23" t="s">
        <v>21</v>
      </c>
      <c r="E5002" s="24">
        <v>45472.0</v>
      </c>
      <c r="F5002" s="25">
        <v>0.25069444444444444</v>
      </c>
      <c r="G5002" s="25">
        <v>0.5847222222222223</v>
      </c>
      <c r="H5002" s="27">
        <f t="shared" si="2"/>
        <v>0.3340277778</v>
      </c>
      <c r="I5002" s="28">
        <v>3.0</v>
      </c>
      <c r="J5002" s="39" t="s">
        <v>2381</v>
      </c>
      <c r="K5002" s="41"/>
      <c r="L5002" s="31" t="str">
        <f>IFERROR(__xludf.DUMMYFUNCTION("IF(OR(E5002="""",K5002=""""),"""",IFERROR(IF(K5002="""","""",query('tbl user'!$A$2:$D10975,""SELECT A WHERE D = '""&amp;K5002&amp;""'"")),""USER TIDAK DIKETAHUI""))"),"")</f>
        <v/>
      </c>
    </row>
    <row r="5003" ht="23.25" customHeight="1">
      <c r="A5003" s="21">
        <f t="shared" si="1"/>
        <v>45475.66879</v>
      </c>
      <c r="B5003" s="40" t="s">
        <v>2382</v>
      </c>
      <c r="C5003" s="23" t="s">
        <v>1858</v>
      </c>
      <c r="D5003" s="23" t="s">
        <v>21</v>
      </c>
      <c r="E5003" s="24">
        <v>45472.0</v>
      </c>
      <c r="F5003" s="25">
        <v>0.23958333333333334</v>
      </c>
      <c r="G5003" s="25">
        <v>0.5583333333333333</v>
      </c>
      <c r="H5003" s="27">
        <f t="shared" si="2"/>
        <v>0.31875</v>
      </c>
      <c r="I5003" s="28">
        <v>3.0</v>
      </c>
      <c r="J5003" s="39" t="s">
        <v>2383</v>
      </c>
      <c r="K5003" s="41"/>
      <c r="L5003" s="31" t="str">
        <f>IFERROR(__xludf.DUMMYFUNCTION("IF(OR(E5003="""",K5003=""""),"""",IFERROR(IF(K5003="""","""",query('tbl user'!$A$2:$D10975,""SELECT A WHERE D = '""&amp;K5003&amp;""'"")),""USER TIDAK DIKETAHUI""))"),"")</f>
        <v/>
      </c>
    </row>
    <row r="5004">
      <c r="A5004" s="21">
        <f t="shared" si="1"/>
        <v>45475.66896</v>
      </c>
      <c r="B5004" s="40" t="s">
        <v>2384</v>
      </c>
      <c r="C5004" s="23" t="s">
        <v>1849</v>
      </c>
      <c r="D5004" s="23" t="s">
        <v>21</v>
      </c>
      <c r="E5004" s="24">
        <v>45472.0</v>
      </c>
      <c r="F5004" s="25">
        <v>0.2923611111111111</v>
      </c>
      <c r="G5004" s="25">
        <v>0.6458333333333334</v>
      </c>
      <c r="H5004" s="27">
        <f t="shared" si="2"/>
        <v>0.3534722222</v>
      </c>
      <c r="I5004" s="28">
        <v>3.0</v>
      </c>
      <c r="J5004" s="39" t="s">
        <v>2377</v>
      </c>
      <c r="K5004" s="41"/>
      <c r="L5004" s="31" t="str">
        <f>IFERROR(__xludf.DUMMYFUNCTION("IF(OR(E5004="""",K5004=""""),"""",IFERROR(IF(K5004="""","""",query('tbl user'!$A$2:$D10975,""SELECT A WHERE D = '""&amp;K5004&amp;""'"")),""USER TIDAK DIKETAHUI""))"),"")</f>
        <v/>
      </c>
    </row>
    <row r="5005">
      <c r="A5005" s="21">
        <f t="shared" si="1"/>
        <v>45475.66904</v>
      </c>
      <c r="B5005" s="40" t="s">
        <v>2385</v>
      </c>
      <c r="C5005" s="23" t="s">
        <v>2002</v>
      </c>
      <c r="D5005" s="23" t="s">
        <v>21</v>
      </c>
      <c r="E5005" s="24">
        <v>45472.0</v>
      </c>
      <c r="F5005" s="25">
        <v>0.28194444444444444</v>
      </c>
      <c r="G5005" s="25">
        <v>0.7118055555555556</v>
      </c>
      <c r="H5005" s="27">
        <f t="shared" si="2"/>
        <v>0.4298611111</v>
      </c>
      <c r="I5005" s="28">
        <v>4.0</v>
      </c>
      <c r="J5005" s="39" t="s">
        <v>2377</v>
      </c>
      <c r="K5005" s="41"/>
      <c r="L5005" s="31" t="str">
        <f>IFERROR(__xludf.DUMMYFUNCTION("IF(OR(E5005="""",K5005=""""),"""",IFERROR(IF(K5005="""","""",query('tbl user'!$A$2:$D10975,""SELECT A WHERE D = '""&amp;K5005&amp;""'"")),""USER TIDAK DIKETAHUI""))"),"")</f>
        <v/>
      </c>
    </row>
    <row r="5006">
      <c r="A5006" s="21">
        <f t="shared" si="1"/>
        <v>45475.66908</v>
      </c>
      <c r="B5006" s="40" t="s">
        <v>2386</v>
      </c>
      <c r="C5006" s="23" t="s">
        <v>1843</v>
      </c>
      <c r="D5006" s="23" t="s">
        <v>21</v>
      </c>
      <c r="E5006" s="24">
        <v>45472.0</v>
      </c>
      <c r="F5006" s="25">
        <v>0.20833333333333334</v>
      </c>
      <c r="G5006" s="25">
        <v>0.6604166666666667</v>
      </c>
      <c r="H5006" s="27">
        <f t="shared" si="2"/>
        <v>0.4520833333</v>
      </c>
      <c r="I5006" s="28">
        <v>4.0</v>
      </c>
      <c r="J5006" s="39" t="s">
        <v>2377</v>
      </c>
      <c r="K5006" s="41"/>
      <c r="L5006" s="31" t="str">
        <f>IFERROR(__xludf.DUMMYFUNCTION("IF(OR(E5006="""",K5006=""""),"""",IFERROR(IF(K5006="""","""",query('tbl user'!$A$2:$D10975,""SELECT A WHERE D = '""&amp;K5006&amp;""'"")),""USER TIDAK DIKETAHUI""))"),"")</f>
        <v/>
      </c>
    </row>
    <row r="5007">
      <c r="A5007" s="21">
        <f t="shared" si="1"/>
        <v>45475.66913</v>
      </c>
      <c r="B5007" s="40" t="s">
        <v>2387</v>
      </c>
      <c r="C5007" s="23" t="s">
        <v>1923</v>
      </c>
      <c r="D5007" s="23" t="s">
        <v>21</v>
      </c>
      <c r="E5007" s="24">
        <v>45472.0</v>
      </c>
      <c r="F5007" s="25">
        <v>0.25833333333333336</v>
      </c>
      <c r="G5007" s="25">
        <v>0.725</v>
      </c>
      <c r="H5007" s="27">
        <f t="shared" si="2"/>
        <v>0.4666666667</v>
      </c>
      <c r="I5007" s="28">
        <v>4.0</v>
      </c>
      <c r="J5007" s="39" t="s">
        <v>2388</v>
      </c>
      <c r="K5007" s="41"/>
      <c r="L5007" s="31" t="str">
        <f>IFERROR(__xludf.DUMMYFUNCTION("IF(OR(E5007="""",K5007=""""),"""",IFERROR(IF(K5007="""","""",query('tbl user'!$A$2:$D10975,""SELECT A WHERE D = '""&amp;K5007&amp;""'"")),""USER TIDAK DIKETAHUI""))"),"")</f>
        <v/>
      </c>
    </row>
    <row r="5008">
      <c r="A5008" s="21">
        <f t="shared" si="1"/>
        <v>45475.66918</v>
      </c>
      <c r="B5008" s="40" t="s">
        <v>2389</v>
      </c>
      <c r="C5008" s="23" t="s">
        <v>1833</v>
      </c>
      <c r="D5008" s="23" t="s">
        <v>21</v>
      </c>
      <c r="E5008" s="24">
        <v>45472.0</v>
      </c>
      <c r="F5008" s="25">
        <v>0.2777777777777778</v>
      </c>
      <c r="G5008" s="25">
        <v>0.7131944444444445</v>
      </c>
      <c r="H5008" s="27">
        <f t="shared" si="2"/>
        <v>0.4354166667</v>
      </c>
      <c r="I5008" s="28">
        <v>4.0</v>
      </c>
      <c r="J5008" s="39" t="s">
        <v>1463</v>
      </c>
      <c r="K5008" s="41"/>
      <c r="L5008" s="31" t="str">
        <f>IFERROR(__xludf.DUMMYFUNCTION("IF(OR(E5008="""",K5008=""""),"""",IFERROR(IF(K5008="""","""",query('tbl user'!$A$2:$D10975,""SELECT A WHERE D = '""&amp;K5008&amp;""'"")),""USER TIDAK DIKETAHUI""))"),"")</f>
        <v/>
      </c>
    </row>
    <row r="5009">
      <c r="A5009" s="21">
        <f t="shared" si="1"/>
        <v>45475.66927</v>
      </c>
      <c r="B5009" s="40" t="s">
        <v>2390</v>
      </c>
      <c r="C5009" s="23" t="s">
        <v>2136</v>
      </c>
      <c r="D5009" s="23" t="s">
        <v>21</v>
      </c>
      <c r="E5009" s="24">
        <v>45472.0</v>
      </c>
      <c r="F5009" s="25">
        <v>0.2861111111111111</v>
      </c>
      <c r="G5009" s="25">
        <v>0.7034722222222223</v>
      </c>
      <c r="H5009" s="27">
        <f t="shared" si="2"/>
        <v>0.4173611111</v>
      </c>
      <c r="I5009" s="28">
        <v>4.0</v>
      </c>
      <c r="J5009" s="39" t="s">
        <v>2391</v>
      </c>
      <c r="K5009" s="41"/>
      <c r="L5009" s="31" t="str">
        <f>IFERROR(__xludf.DUMMYFUNCTION("IF(OR(E5009="""",K5009=""""),"""",IFERROR(IF(K5009="""","""",query('tbl user'!$A$2:$D10975,""SELECT A WHERE D = '""&amp;K5009&amp;""'"")),""USER TIDAK DIKETAHUI""))"),"")</f>
        <v/>
      </c>
    </row>
    <row r="5010">
      <c r="A5010" s="21">
        <f t="shared" si="1"/>
        <v>45475.66932</v>
      </c>
      <c r="B5010" s="40" t="s">
        <v>2392</v>
      </c>
      <c r="C5010" s="23" t="s">
        <v>2041</v>
      </c>
      <c r="D5010" s="23" t="s">
        <v>21</v>
      </c>
      <c r="E5010" s="24">
        <v>45472.0</v>
      </c>
      <c r="F5010" s="25">
        <v>0.2569444444444444</v>
      </c>
      <c r="G5010" s="25">
        <v>0.6555555555555556</v>
      </c>
      <c r="H5010" s="27">
        <f t="shared" si="2"/>
        <v>0.3986111111</v>
      </c>
      <c r="I5010" s="28">
        <v>4.0</v>
      </c>
      <c r="J5010" s="39" t="s">
        <v>2377</v>
      </c>
      <c r="K5010" s="41"/>
      <c r="L5010" s="31" t="str">
        <f>IFERROR(__xludf.DUMMYFUNCTION("IF(OR(E5010="""",K5010=""""),"""",IFERROR(IF(K5010="""","""",query('tbl user'!$A$2:$D10975,""SELECT A WHERE D = '""&amp;K5010&amp;""'"")),""USER TIDAK DIKETAHUI""))"),"")</f>
        <v/>
      </c>
    </row>
    <row r="5011">
      <c r="A5011" s="21">
        <f t="shared" si="1"/>
        <v>45475.66938</v>
      </c>
      <c r="B5011" s="40" t="s">
        <v>2393</v>
      </c>
      <c r="C5011" s="23" t="s">
        <v>1925</v>
      </c>
      <c r="D5011" s="23" t="s">
        <v>21</v>
      </c>
      <c r="E5011" s="24">
        <v>45472.0</v>
      </c>
      <c r="F5011" s="25">
        <v>0.225</v>
      </c>
      <c r="G5011" s="25">
        <v>0.6958333333333333</v>
      </c>
      <c r="H5011" s="27">
        <f t="shared" si="2"/>
        <v>0.4708333333</v>
      </c>
      <c r="I5011" s="28">
        <v>4.0</v>
      </c>
      <c r="J5011" s="39" t="s">
        <v>2377</v>
      </c>
      <c r="K5011" s="41"/>
      <c r="L5011" s="31" t="str">
        <f>IFERROR(__xludf.DUMMYFUNCTION("IF(OR(E5011="""",K5011=""""),"""",IFERROR(IF(K5011="""","""",query('tbl user'!$A$2:$D10975,""SELECT A WHERE D = '""&amp;K5011&amp;""'"")),""USER TIDAK DIKETAHUI""))"),"")</f>
        <v/>
      </c>
    </row>
    <row r="5012">
      <c r="A5012" s="21">
        <f t="shared" si="1"/>
        <v>45475.66946</v>
      </c>
      <c r="B5012" s="40" t="s">
        <v>2394</v>
      </c>
      <c r="C5012" s="23" t="s">
        <v>1837</v>
      </c>
      <c r="D5012" s="23" t="s">
        <v>21</v>
      </c>
      <c r="E5012" s="24">
        <v>45472.0</v>
      </c>
      <c r="F5012" s="25">
        <v>0.2604166666666667</v>
      </c>
      <c r="G5012" s="25">
        <v>0.6666666666666666</v>
      </c>
      <c r="H5012" s="27">
        <f t="shared" si="2"/>
        <v>0.40625</v>
      </c>
      <c r="I5012" s="28">
        <v>4.0</v>
      </c>
      <c r="J5012" s="39" t="s">
        <v>736</v>
      </c>
      <c r="K5012" s="41"/>
      <c r="L5012" s="31" t="str">
        <f>IFERROR(__xludf.DUMMYFUNCTION("IF(OR(E5012="""",K5012=""""),"""",IFERROR(IF(K5012="""","""",query('tbl user'!$A$2:$D10975,""SELECT A WHERE D = '""&amp;K5012&amp;""'"")),""USER TIDAK DIKETAHUI""))"),"")</f>
        <v/>
      </c>
    </row>
    <row r="5013">
      <c r="A5013" s="21">
        <f t="shared" si="1"/>
        <v>45475.66957</v>
      </c>
      <c r="B5013" s="40" t="s">
        <v>2361</v>
      </c>
      <c r="C5013" s="23" t="s">
        <v>1928</v>
      </c>
      <c r="D5013" s="23" t="s">
        <v>21</v>
      </c>
      <c r="E5013" s="24">
        <v>45472.0</v>
      </c>
      <c r="F5013" s="25">
        <v>0.28958333333333336</v>
      </c>
      <c r="G5013" s="25">
        <v>0.6986111111111111</v>
      </c>
      <c r="H5013" s="27">
        <f t="shared" si="2"/>
        <v>0.4090277778</v>
      </c>
      <c r="I5013" s="28">
        <v>4.0</v>
      </c>
      <c r="J5013" s="39" t="s">
        <v>2377</v>
      </c>
      <c r="K5013" s="41"/>
      <c r="L5013" s="31" t="str">
        <f>IFERROR(__xludf.DUMMYFUNCTION("IF(OR(E5013="""",K5013=""""),"""",IFERROR(IF(K5013="""","""",query('tbl user'!$A$2:$D10975,""SELECT A WHERE D = '""&amp;K5013&amp;""'"")),""USER TIDAK DIKETAHUI""))"),"")</f>
        <v/>
      </c>
    </row>
    <row r="5014">
      <c r="A5014" s="21">
        <f t="shared" si="1"/>
        <v>45475.66967</v>
      </c>
      <c r="B5014" s="40" t="s">
        <v>2395</v>
      </c>
      <c r="C5014" s="23" t="s">
        <v>1827</v>
      </c>
      <c r="D5014" s="23" t="s">
        <v>21</v>
      </c>
      <c r="E5014" s="24">
        <v>45472.0</v>
      </c>
      <c r="F5014" s="25">
        <v>0.2743055555555556</v>
      </c>
      <c r="G5014" s="25">
        <v>0.7430555555555556</v>
      </c>
      <c r="H5014" s="27">
        <f t="shared" si="2"/>
        <v>0.46875</v>
      </c>
      <c r="I5014" s="28">
        <v>5.0</v>
      </c>
      <c r="J5014" s="39" t="s">
        <v>55</v>
      </c>
      <c r="K5014" s="41"/>
      <c r="L5014" s="31" t="str">
        <f>IFERROR(__xludf.DUMMYFUNCTION("IF(OR(E5014="""",K5014=""""),"""",IFERROR(IF(K5014="""","""",query('tbl user'!$A$2:$D10975,""SELECT A WHERE D = '""&amp;K5014&amp;""'"")),""USER TIDAK DIKETAHUI""))"),"")</f>
        <v/>
      </c>
    </row>
    <row r="5015">
      <c r="A5015" s="21">
        <f t="shared" si="1"/>
        <v>45475.66973</v>
      </c>
      <c r="B5015" s="40" t="s">
        <v>2396</v>
      </c>
      <c r="C5015" s="23" t="s">
        <v>2049</v>
      </c>
      <c r="D5015" s="23" t="s">
        <v>21</v>
      </c>
      <c r="E5015" s="24">
        <v>45472.0</v>
      </c>
      <c r="F5015" s="25">
        <v>0.2673611111111111</v>
      </c>
      <c r="G5015" s="25">
        <v>0.7444444444444445</v>
      </c>
      <c r="H5015" s="27">
        <f t="shared" si="2"/>
        <v>0.4770833333</v>
      </c>
      <c r="I5015" s="28">
        <v>5.0</v>
      </c>
      <c r="J5015" s="39" t="s">
        <v>55</v>
      </c>
      <c r="K5015" s="41"/>
      <c r="L5015" s="31" t="str">
        <f>IFERROR(__xludf.DUMMYFUNCTION("IF(OR(E5015="""",K5015=""""),"""",IFERROR(IF(K5015="""","""",query('tbl user'!$A$2:$D10975,""SELECT A WHERE D = '""&amp;K5015&amp;""'"")),""USER TIDAK DIKETAHUI""))"),"")</f>
        <v/>
      </c>
    </row>
    <row r="5016">
      <c r="A5016" s="21">
        <f t="shared" si="1"/>
        <v>45475.66977</v>
      </c>
      <c r="B5016" s="40" t="s">
        <v>2397</v>
      </c>
      <c r="C5016" s="23" t="s">
        <v>1935</v>
      </c>
      <c r="D5016" s="23" t="s">
        <v>21</v>
      </c>
      <c r="E5016" s="24">
        <v>45472.0</v>
      </c>
      <c r="F5016" s="25">
        <v>0.24097222222222223</v>
      </c>
      <c r="G5016" s="25">
        <v>0.7361111111111112</v>
      </c>
      <c r="H5016" s="27">
        <f t="shared" si="2"/>
        <v>0.4951388889</v>
      </c>
      <c r="I5016" s="28">
        <v>5.0</v>
      </c>
      <c r="J5016" s="39" t="s">
        <v>55</v>
      </c>
      <c r="K5016" s="41"/>
      <c r="L5016" s="31" t="str">
        <f>IFERROR(__xludf.DUMMYFUNCTION("IF(OR(E5016="""",K5016=""""),"""",IFERROR(IF(K5016="""","""",query('tbl user'!$A$2:$D10975,""SELECT A WHERE D = '""&amp;K5016&amp;""'"")),""USER TIDAK DIKETAHUI""))"),"")</f>
        <v/>
      </c>
    </row>
    <row r="5017">
      <c r="A5017" s="21">
        <f t="shared" si="1"/>
        <v>45475.66986</v>
      </c>
      <c r="B5017" s="40" t="s">
        <v>2398</v>
      </c>
      <c r="C5017" s="23" t="s">
        <v>1829</v>
      </c>
      <c r="D5017" s="23" t="s">
        <v>21</v>
      </c>
      <c r="E5017" s="24">
        <v>45472.0</v>
      </c>
      <c r="F5017" s="25">
        <v>0.3333333333333333</v>
      </c>
      <c r="G5017" s="25">
        <v>0.6576388888888889</v>
      </c>
      <c r="H5017" s="27">
        <f t="shared" si="2"/>
        <v>0.3243055556</v>
      </c>
      <c r="I5017" s="28">
        <v>2.0</v>
      </c>
      <c r="J5017" s="39" t="s">
        <v>2399</v>
      </c>
      <c r="K5017" s="41"/>
      <c r="L5017" s="31" t="str">
        <f>IFERROR(__xludf.DUMMYFUNCTION("IF(OR(E5017="""",K5017=""""),"""",IFERROR(IF(K5017="""","""",query('tbl user'!$A$2:$D10975,""SELECT A WHERE D = '""&amp;K5017&amp;""'"")),""USER TIDAK DIKETAHUI""))"),"")</f>
        <v/>
      </c>
    </row>
    <row r="5018">
      <c r="A5018" s="21">
        <f t="shared" si="1"/>
        <v>45475.66993</v>
      </c>
      <c r="B5018" s="40" t="s">
        <v>2400</v>
      </c>
      <c r="C5018" s="23" t="s">
        <v>1917</v>
      </c>
      <c r="D5018" s="23" t="s">
        <v>21</v>
      </c>
      <c r="E5018" s="24">
        <v>45472.0</v>
      </c>
      <c r="F5018" s="25">
        <v>0.2548611111111111</v>
      </c>
      <c r="G5018" s="25">
        <v>0.6909722222222222</v>
      </c>
      <c r="H5018" s="27">
        <f t="shared" si="2"/>
        <v>0.4361111111</v>
      </c>
      <c r="I5018" s="28">
        <v>3.0</v>
      </c>
      <c r="J5018" s="39" t="s">
        <v>2233</v>
      </c>
      <c r="K5018" s="41"/>
      <c r="L5018" s="31" t="str">
        <f>IFERROR(__xludf.DUMMYFUNCTION("IF(OR(E5018="""",K5018=""""),"""",IFERROR(IF(K5018="""","""",query('tbl user'!$A$2:$D10975,""SELECT A WHERE D = '""&amp;K5018&amp;""'"")),""USER TIDAK DIKETAHUI""))"),"")</f>
        <v/>
      </c>
    </row>
    <row r="5019">
      <c r="A5019" s="21">
        <f t="shared" si="1"/>
        <v>45475.66999</v>
      </c>
      <c r="B5019" s="40" t="s">
        <v>2401</v>
      </c>
      <c r="C5019" s="23" t="s">
        <v>1841</v>
      </c>
      <c r="D5019" s="23" t="s">
        <v>21</v>
      </c>
      <c r="E5019" s="24">
        <v>45472.0</v>
      </c>
      <c r="F5019" s="25">
        <v>0.2881944444444444</v>
      </c>
      <c r="G5019" s="25">
        <v>0.71875</v>
      </c>
      <c r="H5019" s="27">
        <f t="shared" si="2"/>
        <v>0.4305555556</v>
      </c>
      <c r="I5019" s="28">
        <v>3.0</v>
      </c>
      <c r="J5019" s="39" t="s">
        <v>2233</v>
      </c>
      <c r="K5019" s="41"/>
      <c r="L5019" s="31" t="str">
        <f>IFERROR(__xludf.DUMMYFUNCTION("IF(OR(E5019="""",K5019=""""),"""",IFERROR(IF(K5019="""","""",query('tbl user'!$A$2:$D10975,""SELECT A WHERE D = '""&amp;K5019&amp;""'"")),""USER TIDAK DIKETAHUI""))"),"")</f>
        <v/>
      </c>
    </row>
    <row r="5020">
      <c r="A5020" s="21">
        <f t="shared" si="1"/>
        <v>45475.66588</v>
      </c>
      <c r="B5020" s="40" t="s">
        <v>2402</v>
      </c>
      <c r="C5020" s="23" t="s">
        <v>1881</v>
      </c>
      <c r="D5020" s="23" t="s">
        <v>58</v>
      </c>
      <c r="E5020" s="24">
        <v>45472.0</v>
      </c>
      <c r="F5020" s="25">
        <v>0.2298611111111111</v>
      </c>
      <c r="G5020" s="25">
        <v>0.4722222222222222</v>
      </c>
      <c r="H5020" s="27">
        <f t="shared" si="2"/>
        <v>0.2423611111</v>
      </c>
      <c r="I5020" s="28">
        <v>1.0</v>
      </c>
      <c r="J5020" s="39" t="s">
        <v>2403</v>
      </c>
      <c r="K5020" s="41"/>
      <c r="L5020" s="31" t="str">
        <f>IFERROR(__xludf.DUMMYFUNCTION("IF(OR(E5020="""",K5020=""""),"""",IFERROR(IF(K5020="""","""",query('tbl user'!$A$2:$D10975,""SELECT A WHERE D = '""&amp;K5020&amp;""'"")),""USER TIDAK DIKETAHUI""))"),"")</f>
        <v/>
      </c>
    </row>
    <row r="5021">
      <c r="A5021" s="21">
        <f t="shared" si="1"/>
        <v>45475.66594</v>
      </c>
      <c r="B5021" s="40" t="s">
        <v>2404</v>
      </c>
      <c r="C5021" s="23" t="s">
        <v>1869</v>
      </c>
      <c r="D5021" s="23" t="s">
        <v>58</v>
      </c>
      <c r="E5021" s="24">
        <v>45472.0</v>
      </c>
      <c r="F5021" s="25">
        <v>0.2708333333333333</v>
      </c>
      <c r="G5021" s="25">
        <v>0.5701388888888889</v>
      </c>
      <c r="H5021" s="27">
        <f t="shared" si="2"/>
        <v>0.2993055556</v>
      </c>
      <c r="I5021" s="28">
        <v>2.0</v>
      </c>
      <c r="J5021" s="39" t="s">
        <v>2405</v>
      </c>
      <c r="K5021" s="41"/>
      <c r="L5021" s="31" t="str">
        <f>IFERROR(__xludf.DUMMYFUNCTION("IF(OR(E5021="""",K5021=""""),"""",IFERROR(IF(K5021="""","""",query('tbl user'!$A$2:$D10975,""SELECT A WHERE D = '""&amp;K5021&amp;""'"")),""USER TIDAK DIKETAHUI""))"),"")</f>
        <v/>
      </c>
    </row>
    <row r="5022">
      <c r="A5022" s="21">
        <f t="shared" si="1"/>
        <v>45475.66599</v>
      </c>
      <c r="B5022" s="40" t="s">
        <v>2406</v>
      </c>
      <c r="C5022" s="23" t="s">
        <v>1871</v>
      </c>
      <c r="D5022" s="23" t="s">
        <v>58</v>
      </c>
      <c r="E5022" s="24">
        <v>45472.0</v>
      </c>
      <c r="F5022" s="25">
        <v>0.25069444444444444</v>
      </c>
      <c r="G5022" s="25">
        <v>0.7111111111111111</v>
      </c>
      <c r="H5022" s="27">
        <f t="shared" si="2"/>
        <v>0.4604166667</v>
      </c>
      <c r="I5022" s="28">
        <v>2.0</v>
      </c>
      <c r="J5022" s="39" t="s">
        <v>2407</v>
      </c>
      <c r="K5022" s="41"/>
      <c r="L5022" s="31" t="str">
        <f>IFERROR(__xludf.DUMMYFUNCTION("IF(OR(E5022="""",K5022=""""),"""",IFERROR(IF(K5022="""","""",query('tbl user'!$A$2:$D10975,""SELECT A WHERE D = '""&amp;K5022&amp;""'"")),""USER TIDAK DIKETAHUI""))"),"")</f>
        <v/>
      </c>
    </row>
    <row r="5023">
      <c r="A5023" s="21">
        <f t="shared" si="1"/>
        <v>45475.66606</v>
      </c>
      <c r="B5023" s="40" t="s">
        <v>2408</v>
      </c>
      <c r="C5023" s="23" t="s">
        <v>1872</v>
      </c>
      <c r="D5023" s="23" t="s">
        <v>58</v>
      </c>
      <c r="E5023" s="24">
        <v>45472.0</v>
      </c>
      <c r="F5023" s="25">
        <v>0.2847222222222222</v>
      </c>
      <c r="G5023" s="25">
        <v>0.5868055555555556</v>
      </c>
      <c r="H5023" s="27">
        <f t="shared" si="2"/>
        <v>0.3020833333</v>
      </c>
      <c r="I5023" s="28">
        <v>2.0</v>
      </c>
      <c r="J5023" s="39" t="s">
        <v>2409</v>
      </c>
      <c r="K5023" s="41"/>
      <c r="L5023" s="31" t="str">
        <f>IFERROR(__xludf.DUMMYFUNCTION("IF(OR(E5023="""",K5023=""""),"""",IFERROR(IF(K5023="""","""",query('tbl user'!$A$2:$D10975,""SELECT A WHERE D = '""&amp;K5023&amp;""'"")),""USER TIDAK DIKETAHUI""))"),"")</f>
        <v/>
      </c>
    </row>
    <row r="5024">
      <c r="A5024" s="21">
        <f t="shared" si="1"/>
        <v>45475.66615</v>
      </c>
      <c r="B5024" s="40" t="s">
        <v>2410</v>
      </c>
      <c r="C5024" s="23" t="s">
        <v>2090</v>
      </c>
      <c r="D5024" s="23" t="s">
        <v>58</v>
      </c>
      <c r="E5024" s="24">
        <v>45472.0</v>
      </c>
      <c r="F5024" s="25">
        <v>0.27291666666666664</v>
      </c>
      <c r="G5024" s="25">
        <v>0.58125</v>
      </c>
      <c r="H5024" s="27">
        <f t="shared" si="2"/>
        <v>0.3083333333</v>
      </c>
      <c r="I5024" s="28">
        <v>2.0</v>
      </c>
      <c r="J5024" s="39" t="s">
        <v>2411</v>
      </c>
      <c r="K5024" s="41"/>
      <c r="L5024" s="31" t="str">
        <f>IFERROR(__xludf.DUMMYFUNCTION("IF(OR(E5024="""",K5024=""""),"""",IFERROR(IF(K5024="""","""",query('tbl user'!$A$2:$D10975,""SELECT A WHERE D = '""&amp;K5024&amp;""'"")),""USER TIDAK DIKETAHUI""))"),"")</f>
        <v/>
      </c>
    </row>
    <row r="5025">
      <c r="A5025" s="21">
        <f t="shared" si="1"/>
        <v>45475.66618</v>
      </c>
      <c r="B5025" s="40" t="s">
        <v>2412</v>
      </c>
      <c r="C5025" s="23" t="s">
        <v>1890</v>
      </c>
      <c r="D5025" s="23" t="s">
        <v>58</v>
      </c>
      <c r="E5025" s="24">
        <v>45472.0</v>
      </c>
      <c r="F5025" s="25">
        <v>0.2534722222222222</v>
      </c>
      <c r="G5025" s="25">
        <v>0.5652777777777778</v>
      </c>
      <c r="H5025" s="27">
        <f t="shared" si="2"/>
        <v>0.3118055556</v>
      </c>
      <c r="I5025" s="28">
        <v>2.0</v>
      </c>
      <c r="J5025" s="39" t="s">
        <v>2413</v>
      </c>
      <c r="K5025" s="41"/>
      <c r="L5025" s="31" t="str">
        <f>IFERROR(__xludf.DUMMYFUNCTION("IF(OR(E5025="""",K5025=""""),"""",IFERROR(IF(K5025="""","""",query('tbl user'!$A$2:$D10975,""SELECT A WHERE D = '""&amp;K5025&amp;""'"")),""USER TIDAK DIKETAHUI""))"),"")</f>
        <v/>
      </c>
    </row>
    <row r="5026">
      <c r="A5026" s="21">
        <f t="shared" si="1"/>
        <v>45475.66623</v>
      </c>
      <c r="B5026" s="40" t="s">
        <v>2414</v>
      </c>
      <c r="C5026" s="23" t="s">
        <v>1865</v>
      </c>
      <c r="D5026" s="23" t="s">
        <v>58</v>
      </c>
      <c r="E5026" s="24">
        <v>45472.0</v>
      </c>
      <c r="F5026" s="25">
        <v>0.28680555555555554</v>
      </c>
      <c r="G5026" s="25">
        <v>0.65625</v>
      </c>
      <c r="H5026" s="27">
        <f t="shared" si="2"/>
        <v>0.3694444444</v>
      </c>
      <c r="I5026" s="28">
        <v>3.0</v>
      </c>
      <c r="J5026" s="39" t="s">
        <v>2377</v>
      </c>
      <c r="K5026" s="41"/>
      <c r="L5026" s="31" t="str">
        <f>IFERROR(__xludf.DUMMYFUNCTION("IF(OR(E5026="""",K5026=""""),"""",IFERROR(IF(K5026="""","""",query('tbl user'!$A$2:$D10975,""SELECT A WHERE D = '""&amp;K5026&amp;""'"")),""USER TIDAK DIKETAHUI""))"),"")</f>
        <v/>
      </c>
    </row>
    <row r="5027">
      <c r="A5027" s="21">
        <f t="shared" si="1"/>
        <v>45475.66628</v>
      </c>
      <c r="B5027" s="40" t="s">
        <v>2415</v>
      </c>
      <c r="C5027" s="23" t="s">
        <v>1867</v>
      </c>
      <c r="D5027" s="23" t="s">
        <v>58</v>
      </c>
      <c r="E5027" s="24">
        <v>45472.0</v>
      </c>
      <c r="F5027" s="25">
        <v>0.28055555555555556</v>
      </c>
      <c r="G5027" s="25">
        <v>0.7416666666666667</v>
      </c>
      <c r="H5027" s="27">
        <f t="shared" si="2"/>
        <v>0.4611111111</v>
      </c>
      <c r="I5027" s="28">
        <v>3.0</v>
      </c>
      <c r="J5027" s="39" t="s">
        <v>1116</v>
      </c>
      <c r="K5027" s="41"/>
      <c r="L5027" s="31" t="str">
        <f>IFERROR(__xludf.DUMMYFUNCTION("IF(OR(E5027="""",K5027=""""),"""",IFERROR(IF(K5027="""","""",query('tbl user'!$A$2:$D10975,""SELECT A WHERE D = '""&amp;K5027&amp;""'"")),""USER TIDAK DIKETAHUI""))"),"")</f>
        <v/>
      </c>
    </row>
    <row r="5028">
      <c r="A5028" s="21">
        <f t="shared" si="1"/>
        <v>45475.66632</v>
      </c>
      <c r="B5028" s="40" t="s">
        <v>2416</v>
      </c>
      <c r="C5028" s="23" t="s">
        <v>1948</v>
      </c>
      <c r="D5028" s="23" t="s">
        <v>58</v>
      </c>
      <c r="E5028" s="24">
        <v>45472.0</v>
      </c>
      <c r="F5028" s="25">
        <v>0.28888888888888886</v>
      </c>
      <c r="G5028" s="25">
        <v>0.6923611111111111</v>
      </c>
      <c r="H5028" s="27">
        <f t="shared" si="2"/>
        <v>0.4034722222</v>
      </c>
      <c r="I5028" s="28">
        <v>3.0</v>
      </c>
      <c r="J5028" s="39" t="s">
        <v>2377</v>
      </c>
      <c r="K5028" s="41"/>
      <c r="L5028" s="31" t="str">
        <f>IFERROR(__xludf.DUMMYFUNCTION("IF(OR(E5028="""",K5028=""""),"""",IFERROR(IF(K5028="""","""",query('tbl user'!$A$2:$D10975,""SELECT A WHERE D = '""&amp;K5028&amp;""'"")),""USER TIDAK DIKETAHUI""))"),"")</f>
        <v/>
      </c>
    </row>
    <row r="5029">
      <c r="A5029" s="21">
        <f t="shared" si="1"/>
        <v>45475.66638</v>
      </c>
      <c r="B5029" s="40" t="s">
        <v>2417</v>
      </c>
      <c r="C5029" s="23" t="s">
        <v>1941</v>
      </c>
      <c r="D5029" s="23" t="s">
        <v>58</v>
      </c>
      <c r="E5029" s="24">
        <v>45472.0</v>
      </c>
      <c r="F5029" s="25">
        <v>0.25277777777777777</v>
      </c>
      <c r="G5029" s="25">
        <v>0.6395833333333333</v>
      </c>
      <c r="H5029" s="27">
        <f t="shared" si="2"/>
        <v>0.3868055556</v>
      </c>
      <c r="I5029" s="28">
        <v>3.0</v>
      </c>
      <c r="J5029" s="39" t="s">
        <v>2377</v>
      </c>
      <c r="K5029" s="41"/>
      <c r="L5029" s="31" t="str">
        <f>IFERROR(__xludf.DUMMYFUNCTION("IF(OR(E5029="""",K5029=""""),"""",IFERROR(IF(K5029="""","""",query('tbl user'!$A$2:$D10975,""SELECT A WHERE D = '""&amp;K5029&amp;""'"")),""USER TIDAK DIKETAHUI""))"),"")</f>
        <v/>
      </c>
    </row>
    <row r="5030">
      <c r="A5030" s="21">
        <f t="shared" si="1"/>
        <v>45475.66643</v>
      </c>
      <c r="B5030" s="40" t="s">
        <v>2418</v>
      </c>
      <c r="C5030" s="23" t="s">
        <v>1878</v>
      </c>
      <c r="D5030" s="23" t="s">
        <v>58</v>
      </c>
      <c r="E5030" s="24">
        <v>45472.0</v>
      </c>
      <c r="F5030" s="25">
        <v>0.2902777777777778</v>
      </c>
      <c r="G5030" s="25">
        <v>0.675</v>
      </c>
      <c r="H5030" s="27">
        <f t="shared" si="2"/>
        <v>0.3847222222</v>
      </c>
      <c r="I5030" s="28">
        <v>3.0</v>
      </c>
      <c r="J5030" s="39" t="s">
        <v>2377</v>
      </c>
      <c r="K5030" s="41"/>
      <c r="L5030" s="31" t="str">
        <f>IFERROR(__xludf.DUMMYFUNCTION("IF(OR(E5030="""",K5030=""""),"""",IFERROR(IF(K5030="""","""",query('tbl user'!$A$2:$D10975,""SELECT A WHERE D = '""&amp;K5030&amp;""'"")),""USER TIDAK DIKETAHUI""))"),"")</f>
        <v/>
      </c>
    </row>
    <row r="5031">
      <c r="A5031" s="21">
        <f t="shared" si="1"/>
        <v>45475.66651</v>
      </c>
      <c r="B5031" s="40" t="s">
        <v>2419</v>
      </c>
      <c r="C5031" s="23" t="s">
        <v>1882</v>
      </c>
      <c r="D5031" s="23" t="s">
        <v>58</v>
      </c>
      <c r="E5031" s="24">
        <v>45472.0</v>
      </c>
      <c r="F5031" s="25">
        <v>0.2923611111111111</v>
      </c>
      <c r="G5031" s="25">
        <v>0.6972222222222222</v>
      </c>
      <c r="H5031" s="27">
        <f t="shared" si="2"/>
        <v>0.4048611111</v>
      </c>
      <c r="I5031" s="28">
        <v>3.0</v>
      </c>
      <c r="J5031" s="39" t="s">
        <v>2420</v>
      </c>
      <c r="K5031" s="41"/>
      <c r="L5031" s="31" t="str">
        <f>IFERROR(__xludf.DUMMYFUNCTION("IF(OR(E5031="""",K5031=""""),"""",IFERROR(IF(K5031="""","""",query('tbl user'!$A$2:$D10975,""SELECT A WHERE D = '""&amp;K5031&amp;""'"")),""USER TIDAK DIKETAHUI""))"),"")</f>
        <v/>
      </c>
    </row>
    <row r="5032">
      <c r="A5032" s="21">
        <f t="shared" si="1"/>
        <v>45475.66657</v>
      </c>
      <c r="B5032" s="40" t="s">
        <v>2421</v>
      </c>
      <c r="C5032" s="23" t="s">
        <v>1883</v>
      </c>
      <c r="D5032" s="23" t="s">
        <v>58</v>
      </c>
      <c r="E5032" s="24">
        <v>45472.0</v>
      </c>
      <c r="F5032" s="25">
        <v>0.28541666666666665</v>
      </c>
      <c r="G5032" s="25">
        <v>0.6694444444444444</v>
      </c>
      <c r="H5032" s="27">
        <f t="shared" si="2"/>
        <v>0.3840277778</v>
      </c>
      <c r="I5032" s="28">
        <v>3.0</v>
      </c>
      <c r="J5032" s="39" t="s">
        <v>2377</v>
      </c>
      <c r="K5032" s="41"/>
      <c r="L5032" s="31" t="str">
        <f>IFERROR(__xludf.DUMMYFUNCTION("IF(OR(E5032="""",K5032=""""),"""",IFERROR(IF(K5032="""","""",query('tbl user'!$A$2:$D10975,""SELECT A WHERE D = '""&amp;K5032&amp;""'"")),""USER TIDAK DIKETAHUI""))"),"")</f>
        <v/>
      </c>
    </row>
    <row r="5033">
      <c r="A5033" s="21">
        <f t="shared" si="1"/>
        <v>45475.66663</v>
      </c>
      <c r="B5033" s="40" t="s">
        <v>2422</v>
      </c>
      <c r="C5033" s="23" t="s">
        <v>1860</v>
      </c>
      <c r="D5033" s="23" t="s">
        <v>58</v>
      </c>
      <c r="E5033" s="24">
        <v>45472.0</v>
      </c>
      <c r="F5033" s="25">
        <v>0.28680555555555554</v>
      </c>
      <c r="G5033" s="25">
        <v>0.65</v>
      </c>
      <c r="H5033" s="27">
        <f t="shared" si="2"/>
        <v>0.3631944444</v>
      </c>
      <c r="I5033" s="28">
        <v>3.0</v>
      </c>
      <c r="J5033" s="39" t="s">
        <v>2377</v>
      </c>
      <c r="K5033" s="41"/>
      <c r="L5033" s="31" t="str">
        <f>IFERROR(__xludf.DUMMYFUNCTION("IF(OR(E5033="""",K5033=""""),"""",IFERROR(IF(K5033="""","""",query('tbl user'!$A$2:$D10975,""SELECT A WHERE D = '""&amp;K5033&amp;""'"")),""USER TIDAK DIKETAHUI""))"),"")</f>
        <v/>
      </c>
    </row>
    <row r="5034">
      <c r="A5034" s="21">
        <f t="shared" si="1"/>
        <v>45475.66669</v>
      </c>
      <c r="B5034" s="40" t="s">
        <v>2423</v>
      </c>
      <c r="C5034" s="23" t="s">
        <v>1863</v>
      </c>
      <c r="D5034" s="23" t="s">
        <v>58</v>
      </c>
      <c r="E5034" s="24">
        <v>45472.0</v>
      </c>
      <c r="F5034" s="25">
        <v>0.2548611111111111</v>
      </c>
      <c r="G5034" s="25">
        <v>0.6326388888888889</v>
      </c>
      <c r="H5034" s="27">
        <f t="shared" si="2"/>
        <v>0.3777777778</v>
      </c>
      <c r="I5034" s="28">
        <v>3.0</v>
      </c>
      <c r="J5034" s="39" t="s">
        <v>2377</v>
      </c>
      <c r="K5034" s="41"/>
      <c r="L5034" s="31" t="str">
        <f>IFERROR(__xludf.DUMMYFUNCTION("IF(OR(E5034="""",K5034=""""),"""",IFERROR(IF(K5034="""","""",query('tbl user'!$A$2:$D10975,""SELECT A WHERE D = '""&amp;K5034&amp;""'"")),""USER TIDAK DIKETAHUI""))"),"")</f>
        <v/>
      </c>
    </row>
    <row r="5035">
      <c r="A5035" s="21">
        <f t="shared" si="1"/>
        <v>45475.66674</v>
      </c>
      <c r="B5035" s="40" t="s">
        <v>2424</v>
      </c>
      <c r="C5035" s="23" t="s">
        <v>1886</v>
      </c>
      <c r="D5035" s="23" t="s">
        <v>58</v>
      </c>
      <c r="E5035" s="24">
        <v>45472.0</v>
      </c>
      <c r="F5035" s="25">
        <v>0.23194444444444445</v>
      </c>
      <c r="G5035" s="25">
        <v>0.6041666666666666</v>
      </c>
      <c r="H5035" s="27">
        <f t="shared" si="2"/>
        <v>0.3722222222</v>
      </c>
      <c r="I5035" s="28">
        <v>3.0</v>
      </c>
      <c r="J5035" s="39" t="s">
        <v>402</v>
      </c>
      <c r="K5035" s="41"/>
      <c r="L5035" s="31" t="str">
        <f>IFERROR(__xludf.DUMMYFUNCTION("IF(OR(E5035="""",K5035=""""),"""",IFERROR(IF(K5035="""","""",query('tbl user'!$A$2:$D10975,""SELECT A WHERE D = '""&amp;K5035&amp;""'"")),""USER TIDAK DIKETAHUI""))"),"")</f>
        <v/>
      </c>
    </row>
    <row r="5036">
      <c r="A5036" s="21">
        <f t="shared" si="1"/>
        <v>45475.66678</v>
      </c>
      <c r="B5036" s="40" t="s">
        <v>2425</v>
      </c>
      <c r="C5036" s="23" t="s">
        <v>1887</v>
      </c>
      <c r="D5036" s="23" t="s">
        <v>58</v>
      </c>
      <c r="E5036" s="24">
        <v>45472.0</v>
      </c>
      <c r="F5036" s="25">
        <v>0.28125</v>
      </c>
      <c r="G5036" s="25">
        <v>0.6888888888888889</v>
      </c>
      <c r="H5036" s="27">
        <f t="shared" si="2"/>
        <v>0.4076388889</v>
      </c>
      <c r="I5036" s="28">
        <v>3.0</v>
      </c>
      <c r="J5036" s="39" t="s">
        <v>2426</v>
      </c>
      <c r="K5036" s="41"/>
      <c r="L5036" s="31" t="str">
        <f>IFERROR(__xludf.DUMMYFUNCTION("IF(OR(E5036="""",K5036=""""),"""",IFERROR(IF(K5036="""","""",query('tbl user'!$A$2:$D10975,""SELECT A WHERE D = '""&amp;K5036&amp;""'"")),""USER TIDAK DIKETAHUI""))"),"")</f>
        <v/>
      </c>
    </row>
    <row r="5037">
      <c r="A5037" s="21">
        <f t="shared" si="1"/>
        <v>45475.66683</v>
      </c>
      <c r="B5037" s="40" t="s">
        <v>2427</v>
      </c>
      <c r="C5037" s="23" t="s">
        <v>1888</v>
      </c>
      <c r="D5037" s="23" t="s">
        <v>58</v>
      </c>
      <c r="E5037" s="24">
        <v>45472.0</v>
      </c>
      <c r="F5037" s="25">
        <v>0.26180555555555557</v>
      </c>
      <c r="G5037" s="25">
        <v>0.6472222222222223</v>
      </c>
      <c r="H5037" s="27">
        <f t="shared" si="2"/>
        <v>0.3854166667</v>
      </c>
      <c r="I5037" s="28">
        <v>3.0</v>
      </c>
      <c r="J5037" s="39" t="s">
        <v>369</v>
      </c>
      <c r="K5037" s="41"/>
      <c r="L5037" s="31" t="str">
        <f>IFERROR(__xludf.DUMMYFUNCTION("IF(OR(E5037="""",K5037=""""),"""",IFERROR(IF(K5037="""","""",query('tbl user'!$A$2:$D10975,""SELECT A WHERE D = '""&amp;K5037&amp;""'"")),""USER TIDAK DIKETAHUI""))"),"")</f>
        <v/>
      </c>
    </row>
    <row r="5038">
      <c r="A5038" s="21">
        <f t="shared" si="1"/>
        <v>45475.66692</v>
      </c>
      <c r="B5038" s="40" t="s">
        <v>2428</v>
      </c>
      <c r="C5038" s="23" t="s">
        <v>1889</v>
      </c>
      <c r="D5038" s="23" t="s">
        <v>58</v>
      </c>
      <c r="E5038" s="24">
        <v>45472.0</v>
      </c>
      <c r="F5038" s="25">
        <v>0.23333333333333334</v>
      </c>
      <c r="G5038" s="25">
        <v>0.6645833333333333</v>
      </c>
      <c r="H5038" s="27">
        <f t="shared" si="2"/>
        <v>0.43125</v>
      </c>
      <c r="I5038" s="28">
        <v>3.0</v>
      </c>
      <c r="J5038" s="39" t="s">
        <v>2429</v>
      </c>
      <c r="K5038" s="41"/>
      <c r="L5038" s="31" t="str">
        <f>IFERROR(__xludf.DUMMYFUNCTION("IF(OR(E5038="""",K5038=""""),"""",IFERROR(IF(K5038="""","""",query('tbl user'!$A$2:$D10975,""SELECT A WHERE D = '""&amp;K5038&amp;""'"")),""USER TIDAK DIKETAHUI""))"),"")</f>
        <v/>
      </c>
    </row>
    <row r="5039">
      <c r="A5039" s="21">
        <f t="shared" si="1"/>
        <v>45475.66699</v>
      </c>
      <c r="B5039" s="40" t="s">
        <v>2430</v>
      </c>
      <c r="C5039" s="23" t="s">
        <v>1861</v>
      </c>
      <c r="D5039" s="23" t="s">
        <v>58</v>
      </c>
      <c r="E5039" s="24">
        <v>45472.0</v>
      </c>
      <c r="F5039" s="25">
        <v>0.27291666666666664</v>
      </c>
      <c r="G5039" s="25">
        <v>0.7020833333333333</v>
      </c>
      <c r="H5039" s="27">
        <f t="shared" si="2"/>
        <v>0.4291666667</v>
      </c>
      <c r="I5039" s="28">
        <v>3.0</v>
      </c>
      <c r="J5039" s="39" t="s">
        <v>2377</v>
      </c>
      <c r="K5039" s="41"/>
      <c r="L5039" s="31" t="str">
        <f>IFERROR(__xludf.DUMMYFUNCTION("IF(OR(E5039="""",K5039=""""),"""",IFERROR(IF(K5039="""","""",query('tbl user'!$A$2:$D10975,""SELECT A WHERE D = '""&amp;K5039&amp;""'"")),""USER TIDAK DIKETAHUI""))"),"")</f>
        <v/>
      </c>
    </row>
    <row r="5040">
      <c r="A5040" s="21">
        <f t="shared" si="1"/>
        <v>45475.66704</v>
      </c>
      <c r="B5040" s="40" t="s">
        <v>2351</v>
      </c>
      <c r="C5040" s="23" t="s">
        <v>1891</v>
      </c>
      <c r="D5040" s="23" t="s">
        <v>58</v>
      </c>
      <c r="E5040" s="24">
        <v>45472.0</v>
      </c>
      <c r="F5040" s="25">
        <v>0.23958333333333334</v>
      </c>
      <c r="G5040" s="25">
        <v>0.6840277777777778</v>
      </c>
      <c r="H5040" s="27">
        <f t="shared" si="2"/>
        <v>0.4444444444</v>
      </c>
      <c r="I5040" s="28">
        <v>3.0</v>
      </c>
      <c r="J5040" s="39" t="s">
        <v>2377</v>
      </c>
      <c r="K5040" s="41"/>
      <c r="L5040" s="31" t="str">
        <f>IFERROR(__xludf.DUMMYFUNCTION("IF(OR(E5040="""",K5040=""""),"""",IFERROR(IF(K5040="""","""",query('tbl user'!$A$2:$D10975,""SELECT A WHERE D = '""&amp;K5040&amp;""'"")),""USER TIDAK DIKETAHUI""))"),"")</f>
        <v/>
      </c>
    </row>
    <row r="5041">
      <c r="A5041" s="21">
        <f t="shared" si="1"/>
        <v>45475.66713</v>
      </c>
      <c r="B5041" s="40" t="s">
        <v>2431</v>
      </c>
      <c r="C5041" s="23" t="s">
        <v>1879</v>
      </c>
      <c r="D5041" s="23" t="s">
        <v>58</v>
      </c>
      <c r="E5041" s="24">
        <v>45472.0</v>
      </c>
      <c r="F5041" s="25">
        <v>0.2388888888888889</v>
      </c>
      <c r="G5041" s="25">
        <v>0.7027777777777777</v>
      </c>
      <c r="H5041" s="27">
        <f t="shared" si="2"/>
        <v>0.4638888889</v>
      </c>
      <c r="I5041" s="28">
        <v>4.0</v>
      </c>
      <c r="J5041" s="39" t="s">
        <v>55</v>
      </c>
      <c r="K5041" s="41"/>
      <c r="L5041" s="31" t="str">
        <f>IFERROR(__xludf.DUMMYFUNCTION("IF(OR(E5041="""",K5041=""""),"""",IFERROR(IF(K5041="""","""",query('tbl user'!$A$2:$D10975,""SELECT A WHERE D = '""&amp;K5041&amp;""'"")),""USER TIDAK DIKETAHUI""))"),"")</f>
        <v/>
      </c>
    </row>
    <row r="5042">
      <c r="A5042" s="21">
        <f t="shared" si="1"/>
        <v>45475.66719</v>
      </c>
      <c r="B5042" s="40" t="s">
        <v>2432</v>
      </c>
      <c r="C5042" s="23" t="s">
        <v>1884</v>
      </c>
      <c r="D5042" s="23" t="s">
        <v>58</v>
      </c>
      <c r="E5042" s="24">
        <v>45472.0</v>
      </c>
      <c r="F5042" s="25">
        <v>0.22847222222222222</v>
      </c>
      <c r="G5042" s="25">
        <v>0.7097222222222223</v>
      </c>
      <c r="H5042" s="27">
        <f t="shared" si="2"/>
        <v>0.48125</v>
      </c>
      <c r="I5042" s="28">
        <v>4.0</v>
      </c>
      <c r="J5042" s="39" t="s">
        <v>55</v>
      </c>
      <c r="K5042" s="41"/>
      <c r="L5042" s="31" t="str">
        <f>IFERROR(__xludf.DUMMYFUNCTION("IF(OR(E5042="""",K5042=""""),"""",IFERROR(IF(K5042="""","""",query('tbl user'!$A$2:$D10975,""SELECT A WHERE D = '""&amp;K5042&amp;""'"")),""USER TIDAK DIKETAHUI""))"),"")</f>
        <v/>
      </c>
    </row>
    <row r="5043">
      <c r="A5043" s="21">
        <f t="shared" si="1"/>
        <v>45475.66724</v>
      </c>
      <c r="B5043" s="40" t="s">
        <v>2433</v>
      </c>
      <c r="C5043" s="23" t="s">
        <v>1950</v>
      </c>
      <c r="D5043" s="23" t="s">
        <v>58</v>
      </c>
      <c r="E5043" s="24">
        <v>45472.0</v>
      </c>
      <c r="F5043" s="25">
        <v>0.22777777777777777</v>
      </c>
      <c r="G5043" s="25">
        <v>0.6909722222222222</v>
      </c>
      <c r="H5043" s="27">
        <f t="shared" si="2"/>
        <v>0.4631944444</v>
      </c>
      <c r="I5043" s="28">
        <v>4.0</v>
      </c>
      <c r="J5043" s="39" t="s">
        <v>55</v>
      </c>
      <c r="K5043" s="41"/>
      <c r="L5043" s="31" t="str">
        <f>IFERROR(__xludf.DUMMYFUNCTION("IF(OR(E5043="""",K5043=""""),"""",IFERROR(IF(K5043="""","""",query('tbl user'!$A$2:$D10975,""SELECT A WHERE D = '""&amp;K5043&amp;""'"")),""USER TIDAK DIKETAHUI""))"),"")</f>
        <v/>
      </c>
    </row>
    <row r="5044">
      <c r="A5044" s="21">
        <f t="shared" si="1"/>
        <v>45475.6673</v>
      </c>
      <c r="B5044" s="40" t="s">
        <v>2434</v>
      </c>
      <c r="C5044" s="23" t="s">
        <v>1892</v>
      </c>
      <c r="D5044" s="23" t="s">
        <v>58</v>
      </c>
      <c r="E5044" s="24">
        <v>45472.0</v>
      </c>
      <c r="F5044" s="25">
        <v>0.20208333333333334</v>
      </c>
      <c r="G5044" s="25">
        <v>0.6625</v>
      </c>
      <c r="H5044" s="27">
        <f t="shared" si="2"/>
        <v>0.4604166667</v>
      </c>
      <c r="I5044" s="28">
        <v>4.0</v>
      </c>
      <c r="J5044" s="39" t="s">
        <v>55</v>
      </c>
      <c r="K5044" s="41"/>
      <c r="L5044" s="31" t="str">
        <f>IFERROR(__xludf.DUMMYFUNCTION("IF(OR(E5044="""",K5044=""""),"""",IFERROR(IF(K5044="""","""",query('tbl user'!$A$2:$D10975,""SELECT A WHERE D = '""&amp;K5044&amp;""'"")),""USER TIDAK DIKETAHUI""))"),"")</f>
        <v/>
      </c>
    </row>
    <row r="5045">
      <c r="A5045" s="21">
        <f t="shared" si="1"/>
        <v>45475.66766</v>
      </c>
      <c r="B5045" s="40" t="s">
        <v>2435</v>
      </c>
      <c r="C5045" s="23" t="s">
        <v>1893</v>
      </c>
      <c r="D5045" s="23" t="s">
        <v>58</v>
      </c>
      <c r="E5045" s="24">
        <v>45472.0</v>
      </c>
      <c r="F5045" s="25">
        <v>0.20347222222222222</v>
      </c>
      <c r="G5045" s="25">
        <v>0.7027777777777777</v>
      </c>
      <c r="H5045" s="27">
        <f t="shared" si="2"/>
        <v>0.4993055556</v>
      </c>
      <c r="I5045" s="28">
        <v>4.0</v>
      </c>
      <c r="J5045" s="39" t="s">
        <v>55</v>
      </c>
      <c r="K5045" s="41"/>
      <c r="L5045" s="31" t="str">
        <f>IFERROR(__xludf.DUMMYFUNCTION("IF(OR(E5045="""",K5045=""""),"""",IFERROR(IF(K5045="""","""",query('tbl user'!$A$2:$D10975,""SELECT A WHERE D = '""&amp;K5045&amp;""'"")),""USER TIDAK DIKETAHUI""))"),"")</f>
        <v/>
      </c>
    </row>
    <row r="5046">
      <c r="A5046" s="21">
        <f t="shared" si="1"/>
        <v>45475.66384</v>
      </c>
      <c r="B5046" s="40" t="s">
        <v>2436</v>
      </c>
      <c r="C5046" s="23" t="s">
        <v>1966</v>
      </c>
      <c r="D5046" s="23" t="s">
        <v>32</v>
      </c>
      <c r="E5046" s="24">
        <v>45472.0</v>
      </c>
      <c r="F5046" s="25">
        <v>0.25763888888888886</v>
      </c>
      <c r="G5046" s="25">
        <v>0.36944444444444446</v>
      </c>
      <c r="H5046" s="27">
        <f t="shared" si="2"/>
        <v>0.1118055556</v>
      </c>
      <c r="I5046" s="28">
        <v>1.0</v>
      </c>
      <c r="J5046" s="39" t="s">
        <v>2437</v>
      </c>
      <c r="K5046" s="41"/>
      <c r="L5046" s="31" t="str">
        <f>IFERROR(__xludf.DUMMYFUNCTION("IF(OR(E5046="""",K5046=""""),"""",IFERROR(IF(K5046="""","""",query('tbl user'!$A$2:$D10975,""SELECT A WHERE D = '""&amp;K5046&amp;""'"")),""USER TIDAK DIKETAHUI""))"),"")</f>
        <v/>
      </c>
    </row>
    <row r="5047">
      <c r="A5047" s="21">
        <f t="shared" si="1"/>
        <v>45475.66388</v>
      </c>
      <c r="B5047" s="40" t="s">
        <v>2438</v>
      </c>
      <c r="C5047" s="23" t="s">
        <v>1902</v>
      </c>
      <c r="D5047" s="23" t="s">
        <v>32</v>
      </c>
      <c r="E5047" s="24">
        <v>45472.0</v>
      </c>
      <c r="F5047" s="25">
        <v>0.37777777777777777</v>
      </c>
      <c r="G5047" s="25">
        <v>0.65</v>
      </c>
      <c r="H5047" s="27">
        <f t="shared" si="2"/>
        <v>0.2722222222</v>
      </c>
      <c r="I5047" s="28">
        <v>2.0</v>
      </c>
      <c r="J5047" s="39" t="s">
        <v>2259</v>
      </c>
      <c r="K5047" s="41"/>
      <c r="L5047" s="31" t="str">
        <f>IFERROR(__xludf.DUMMYFUNCTION("IF(OR(E5047="""",K5047=""""),"""",IFERROR(IF(K5047="""","""",query('tbl user'!$A$2:$D10975,""SELECT A WHERE D = '""&amp;K5047&amp;""'"")),""USER TIDAK DIKETAHUI""))"),"")</f>
        <v/>
      </c>
    </row>
    <row r="5048">
      <c r="A5048" s="21">
        <f t="shared" si="1"/>
        <v>45475.66393</v>
      </c>
      <c r="B5048" s="40" t="s">
        <v>2439</v>
      </c>
      <c r="C5048" s="23" t="s">
        <v>1990</v>
      </c>
      <c r="D5048" s="23" t="s">
        <v>32</v>
      </c>
      <c r="E5048" s="24">
        <v>45472.0</v>
      </c>
      <c r="F5048" s="25">
        <v>0.2743055555555556</v>
      </c>
      <c r="G5048" s="25">
        <v>0.5479166666666667</v>
      </c>
      <c r="H5048" s="27">
        <f t="shared" si="2"/>
        <v>0.2736111111</v>
      </c>
      <c r="I5048" s="28">
        <v>2.0</v>
      </c>
      <c r="J5048" s="39" t="s">
        <v>2440</v>
      </c>
      <c r="K5048" s="41"/>
      <c r="L5048" s="31" t="str">
        <f>IFERROR(__xludf.DUMMYFUNCTION("IF(OR(E5048="""",K5048=""""),"""",IFERROR(IF(K5048="""","""",query('tbl user'!$A$2:$D10975,""SELECT A WHERE D = '""&amp;K5048&amp;""'"")),""USER TIDAK DIKETAHUI""))"),"")</f>
        <v/>
      </c>
    </row>
    <row r="5049">
      <c r="A5049" s="21">
        <f t="shared" si="1"/>
        <v>45475.66397</v>
      </c>
      <c r="B5049" s="40" t="s">
        <v>2441</v>
      </c>
      <c r="C5049" s="23" t="s">
        <v>2092</v>
      </c>
      <c r="D5049" s="23" t="s">
        <v>32</v>
      </c>
      <c r="E5049" s="24">
        <v>45472.0</v>
      </c>
      <c r="F5049" s="25">
        <v>0.2916666666666667</v>
      </c>
      <c r="G5049" s="25">
        <v>0.6784722222222223</v>
      </c>
      <c r="H5049" s="27">
        <f t="shared" si="2"/>
        <v>0.3868055556</v>
      </c>
      <c r="I5049" s="28">
        <v>3.0</v>
      </c>
      <c r="J5049" s="39" t="s">
        <v>2377</v>
      </c>
      <c r="K5049" s="41"/>
      <c r="L5049" s="31" t="str">
        <f>IFERROR(__xludf.DUMMYFUNCTION("IF(OR(E5049="""",K5049=""""),"""",IFERROR(IF(K5049="""","""",query('tbl user'!$A$2:$D10975,""SELECT A WHERE D = '""&amp;K5049&amp;""'"")),""USER TIDAK DIKETAHUI""))"),"")</f>
        <v/>
      </c>
    </row>
    <row r="5050">
      <c r="A5050" s="21">
        <f t="shared" si="1"/>
        <v>45475.66404</v>
      </c>
      <c r="B5050" s="40" t="s">
        <v>2442</v>
      </c>
      <c r="C5050" s="23" t="s">
        <v>2066</v>
      </c>
      <c r="D5050" s="23" t="s">
        <v>32</v>
      </c>
      <c r="E5050" s="24">
        <v>45472.0</v>
      </c>
      <c r="F5050" s="25">
        <v>0.29097222222222224</v>
      </c>
      <c r="G5050" s="25">
        <v>0.6715277777777777</v>
      </c>
      <c r="H5050" s="27">
        <f t="shared" si="2"/>
        <v>0.3805555556</v>
      </c>
      <c r="I5050" s="28">
        <v>3.0</v>
      </c>
      <c r="J5050" s="39" t="s">
        <v>2377</v>
      </c>
      <c r="K5050" s="41"/>
      <c r="L5050" s="31" t="str">
        <f>IFERROR(__xludf.DUMMYFUNCTION("IF(OR(E5050="""",K5050=""""),"""",IFERROR(IF(K5050="""","""",query('tbl user'!$A$2:$D10975,""SELECT A WHERE D = '""&amp;K5050&amp;""'"")),""USER TIDAK DIKETAHUI""))"),"")</f>
        <v/>
      </c>
    </row>
    <row r="5051">
      <c r="A5051" s="21">
        <f t="shared" si="1"/>
        <v>45475.66408</v>
      </c>
      <c r="B5051" s="40" t="s">
        <v>2443</v>
      </c>
      <c r="C5051" s="23" t="s">
        <v>2190</v>
      </c>
      <c r="D5051" s="23" t="s">
        <v>32</v>
      </c>
      <c r="E5051" s="24">
        <v>45472.0</v>
      </c>
      <c r="F5051" s="25">
        <v>0.27361111111111114</v>
      </c>
      <c r="G5051" s="25">
        <v>0.6583333333333333</v>
      </c>
      <c r="H5051" s="27">
        <f t="shared" si="2"/>
        <v>0.3847222222</v>
      </c>
      <c r="I5051" s="28">
        <v>3.0</v>
      </c>
      <c r="J5051" s="39" t="s">
        <v>2377</v>
      </c>
      <c r="K5051" s="41"/>
      <c r="L5051" s="31" t="str">
        <f>IFERROR(__xludf.DUMMYFUNCTION("IF(OR(E5051="""",K5051=""""),"""",IFERROR(IF(K5051="""","""",query('tbl user'!$A$2:$D10975,""SELECT A WHERE D = '""&amp;K5051&amp;""'"")),""USER TIDAK DIKETAHUI""))"),"")</f>
        <v/>
      </c>
    </row>
    <row r="5052">
      <c r="A5052" s="21">
        <f t="shared" si="1"/>
        <v>45475.66413</v>
      </c>
      <c r="B5052" s="40" t="s">
        <v>2444</v>
      </c>
      <c r="C5052" s="23" t="s">
        <v>1903</v>
      </c>
      <c r="D5052" s="23" t="s">
        <v>32</v>
      </c>
      <c r="E5052" s="24">
        <v>45472.0</v>
      </c>
      <c r="F5052" s="25">
        <v>0.28888888888888886</v>
      </c>
      <c r="G5052" s="25">
        <v>0.6923611111111111</v>
      </c>
      <c r="H5052" s="27">
        <f t="shared" si="2"/>
        <v>0.4034722222</v>
      </c>
      <c r="I5052" s="28">
        <v>3.0</v>
      </c>
      <c r="J5052" s="39" t="s">
        <v>2377</v>
      </c>
      <c r="K5052" s="41"/>
      <c r="L5052" s="31" t="str">
        <f>IFERROR(__xludf.DUMMYFUNCTION("IF(OR(E5052="""",K5052=""""),"""",IFERROR(IF(K5052="""","""",query('tbl user'!$A$2:$D10975,""SELECT A WHERE D = '""&amp;K5052&amp;""'"")),""USER TIDAK DIKETAHUI""))"),"")</f>
        <v/>
      </c>
    </row>
    <row r="5053">
      <c r="A5053" s="21">
        <f t="shared" si="1"/>
        <v>45475.66431</v>
      </c>
      <c r="B5053" s="40" t="s">
        <v>2445</v>
      </c>
      <c r="C5053" s="23" t="s">
        <v>1904</v>
      </c>
      <c r="D5053" s="23" t="s">
        <v>32</v>
      </c>
      <c r="E5053" s="24">
        <v>45472.0</v>
      </c>
      <c r="F5053" s="25">
        <v>0.2798611111111111</v>
      </c>
      <c r="G5053" s="25">
        <v>0.71875</v>
      </c>
      <c r="H5053" s="27">
        <f t="shared" si="2"/>
        <v>0.4388888889</v>
      </c>
      <c r="I5053" s="28">
        <v>3.0</v>
      </c>
      <c r="J5053" s="39" t="s">
        <v>2377</v>
      </c>
      <c r="K5053" s="41"/>
      <c r="L5053" s="31" t="str">
        <f>IFERROR(__xludf.DUMMYFUNCTION("IF(OR(E5053="""",K5053=""""),"""",IFERROR(IF(K5053="""","""",query('tbl user'!$A$2:$D10975,""SELECT A WHERE D = '""&amp;K5053&amp;""'"")),""USER TIDAK DIKETAHUI""))"),"")</f>
        <v/>
      </c>
    </row>
    <row r="5054">
      <c r="A5054" s="21">
        <f t="shared" si="1"/>
        <v>45475.66436</v>
      </c>
      <c r="B5054" s="40" t="s">
        <v>2446</v>
      </c>
      <c r="C5054" s="23" t="s">
        <v>1954</v>
      </c>
      <c r="D5054" s="23" t="s">
        <v>32</v>
      </c>
      <c r="E5054" s="24">
        <v>45472.0</v>
      </c>
      <c r="F5054" s="25">
        <v>0.2826388888888889</v>
      </c>
      <c r="G5054" s="25">
        <v>0.6597222222222222</v>
      </c>
      <c r="H5054" s="27">
        <f t="shared" si="2"/>
        <v>0.3770833333</v>
      </c>
      <c r="I5054" s="28">
        <v>3.0</v>
      </c>
      <c r="J5054" s="39" t="s">
        <v>2377</v>
      </c>
      <c r="K5054" s="41"/>
      <c r="L5054" s="31" t="str">
        <f>IFERROR(__xludf.DUMMYFUNCTION("IF(OR(E5054="""",K5054=""""),"""",IFERROR(IF(K5054="""","""",query('tbl user'!$A$2:$D10975,""SELECT A WHERE D = '""&amp;K5054&amp;""'"")),""USER TIDAK DIKETAHUI""))"),"")</f>
        <v/>
      </c>
    </row>
    <row r="5055">
      <c r="A5055" s="21">
        <f t="shared" si="1"/>
        <v>45475.66444</v>
      </c>
      <c r="B5055" s="40" t="s">
        <v>2447</v>
      </c>
      <c r="C5055" s="23" t="s">
        <v>1905</v>
      </c>
      <c r="D5055" s="23" t="s">
        <v>32</v>
      </c>
      <c r="E5055" s="24">
        <v>45472.0</v>
      </c>
      <c r="F5055" s="25">
        <v>0.25763888888888886</v>
      </c>
      <c r="G5055" s="25">
        <v>0.7145833333333333</v>
      </c>
      <c r="H5055" s="27">
        <f t="shared" si="2"/>
        <v>0.4569444444</v>
      </c>
      <c r="I5055" s="28">
        <v>3.0</v>
      </c>
      <c r="J5055" s="42" t="s">
        <v>2448</v>
      </c>
      <c r="K5055" s="41"/>
      <c r="L5055" s="31" t="str">
        <f>IFERROR(__xludf.DUMMYFUNCTION("IF(OR(E5055="""",K5055=""""),"""",IFERROR(IF(K5055="""","""",query('tbl user'!$A$2:$D10975,""SELECT A WHERE D = '""&amp;K5055&amp;""'"")),""USER TIDAK DIKETAHUI""))"),"")</f>
        <v/>
      </c>
    </row>
    <row r="5056">
      <c r="A5056" s="21">
        <f t="shared" si="1"/>
        <v>45475.66449</v>
      </c>
      <c r="B5056" s="40" t="s">
        <v>2449</v>
      </c>
      <c r="C5056" s="23" t="s">
        <v>1908</v>
      </c>
      <c r="D5056" s="23" t="s">
        <v>32</v>
      </c>
      <c r="E5056" s="24">
        <v>45472.0</v>
      </c>
      <c r="F5056" s="25">
        <v>0.2708333333333333</v>
      </c>
      <c r="G5056" s="25">
        <v>0.64375</v>
      </c>
      <c r="H5056" s="27">
        <f t="shared" si="2"/>
        <v>0.3729166667</v>
      </c>
      <c r="I5056" s="28">
        <v>3.0</v>
      </c>
      <c r="J5056" s="39" t="s">
        <v>2377</v>
      </c>
      <c r="K5056" s="41"/>
      <c r="L5056" s="31" t="str">
        <f>IFERROR(__xludf.DUMMYFUNCTION("IF(OR(E5056="""",K5056=""""),"""",IFERROR(IF(K5056="""","""",query('tbl user'!$A$2:$D10975,""SELECT A WHERE D = '""&amp;K5056&amp;""'"")),""USER TIDAK DIKETAHUI""))"),"")</f>
        <v/>
      </c>
    </row>
    <row r="5057">
      <c r="A5057" s="21">
        <f t="shared" si="1"/>
        <v>45475.66457</v>
      </c>
      <c r="B5057" s="40" t="s">
        <v>2450</v>
      </c>
      <c r="C5057" s="23" t="s">
        <v>1894</v>
      </c>
      <c r="D5057" s="23" t="s">
        <v>32</v>
      </c>
      <c r="E5057" s="24">
        <v>45472.0</v>
      </c>
      <c r="F5057" s="25">
        <v>0.225</v>
      </c>
      <c r="G5057" s="25">
        <v>0.71875</v>
      </c>
      <c r="H5057" s="27">
        <f t="shared" si="2"/>
        <v>0.49375</v>
      </c>
      <c r="I5057" s="28">
        <v>4.0</v>
      </c>
      <c r="J5057" s="39" t="s">
        <v>55</v>
      </c>
      <c r="K5057" s="41"/>
      <c r="L5057" s="31" t="str">
        <f>IFERROR(__xludf.DUMMYFUNCTION("IF(OR(E5057="""",K5057=""""),"""",IFERROR(IF(K5057="""","""",query('tbl user'!$A$2:$D10975,""SELECT A WHERE D = '""&amp;K5057&amp;""'"")),""USER TIDAK DIKETAHUI""))"),"")</f>
        <v/>
      </c>
    </row>
    <row r="5058">
      <c r="A5058" s="21">
        <f t="shared" si="1"/>
        <v>45475.66462</v>
      </c>
      <c r="B5058" s="40" t="s">
        <v>2451</v>
      </c>
      <c r="C5058" s="23" t="s">
        <v>1967</v>
      </c>
      <c r="D5058" s="23" t="s">
        <v>32</v>
      </c>
      <c r="E5058" s="24">
        <v>45472.0</v>
      </c>
      <c r="F5058" s="25">
        <v>0.2826388888888889</v>
      </c>
      <c r="G5058" s="25">
        <v>0.73125</v>
      </c>
      <c r="H5058" s="27">
        <f t="shared" si="2"/>
        <v>0.4486111111</v>
      </c>
      <c r="I5058" s="28">
        <v>4.0</v>
      </c>
      <c r="J5058" s="39" t="s">
        <v>55</v>
      </c>
      <c r="K5058" s="41"/>
      <c r="L5058" s="31" t="str">
        <f>IFERROR(__xludf.DUMMYFUNCTION("IF(OR(E5058="""",K5058=""""),"""",IFERROR(IF(K5058="""","""",query('tbl user'!$A$2:$D10975,""SELECT A WHERE D = '""&amp;K5058&amp;""'"")),""USER TIDAK DIKETAHUI""))"),"")</f>
        <v/>
      </c>
    </row>
    <row r="5059">
      <c r="A5059" s="21">
        <f t="shared" si="1"/>
        <v>45475.66469</v>
      </c>
      <c r="B5059" s="40" t="s">
        <v>2452</v>
      </c>
      <c r="C5059" s="23" t="s">
        <v>1912</v>
      </c>
      <c r="D5059" s="23" t="s">
        <v>32</v>
      </c>
      <c r="E5059" s="24">
        <v>45472.0</v>
      </c>
      <c r="F5059" s="25">
        <v>0.2263888888888889</v>
      </c>
      <c r="G5059" s="25">
        <v>0.7020833333333333</v>
      </c>
      <c r="H5059" s="27">
        <f t="shared" si="2"/>
        <v>0.4756944444</v>
      </c>
      <c r="I5059" s="28">
        <v>4.0</v>
      </c>
      <c r="J5059" s="39" t="s">
        <v>55</v>
      </c>
      <c r="K5059" s="41"/>
      <c r="L5059" s="31" t="str">
        <f>IFERROR(__xludf.DUMMYFUNCTION("IF(OR(E5059="""",K5059=""""),"""",IFERROR(IF(K5059="""","""",query('tbl user'!$A$2:$D10975,""SELECT A WHERE D = '""&amp;K5059&amp;""'"")),""USER TIDAK DIKETAHUI""))"),"")</f>
        <v/>
      </c>
    </row>
    <row r="5060">
      <c r="A5060" s="21">
        <f t="shared" si="1"/>
        <v>45475.66475</v>
      </c>
      <c r="B5060" s="40" t="s">
        <v>2453</v>
      </c>
      <c r="C5060" s="23" t="s">
        <v>1907</v>
      </c>
      <c r="D5060" s="23" t="s">
        <v>32</v>
      </c>
      <c r="E5060" s="24">
        <v>45472.0</v>
      </c>
      <c r="F5060" s="25">
        <v>0.26666666666666666</v>
      </c>
      <c r="G5060" s="25">
        <v>0.7263888888888889</v>
      </c>
      <c r="H5060" s="27">
        <f t="shared" si="2"/>
        <v>0.4597222222</v>
      </c>
      <c r="I5060" s="28">
        <v>4.0</v>
      </c>
      <c r="J5060" s="39" t="s">
        <v>55</v>
      </c>
      <c r="K5060" s="41"/>
      <c r="L5060" s="31" t="str">
        <f>IFERROR(__xludf.DUMMYFUNCTION("IF(OR(E5060="""",K5060=""""),"""",IFERROR(IF(K5060="""","""",query('tbl user'!$A$2:$D10975,""SELECT A WHERE D = '""&amp;K5060&amp;""'"")),""USER TIDAK DIKETAHUI""))"),"")</f>
        <v/>
      </c>
    </row>
    <row r="5061">
      <c r="A5061" s="21">
        <f t="shared" si="1"/>
        <v>45476.57388</v>
      </c>
      <c r="B5061" s="40" t="s">
        <v>2389</v>
      </c>
      <c r="C5061" s="23" t="s">
        <v>1833</v>
      </c>
      <c r="D5061" s="23" t="s">
        <v>21</v>
      </c>
      <c r="E5061" s="24">
        <v>45473.0</v>
      </c>
      <c r="F5061" s="25">
        <v>0.28125</v>
      </c>
      <c r="G5061" s="25">
        <v>0.45069444444444445</v>
      </c>
      <c r="H5061" s="27">
        <f t="shared" si="2"/>
        <v>0.1694444444</v>
      </c>
      <c r="I5061" s="28">
        <v>1.0</v>
      </c>
      <c r="J5061" s="39" t="s">
        <v>2454</v>
      </c>
      <c r="K5061" s="41"/>
      <c r="L5061" s="31" t="str">
        <f>IFERROR(__xludf.DUMMYFUNCTION("IF(OR(E5061="""",K5061=""""),"""",IFERROR(IF(K5061="""","""",query('tbl user'!$A$2:$D10975,""SELECT A WHERE D = '""&amp;K5061&amp;""'"")),""USER TIDAK DIKETAHUI""))"),"")</f>
        <v/>
      </c>
    </row>
    <row r="5062">
      <c r="A5062" s="21">
        <f t="shared" si="1"/>
        <v>45476.57388</v>
      </c>
      <c r="B5062" s="40" t="s">
        <v>2378</v>
      </c>
      <c r="C5062" s="23" t="s">
        <v>1844</v>
      </c>
      <c r="D5062" s="23" t="s">
        <v>21</v>
      </c>
      <c r="E5062" s="24">
        <v>45473.0</v>
      </c>
      <c r="F5062" s="25">
        <v>0.29930555555555555</v>
      </c>
      <c r="G5062" s="25">
        <v>0.4777777777777778</v>
      </c>
      <c r="H5062" s="27">
        <f t="shared" si="2"/>
        <v>0.1784722222</v>
      </c>
      <c r="I5062" s="28">
        <v>1.0</v>
      </c>
      <c r="J5062" s="39" t="s">
        <v>2455</v>
      </c>
      <c r="K5062" s="41"/>
      <c r="L5062" s="31" t="str">
        <f>IFERROR(__xludf.DUMMYFUNCTION("IF(OR(E5062="""",K5062=""""),"""",IFERROR(IF(K5062="""","""",query('tbl user'!$A$2:$D10975,""SELECT A WHERE D = '""&amp;K5062&amp;""'"")),""USER TIDAK DIKETAHUI""))"),"")</f>
        <v/>
      </c>
    </row>
    <row r="5063">
      <c r="A5063" s="21">
        <f t="shared" si="1"/>
        <v>45476.57388</v>
      </c>
      <c r="B5063" s="40" t="s">
        <v>2394</v>
      </c>
      <c r="C5063" s="23" t="s">
        <v>1837</v>
      </c>
      <c r="D5063" s="23" t="s">
        <v>21</v>
      </c>
      <c r="E5063" s="24">
        <v>45473.0</v>
      </c>
      <c r="F5063" s="25">
        <v>0.3548611111111111</v>
      </c>
      <c r="G5063" s="25">
        <v>0.5673611111111111</v>
      </c>
      <c r="H5063" s="27">
        <f t="shared" si="2"/>
        <v>0.2125</v>
      </c>
      <c r="I5063" s="28">
        <v>1.0</v>
      </c>
      <c r="J5063" s="39" t="s">
        <v>2456</v>
      </c>
      <c r="K5063" s="41"/>
      <c r="L5063" s="31" t="str">
        <f>IFERROR(__xludf.DUMMYFUNCTION("IF(OR(E5063="""",K5063=""""),"""",IFERROR(IF(K5063="""","""",query('tbl user'!$A$2:$D10975,""SELECT A WHERE D = '""&amp;K5063&amp;""'"")),""USER TIDAK DIKETAHUI""))"),"")</f>
        <v/>
      </c>
    </row>
    <row r="5064">
      <c r="A5064" s="21">
        <f t="shared" si="1"/>
        <v>45476.57388</v>
      </c>
      <c r="B5064" s="40" t="s">
        <v>2457</v>
      </c>
      <c r="C5064" s="23" t="s">
        <v>1849</v>
      </c>
      <c r="D5064" s="23" t="s">
        <v>21</v>
      </c>
      <c r="E5064" s="24">
        <v>45473.0</v>
      </c>
      <c r="F5064" s="25">
        <v>0.24444444444444444</v>
      </c>
      <c r="G5064" s="25">
        <v>0.4215277777777778</v>
      </c>
      <c r="H5064" s="27">
        <f t="shared" si="2"/>
        <v>0.1770833333</v>
      </c>
      <c r="I5064" s="28">
        <v>1.0</v>
      </c>
      <c r="J5064" s="39" t="s">
        <v>934</v>
      </c>
      <c r="K5064" s="41"/>
      <c r="L5064" s="31" t="str">
        <f>IFERROR(__xludf.DUMMYFUNCTION("IF(OR(E5064="""",K5064=""""),"""",IFERROR(IF(K5064="""","""",query('tbl user'!$A$2:$D10975,""SELECT A WHERE D = '""&amp;K5064&amp;""'"")),""USER TIDAK DIKETAHUI""))"),"")</f>
        <v/>
      </c>
    </row>
    <row r="5065">
      <c r="A5065" s="21">
        <f t="shared" si="1"/>
        <v>45476.57388</v>
      </c>
      <c r="B5065" s="40" t="s">
        <v>2365</v>
      </c>
      <c r="C5065" s="23" t="s">
        <v>1830</v>
      </c>
      <c r="D5065" s="23" t="s">
        <v>21</v>
      </c>
      <c r="E5065" s="24">
        <v>45473.0</v>
      </c>
      <c r="F5065" s="25">
        <v>0.3645833333333333</v>
      </c>
      <c r="G5065" s="25">
        <v>0.5972222222222222</v>
      </c>
      <c r="H5065" s="27">
        <f t="shared" si="2"/>
        <v>0.2326388889</v>
      </c>
      <c r="I5065" s="28">
        <v>2.0</v>
      </c>
      <c r="J5065" s="39" t="s">
        <v>2458</v>
      </c>
      <c r="K5065" s="41"/>
      <c r="L5065" s="31" t="str">
        <f>IFERROR(__xludf.DUMMYFUNCTION("IF(OR(E5065="""",K5065=""""),"""",IFERROR(IF(K5065="""","""",query('tbl user'!$A$2:$D10975,""SELECT A WHERE D = '""&amp;K5065&amp;""'"")),""USER TIDAK DIKETAHUI""))"),"")</f>
        <v/>
      </c>
    </row>
    <row r="5066">
      <c r="A5066" s="21">
        <f t="shared" si="1"/>
        <v>45476.57388</v>
      </c>
      <c r="B5066" s="40" t="s">
        <v>2379</v>
      </c>
      <c r="C5066" s="23" t="s">
        <v>1835</v>
      </c>
      <c r="D5066" s="23" t="s">
        <v>21</v>
      </c>
      <c r="E5066" s="24">
        <v>45473.0</v>
      </c>
      <c r="F5066" s="25">
        <v>0.2722222222222222</v>
      </c>
      <c r="G5066" s="25">
        <v>0.5486111111111112</v>
      </c>
      <c r="H5066" s="27">
        <f t="shared" si="2"/>
        <v>0.2763888889</v>
      </c>
      <c r="I5066" s="28">
        <v>2.0</v>
      </c>
      <c r="J5066" s="39" t="s">
        <v>2459</v>
      </c>
      <c r="K5066" s="41"/>
      <c r="L5066" s="31" t="str">
        <f>IFERROR(__xludf.DUMMYFUNCTION("IF(OR(E5066="""",K5066=""""),"""",IFERROR(IF(K5066="""","""",query('tbl user'!$A$2:$D10975,""SELECT A WHERE D = '""&amp;K5066&amp;""'"")),""USER TIDAK DIKETAHUI""))"),"")</f>
        <v/>
      </c>
    </row>
    <row r="5067">
      <c r="A5067" s="21">
        <f t="shared" si="1"/>
        <v>45476.57388</v>
      </c>
      <c r="B5067" s="40" t="s">
        <v>2460</v>
      </c>
      <c r="C5067" s="23" t="s">
        <v>1856</v>
      </c>
      <c r="D5067" s="23" t="s">
        <v>21</v>
      </c>
      <c r="E5067" s="24">
        <v>45473.0</v>
      </c>
      <c r="F5067" s="25">
        <v>0.25</v>
      </c>
      <c r="G5067" s="25">
        <v>0.4930555555555556</v>
      </c>
      <c r="H5067" s="27">
        <f t="shared" si="2"/>
        <v>0.2430555556</v>
      </c>
      <c r="I5067" s="28">
        <v>2.0</v>
      </c>
      <c r="J5067" s="39" t="s">
        <v>2461</v>
      </c>
      <c r="K5067" s="41"/>
      <c r="L5067" s="31" t="str">
        <f>IFERROR(__xludf.DUMMYFUNCTION("IF(OR(E5067="""",K5067=""""),"""",IFERROR(IF(K5067="""","""",query('tbl user'!$A$2:$D10975,""SELECT A WHERE D = '""&amp;K5067&amp;""'"")),""USER TIDAK DIKETAHUI""))"),"")</f>
        <v/>
      </c>
    </row>
    <row r="5068">
      <c r="A5068" s="21">
        <f t="shared" si="1"/>
        <v>45476.57388</v>
      </c>
      <c r="B5068" s="40" t="s">
        <v>2462</v>
      </c>
      <c r="C5068" s="23" t="s">
        <v>1928</v>
      </c>
      <c r="D5068" s="23" t="s">
        <v>21</v>
      </c>
      <c r="E5068" s="24">
        <v>45473.0</v>
      </c>
      <c r="F5068" s="25">
        <v>0.2972222222222222</v>
      </c>
      <c r="G5068" s="25">
        <v>0.6388888888888888</v>
      </c>
      <c r="H5068" s="27">
        <f t="shared" si="2"/>
        <v>0.3416666667</v>
      </c>
      <c r="I5068" s="28">
        <v>2.0</v>
      </c>
      <c r="J5068" s="39" t="s">
        <v>2221</v>
      </c>
      <c r="K5068" s="41"/>
      <c r="L5068" s="31" t="str">
        <f>IFERROR(__xludf.DUMMYFUNCTION("IF(OR(E5068="""",K5068=""""),"""",IFERROR(IF(K5068="""","""",query('tbl user'!$A$2:$D10975,""SELECT A WHERE D = '""&amp;K5068&amp;""'"")),""USER TIDAK DIKETAHUI""))"),"")</f>
        <v/>
      </c>
    </row>
    <row r="5069">
      <c r="A5069" s="21">
        <f t="shared" si="1"/>
        <v>45476.57388</v>
      </c>
      <c r="B5069" s="40" t="s">
        <v>2384</v>
      </c>
      <c r="C5069" s="23" t="s">
        <v>1922</v>
      </c>
      <c r="D5069" s="23" t="s">
        <v>21</v>
      </c>
      <c r="E5069" s="24">
        <v>45473.0</v>
      </c>
      <c r="F5069" s="25">
        <v>0.2986111111111111</v>
      </c>
      <c r="G5069" s="25">
        <v>0.65625</v>
      </c>
      <c r="H5069" s="27">
        <f t="shared" si="2"/>
        <v>0.3576388889</v>
      </c>
      <c r="I5069" s="28">
        <v>3.0</v>
      </c>
      <c r="J5069" s="39" t="s">
        <v>618</v>
      </c>
      <c r="K5069" s="41"/>
      <c r="L5069" s="31" t="str">
        <f>IFERROR(__xludf.DUMMYFUNCTION("IF(OR(E5069="""",K5069=""""),"""",IFERROR(IF(K5069="""","""",query('tbl user'!$A$2:$D10975,""SELECT A WHERE D = '""&amp;K5069&amp;""'"")),""USER TIDAK DIKETAHUI""))"),"")</f>
        <v/>
      </c>
    </row>
    <row r="5070">
      <c r="A5070" s="21">
        <f t="shared" si="1"/>
        <v>45476.57388</v>
      </c>
      <c r="B5070" s="40" t="s">
        <v>2359</v>
      </c>
      <c r="C5070" s="23" t="s">
        <v>1834</v>
      </c>
      <c r="D5070" s="23" t="s">
        <v>21</v>
      </c>
      <c r="E5070" s="24">
        <v>45473.0</v>
      </c>
      <c r="F5070" s="25">
        <v>0.23958333333333334</v>
      </c>
      <c r="G5070" s="25">
        <v>0.6354166666666666</v>
      </c>
      <c r="H5070" s="27">
        <f t="shared" si="2"/>
        <v>0.3958333333</v>
      </c>
      <c r="I5070" s="28">
        <v>3.0</v>
      </c>
      <c r="J5070" s="39" t="s">
        <v>2463</v>
      </c>
      <c r="K5070" s="41"/>
      <c r="L5070" s="31" t="str">
        <f>IFERROR(__xludf.DUMMYFUNCTION("IF(OR(E5070="""",K5070=""""),"""",IFERROR(IF(K5070="""","""",query('tbl user'!$A$2:$D10975,""SELECT A WHERE D = '""&amp;K5070&amp;""'"")),""USER TIDAK DIKETAHUI""))"),"")</f>
        <v/>
      </c>
    </row>
    <row r="5071">
      <c r="A5071" s="21">
        <f t="shared" si="1"/>
        <v>45476.57388</v>
      </c>
      <c r="B5071" s="40" t="s">
        <v>2395</v>
      </c>
      <c r="C5071" s="23" t="s">
        <v>1827</v>
      </c>
      <c r="D5071" s="23" t="s">
        <v>21</v>
      </c>
      <c r="E5071" s="24">
        <v>45473.0</v>
      </c>
      <c r="F5071" s="25">
        <v>0.3125</v>
      </c>
      <c r="G5071" s="25">
        <v>0.7402777777777778</v>
      </c>
      <c r="H5071" s="27">
        <f t="shared" si="2"/>
        <v>0.4277777778</v>
      </c>
      <c r="I5071" s="28">
        <v>4.0</v>
      </c>
      <c r="J5071" s="39" t="s">
        <v>2464</v>
      </c>
      <c r="K5071" s="41"/>
      <c r="L5071" s="31" t="str">
        <f>IFERROR(__xludf.DUMMYFUNCTION("IF(OR(E5071="""",K5071=""""),"""",IFERROR(IF(K5071="""","""",query('tbl user'!$A$2:$D10975,""SELECT A WHERE D = '""&amp;K5071&amp;""'"")),""USER TIDAK DIKETAHUI""))"),"")</f>
        <v/>
      </c>
    </row>
    <row r="5072">
      <c r="A5072" s="21">
        <f t="shared" si="1"/>
        <v>45476.57388</v>
      </c>
      <c r="B5072" s="40" t="s">
        <v>2416</v>
      </c>
      <c r="C5072" s="23" t="s">
        <v>2041</v>
      </c>
      <c r="D5072" s="23" t="s">
        <v>21</v>
      </c>
      <c r="E5072" s="24">
        <v>45473.0</v>
      </c>
      <c r="F5072" s="25">
        <v>0.23680555555555555</v>
      </c>
      <c r="G5072" s="25">
        <v>0.6743055555555556</v>
      </c>
      <c r="H5072" s="27">
        <f t="shared" si="2"/>
        <v>0.4375</v>
      </c>
      <c r="I5072" s="28">
        <v>4.0</v>
      </c>
      <c r="J5072" s="39" t="s">
        <v>2465</v>
      </c>
      <c r="K5072" s="41"/>
      <c r="L5072" s="31" t="str">
        <f>IFERROR(__xludf.DUMMYFUNCTION("IF(OR(E5072="""",K5072=""""),"""",IFERROR(IF(K5072="""","""",query('tbl user'!$A$2:$D10975,""SELECT A WHERE D = '""&amp;K5072&amp;""'"")),""USER TIDAK DIKETAHUI""))"),"")</f>
        <v/>
      </c>
    </row>
    <row r="5073">
      <c r="A5073" s="21">
        <f t="shared" si="1"/>
        <v>45476.57388</v>
      </c>
      <c r="B5073" s="40" t="s">
        <v>2396</v>
      </c>
      <c r="C5073" s="23" t="s">
        <v>2049</v>
      </c>
      <c r="D5073" s="23" t="s">
        <v>21</v>
      </c>
      <c r="E5073" s="24">
        <v>45473.0</v>
      </c>
      <c r="F5073" s="25">
        <v>0.25069444444444444</v>
      </c>
      <c r="G5073" s="25">
        <v>0.675</v>
      </c>
      <c r="H5073" s="27">
        <f t="shared" si="2"/>
        <v>0.4243055556</v>
      </c>
      <c r="I5073" s="28">
        <v>4.0</v>
      </c>
      <c r="J5073" s="39" t="s">
        <v>2465</v>
      </c>
      <c r="K5073" s="41"/>
      <c r="L5073" s="31" t="str">
        <f>IFERROR(__xludf.DUMMYFUNCTION("IF(OR(E5073="""",K5073=""""),"""",IFERROR(IF(K5073="""","""",query('tbl user'!$A$2:$D10975,""SELECT A WHERE D = '""&amp;K5073&amp;""'"")),""USER TIDAK DIKETAHUI""))"),"")</f>
        <v/>
      </c>
    </row>
    <row r="5074">
      <c r="A5074" s="21">
        <f t="shared" si="1"/>
        <v>45476.57388</v>
      </c>
      <c r="B5074" s="40" t="s">
        <v>2382</v>
      </c>
      <c r="C5074" s="23" t="s">
        <v>1858</v>
      </c>
      <c r="D5074" s="23" t="s">
        <v>21</v>
      </c>
      <c r="E5074" s="24">
        <v>45473.0</v>
      </c>
      <c r="F5074" s="25">
        <v>0.28055555555555556</v>
      </c>
      <c r="G5074" s="25">
        <v>0.6715277777777777</v>
      </c>
      <c r="H5074" s="27">
        <f t="shared" si="2"/>
        <v>0.3909722222</v>
      </c>
      <c r="I5074" s="28">
        <v>4.0</v>
      </c>
      <c r="J5074" s="39" t="s">
        <v>2465</v>
      </c>
      <c r="K5074" s="41"/>
      <c r="L5074" s="31" t="str">
        <f>IFERROR(__xludf.DUMMYFUNCTION("IF(OR(E5074="""",K5074=""""),"""",IFERROR(IF(K5074="""","""",query('tbl user'!$A$2:$D10975,""SELECT A WHERE D = '""&amp;K5074&amp;""'"")),""USER TIDAK DIKETAHUI""))"),"")</f>
        <v/>
      </c>
    </row>
    <row r="5075">
      <c r="A5075" s="21">
        <f t="shared" si="1"/>
        <v>45476.57388</v>
      </c>
      <c r="B5075" s="40" t="s">
        <v>2397</v>
      </c>
      <c r="C5075" s="23" t="s">
        <v>1935</v>
      </c>
      <c r="D5075" s="23" t="s">
        <v>21</v>
      </c>
      <c r="E5075" s="24">
        <v>45473.0</v>
      </c>
      <c r="F5075" s="25">
        <v>0.2298611111111111</v>
      </c>
      <c r="G5075" s="25">
        <v>0.6493055555555556</v>
      </c>
      <c r="H5075" s="27">
        <f t="shared" si="2"/>
        <v>0.4194444444</v>
      </c>
      <c r="I5075" s="28">
        <v>4.0</v>
      </c>
      <c r="J5075" s="39" t="s">
        <v>2466</v>
      </c>
      <c r="K5075" s="41"/>
      <c r="L5075" s="31" t="str">
        <f>IFERROR(__xludf.DUMMYFUNCTION("IF(OR(E5075="""",K5075=""""),"""",IFERROR(IF(K5075="""","""",query('tbl user'!$A$2:$D10975,""SELECT A WHERE D = '""&amp;K5075&amp;""'"")),""USER TIDAK DIKETAHUI""))"),"")</f>
        <v/>
      </c>
    </row>
    <row r="5076">
      <c r="A5076" s="21">
        <f t="shared" si="1"/>
        <v>45476.57388</v>
      </c>
      <c r="B5076" s="40" t="s">
        <v>2374</v>
      </c>
      <c r="C5076" s="23" t="s">
        <v>1850</v>
      </c>
      <c r="D5076" s="23" t="s">
        <v>21</v>
      </c>
      <c r="E5076" s="24">
        <v>45473.0</v>
      </c>
      <c r="F5076" s="25">
        <v>0.2923611111111111</v>
      </c>
      <c r="G5076" s="25">
        <v>0.7305555555555555</v>
      </c>
      <c r="H5076" s="27">
        <f t="shared" si="2"/>
        <v>0.4381944444</v>
      </c>
      <c r="I5076" s="28">
        <v>4.0</v>
      </c>
      <c r="J5076" s="39" t="s">
        <v>2465</v>
      </c>
      <c r="K5076" s="41"/>
      <c r="L5076" s="31" t="str">
        <f>IFERROR(__xludf.DUMMYFUNCTION("IF(OR(E5076="""",K5076=""""),"""",IFERROR(IF(K5076="""","""",query('tbl user'!$A$2:$D10975,""SELECT A WHERE D = '""&amp;K5076&amp;""'"")),""USER TIDAK DIKETAHUI""))"),"")</f>
        <v/>
      </c>
    </row>
    <row r="5077">
      <c r="A5077" s="21">
        <f t="shared" si="1"/>
        <v>45476.57388</v>
      </c>
      <c r="B5077" s="40" t="s">
        <v>2386</v>
      </c>
      <c r="C5077" s="23" t="s">
        <v>1843</v>
      </c>
      <c r="D5077" s="23" t="s">
        <v>21</v>
      </c>
      <c r="E5077" s="24">
        <v>45473.0</v>
      </c>
      <c r="F5077" s="25">
        <v>0.23055555555555557</v>
      </c>
      <c r="G5077" s="25">
        <v>0.7381944444444445</v>
      </c>
      <c r="H5077" s="27">
        <f t="shared" si="2"/>
        <v>0.5076388889</v>
      </c>
      <c r="I5077" s="28">
        <v>5.0</v>
      </c>
      <c r="J5077" s="39" t="s">
        <v>55</v>
      </c>
      <c r="K5077" s="41"/>
      <c r="L5077" s="31" t="str">
        <f>IFERROR(__xludf.DUMMYFUNCTION("IF(OR(E5077="""",K5077=""""),"""",IFERROR(IF(K5077="""","""",query('tbl user'!$A$2:$D10975,""SELECT A WHERE D = '""&amp;K5077&amp;""'"")),""USER TIDAK DIKETAHUI""))"),"")</f>
        <v/>
      </c>
    </row>
    <row r="5078">
      <c r="A5078" s="21">
        <f t="shared" si="1"/>
        <v>45476.57388</v>
      </c>
      <c r="B5078" s="40" t="s">
        <v>2373</v>
      </c>
      <c r="C5078" s="23" t="s">
        <v>1847</v>
      </c>
      <c r="D5078" s="23" t="s">
        <v>21</v>
      </c>
      <c r="E5078" s="24">
        <v>45473.0</v>
      </c>
      <c r="F5078" s="25">
        <v>0.25763888888888886</v>
      </c>
      <c r="G5078" s="25">
        <v>0.7347222222222223</v>
      </c>
      <c r="H5078" s="27">
        <f t="shared" si="2"/>
        <v>0.4770833333</v>
      </c>
      <c r="I5078" s="28">
        <v>5.0</v>
      </c>
      <c r="J5078" s="39" t="s">
        <v>55</v>
      </c>
      <c r="K5078" s="41"/>
      <c r="L5078" s="31" t="str">
        <f>IFERROR(__xludf.DUMMYFUNCTION("IF(OR(E5078="""",K5078=""""),"""",IFERROR(IF(K5078="""","""",query('tbl user'!$A$2:$D10975,""SELECT A WHERE D = '""&amp;K5078&amp;""'"")),""USER TIDAK DIKETAHUI""))"),"")</f>
        <v/>
      </c>
    </row>
    <row r="5079">
      <c r="A5079" s="21">
        <f t="shared" si="1"/>
        <v>45476.57388</v>
      </c>
      <c r="B5079" s="40" t="s">
        <v>2385</v>
      </c>
      <c r="C5079" s="23" t="s">
        <v>1852</v>
      </c>
      <c r="D5079" s="23" t="s">
        <v>21</v>
      </c>
      <c r="E5079" s="24">
        <v>45473.0</v>
      </c>
      <c r="F5079" s="25">
        <v>0.28541666666666665</v>
      </c>
      <c r="G5079" s="25">
        <v>0.6506944444444445</v>
      </c>
      <c r="H5079" s="27">
        <f t="shared" si="2"/>
        <v>0.3652777778</v>
      </c>
      <c r="I5079" s="28">
        <v>2.0</v>
      </c>
      <c r="J5079" s="39" t="s">
        <v>2233</v>
      </c>
      <c r="K5079" s="41"/>
      <c r="L5079" s="31" t="str">
        <f>IFERROR(__xludf.DUMMYFUNCTION("IF(OR(E5079="""",K5079=""""),"""",IFERROR(IF(K5079="""","""",query('tbl user'!$A$2:$D10975,""SELECT A WHERE D = '""&amp;K5079&amp;""'"")),""USER TIDAK DIKETAHUI""))"),"")</f>
        <v/>
      </c>
    </row>
    <row r="5080">
      <c r="A5080" s="21">
        <f t="shared" si="1"/>
        <v>45476.57388</v>
      </c>
      <c r="B5080" s="40" t="s">
        <v>2398</v>
      </c>
      <c r="C5080" s="23" t="s">
        <v>1829</v>
      </c>
      <c r="D5080" s="23" t="s">
        <v>21</v>
      </c>
      <c r="E5080" s="24">
        <v>45473.0</v>
      </c>
      <c r="F5080" s="25">
        <v>0.28888888888888886</v>
      </c>
      <c r="G5080" s="25">
        <v>0.6701388888888888</v>
      </c>
      <c r="H5080" s="27">
        <f t="shared" si="2"/>
        <v>0.38125</v>
      </c>
      <c r="I5080" s="28">
        <v>2.0</v>
      </c>
      <c r="J5080" s="39" t="s">
        <v>2233</v>
      </c>
      <c r="K5080" s="41"/>
      <c r="L5080" s="31" t="str">
        <f>IFERROR(__xludf.DUMMYFUNCTION("IF(OR(E5080="""",K5080=""""),"""",IFERROR(IF(K5080="""","""",query('tbl user'!$A$2:$D10975,""SELECT A WHERE D = '""&amp;K5080&amp;""'"")),""USER TIDAK DIKETAHUI""))"),"")</f>
        <v/>
      </c>
    </row>
    <row r="5081">
      <c r="A5081" s="21">
        <f t="shared" si="1"/>
        <v>45476.57388</v>
      </c>
      <c r="B5081" s="40" t="s">
        <v>2400</v>
      </c>
      <c r="C5081" s="23" t="s">
        <v>1917</v>
      </c>
      <c r="D5081" s="23" t="s">
        <v>21</v>
      </c>
      <c r="E5081" s="24">
        <v>45473.0</v>
      </c>
      <c r="F5081" s="25">
        <v>0.25833333333333336</v>
      </c>
      <c r="G5081" s="25">
        <v>0.6256944444444444</v>
      </c>
      <c r="H5081" s="27">
        <f t="shared" si="2"/>
        <v>0.3673611111</v>
      </c>
      <c r="I5081" s="28">
        <v>2.0</v>
      </c>
      <c r="J5081" s="39" t="s">
        <v>2233</v>
      </c>
      <c r="K5081" s="41"/>
      <c r="L5081" s="31" t="str">
        <f>IFERROR(__xludf.DUMMYFUNCTION("IF(OR(E5081="""",K5081=""""),"""",IFERROR(IF(K5081="""","""",query('tbl user'!$A$2:$D10975,""SELECT A WHERE D = '""&amp;K5081&amp;""'"")),""USER TIDAK DIKETAHUI""))"),"")</f>
        <v/>
      </c>
    </row>
    <row r="5082">
      <c r="A5082" s="21">
        <f t="shared" si="1"/>
        <v>45476.57388</v>
      </c>
      <c r="B5082" s="40" t="s">
        <v>2401</v>
      </c>
      <c r="C5082" s="23" t="s">
        <v>1841</v>
      </c>
      <c r="D5082" s="23" t="s">
        <v>21</v>
      </c>
      <c r="E5082" s="24">
        <v>45473.0</v>
      </c>
      <c r="F5082" s="25">
        <v>0.29930555555555555</v>
      </c>
      <c r="G5082" s="25">
        <v>0.6805555555555556</v>
      </c>
      <c r="H5082" s="27">
        <f t="shared" si="2"/>
        <v>0.38125</v>
      </c>
      <c r="I5082" s="28">
        <v>2.0</v>
      </c>
      <c r="J5082" s="39" t="s">
        <v>2467</v>
      </c>
      <c r="K5082" s="41"/>
      <c r="L5082" s="31" t="str">
        <f>IFERROR(__xludf.DUMMYFUNCTION("IF(OR(E5082="""",K5082=""""),"""",IFERROR(IF(K5082="""","""",query('tbl user'!$A$2:$D10975,""SELECT A WHERE D = '""&amp;K5082&amp;""'"")),""USER TIDAK DIKETAHUI""))"),"")</f>
        <v/>
      </c>
    </row>
    <row r="5083">
      <c r="A5083" s="21">
        <f t="shared" si="1"/>
        <v>45475.67225</v>
      </c>
      <c r="B5083" s="40" t="s">
        <v>2416</v>
      </c>
      <c r="C5083" s="23" t="s">
        <v>1948</v>
      </c>
      <c r="D5083" s="23" t="s">
        <v>58</v>
      </c>
      <c r="E5083" s="24">
        <v>45473.0</v>
      </c>
      <c r="F5083" s="25">
        <v>0.2951388888888889</v>
      </c>
      <c r="G5083" s="25">
        <v>0.47708333333333336</v>
      </c>
      <c r="H5083" s="27">
        <f t="shared" si="2"/>
        <v>0.1819444444</v>
      </c>
      <c r="I5083" s="28">
        <v>1.0</v>
      </c>
      <c r="J5083" s="39" t="s">
        <v>2468</v>
      </c>
      <c r="K5083" s="41"/>
      <c r="L5083" s="31" t="str">
        <f>IFERROR(__xludf.DUMMYFUNCTION("IF(OR(E5083="""",K5083=""""),"""",IFERROR(IF(K5083="""","""",query('tbl user'!$A$2:$D10975,""SELECT A WHERE D = '""&amp;K5083&amp;""'"")),""USER TIDAK DIKETAHUI""))"),"")</f>
        <v/>
      </c>
    </row>
    <row r="5084">
      <c r="A5084" s="21">
        <f t="shared" si="1"/>
        <v>45475.67231</v>
      </c>
      <c r="B5084" s="40" t="s">
        <v>2417</v>
      </c>
      <c r="C5084" s="23" t="s">
        <v>1941</v>
      </c>
      <c r="D5084" s="23" t="s">
        <v>58</v>
      </c>
      <c r="E5084" s="24">
        <v>45473.0</v>
      </c>
      <c r="F5084" s="25">
        <v>0.2604166666666667</v>
      </c>
      <c r="G5084" s="25">
        <v>0.41805555555555557</v>
      </c>
      <c r="H5084" s="27">
        <f t="shared" si="2"/>
        <v>0.1576388889</v>
      </c>
      <c r="I5084" s="28">
        <v>1.0</v>
      </c>
      <c r="J5084" s="39" t="s">
        <v>2469</v>
      </c>
      <c r="K5084" s="41"/>
      <c r="L5084" s="31" t="str">
        <f>IFERROR(__xludf.DUMMYFUNCTION("IF(OR(E5084="""",K5084=""""),"""",IFERROR(IF(K5084="""","""",query('tbl user'!$A$2:$D10975,""SELECT A WHERE D = '""&amp;K5084&amp;""'"")),""USER TIDAK DIKETAHUI""))"),"")</f>
        <v/>
      </c>
    </row>
    <row r="5085">
      <c r="A5085" s="21">
        <f t="shared" si="1"/>
        <v>45475.67236</v>
      </c>
      <c r="B5085" s="40" t="s">
        <v>2421</v>
      </c>
      <c r="C5085" s="23" t="s">
        <v>1883</v>
      </c>
      <c r="D5085" s="23" t="s">
        <v>58</v>
      </c>
      <c r="E5085" s="24">
        <v>45473.0</v>
      </c>
      <c r="F5085" s="25">
        <v>0.2861111111111111</v>
      </c>
      <c r="G5085" s="25">
        <v>0.5951388888888889</v>
      </c>
      <c r="H5085" s="27">
        <f t="shared" si="2"/>
        <v>0.3090277778</v>
      </c>
      <c r="I5085" s="28">
        <v>1.0</v>
      </c>
      <c r="J5085" s="39" t="s">
        <v>2470</v>
      </c>
      <c r="K5085" s="41"/>
      <c r="L5085" s="31" t="str">
        <f>IFERROR(__xludf.DUMMYFUNCTION("IF(OR(E5085="""",K5085=""""),"""",IFERROR(IF(K5085="""","""",query('tbl user'!$A$2:$D10975,""SELECT A WHERE D = '""&amp;K5085&amp;""'"")),""USER TIDAK DIKETAHUI""))"),"")</f>
        <v/>
      </c>
    </row>
    <row r="5086">
      <c r="A5086" s="21">
        <f t="shared" si="1"/>
        <v>45475.67243</v>
      </c>
      <c r="B5086" s="40" t="s">
        <v>2422</v>
      </c>
      <c r="C5086" s="23" t="s">
        <v>1860</v>
      </c>
      <c r="D5086" s="23" t="s">
        <v>58</v>
      </c>
      <c r="E5086" s="24">
        <v>45473.0</v>
      </c>
      <c r="F5086" s="25">
        <v>0.2791666666666667</v>
      </c>
      <c r="G5086" s="25">
        <v>0.44722222222222224</v>
      </c>
      <c r="H5086" s="27">
        <f t="shared" si="2"/>
        <v>0.1680555556</v>
      </c>
      <c r="I5086" s="28">
        <v>1.0</v>
      </c>
      <c r="J5086" s="39" t="s">
        <v>2471</v>
      </c>
      <c r="K5086" s="41"/>
      <c r="L5086" s="31" t="str">
        <f>IFERROR(__xludf.DUMMYFUNCTION("IF(OR(E5086="""",K5086=""""),"""",IFERROR(IF(K5086="""","""",query('tbl user'!$A$2:$D10975,""SELECT A WHERE D = '""&amp;K5086&amp;""'"")),""USER TIDAK DIKETAHUI""))"),"")</f>
        <v/>
      </c>
    </row>
    <row r="5087">
      <c r="A5087" s="21">
        <f t="shared" si="1"/>
        <v>45475.67247</v>
      </c>
      <c r="B5087" s="40" t="s">
        <v>2425</v>
      </c>
      <c r="C5087" s="23" t="s">
        <v>1887</v>
      </c>
      <c r="D5087" s="23" t="s">
        <v>58</v>
      </c>
      <c r="E5087" s="24">
        <v>45473.0</v>
      </c>
      <c r="F5087" s="25">
        <v>0.2861111111111111</v>
      </c>
      <c r="G5087" s="25">
        <v>0.49722222222222223</v>
      </c>
      <c r="H5087" s="27">
        <f t="shared" si="2"/>
        <v>0.2111111111</v>
      </c>
      <c r="I5087" s="28">
        <v>1.0</v>
      </c>
      <c r="J5087" s="39" t="s">
        <v>2472</v>
      </c>
      <c r="K5087" s="41"/>
      <c r="L5087" s="31" t="str">
        <f>IFERROR(__xludf.DUMMYFUNCTION("IF(OR(E5087="""",K5087=""""),"""",IFERROR(IF(K5087="""","""",query('tbl user'!$A$2:$D10975,""SELECT A WHERE D = '""&amp;K5087&amp;""'"")),""USER TIDAK DIKETAHUI""))"),"")</f>
        <v/>
      </c>
    </row>
    <row r="5088">
      <c r="A5088" s="21">
        <f t="shared" si="1"/>
        <v>45475.67253</v>
      </c>
      <c r="B5088" s="40" t="s">
        <v>2428</v>
      </c>
      <c r="C5088" s="23" t="s">
        <v>1889</v>
      </c>
      <c r="D5088" s="23" t="s">
        <v>58</v>
      </c>
      <c r="E5088" s="24">
        <v>45473.0</v>
      </c>
      <c r="F5088" s="25">
        <v>0.26180555555555557</v>
      </c>
      <c r="G5088" s="28" t="s">
        <v>1817</v>
      </c>
      <c r="H5088" s="27" t="str">
        <f t="shared" si="2"/>
        <v/>
      </c>
      <c r="I5088" s="28">
        <v>1.0</v>
      </c>
      <c r="J5088" s="39" t="s">
        <v>2473</v>
      </c>
      <c r="K5088" s="41"/>
      <c r="L5088" s="31" t="str">
        <f>IFERROR(__xludf.DUMMYFUNCTION("IF(OR(E5088="""",K5088=""""),"""",IFERROR(IF(K5088="""","""",query('tbl user'!$A$2:$D10975,""SELECT A WHERE D = '""&amp;K5088&amp;""'"")),""USER TIDAK DIKETAHUI""))"),"")</f>
        <v/>
      </c>
    </row>
    <row r="5089">
      <c r="A5089" s="21">
        <f t="shared" si="1"/>
        <v>45475.67259</v>
      </c>
      <c r="B5089" s="40" t="s">
        <v>2412</v>
      </c>
      <c r="C5089" s="23" t="s">
        <v>1872</v>
      </c>
      <c r="D5089" s="23" t="s">
        <v>58</v>
      </c>
      <c r="E5089" s="24">
        <v>45473.0</v>
      </c>
      <c r="F5089" s="25">
        <v>0.2916666666666667</v>
      </c>
      <c r="G5089" s="25">
        <v>0.5208333333333334</v>
      </c>
      <c r="H5089" s="27">
        <f t="shared" si="2"/>
        <v>0.2291666667</v>
      </c>
      <c r="I5089" s="28">
        <v>1.0</v>
      </c>
      <c r="J5089" s="39" t="s">
        <v>2474</v>
      </c>
      <c r="K5089" s="41"/>
      <c r="L5089" s="31" t="str">
        <f>IFERROR(__xludf.DUMMYFUNCTION("IF(OR(E5089="""",K5089=""""),"""",IFERROR(IF(K5089="""","""",query('tbl user'!$A$2:$D10975,""SELECT A WHERE D = '""&amp;K5089&amp;""'"")),""USER TIDAK DIKETAHUI""))"),"")</f>
        <v/>
      </c>
    </row>
    <row r="5090">
      <c r="A5090" s="21">
        <f t="shared" si="1"/>
        <v>45475.67264</v>
      </c>
      <c r="B5090" s="40" t="s">
        <v>2419</v>
      </c>
      <c r="C5090" s="23" t="s">
        <v>1882</v>
      </c>
      <c r="D5090" s="23" t="s">
        <v>58</v>
      </c>
      <c r="E5090" s="24">
        <v>45473.0</v>
      </c>
      <c r="F5090" s="25">
        <v>0.26180555555555557</v>
      </c>
      <c r="G5090" s="25">
        <v>0.5534722222222223</v>
      </c>
      <c r="H5090" s="27">
        <f t="shared" si="2"/>
        <v>0.2916666667</v>
      </c>
      <c r="I5090" s="28">
        <v>2.0</v>
      </c>
      <c r="J5090" s="39" t="s">
        <v>2475</v>
      </c>
      <c r="K5090" s="41"/>
      <c r="L5090" s="31" t="str">
        <f>IFERROR(__xludf.DUMMYFUNCTION("IF(OR(E5090="""",K5090=""""),"""",IFERROR(IF(K5090="""","""",query('tbl user'!$A$2:$D10975,""SELECT A WHERE D = '""&amp;K5090&amp;""'"")),""USER TIDAK DIKETAHUI""))"),"")</f>
        <v/>
      </c>
    </row>
    <row r="5091">
      <c r="A5091" s="21">
        <f t="shared" si="1"/>
        <v>45475.67268</v>
      </c>
      <c r="B5091" s="40" t="s">
        <v>2424</v>
      </c>
      <c r="C5091" s="23" t="s">
        <v>1886</v>
      </c>
      <c r="D5091" s="23" t="s">
        <v>58</v>
      </c>
      <c r="E5091" s="24">
        <v>45473.0</v>
      </c>
      <c r="F5091" s="25">
        <v>0.2625</v>
      </c>
      <c r="G5091" s="28" t="s">
        <v>1817</v>
      </c>
      <c r="H5091" s="27" t="str">
        <f t="shared" si="2"/>
        <v/>
      </c>
      <c r="I5091" s="28">
        <v>2.0</v>
      </c>
      <c r="J5091" s="39" t="s">
        <v>2476</v>
      </c>
      <c r="K5091" s="41"/>
      <c r="L5091" s="31" t="str">
        <f>IFERROR(__xludf.DUMMYFUNCTION("IF(OR(E5091="""",K5091=""""),"""",IFERROR(IF(K5091="""","""",query('tbl user'!$A$2:$D10975,""SELECT A WHERE D = '""&amp;K5091&amp;""'"")),""USER TIDAK DIKETAHUI""))"),"")</f>
        <v/>
      </c>
    </row>
    <row r="5092">
      <c r="A5092" s="21">
        <f t="shared" si="1"/>
        <v>45475.67274</v>
      </c>
      <c r="B5092" s="40" t="s">
        <v>2457</v>
      </c>
      <c r="C5092" s="23" t="s">
        <v>1871</v>
      </c>
      <c r="D5092" s="23" t="s">
        <v>58</v>
      </c>
      <c r="E5092" s="24">
        <v>45473.0</v>
      </c>
      <c r="F5092" s="25">
        <v>0.4284722222222222</v>
      </c>
      <c r="G5092" s="25">
        <v>0.6694444444444444</v>
      </c>
      <c r="H5092" s="27">
        <f t="shared" si="2"/>
        <v>0.2409722222</v>
      </c>
      <c r="I5092" s="28">
        <v>2.0</v>
      </c>
      <c r="J5092" s="39" t="s">
        <v>2407</v>
      </c>
      <c r="K5092" s="41"/>
      <c r="L5092" s="31" t="str">
        <f>IFERROR(__xludf.DUMMYFUNCTION("IF(OR(E5092="""",K5092=""""),"""",IFERROR(IF(K5092="""","""",query('tbl user'!$A$2:$D10975,""SELECT A WHERE D = '""&amp;K5092&amp;""'"")),""USER TIDAK DIKETAHUI""))"),"")</f>
        <v/>
      </c>
    </row>
    <row r="5093">
      <c r="A5093" s="21">
        <f t="shared" si="1"/>
        <v>45475.67279</v>
      </c>
      <c r="B5093" s="40" t="s">
        <v>2417</v>
      </c>
      <c r="C5093" s="23" t="s">
        <v>2090</v>
      </c>
      <c r="D5093" s="23" t="s">
        <v>58</v>
      </c>
      <c r="E5093" s="24">
        <v>45473.0</v>
      </c>
      <c r="F5093" s="25">
        <v>0.4409722222222222</v>
      </c>
      <c r="G5093" s="25">
        <v>0.6770833333333334</v>
      </c>
      <c r="H5093" s="27">
        <f t="shared" si="2"/>
        <v>0.2361111111</v>
      </c>
      <c r="I5093" s="28">
        <v>2.0</v>
      </c>
      <c r="J5093" s="39" t="s">
        <v>2411</v>
      </c>
      <c r="K5093" s="41"/>
      <c r="L5093" s="31" t="str">
        <f>IFERROR(__xludf.DUMMYFUNCTION("IF(OR(E5093="""",K5093=""""),"""",IFERROR(IF(K5093="""","""",query('tbl user'!$A$2:$D10975,""SELECT A WHERE D = '""&amp;K5093&amp;""'"")),""USER TIDAK DIKETAHUI""))"),"")</f>
        <v/>
      </c>
    </row>
    <row r="5094">
      <c r="A5094" s="21">
        <f t="shared" si="1"/>
        <v>45475.67285</v>
      </c>
      <c r="B5094" s="40" t="s">
        <v>2351</v>
      </c>
      <c r="C5094" s="23" t="s">
        <v>1891</v>
      </c>
      <c r="D5094" s="23" t="s">
        <v>58</v>
      </c>
      <c r="E5094" s="24">
        <v>45473.0</v>
      </c>
      <c r="F5094" s="25">
        <v>0.27361111111111114</v>
      </c>
      <c r="G5094" s="25">
        <v>0.6166666666666667</v>
      </c>
      <c r="H5094" s="27">
        <f t="shared" si="2"/>
        <v>0.3430555556</v>
      </c>
      <c r="I5094" s="28">
        <v>2.0</v>
      </c>
      <c r="J5094" s="39" t="s">
        <v>2477</v>
      </c>
      <c r="K5094" s="41"/>
      <c r="L5094" s="31" t="str">
        <f>IFERROR(__xludf.DUMMYFUNCTION("IF(OR(E5094="""",K5094=""""),"""",IFERROR(IF(K5094="""","""",query('tbl user'!$A$2:$D10975,""SELECT A WHERE D = '""&amp;K5094&amp;""'"")),""USER TIDAK DIKETAHUI""))"),"")</f>
        <v/>
      </c>
    </row>
    <row r="5095">
      <c r="A5095" s="21">
        <f t="shared" si="1"/>
        <v>45475.67291</v>
      </c>
      <c r="B5095" s="40" t="s">
        <v>2361</v>
      </c>
      <c r="C5095" s="23" t="s">
        <v>1875</v>
      </c>
      <c r="D5095" s="23" t="s">
        <v>58</v>
      </c>
      <c r="E5095" s="24">
        <v>45473.0</v>
      </c>
      <c r="F5095" s="25">
        <v>0.2604166666666667</v>
      </c>
      <c r="G5095" s="25">
        <v>0.6590277777777778</v>
      </c>
      <c r="H5095" s="27">
        <f t="shared" si="2"/>
        <v>0.3986111111</v>
      </c>
      <c r="I5095" s="28">
        <v>3.0</v>
      </c>
      <c r="J5095" s="39" t="s">
        <v>171</v>
      </c>
      <c r="K5095" s="41"/>
      <c r="L5095" s="31" t="str">
        <f>IFERROR(__xludf.DUMMYFUNCTION("IF(OR(E5095="""",K5095=""""),"""",IFERROR(IF(K5095="""","""",query('tbl user'!$A$2:$D10975,""SELECT A WHERE D = '""&amp;K5095&amp;""'"")),""USER TIDAK DIKETAHUI""))"),"")</f>
        <v/>
      </c>
    </row>
    <row r="5096">
      <c r="A5096" s="21">
        <f t="shared" si="1"/>
        <v>45475.67296</v>
      </c>
      <c r="B5096" s="40" t="s">
        <v>2390</v>
      </c>
      <c r="C5096" s="23" t="s">
        <v>1878</v>
      </c>
      <c r="D5096" s="23" t="s">
        <v>58</v>
      </c>
      <c r="E5096" s="24">
        <v>45473.0</v>
      </c>
      <c r="F5096" s="25">
        <v>0.29791666666666666</v>
      </c>
      <c r="G5096" s="25">
        <v>0.6875</v>
      </c>
      <c r="H5096" s="27">
        <f t="shared" si="2"/>
        <v>0.3895833333</v>
      </c>
      <c r="I5096" s="28">
        <v>3.0</v>
      </c>
      <c r="J5096" s="39" t="s">
        <v>171</v>
      </c>
      <c r="K5096" s="41"/>
      <c r="L5096" s="31" t="str">
        <f>IFERROR(__xludf.DUMMYFUNCTION("IF(OR(E5096="""",K5096=""""),"""",IFERROR(IF(K5096="""","""",query('tbl user'!$A$2:$D10975,""SELECT A WHERE D = '""&amp;K5096&amp;""'"")),""USER TIDAK DIKETAHUI""))"),"")</f>
        <v/>
      </c>
    </row>
    <row r="5097">
      <c r="A5097" s="21">
        <f t="shared" si="1"/>
        <v>45475.67303</v>
      </c>
      <c r="B5097" s="40" t="s">
        <v>2402</v>
      </c>
      <c r="C5097" s="23" t="s">
        <v>1881</v>
      </c>
      <c r="D5097" s="23" t="s">
        <v>58</v>
      </c>
      <c r="E5097" s="24">
        <v>45473.0</v>
      </c>
      <c r="F5097" s="25">
        <v>0.2361111111111111</v>
      </c>
      <c r="G5097" s="25">
        <v>0.7368055555555556</v>
      </c>
      <c r="H5097" s="27">
        <f t="shared" si="2"/>
        <v>0.5006944444</v>
      </c>
      <c r="I5097" s="28">
        <v>3.0</v>
      </c>
      <c r="J5097" s="39" t="s">
        <v>171</v>
      </c>
      <c r="K5097" s="41"/>
      <c r="L5097" s="31" t="str">
        <f>IFERROR(__xludf.DUMMYFUNCTION("IF(OR(E5097="""",K5097=""""),"""",IFERROR(IF(K5097="""","""",query('tbl user'!$A$2:$D10975,""SELECT A WHERE D = '""&amp;K5097&amp;""'"")),""USER TIDAK DIKETAHUI""))"),"")</f>
        <v/>
      </c>
    </row>
    <row r="5098">
      <c r="A5098" s="21">
        <f t="shared" si="1"/>
        <v>45475.67307</v>
      </c>
      <c r="B5098" s="40" t="s">
        <v>2423</v>
      </c>
      <c r="C5098" s="23" t="s">
        <v>1863</v>
      </c>
      <c r="D5098" s="23" t="s">
        <v>58</v>
      </c>
      <c r="E5098" s="24">
        <v>45473.0</v>
      </c>
      <c r="F5098" s="25">
        <v>0.25277777777777777</v>
      </c>
      <c r="G5098" s="25">
        <v>0.6020833333333333</v>
      </c>
      <c r="H5098" s="27">
        <f t="shared" si="2"/>
        <v>0.3493055556</v>
      </c>
      <c r="I5098" s="28">
        <v>3.0</v>
      </c>
      <c r="J5098" s="39" t="s">
        <v>2478</v>
      </c>
      <c r="K5098" s="41"/>
      <c r="L5098" s="31" t="str">
        <f>IFERROR(__xludf.DUMMYFUNCTION("IF(OR(E5098="""",K5098=""""),"""",IFERROR(IF(K5098="""","""",query('tbl user'!$A$2:$D10975,""SELECT A WHERE D = '""&amp;K5098&amp;""'"")),""USER TIDAK DIKETAHUI""))"),"")</f>
        <v/>
      </c>
    </row>
    <row r="5099">
      <c r="A5099" s="21">
        <f t="shared" si="1"/>
        <v>45475.67314</v>
      </c>
      <c r="B5099" s="40" t="s">
        <v>2427</v>
      </c>
      <c r="C5099" s="23" t="s">
        <v>1888</v>
      </c>
      <c r="D5099" s="23" t="s">
        <v>58</v>
      </c>
      <c r="E5099" s="24">
        <v>45473.0</v>
      </c>
      <c r="F5099" s="25">
        <v>0.3972222222222222</v>
      </c>
      <c r="G5099" s="25">
        <v>0.71875</v>
      </c>
      <c r="H5099" s="27">
        <f t="shared" si="2"/>
        <v>0.3215277778</v>
      </c>
      <c r="I5099" s="28">
        <v>3.0</v>
      </c>
      <c r="J5099" s="39" t="s">
        <v>2479</v>
      </c>
      <c r="K5099" s="41"/>
      <c r="L5099" s="31" t="str">
        <f>IFERROR(__xludf.DUMMYFUNCTION("IF(OR(E5099="""",K5099=""""),"""",IFERROR(IF(K5099="""","""",query('tbl user'!$A$2:$D10975,""SELECT A WHERE D = '""&amp;K5099&amp;""'"")),""USER TIDAK DIKETAHUI""))"),"")</f>
        <v/>
      </c>
    </row>
    <row r="5100">
      <c r="A5100" s="21">
        <f t="shared" si="1"/>
        <v>45476.57388</v>
      </c>
      <c r="B5100" s="40" t="s">
        <v>2435</v>
      </c>
      <c r="C5100" s="23" t="s">
        <v>1893</v>
      </c>
      <c r="D5100" s="23" t="s">
        <v>58</v>
      </c>
      <c r="E5100" s="24">
        <v>45473.0</v>
      </c>
      <c r="F5100" s="25">
        <v>0.21319444444444444</v>
      </c>
      <c r="G5100" s="25">
        <v>0.6027777777777777</v>
      </c>
      <c r="H5100" s="27">
        <f t="shared" si="2"/>
        <v>0.3895833333</v>
      </c>
      <c r="I5100" s="28">
        <v>3.0</v>
      </c>
      <c r="J5100" s="39" t="s">
        <v>171</v>
      </c>
      <c r="K5100" s="41"/>
      <c r="L5100" s="31" t="str">
        <f>IFERROR(__xludf.DUMMYFUNCTION("IF(OR(E5100="""",K5100=""""),"""",IFERROR(IF(K5100="""","""",query('tbl user'!$A$2:$D10975,""SELECT A WHERE D = '""&amp;K5100&amp;""'"")),""USER TIDAK DIKETAHUI""))"),"")</f>
        <v/>
      </c>
    </row>
    <row r="5101">
      <c r="A5101" s="21">
        <f t="shared" si="1"/>
        <v>45476.57388</v>
      </c>
      <c r="B5101" s="40" t="s">
        <v>2430</v>
      </c>
      <c r="C5101" s="23" t="s">
        <v>1861</v>
      </c>
      <c r="D5101" s="23" t="s">
        <v>58</v>
      </c>
      <c r="E5101" s="24">
        <v>45473.0</v>
      </c>
      <c r="F5101" s="25">
        <v>0.26180555555555557</v>
      </c>
      <c r="G5101" s="25">
        <v>0.6222222222222222</v>
      </c>
      <c r="H5101" s="27">
        <f t="shared" si="2"/>
        <v>0.3604166667</v>
      </c>
      <c r="I5101" s="28">
        <v>3.0</v>
      </c>
      <c r="J5101" s="39" t="s">
        <v>2480</v>
      </c>
      <c r="K5101" s="41"/>
      <c r="L5101" s="31" t="str">
        <f>IFERROR(__xludf.DUMMYFUNCTION("IF(OR(E5101="""",K5101=""""),"""",IFERROR(IF(K5101="""","""",query('tbl user'!$A$2:$D10975,""SELECT A WHERE D = '""&amp;K5101&amp;""'"")),""USER TIDAK DIKETAHUI""))"),"")</f>
        <v/>
      </c>
    </row>
    <row r="5102">
      <c r="A5102" s="21">
        <f t="shared" si="1"/>
        <v>45476.57388</v>
      </c>
      <c r="B5102" s="40" t="s">
        <v>2431</v>
      </c>
      <c r="C5102" s="23" t="s">
        <v>1879</v>
      </c>
      <c r="D5102" s="23" t="s">
        <v>58</v>
      </c>
      <c r="E5102" s="24">
        <v>45473.0</v>
      </c>
      <c r="F5102" s="25">
        <v>0.23680555555555555</v>
      </c>
      <c r="G5102" s="25">
        <v>0.675</v>
      </c>
      <c r="H5102" s="27">
        <f t="shared" si="2"/>
        <v>0.4381944444</v>
      </c>
      <c r="I5102" s="28">
        <v>4.0</v>
      </c>
      <c r="J5102" s="39" t="s">
        <v>55</v>
      </c>
      <c r="K5102" s="41"/>
      <c r="L5102" s="31" t="str">
        <f>IFERROR(__xludf.DUMMYFUNCTION("IF(OR(E5102="""",K5102=""""),"""",IFERROR(IF(K5102="""","""",query('tbl user'!$A$2:$D10975,""SELECT A WHERE D = '""&amp;K5102&amp;""'"")),""USER TIDAK DIKETAHUI""))"),"")</f>
        <v/>
      </c>
    </row>
    <row r="5103">
      <c r="A5103" s="21">
        <f t="shared" si="1"/>
        <v>45476.57388</v>
      </c>
      <c r="B5103" s="40" t="s">
        <v>2432</v>
      </c>
      <c r="C5103" s="23" t="s">
        <v>1884</v>
      </c>
      <c r="D5103" s="23" t="s">
        <v>58</v>
      </c>
      <c r="E5103" s="24">
        <v>45473.0</v>
      </c>
      <c r="F5103" s="25">
        <v>0.18333333333333332</v>
      </c>
      <c r="G5103" s="25">
        <v>0.6909722222222222</v>
      </c>
      <c r="H5103" s="27">
        <f t="shared" si="2"/>
        <v>0.5076388889</v>
      </c>
      <c r="I5103" s="28">
        <v>4.0</v>
      </c>
      <c r="J5103" s="39" t="s">
        <v>55</v>
      </c>
      <c r="K5103" s="41"/>
      <c r="L5103" s="31" t="str">
        <f>IFERROR(__xludf.DUMMYFUNCTION("IF(OR(E5103="""",K5103=""""),"""",IFERROR(IF(K5103="""","""",query('tbl user'!$A$2:$D10975,""SELECT A WHERE D = '""&amp;K5103&amp;""'"")),""USER TIDAK DIKETAHUI""))"),"")</f>
        <v/>
      </c>
    </row>
    <row r="5104">
      <c r="A5104" s="21">
        <f t="shared" si="1"/>
        <v>45476.57388</v>
      </c>
      <c r="B5104" s="40" t="s">
        <v>2433</v>
      </c>
      <c r="C5104" s="23" t="s">
        <v>1950</v>
      </c>
      <c r="D5104" s="23" t="s">
        <v>58</v>
      </c>
      <c r="E5104" s="24">
        <v>45473.0</v>
      </c>
      <c r="F5104" s="25">
        <v>0.21597222222222223</v>
      </c>
      <c r="G5104" s="25">
        <v>0.6770833333333334</v>
      </c>
      <c r="H5104" s="27">
        <f t="shared" si="2"/>
        <v>0.4611111111</v>
      </c>
      <c r="I5104" s="28">
        <v>4.0</v>
      </c>
      <c r="J5104" s="39" t="s">
        <v>55</v>
      </c>
      <c r="K5104" s="41"/>
      <c r="L5104" s="31" t="str">
        <f>IFERROR(__xludf.DUMMYFUNCTION("IF(OR(E5104="""",K5104=""""),"""",IFERROR(IF(K5104="""","""",query('tbl user'!$A$2:$D10975,""SELECT A WHERE D = '""&amp;K5104&amp;""'"")),""USER TIDAK DIKETAHUI""))"),"")</f>
        <v/>
      </c>
    </row>
    <row r="5105">
      <c r="A5105" s="21">
        <f t="shared" si="1"/>
        <v>45476.57388</v>
      </c>
      <c r="B5105" s="40" t="s">
        <v>2434</v>
      </c>
      <c r="C5105" s="23" t="s">
        <v>1892</v>
      </c>
      <c r="D5105" s="23" t="s">
        <v>58</v>
      </c>
      <c r="E5105" s="24">
        <v>45473.0</v>
      </c>
      <c r="F5105" s="25">
        <v>0.18333333333333332</v>
      </c>
      <c r="G5105" s="25">
        <v>0.6388888888888888</v>
      </c>
      <c r="H5105" s="27">
        <f t="shared" si="2"/>
        <v>0.4555555556</v>
      </c>
      <c r="I5105" s="28">
        <v>4.0</v>
      </c>
      <c r="J5105" s="39" t="s">
        <v>55</v>
      </c>
      <c r="K5105" s="41"/>
      <c r="L5105" s="31" t="str">
        <f>IFERROR(__xludf.DUMMYFUNCTION("IF(OR(E5105="""",K5105=""""),"""",IFERROR(IF(K5105="""","""",query('tbl user'!$A$2:$D10975,""SELECT A WHERE D = '""&amp;K5105&amp;""'"")),""USER TIDAK DIKETAHUI""))"),"")</f>
        <v/>
      </c>
    </row>
    <row r="5106">
      <c r="A5106" s="21">
        <f t="shared" si="1"/>
        <v>45475.67064</v>
      </c>
      <c r="B5106" s="40" t="s">
        <v>2452</v>
      </c>
      <c r="C5106" s="23" t="s">
        <v>1912</v>
      </c>
      <c r="D5106" s="23" t="s">
        <v>32</v>
      </c>
      <c r="E5106" s="24">
        <v>45473.0</v>
      </c>
      <c r="F5106" s="25">
        <v>0.3888888888888889</v>
      </c>
      <c r="G5106" s="25">
        <v>0.4263888888888889</v>
      </c>
      <c r="H5106" s="27">
        <f t="shared" si="2"/>
        <v>0.0375</v>
      </c>
      <c r="I5106" s="28">
        <v>0.0</v>
      </c>
      <c r="J5106" s="39" t="s">
        <v>2481</v>
      </c>
      <c r="K5106" s="41"/>
      <c r="L5106" s="31" t="str">
        <f>IFERROR(__xludf.DUMMYFUNCTION("IF(OR(E5106="""",K5106=""""),"""",IFERROR(IF(K5106="""","""",query('tbl user'!$A$2:$D10975,""SELECT A WHERE D = '""&amp;K5106&amp;""'"")),""USER TIDAK DIKETAHUI""))"),"")</f>
        <v/>
      </c>
    </row>
    <row r="5107">
      <c r="A5107" s="21">
        <f t="shared" si="1"/>
        <v>45475.6707</v>
      </c>
      <c r="B5107" s="40" t="s">
        <v>2482</v>
      </c>
      <c r="C5107" s="23" t="s">
        <v>1951</v>
      </c>
      <c r="D5107" s="23" t="s">
        <v>32</v>
      </c>
      <c r="E5107" s="24">
        <v>45473.0</v>
      </c>
      <c r="F5107" s="25">
        <v>0.2986111111111111</v>
      </c>
      <c r="G5107" s="25">
        <v>0.6083333333333333</v>
      </c>
      <c r="H5107" s="27">
        <f t="shared" si="2"/>
        <v>0.3097222222</v>
      </c>
      <c r="I5107" s="28">
        <v>1.0</v>
      </c>
      <c r="J5107" s="39" t="s">
        <v>2483</v>
      </c>
      <c r="K5107" s="41"/>
      <c r="L5107" s="31" t="str">
        <f>IFERROR(__xludf.DUMMYFUNCTION("IF(OR(E5107="""",K5107=""""),"""",IFERROR(IF(K5107="""","""",query('tbl user'!$A$2:$D10975,""SELECT A WHERE D = '""&amp;K5107&amp;""'"")),""USER TIDAK DIKETAHUI""))"),"")</f>
        <v/>
      </c>
    </row>
    <row r="5108">
      <c r="A5108" s="21">
        <f t="shared" si="1"/>
        <v>45475.67075</v>
      </c>
      <c r="B5108" s="40" t="s">
        <v>2441</v>
      </c>
      <c r="C5108" s="23" t="s">
        <v>2092</v>
      </c>
      <c r="D5108" s="23" t="s">
        <v>32</v>
      </c>
      <c r="E5108" s="24">
        <v>45473.0</v>
      </c>
      <c r="F5108" s="25">
        <v>0.25763888888888886</v>
      </c>
      <c r="G5108" s="25">
        <v>0.49583333333333335</v>
      </c>
      <c r="H5108" s="27">
        <f t="shared" si="2"/>
        <v>0.2381944444</v>
      </c>
      <c r="I5108" s="28">
        <v>2.0</v>
      </c>
      <c r="J5108" s="39" t="s">
        <v>1170</v>
      </c>
      <c r="K5108" s="41"/>
      <c r="L5108" s="31" t="str">
        <f>IFERROR(__xludf.DUMMYFUNCTION("IF(OR(E5108="""",K5108=""""),"""",IFERROR(IF(K5108="""","""",query('tbl user'!$A$2:$D10975,""SELECT A WHERE D = '""&amp;K5108&amp;""'"")),""USER TIDAK DIKETAHUI""))"),"")</f>
        <v/>
      </c>
    </row>
    <row r="5109">
      <c r="A5109" s="21">
        <f t="shared" si="1"/>
        <v>45475.67081</v>
      </c>
      <c r="B5109" s="40" t="s">
        <v>2484</v>
      </c>
      <c r="C5109" s="23" t="s">
        <v>1964</v>
      </c>
      <c r="D5109" s="23" t="s">
        <v>32</v>
      </c>
      <c r="E5109" s="24">
        <v>45473.0</v>
      </c>
      <c r="F5109" s="25">
        <v>0.2548611111111111</v>
      </c>
      <c r="G5109" s="25">
        <v>0.46875</v>
      </c>
      <c r="H5109" s="27">
        <f t="shared" si="2"/>
        <v>0.2138888889</v>
      </c>
      <c r="I5109" s="28">
        <v>2.0</v>
      </c>
      <c r="J5109" s="39" t="s">
        <v>2485</v>
      </c>
      <c r="K5109" s="41"/>
      <c r="L5109" s="31" t="str">
        <f>IFERROR(__xludf.DUMMYFUNCTION("IF(OR(E5109="""",K5109=""""),"""",IFERROR(IF(K5109="""","""",query('tbl user'!$A$2:$D10975,""SELECT A WHERE D = '""&amp;K5109&amp;""'"")),""USER TIDAK DIKETAHUI""))"),"")</f>
        <v/>
      </c>
    </row>
    <row r="5110">
      <c r="A5110" s="21">
        <f t="shared" si="1"/>
        <v>45475.67088</v>
      </c>
      <c r="B5110" s="40" t="s">
        <v>2449</v>
      </c>
      <c r="C5110" s="23" t="s">
        <v>1908</v>
      </c>
      <c r="D5110" s="23" t="s">
        <v>32</v>
      </c>
      <c r="E5110" s="24">
        <v>45473.0</v>
      </c>
      <c r="F5110" s="25">
        <v>0.2847222222222222</v>
      </c>
      <c r="G5110" s="25">
        <v>0.4791666666666667</v>
      </c>
      <c r="H5110" s="27">
        <f t="shared" si="2"/>
        <v>0.1944444444</v>
      </c>
      <c r="I5110" s="28">
        <v>2.0</v>
      </c>
      <c r="J5110" s="39" t="s">
        <v>598</v>
      </c>
      <c r="K5110" s="41"/>
      <c r="L5110" s="31" t="str">
        <f>IFERROR(__xludf.DUMMYFUNCTION("IF(OR(E5110="""",K5110=""""),"""",IFERROR(IF(K5110="""","""",query('tbl user'!$A$2:$D10975,""SELECT A WHERE D = '""&amp;K5110&amp;""'"")),""USER TIDAK DIKETAHUI""))"),"")</f>
        <v/>
      </c>
    </row>
    <row r="5111">
      <c r="A5111" s="21">
        <f t="shared" si="1"/>
        <v>45475.67092</v>
      </c>
      <c r="B5111" s="40" t="s">
        <v>2486</v>
      </c>
      <c r="C5111" s="23" t="s">
        <v>1900</v>
      </c>
      <c r="D5111" s="23" t="s">
        <v>32</v>
      </c>
      <c r="E5111" s="24">
        <v>45473.0</v>
      </c>
      <c r="F5111" s="25">
        <v>0.23819444444444443</v>
      </c>
      <c r="G5111" s="25">
        <v>0.5506944444444445</v>
      </c>
      <c r="H5111" s="27">
        <f t="shared" si="2"/>
        <v>0.3125</v>
      </c>
      <c r="I5111" s="28">
        <v>2.0</v>
      </c>
      <c r="J5111" s="39" t="s">
        <v>2487</v>
      </c>
      <c r="K5111" s="41"/>
      <c r="L5111" s="31" t="str">
        <f>IFERROR(__xludf.DUMMYFUNCTION("IF(OR(E5111="""",K5111=""""),"""",IFERROR(IF(K5111="""","""",query('tbl user'!$A$2:$D10975,""SELECT A WHERE D = '""&amp;K5111&amp;""'"")),""USER TIDAK DIKETAHUI""))"),"")</f>
        <v/>
      </c>
    </row>
    <row r="5112">
      <c r="A5112" s="21">
        <f t="shared" si="1"/>
        <v>45475.67098</v>
      </c>
      <c r="B5112" s="40" t="s">
        <v>2488</v>
      </c>
      <c r="C5112" s="23" t="s">
        <v>1898</v>
      </c>
      <c r="D5112" s="23" t="s">
        <v>32</v>
      </c>
      <c r="E5112" s="24">
        <v>45473.0</v>
      </c>
      <c r="F5112" s="25">
        <v>0.2861111111111111</v>
      </c>
      <c r="G5112" s="25">
        <v>0.5965277777777778</v>
      </c>
      <c r="H5112" s="27">
        <f t="shared" si="2"/>
        <v>0.3104166667</v>
      </c>
      <c r="I5112" s="28">
        <v>3.0</v>
      </c>
      <c r="J5112" s="39" t="s">
        <v>2489</v>
      </c>
      <c r="K5112" s="41"/>
      <c r="L5112" s="31" t="str">
        <f>IFERROR(__xludf.DUMMYFUNCTION("IF(OR(E5112="""",K5112=""""),"""",IFERROR(IF(K5112="""","""",query('tbl user'!$A$2:$D10975,""SELECT A WHERE D = '""&amp;K5112&amp;""'"")),""USER TIDAK DIKETAHUI""))"),"")</f>
        <v/>
      </c>
    </row>
    <row r="5113">
      <c r="A5113" s="21">
        <f t="shared" si="1"/>
        <v>45475.67105</v>
      </c>
      <c r="B5113" s="40" t="s">
        <v>2450</v>
      </c>
      <c r="C5113" s="23" t="s">
        <v>1894</v>
      </c>
      <c r="D5113" s="23" t="s">
        <v>32</v>
      </c>
      <c r="E5113" s="24">
        <v>45473.0</v>
      </c>
      <c r="F5113" s="25">
        <v>0.23680555555555555</v>
      </c>
      <c r="G5113" s="25">
        <v>0.61875</v>
      </c>
      <c r="H5113" s="27">
        <f t="shared" si="2"/>
        <v>0.3819444444</v>
      </c>
      <c r="I5113" s="28">
        <v>3.0</v>
      </c>
      <c r="J5113" s="39" t="s">
        <v>2490</v>
      </c>
      <c r="K5113" s="41"/>
      <c r="L5113" s="31" t="str">
        <f>IFERROR(__xludf.DUMMYFUNCTION("IF(OR(E5113="""",K5113=""""),"""",IFERROR(IF(K5113="""","""",query('tbl user'!$A$2:$D10975,""SELECT A WHERE D = '""&amp;K5113&amp;""'"")),""USER TIDAK DIKETAHUI""))"),"")</f>
        <v/>
      </c>
    </row>
    <row r="5114">
      <c r="A5114" s="21">
        <f t="shared" si="1"/>
        <v>45475.67121</v>
      </c>
      <c r="B5114" s="40" t="s">
        <v>2436</v>
      </c>
      <c r="C5114" s="23" t="s">
        <v>1896</v>
      </c>
      <c r="D5114" s="23" t="s">
        <v>32</v>
      </c>
      <c r="E5114" s="24">
        <v>45473.0</v>
      </c>
      <c r="F5114" s="25">
        <v>0.28958333333333336</v>
      </c>
      <c r="G5114" s="25">
        <v>0.6076388888888888</v>
      </c>
      <c r="H5114" s="27">
        <f t="shared" si="2"/>
        <v>0.3180555556</v>
      </c>
      <c r="I5114" s="28">
        <v>3.0</v>
      </c>
      <c r="J5114" s="39" t="s">
        <v>2491</v>
      </c>
      <c r="K5114" s="41"/>
      <c r="L5114" s="31" t="str">
        <f>IFERROR(__xludf.DUMMYFUNCTION("IF(OR(E5114="""",K5114=""""),"""",IFERROR(IF(K5114="""","""",query('tbl user'!$A$2:$D10975,""SELECT A WHERE D = '""&amp;K5114&amp;""'"")),""USER TIDAK DIKETAHUI""))"),"")</f>
        <v/>
      </c>
    </row>
    <row r="5115">
      <c r="A5115" s="21">
        <f t="shared" si="1"/>
        <v>45475.67127</v>
      </c>
      <c r="B5115" s="40" t="s">
        <v>2492</v>
      </c>
      <c r="C5115" s="23" t="s">
        <v>1913</v>
      </c>
      <c r="D5115" s="23" t="s">
        <v>32</v>
      </c>
      <c r="E5115" s="24">
        <v>45473.0</v>
      </c>
      <c r="F5115" s="25">
        <v>0.24444444444444444</v>
      </c>
      <c r="G5115" s="25">
        <v>0.64375</v>
      </c>
      <c r="H5115" s="27">
        <f t="shared" si="2"/>
        <v>0.3993055556</v>
      </c>
      <c r="I5115" s="28">
        <v>3.0</v>
      </c>
      <c r="J5115" s="39" t="s">
        <v>2493</v>
      </c>
      <c r="K5115" s="41"/>
      <c r="L5115" s="31" t="str">
        <f>IFERROR(__xludf.DUMMYFUNCTION("IF(OR(E5115="""",K5115=""""),"""",IFERROR(IF(K5115="""","""",query('tbl user'!$A$2:$D10975,""SELECT A WHERE D = '""&amp;K5115&amp;""'"")),""USER TIDAK DIKETAHUI""))"),"")</f>
        <v/>
      </c>
    </row>
    <row r="5116">
      <c r="A5116" s="21">
        <f t="shared" si="1"/>
        <v>45475.67134</v>
      </c>
      <c r="B5116" s="40" t="s">
        <v>2494</v>
      </c>
      <c r="C5116" s="23" t="s">
        <v>1962</v>
      </c>
      <c r="D5116" s="23" t="s">
        <v>32</v>
      </c>
      <c r="E5116" s="24">
        <v>45473.0</v>
      </c>
      <c r="F5116" s="25">
        <v>0.25555555555555554</v>
      </c>
      <c r="G5116" s="25">
        <v>0.6847222222222222</v>
      </c>
      <c r="H5116" s="27">
        <f t="shared" si="2"/>
        <v>0.4291666667</v>
      </c>
      <c r="I5116" s="28">
        <v>4.0</v>
      </c>
      <c r="J5116" s="39" t="s">
        <v>55</v>
      </c>
      <c r="K5116" s="41"/>
      <c r="L5116" s="31" t="str">
        <f>IFERROR(__xludf.DUMMYFUNCTION("IF(OR(E5116="""",K5116=""""),"""",IFERROR(IF(K5116="""","""",query('tbl user'!$A$2:$D10975,""SELECT A WHERE D = '""&amp;K5116&amp;""'"")),""USER TIDAK DIKETAHUI""))"),"")</f>
        <v/>
      </c>
    </row>
    <row r="5117">
      <c r="A5117" s="21">
        <f t="shared" si="1"/>
        <v>45475.67142</v>
      </c>
      <c r="B5117" s="40" t="s">
        <v>2495</v>
      </c>
      <c r="C5117" s="23" t="s">
        <v>1965</v>
      </c>
      <c r="D5117" s="23" t="s">
        <v>32</v>
      </c>
      <c r="E5117" s="24">
        <v>45473.0</v>
      </c>
      <c r="F5117" s="25">
        <v>0.29583333333333334</v>
      </c>
      <c r="G5117" s="25">
        <v>0.7069444444444445</v>
      </c>
      <c r="H5117" s="27">
        <f t="shared" si="2"/>
        <v>0.4111111111</v>
      </c>
      <c r="I5117" s="28">
        <v>4.0</v>
      </c>
      <c r="J5117" s="39" t="s">
        <v>55</v>
      </c>
      <c r="K5117" s="41"/>
      <c r="L5117" s="31" t="str">
        <f>IFERROR(__xludf.DUMMYFUNCTION("IF(OR(E5117="""",K5117=""""),"""",IFERROR(IF(K5117="""","""",query('tbl user'!$A$2:$D10975,""SELECT A WHERE D = '""&amp;K5117&amp;""'"")),""USER TIDAK DIKETAHUI""))"),"")</f>
        <v/>
      </c>
    </row>
    <row r="5118">
      <c r="A5118" s="21">
        <f t="shared" si="1"/>
        <v>45475.67146</v>
      </c>
      <c r="B5118" s="40" t="s">
        <v>2442</v>
      </c>
      <c r="C5118" s="23" t="s">
        <v>2066</v>
      </c>
      <c r="D5118" s="23" t="s">
        <v>32</v>
      </c>
      <c r="E5118" s="24">
        <v>45473.0</v>
      </c>
      <c r="F5118" s="25">
        <v>0.28958333333333336</v>
      </c>
      <c r="G5118" s="25">
        <v>0.7263888888888889</v>
      </c>
      <c r="H5118" s="27">
        <f t="shared" si="2"/>
        <v>0.4368055556</v>
      </c>
      <c r="I5118" s="28">
        <v>4.0</v>
      </c>
      <c r="J5118" s="39" t="s">
        <v>55</v>
      </c>
      <c r="K5118" s="41"/>
      <c r="L5118" s="31" t="str">
        <f>IFERROR(__xludf.DUMMYFUNCTION("IF(OR(E5118="""",K5118=""""),"""",IFERROR(IF(K5118="""","""",query('tbl user'!$A$2:$D10975,""SELECT A WHERE D = '""&amp;K5118&amp;""'"")),""USER TIDAK DIKETAHUI""))"),"")</f>
        <v/>
      </c>
    </row>
    <row r="5119">
      <c r="A5119" s="21">
        <f t="shared" si="1"/>
        <v>45476.57388</v>
      </c>
      <c r="B5119" s="40" t="s">
        <v>2363</v>
      </c>
      <c r="C5119" s="23" t="s">
        <v>1851</v>
      </c>
      <c r="D5119" s="23" t="s">
        <v>21</v>
      </c>
      <c r="E5119" s="24">
        <v>45474.0</v>
      </c>
      <c r="F5119" s="25">
        <v>0.2916666666666667</v>
      </c>
      <c r="G5119" s="25">
        <v>0.51875</v>
      </c>
      <c r="H5119" s="27">
        <f t="shared" si="2"/>
        <v>0.2270833333</v>
      </c>
      <c r="I5119" s="28">
        <v>1.0</v>
      </c>
      <c r="J5119" s="39" t="s">
        <v>1300</v>
      </c>
      <c r="K5119" s="41"/>
      <c r="L5119" s="31" t="str">
        <f>IFERROR(__xludf.DUMMYFUNCTION("IF(OR(E5119="""",K5119=""""),"""",IFERROR(IF(K5119="""","""",query('tbl user'!$A$2:$D10975,""SELECT A WHERE D = '""&amp;K5119&amp;""'"")),""USER TIDAK DIKETAHUI""))"),"")</f>
        <v/>
      </c>
    </row>
    <row r="5120">
      <c r="A5120" s="21">
        <f t="shared" si="1"/>
        <v>45476.57388</v>
      </c>
      <c r="B5120" s="40" t="s">
        <v>2395</v>
      </c>
      <c r="C5120" s="23" t="s">
        <v>1827</v>
      </c>
      <c r="D5120" s="23" t="s">
        <v>21</v>
      </c>
      <c r="E5120" s="24">
        <v>45474.0</v>
      </c>
      <c r="F5120" s="25">
        <v>0.29097222222222224</v>
      </c>
      <c r="G5120" s="25">
        <v>0.6652777777777777</v>
      </c>
      <c r="H5120" s="27">
        <f t="shared" si="2"/>
        <v>0.3743055556</v>
      </c>
      <c r="I5120" s="28">
        <v>1.0</v>
      </c>
      <c r="J5120" s="39" t="s">
        <v>2496</v>
      </c>
      <c r="K5120" s="41"/>
      <c r="L5120" s="31" t="str">
        <f>IFERROR(__xludf.DUMMYFUNCTION("IF(OR(E5120="""",K5120=""""),"""",IFERROR(IF(K5120="""","""",query('tbl user'!$A$2:$D10975,""SELECT A WHERE D = '""&amp;K5120&amp;""'"")),""USER TIDAK DIKETAHUI""))"),"")</f>
        <v/>
      </c>
    </row>
    <row r="5121">
      <c r="A5121" s="21">
        <f t="shared" si="1"/>
        <v>45476.57388</v>
      </c>
      <c r="B5121" s="40" t="s">
        <v>2365</v>
      </c>
      <c r="C5121" s="23" t="s">
        <v>1830</v>
      </c>
      <c r="D5121" s="23" t="s">
        <v>21</v>
      </c>
      <c r="E5121" s="24">
        <v>45474.0</v>
      </c>
      <c r="F5121" s="25">
        <v>0.29097222222222224</v>
      </c>
      <c r="G5121" s="25">
        <v>0.46875</v>
      </c>
      <c r="H5121" s="27">
        <f t="shared" si="2"/>
        <v>0.1777777778</v>
      </c>
      <c r="I5121" s="28">
        <v>1.0</v>
      </c>
      <c r="J5121" s="39" t="s">
        <v>2497</v>
      </c>
      <c r="K5121" s="41"/>
      <c r="L5121" s="31" t="str">
        <f>IFERROR(__xludf.DUMMYFUNCTION("IF(OR(E5121="""",K5121=""""),"""",IFERROR(IF(K5121="""","""",query('tbl user'!$A$2:$D10975,""SELECT A WHERE D = '""&amp;K5121&amp;""'"")),""USER TIDAK DIKETAHUI""))"),"")</f>
        <v/>
      </c>
    </row>
    <row r="5122">
      <c r="A5122" s="21">
        <f t="shared" si="1"/>
        <v>45476.57388</v>
      </c>
      <c r="B5122" s="40" t="s">
        <v>2389</v>
      </c>
      <c r="C5122" s="23" t="s">
        <v>1833</v>
      </c>
      <c r="D5122" s="23" t="s">
        <v>21</v>
      </c>
      <c r="E5122" s="24">
        <v>45474.0</v>
      </c>
      <c r="F5122" s="25">
        <v>0.2763888888888889</v>
      </c>
      <c r="G5122" s="25">
        <v>0.4513888888888889</v>
      </c>
      <c r="H5122" s="27">
        <f t="shared" si="2"/>
        <v>0.175</v>
      </c>
      <c r="I5122" s="28">
        <v>1.0</v>
      </c>
      <c r="J5122" s="39" t="s">
        <v>2498</v>
      </c>
      <c r="K5122" s="41"/>
      <c r="L5122" s="31" t="str">
        <f>IFERROR(__xludf.DUMMYFUNCTION("IF(OR(E5122="""",K5122=""""),"""",IFERROR(IF(K5122="""","""",query('tbl user'!$A$2:$D10975,""SELECT A WHERE D = '""&amp;K5122&amp;""'"")),""USER TIDAK DIKETAHUI""))"),"")</f>
        <v/>
      </c>
    </row>
    <row r="5123">
      <c r="A5123" s="21">
        <f t="shared" si="1"/>
        <v>45476.57388</v>
      </c>
      <c r="B5123" s="40" t="s">
        <v>2382</v>
      </c>
      <c r="C5123" s="23" t="s">
        <v>1858</v>
      </c>
      <c r="D5123" s="23" t="s">
        <v>21</v>
      </c>
      <c r="E5123" s="24">
        <v>45474.0</v>
      </c>
      <c r="F5123" s="25">
        <v>0.2833333333333333</v>
      </c>
      <c r="G5123" s="25">
        <v>0.4652777777777778</v>
      </c>
      <c r="H5123" s="27">
        <f t="shared" si="2"/>
        <v>0.1819444444</v>
      </c>
      <c r="I5123" s="28">
        <v>1.0</v>
      </c>
      <c r="J5123" s="39" t="s">
        <v>2499</v>
      </c>
      <c r="K5123" s="41"/>
      <c r="L5123" s="31" t="str">
        <f>IFERROR(__xludf.DUMMYFUNCTION("IF(OR(E5123="""",K5123=""""),"""",IFERROR(IF(K5123="""","""",query('tbl user'!$A$2:$D10975,""SELECT A WHERE D = '""&amp;K5123&amp;""'"")),""USER TIDAK DIKETAHUI""))"),"")</f>
        <v/>
      </c>
    </row>
    <row r="5124">
      <c r="A5124" s="21">
        <f t="shared" si="1"/>
        <v>45476.57388</v>
      </c>
      <c r="B5124" s="40" t="s">
        <v>2378</v>
      </c>
      <c r="C5124" s="23" t="s">
        <v>1844</v>
      </c>
      <c r="D5124" s="23" t="s">
        <v>21</v>
      </c>
      <c r="E5124" s="24">
        <v>45474.0</v>
      </c>
      <c r="F5124" s="25">
        <v>0.27708333333333335</v>
      </c>
      <c r="G5124" s="25">
        <v>0.4423611111111111</v>
      </c>
      <c r="H5124" s="27">
        <f t="shared" si="2"/>
        <v>0.1652777778</v>
      </c>
      <c r="I5124" s="28">
        <v>1.0</v>
      </c>
      <c r="J5124" s="39" t="s">
        <v>2500</v>
      </c>
      <c r="K5124" s="41"/>
      <c r="L5124" s="31" t="str">
        <f>IFERROR(__xludf.DUMMYFUNCTION("IF(OR(E5124="""",K5124=""""),"""",IFERROR(IF(K5124="""","""",query('tbl user'!$A$2:$D10975,""SELECT A WHERE D = '""&amp;K5124&amp;""'"")),""USER TIDAK DIKETAHUI""))"),"")</f>
        <v/>
      </c>
    </row>
    <row r="5125">
      <c r="A5125" s="21">
        <f t="shared" si="1"/>
        <v>45476.57388</v>
      </c>
      <c r="B5125" s="40" t="s">
        <v>2376</v>
      </c>
      <c r="C5125" s="23" t="s">
        <v>1853</v>
      </c>
      <c r="D5125" s="23" t="s">
        <v>21</v>
      </c>
      <c r="E5125" s="24">
        <v>45474.0</v>
      </c>
      <c r="F5125" s="25">
        <v>0.2659722222222222</v>
      </c>
      <c r="G5125" s="25">
        <v>0.5701388888888889</v>
      </c>
      <c r="H5125" s="27">
        <f t="shared" si="2"/>
        <v>0.3041666667</v>
      </c>
      <c r="I5125" s="28">
        <v>2.0</v>
      </c>
      <c r="J5125" s="39" t="s">
        <v>2501</v>
      </c>
      <c r="K5125" s="41"/>
      <c r="L5125" s="31" t="str">
        <f>IFERROR(__xludf.DUMMYFUNCTION("IF(OR(E5125="""",K5125=""""),"""",IFERROR(IF(K5125="""","""",query('tbl user'!$A$2:$D10975,""SELECT A WHERE D = '""&amp;K5125&amp;""'"")),""USER TIDAK DIKETAHUI""))"),"")</f>
        <v/>
      </c>
    </row>
    <row r="5126">
      <c r="A5126" s="21">
        <f t="shared" si="1"/>
        <v>45476.57388</v>
      </c>
      <c r="B5126" s="40" t="s">
        <v>2384</v>
      </c>
      <c r="C5126" s="23" t="s">
        <v>1922</v>
      </c>
      <c r="D5126" s="23" t="s">
        <v>21</v>
      </c>
      <c r="E5126" s="24">
        <v>45474.0</v>
      </c>
      <c r="F5126" s="25">
        <v>0.2902777777777778</v>
      </c>
      <c r="G5126" s="25">
        <v>0.5673611111111111</v>
      </c>
      <c r="H5126" s="27">
        <f t="shared" si="2"/>
        <v>0.2770833333</v>
      </c>
      <c r="I5126" s="28">
        <v>2.0</v>
      </c>
      <c r="J5126" s="39" t="s">
        <v>2502</v>
      </c>
      <c r="K5126" s="41"/>
      <c r="L5126" s="31" t="str">
        <f>IFERROR(__xludf.DUMMYFUNCTION("IF(OR(E5126="""",K5126=""""),"""",IFERROR(IF(K5126="""","""",query('tbl user'!$A$2:$D10975,""SELECT A WHERE D = '""&amp;K5126&amp;""'"")),""USER TIDAK DIKETAHUI""))"),"")</f>
        <v/>
      </c>
    </row>
    <row r="5127">
      <c r="A5127" s="21">
        <f t="shared" si="1"/>
        <v>45476.57388</v>
      </c>
      <c r="B5127" s="40" t="s">
        <v>2393</v>
      </c>
      <c r="C5127" s="23" t="s">
        <v>1925</v>
      </c>
      <c r="D5127" s="23" t="s">
        <v>21</v>
      </c>
      <c r="E5127" s="24">
        <v>45474.0</v>
      </c>
      <c r="F5127" s="25">
        <v>0.27291666666666664</v>
      </c>
      <c r="G5127" s="25">
        <v>0.5708333333333333</v>
      </c>
      <c r="H5127" s="27">
        <f t="shared" si="2"/>
        <v>0.2979166667</v>
      </c>
      <c r="I5127" s="28">
        <v>2.0</v>
      </c>
      <c r="J5127" s="39" t="s">
        <v>2503</v>
      </c>
      <c r="K5127" s="41"/>
      <c r="L5127" s="31" t="str">
        <f>IFERROR(__xludf.DUMMYFUNCTION("IF(OR(E5127="""",K5127=""""),"""",IFERROR(IF(K5127="""","""",query('tbl user'!$A$2:$D10975,""SELECT A WHERE D = '""&amp;K5127&amp;""'"")),""USER TIDAK DIKETAHUI""))"),"")</f>
        <v/>
      </c>
    </row>
    <row r="5128">
      <c r="A5128" s="21">
        <f t="shared" si="1"/>
        <v>45476.57388</v>
      </c>
      <c r="B5128" s="40" t="s">
        <v>2387</v>
      </c>
      <c r="C5128" s="23" t="s">
        <v>1923</v>
      </c>
      <c r="D5128" s="23" t="s">
        <v>21</v>
      </c>
      <c r="E5128" s="24">
        <v>45474.0</v>
      </c>
      <c r="F5128" s="25">
        <v>0.29375</v>
      </c>
      <c r="G5128" s="25">
        <v>0.68125</v>
      </c>
      <c r="H5128" s="27">
        <f t="shared" si="2"/>
        <v>0.3875</v>
      </c>
      <c r="I5128" s="28">
        <v>3.0</v>
      </c>
      <c r="J5128" s="39" t="s">
        <v>649</v>
      </c>
      <c r="K5128" s="41"/>
      <c r="L5128" s="31" t="str">
        <f>IFERROR(__xludf.DUMMYFUNCTION("IF(OR(E5128="""",K5128=""""),"""",IFERROR(IF(K5128="""","""",query('tbl user'!$A$2:$D10975,""SELECT A WHERE D = '""&amp;K5128&amp;""'"")),""USER TIDAK DIKETAHUI""))"),"")</f>
        <v/>
      </c>
    </row>
    <row r="5129">
      <c r="A5129" s="21">
        <f t="shared" si="1"/>
        <v>45476.57388</v>
      </c>
      <c r="B5129" s="40" t="s">
        <v>2359</v>
      </c>
      <c r="C5129" s="23" t="s">
        <v>1834</v>
      </c>
      <c r="D5129" s="23" t="s">
        <v>21</v>
      </c>
      <c r="E5129" s="24">
        <v>45474.0</v>
      </c>
      <c r="F5129" s="25">
        <v>0.2625</v>
      </c>
      <c r="G5129" s="25">
        <v>0.6263888888888889</v>
      </c>
      <c r="H5129" s="27">
        <f t="shared" si="2"/>
        <v>0.3638888889</v>
      </c>
      <c r="I5129" s="28">
        <v>3.0</v>
      </c>
      <c r="J5129" s="39" t="s">
        <v>2504</v>
      </c>
      <c r="K5129" s="41"/>
      <c r="L5129" s="31" t="str">
        <f>IFERROR(__xludf.DUMMYFUNCTION("IF(OR(E5129="""",K5129=""""),"""",IFERROR(IF(K5129="""","""",query('tbl user'!$A$2:$D10975,""SELECT A WHERE D = '""&amp;K5129&amp;""'"")),""USER TIDAK DIKETAHUI""))"),"")</f>
        <v/>
      </c>
    </row>
    <row r="5130">
      <c r="A5130" s="21">
        <f t="shared" si="1"/>
        <v>45476.57388</v>
      </c>
      <c r="B5130" s="40" t="s">
        <v>2392</v>
      </c>
      <c r="C5130" s="23" t="s">
        <v>2041</v>
      </c>
      <c r="D5130" s="23" t="s">
        <v>21</v>
      </c>
      <c r="E5130" s="24">
        <v>45474.0</v>
      </c>
      <c r="F5130" s="25">
        <v>0.26319444444444445</v>
      </c>
      <c r="G5130" s="25">
        <v>0.6479166666666667</v>
      </c>
      <c r="H5130" s="27">
        <f t="shared" si="2"/>
        <v>0.3847222222</v>
      </c>
      <c r="I5130" s="28">
        <v>3.0</v>
      </c>
      <c r="J5130" s="39" t="s">
        <v>2505</v>
      </c>
      <c r="K5130" s="41"/>
      <c r="L5130" s="31" t="str">
        <f>IFERROR(__xludf.DUMMYFUNCTION("IF(OR(E5130="""",K5130=""""),"""",IFERROR(IF(K5130="""","""",query('tbl user'!$A$2:$D10975,""SELECT A WHERE D = '""&amp;K5130&amp;""'"")),""USER TIDAK DIKETAHUI""))"),"")</f>
        <v/>
      </c>
    </row>
    <row r="5131">
      <c r="A5131" s="21">
        <f t="shared" si="1"/>
        <v>45476.57388</v>
      </c>
      <c r="B5131" s="40" t="s">
        <v>2380</v>
      </c>
      <c r="C5131" s="23" t="s">
        <v>1857</v>
      </c>
      <c r="D5131" s="23" t="s">
        <v>21</v>
      </c>
      <c r="E5131" s="24">
        <v>45474.0</v>
      </c>
      <c r="F5131" s="25">
        <v>0.2708333333333333</v>
      </c>
      <c r="G5131" s="25">
        <v>0.6583333333333333</v>
      </c>
      <c r="H5131" s="27">
        <f t="shared" si="2"/>
        <v>0.3875</v>
      </c>
      <c r="I5131" s="28">
        <v>3.0</v>
      </c>
      <c r="J5131" s="39" t="s">
        <v>2506</v>
      </c>
      <c r="K5131" s="41"/>
      <c r="L5131" s="31" t="str">
        <f>IFERROR(__xludf.DUMMYFUNCTION("IF(OR(E5131="""",K5131=""""),"""",IFERROR(IF(K5131="""","""",query('tbl user'!$A$2:$D10975,""SELECT A WHERE D = '""&amp;K5131&amp;""'"")),""USER TIDAK DIKETAHUI""))"),"")</f>
        <v/>
      </c>
    </row>
    <row r="5132">
      <c r="A5132" s="21">
        <f t="shared" si="1"/>
        <v>45476.57388</v>
      </c>
      <c r="B5132" s="40" t="s">
        <v>2371</v>
      </c>
      <c r="C5132" s="23" t="s">
        <v>1845</v>
      </c>
      <c r="D5132" s="23" t="s">
        <v>21</v>
      </c>
      <c r="E5132" s="24">
        <v>45474.0</v>
      </c>
      <c r="F5132" s="25">
        <v>0.2743055555555556</v>
      </c>
      <c r="G5132" s="25">
        <v>0.575</v>
      </c>
      <c r="H5132" s="27">
        <f t="shared" si="2"/>
        <v>0.3006944444</v>
      </c>
      <c r="I5132" s="28">
        <v>3.0</v>
      </c>
      <c r="J5132" s="39" t="s">
        <v>2507</v>
      </c>
      <c r="K5132" s="41"/>
      <c r="L5132" s="31" t="str">
        <f>IFERROR(__xludf.DUMMYFUNCTION("IF(OR(E5132="""",K5132=""""),"""",IFERROR(IF(K5132="""","""",query('tbl user'!$A$2:$D10975,""SELECT A WHERE D = '""&amp;K5132&amp;""'"")),""USER TIDAK DIKETAHUI""))"),"")</f>
        <v/>
      </c>
    </row>
    <row r="5133">
      <c r="A5133" s="21">
        <f t="shared" si="1"/>
        <v>45476.57388</v>
      </c>
      <c r="B5133" s="40" t="s">
        <v>2396</v>
      </c>
      <c r="C5133" s="23" t="s">
        <v>2049</v>
      </c>
      <c r="D5133" s="23" t="s">
        <v>21</v>
      </c>
      <c r="E5133" s="24">
        <v>45474.0</v>
      </c>
      <c r="F5133" s="25">
        <v>0.2652777777777778</v>
      </c>
      <c r="G5133" s="25">
        <v>0.7319444444444444</v>
      </c>
      <c r="H5133" s="27">
        <f t="shared" si="2"/>
        <v>0.4666666667</v>
      </c>
      <c r="I5133" s="28">
        <v>3.0</v>
      </c>
      <c r="J5133" s="39" t="s">
        <v>2508</v>
      </c>
      <c r="K5133" s="41"/>
      <c r="L5133" s="31" t="str">
        <f>IFERROR(__xludf.DUMMYFUNCTION("IF(OR(E5133="""",K5133=""""),"""",IFERROR(IF(K5133="""","""",query('tbl user'!$A$2:$D10975,""SELECT A WHERE D = '""&amp;K5133&amp;""'"")),""USER TIDAK DIKETAHUI""))"),"")</f>
        <v/>
      </c>
    </row>
    <row r="5134">
      <c r="A5134" s="21">
        <f t="shared" si="1"/>
        <v>45476.57388</v>
      </c>
      <c r="B5134" s="40" t="s">
        <v>2462</v>
      </c>
      <c r="C5134" s="23" t="s">
        <v>1928</v>
      </c>
      <c r="D5134" s="23" t="s">
        <v>21</v>
      </c>
      <c r="E5134" s="24">
        <v>45474.0</v>
      </c>
      <c r="F5134" s="25">
        <v>0.2763888888888889</v>
      </c>
      <c r="G5134" s="25">
        <v>0.6465277777777778</v>
      </c>
      <c r="H5134" s="27">
        <f t="shared" si="2"/>
        <v>0.3701388889</v>
      </c>
      <c r="I5134" s="28">
        <v>3.0</v>
      </c>
      <c r="J5134" s="39" t="s">
        <v>213</v>
      </c>
      <c r="K5134" s="41"/>
      <c r="L5134" s="31" t="str">
        <f>IFERROR(__xludf.DUMMYFUNCTION("IF(OR(E5134="""",K5134=""""),"""",IFERROR(IF(K5134="""","""",query('tbl user'!$A$2:$D10975,""SELECT A WHERE D = '""&amp;K5134&amp;""'"")),""USER TIDAK DIKETAHUI""))"),"")</f>
        <v/>
      </c>
    </row>
    <row r="5135">
      <c r="A5135" s="21">
        <f t="shared" si="1"/>
        <v>45476.57388</v>
      </c>
      <c r="B5135" s="40" t="s">
        <v>2386</v>
      </c>
      <c r="C5135" s="23" t="s">
        <v>1843</v>
      </c>
      <c r="D5135" s="23" t="s">
        <v>21</v>
      </c>
      <c r="E5135" s="24">
        <v>45474.0</v>
      </c>
      <c r="F5135" s="25">
        <v>0.2625</v>
      </c>
      <c r="G5135" s="25">
        <v>0.65625</v>
      </c>
      <c r="H5135" s="27">
        <f t="shared" si="2"/>
        <v>0.39375</v>
      </c>
      <c r="I5135" s="28">
        <v>4.0</v>
      </c>
      <c r="J5135" s="39" t="s">
        <v>2509</v>
      </c>
      <c r="K5135" s="41"/>
      <c r="L5135" s="31" t="str">
        <f>IFERROR(__xludf.DUMMYFUNCTION("IF(OR(E5135="""",K5135=""""),"""",IFERROR(IF(K5135="""","""",query('tbl user'!$A$2:$D10975,""SELECT A WHERE D = '""&amp;K5135&amp;""'"")),""USER TIDAK DIKETAHUI""))"),"")</f>
        <v/>
      </c>
    </row>
    <row r="5136">
      <c r="A5136" s="21">
        <f t="shared" si="1"/>
        <v>45476.57388</v>
      </c>
      <c r="B5136" s="40" t="s">
        <v>2390</v>
      </c>
      <c r="C5136" s="23" t="s">
        <v>2136</v>
      </c>
      <c r="D5136" s="23" t="s">
        <v>21</v>
      </c>
      <c r="E5136" s="24">
        <v>45474.0</v>
      </c>
      <c r="F5136" s="25">
        <v>0.2833333333333333</v>
      </c>
      <c r="G5136" s="25">
        <v>0.7333333333333333</v>
      </c>
      <c r="H5136" s="27">
        <f t="shared" si="2"/>
        <v>0.45</v>
      </c>
      <c r="I5136" s="28">
        <v>4.0</v>
      </c>
      <c r="J5136" s="39" t="s">
        <v>213</v>
      </c>
      <c r="K5136" s="41"/>
      <c r="L5136" s="31" t="str">
        <f>IFERROR(__xludf.DUMMYFUNCTION("IF(OR(E5136="""",K5136=""""),"""",IFERROR(IF(K5136="""","""",query('tbl user'!$A$2:$D10975,""SELECT A WHERE D = '""&amp;K5136&amp;""'"")),""USER TIDAK DIKETAHUI""))"),"")</f>
        <v/>
      </c>
    </row>
    <row r="5137">
      <c r="A5137" s="21">
        <f t="shared" si="1"/>
        <v>45476.57388</v>
      </c>
      <c r="B5137" s="40" t="s">
        <v>2394</v>
      </c>
      <c r="C5137" s="23" t="s">
        <v>1837</v>
      </c>
      <c r="D5137" s="23" t="s">
        <v>21</v>
      </c>
      <c r="E5137" s="24">
        <v>45474.0</v>
      </c>
      <c r="F5137" s="25">
        <v>0.2791666666666667</v>
      </c>
      <c r="G5137" s="25">
        <v>0.7152777777777778</v>
      </c>
      <c r="H5137" s="27">
        <f t="shared" si="2"/>
        <v>0.4361111111</v>
      </c>
      <c r="I5137" s="28">
        <v>4.0</v>
      </c>
      <c r="J5137" s="39" t="s">
        <v>2510</v>
      </c>
      <c r="K5137" s="41"/>
      <c r="L5137" s="31" t="str">
        <f>IFERROR(__xludf.DUMMYFUNCTION("IF(OR(E5137="""",K5137=""""),"""",IFERROR(IF(K5137="""","""",query('tbl user'!$A$2:$D10975,""SELECT A WHERE D = '""&amp;K5137&amp;""'"")),""USER TIDAK DIKETAHUI""))"),"")</f>
        <v/>
      </c>
    </row>
    <row r="5138">
      <c r="A5138" s="21">
        <f t="shared" si="1"/>
        <v>45476.57388</v>
      </c>
      <c r="B5138" s="40" t="s">
        <v>2373</v>
      </c>
      <c r="C5138" s="23" t="s">
        <v>1847</v>
      </c>
      <c r="D5138" s="23" t="s">
        <v>21</v>
      </c>
      <c r="E5138" s="24">
        <v>45474.0</v>
      </c>
      <c r="F5138" s="25">
        <v>0.26319444444444445</v>
      </c>
      <c r="G5138" s="25">
        <v>0.6506944444444445</v>
      </c>
      <c r="H5138" s="27">
        <f t="shared" si="2"/>
        <v>0.3875</v>
      </c>
      <c r="I5138" s="28">
        <v>4.0</v>
      </c>
      <c r="J5138" s="39" t="s">
        <v>2511</v>
      </c>
      <c r="K5138" s="41"/>
      <c r="L5138" s="31" t="str">
        <f>IFERROR(__xludf.DUMMYFUNCTION("IF(OR(E5138="""",K5138=""""),"""",IFERROR(IF(K5138="""","""",query('tbl user'!$A$2:$D10975,""SELECT A WHERE D = '""&amp;K5138&amp;""'"")),""USER TIDAK DIKETAHUI""))"),"")</f>
        <v/>
      </c>
    </row>
    <row r="5139">
      <c r="A5139" s="21">
        <f t="shared" si="1"/>
        <v>45476.57388</v>
      </c>
      <c r="B5139" s="40" t="s">
        <v>2379</v>
      </c>
      <c r="C5139" s="23" t="s">
        <v>1849</v>
      </c>
      <c r="D5139" s="23" t="s">
        <v>21</v>
      </c>
      <c r="E5139" s="24">
        <v>45474.0</v>
      </c>
      <c r="F5139" s="25">
        <v>0.2847222222222222</v>
      </c>
      <c r="G5139" s="25">
        <v>0.7256944444444444</v>
      </c>
      <c r="H5139" s="27">
        <f t="shared" si="2"/>
        <v>0.4409722222</v>
      </c>
      <c r="I5139" s="28">
        <v>4.0</v>
      </c>
      <c r="J5139" s="39" t="s">
        <v>213</v>
      </c>
      <c r="K5139" s="41"/>
      <c r="L5139" s="31" t="str">
        <f>IFERROR(__xludf.DUMMYFUNCTION("IF(OR(E5139="""",K5139=""""),"""",IFERROR(IF(K5139="""","""",query('tbl user'!$A$2:$D10975,""SELECT A WHERE D = '""&amp;K5139&amp;""'"")),""USER TIDAK DIKETAHUI""))"),"")</f>
        <v/>
      </c>
    </row>
    <row r="5140">
      <c r="A5140" s="21">
        <f t="shared" si="1"/>
        <v>45476.57388</v>
      </c>
      <c r="B5140" s="40" t="s">
        <v>2374</v>
      </c>
      <c r="C5140" s="23" t="s">
        <v>1850</v>
      </c>
      <c r="D5140" s="23" t="s">
        <v>21</v>
      </c>
      <c r="E5140" s="24">
        <v>45474.0</v>
      </c>
      <c r="F5140" s="25">
        <v>0.26944444444444443</v>
      </c>
      <c r="G5140" s="25">
        <v>0.7138888888888889</v>
      </c>
      <c r="H5140" s="27">
        <f t="shared" si="2"/>
        <v>0.4444444444</v>
      </c>
      <c r="I5140" s="28">
        <v>4.0</v>
      </c>
      <c r="J5140" s="39" t="s">
        <v>213</v>
      </c>
      <c r="K5140" s="41"/>
      <c r="L5140" s="31" t="str">
        <f>IFERROR(__xludf.DUMMYFUNCTION("IF(OR(E5140="""",K5140=""""),"""",IFERROR(IF(K5140="""","""",query('tbl user'!$A$2:$D10975,""SELECT A WHERE D = '""&amp;K5140&amp;""'"")),""USER TIDAK DIKETAHUI""))"),"")</f>
        <v/>
      </c>
    </row>
    <row r="5141">
      <c r="A5141" s="21">
        <f t="shared" si="1"/>
        <v>45476.57388</v>
      </c>
      <c r="B5141" s="40" t="s">
        <v>2398</v>
      </c>
      <c r="C5141" s="23" t="s">
        <v>1829</v>
      </c>
      <c r="D5141" s="23" t="s">
        <v>21</v>
      </c>
      <c r="E5141" s="24">
        <v>45474.0</v>
      </c>
      <c r="F5141" s="25">
        <v>0.43194444444444446</v>
      </c>
      <c r="G5141" s="25">
        <v>0.6631944444444444</v>
      </c>
      <c r="H5141" s="27">
        <f t="shared" si="2"/>
        <v>0.23125</v>
      </c>
      <c r="I5141" s="28">
        <v>1.0</v>
      </c>
      <c r="J5141" s="39" t="s">
        <v>2512</v>
      </c>
      <c r="K5141" s="41"/>
      <c r="L5141" s="31" t="str">
        <f>IFERROR(__xludf.DUMMYFUNCTION("IF(OR(E5141="""",K5141=""""),"""",IFERROR(IF(K5141="""","""",query('tbl user'!$A$2:$D10975,""SELECT A WHERE D = '""&amp;K5141&amp;""'"")),""USER TIDAK DIKETAHUI""))"),"")</f>
        <v/>
      </c>
    </row>
    <row r="5142">
      <c r="A5142" s="21">
        <f t="shared" si="1"/>
        <v>45476.57388</v>
      </c>
      <c r="B5142" s="40" t="s">
        <v>2400</v>
      </c>
      <c r="C5142" s="23" t="s">
        <v>1917</v>
      </c>
      <c r="D5142" s="23" t="s">
        <v>21</v>
      </c>
      <c r="E5142" s="24">
        <v>45474.0</v>
      </c>
      <c r="F5142" s="25">
        <v>0.27708333333333335</v>
      </c>
      <c r="G5142" s="25">
        <v>0.6694444444444444</v>
      </c>
      <c r="H5142" s="27">
        <f t="shared" si="2"/>
        <v>0.3923611111</v>
      </c>
      <c r="I5142" s="28">
        <v>2.0</v>
      </c>
      <c r="J5142" s="39" t="s">
        <v>2513</v>
      </c>
      <c r="K5142" s="41"/>
      <c r="L5142" s="31" t="str">
        <f>IFERROR(__xludf.DUMMYFUNCTION("IF(OR(E5142="""",K5142=""""),"""",IFERROR(IF(K5142="""","""",query('tbl user'!$A$2:$D10975,""SELECT A WHERE D = '""&amp;K5142&amp;""'"")),""USER TIDAK DIKETAHUI""))"),"")</f>
        <v/>
      </c>
    </row>
    <row r="5143">
      <c r="A5143" s="21">
        <f t="shared" si="1"/>
        <v>45476.57388</v>
      </c>
      <c r="B5143" s="40" t="s">
        <v>2401</v>
      </c>
      <c r="C5143" s="23" t="s">
        <v>1841</v>
      </c>
      <c r="D5143" s="23" t="s">
        <v>21</v>
      </c>
      <c r="E5143" s="24">
        <v>45474.0</v>
      </c>
      <c r="F5143" s="25">
        <v>0.2861111111111111</v>
      </c>
      <c r="G5143" s="25">
        <v>0.6777777777777778</v>
      </c>
      <c r="H5143" s="27">
        <f t="shared" si="2"/>
        <v>0.3916666667</v>
      </c>
      <c r="I5143" s="28">
        <v>2.0</v>
      </c>
      <c r="J5143" s="39" t="s">
        <v>2513</v>
      </c>
      <c r="K5143" s="41"/>
      <c r="L5143" s="31" t="str">
        <f>IFERROR(__xludf.DUMMYFUNCTION("IF(OR(E5143="""",K5143=""""),"""",IFERROR(IF(K5143="""","""",query('tbl user'!$A$2:$D10975,""SELECT A WHERE D = '""&amp;K5143&amp;""'"")),""USER TIDAK DIKETAHUI""))"),"")</f>
        <v/>
      </c>
    </row>
    <row r="5144">
      <c r="A5144" s="21">
        <f t="shared" si="1"/>
        <v>45476.57388</v>
      </c>
      <c r="B5144" s="40" t="s">
        <v>2361</v>
      </c>
      <c r="C5144" s="23" t="s">
        <v>1875</v>
      </c>
      <c r="D5144" s="23" t="s">
        <v>58</v>
      </c>
      <c r="E5144" s="24">
        <v>45474.0</v>
      </c>
      <c r="F5144" s="25">
        <v>0.27291666666666664</v>
      </c>
      <c r="G5144" s="25">
        <v>0.4409722222222222</v>
      </c>
      <c r="H5144" s="27">
        <f t="shared" si="2"/>
        <v>0.1680555556</v>
      </c>
      <c r="I5144" s="28">
        <v>1.0</v>
      </c>
      <c r="J5144" s="39" t="s">
        <v>2514</v>
      </c>
      <c r="K5144" s="41"/>
      <c r="L5144" s="31" t="str">
        <f>IFERROR(__xludf.DUMMYFUNCTION("IF(OR(E5144="""",K5144=""""),"""",IFERROR(IF(K5144="""","""",query('tbl user'!$A$2:$D10975,""SELECT A WHERE D = '""&amp;K5144&amp;""'"")),""USER TIDAK DIKETAHUI""))"),"")</f>
        <v/>
      </c>
    </row>
    <row r="5145">
      <c r="A5145" s="21">
        <f t="shared" si="1"/>
        <v>45476.57388</v>
      </c>
      <c r="B5145" s="40" t="s">
        <v>2414</v>
      </c>
      <c r="C5145" s="23" t="s">
        <v>1865</v>
      </c>
      <c r="D5145" s="23" t="s">
        <v>58</v>
      </c>
      <c r="E5145" s="24">
        <v>45474.0</v>
      </c>
      <c r="F5145" s="25">
        <v>0.2881944444444444</v>
      </c>
      <c r="G5145" s="25">
        <v>0.56875</v>
      </c>
      <c r="H5145" s="27">
        <f t="shared" si="2"/>
        <v>0.2805555556</v>
      </c>
      <c r="I5145" s="28">
        <v>2.0</v>
      </c>
      <c r="J5145" s="39" t="s">
        <v>2515</v>
      </c>
      <c r="K5145" s="41"/>
      <c r="L5145" s="31" t="str">
        <f>IFERROR(__xludf.DUMMYFUNCTION("IF(OR(E5145="""",K5145=""""),"""",IFERROR(IF(K5145="""","""",query('tbl user'!$A$2:$D10975,""SELECT A WHERE D = '""&amp;K5145&amp;""'"")),""USER TIDAK DIKETAHUI""))"),"")</f>
        <v/>
      </c>
    </row>
    <row r="5146">
      <c r="A5146" s="21">
        <f t="shared" si="1"/>
        <v>45476.57388</v>
      </c>
      <c r="B5146" s="40" t="s">
        <v>2415</v>
      </c>
      <c r="C5146" s="23" t="s">
        <v>1867</v>
      </c>
      <c r="D5146" s="23" t="s">
        <v>58</v>
      </c>
      <c r="E5146" s="24">
        <v>45474.0</v>
      </c>
      <c r="F5146" s="25">
        <v>0.2916666666666667</v>
      </c>
      <c r="G5146" s="25">
        <v>0.6458333333333334</v>
      </c>
      <c r="H5146" s="27">
        <f t="shared" si="2"/>
        <v>0.3541666667</v>
      </c>
      <c r="I5146" s="28">
        <v>2.0</v>
      </c>
      <c r="J5146" s="39" t="s">
        <v>2516</v>
      </c>
      <c r="K5146" s="41"/>
      <c r="L5146" s="31" t="str">
        <f>IFERROR(__xludf.DUMMYFUNCTION("IF(OR(E5146="""",K5146=""""),"""",IFERROR(IF(K5146="""","""",query('tbl user'!$A$2:$D10975,""SELECT A WHERE D = '""&amp;K5146&amp;""'"")),""USER TIDAK DIKETAHUI""))"),"")</f>
        <v/>
      </c>
    </row>
    <row r="5147">
      <c r="A5147" s="21">
        <f t="shared" si="1"/>
        <v>45476.57388</v>
      </c>
      <c r="B5147" s="40" t="s">
        <v>2404</v>
      </c>
      <c r="C5147" s="23" t="s">
        <v>1869</v>
      </c>
      <c r="D5147" s="23" t="s">
        <v>58</v>
      </c>
      <c r="E5147" s="24">
        <v>45474.0</v>
      </c>
      <c r="F5147" s="25">
        <v>0.28958333333333336</v>
      </c>
      <c r="G5147" s="25">
        <v>0.6555555555555556</v>
      </c>
      <c r="H5147" s="27">
        <f t="shared" si="2"/>
        <v>0.3659722222</v>
      </c>
      <c r="I5147" s="28">
        <v>2.0</v>
      </c>
      <c r="J5147" s="39" t="s">
        <v>424</v>
      </c>
      <c r="K5147" s="41"/>
      <c r="L5147" s="31" t="str">
        <f>IFERROR(__xludf.DUMMYFUNCTION("IF(OR(E5147="""",K5147=""""),"""",IFERROR(IF(K5147="""","""",query('tbl user'!$A$2:$D10975,""SELECT A WHERE D = '""&amp;K5147&amp;""'"")),""USER TIDAK DIKETAHUI""))"),"")</f>
        <v/>
      </c>
    </row>
    <row r="5148">
      <c r="A5148" s="21">
        <f t="shared" si="1"/>
        <v>45476.57388</v>
      </c>
      <c r="B5148" s="40" t="s">
        <v>2417</v>
      </c>
      <c r="C5148" s="23" t="s">
        <v>1881</v>
      </c>
      <c r="D5148" s="23" t="s">
        <v>58</v>
      </c>
      <c r="E5148" s="24">
        <v>45474.0</v>
      </c>
      <c r="F5148" s="25">
        <v>0.2777777777777778</v>
      </c>
      <c r="G5148" s="25">
        <v>0.5666666666666667</v>
      </c>
      <c r="H5148" s="27">
        <f t="shared" si="2"/>
        <v>0.2888888889</v>
      </c>
      <c r="I5148" s="28">
        <v>2.0</v>
      </c>
      <c r="J5148" s="39" t="s">
        <v>2517</v>
      </c>
      <c r="K5148" s="41"/>
      <c r="L5148" s="31" t="str">
        <f>IFERROR(__xludf.DUMMYFUNCTION("IF(OR(E5148="""",K5148=""""),"""",IFERROR(IF(K5148="""","""",query('tbl user'!$A$2:$D10975,""SELECT A WHERE D = '""&amp;K5148&amp;""'"")),""USER TIDAK DIKETAHUI""))"),"")</f>
        <v/>
      </c>
    </row>
    <row r="5149">
      <c r="A5149" s="21">
        <f t="shared" si="1"/>
        <v>45476.57388</v>
      </c>
      <c r="B5149" s="40" t="s">
        <v>2419</v>
      </c>
      <c r="C5149" s="23" t="s">
        <v>1882</v>
      </c>
      <c r="D5149" s="23" t="s">
        <v>58</v>
      </c>
      <c r="E5149" s="24">
        <v>45474.0</v>
      </c>
      <c r="F5149" s="25">
        <v>0.2875</v>
      </c>
      <c r="G5149" s="25">
        <v>0.6159722222222223</v>
      </c>
      <c r="H5149" s="27">
        <f t="shared" si="2"/>
        <v>0.3284722222</v>
      </c>
      <c r="I5149" s="28">
        <v>2.0</v>
      </c>
      <c r="J5149" s="39" t="s">
        <v>2518</v>
      </c>
      <c r="K5149" s="41"/>
      <c r="L5149" s="31" t="str">
        <f>IFERROR(__xludf.DUMMYFUNCTION("IF(OR(E5149="""",K5149=""""),"""",IFERROR(IF(K5149="""","""",query('tbl user'!$A$2:$D10975,""SELECT A WHERE D = '""&amp;K5149&amp;""'"")),""USER TIDAK DIKETAHUI""))"),"")</f>
        <v/>
      </c>
    </row>
    <row r="5150">
      <c r="A5150" s="21">
        <f t="shared" si="1"/>
        <v>45476.57388</v>
      </c>
      <c r="B5150" s="40" t="s">
        <v>2424</v>
      </c>
      <c r="C5150" s="23" t="s">
        <v>1886</v>
      </c>
      <c r="D5150" s="23" t="s">
        <v>58</v>
      </c>
      <c r="E5150" s="24">
        <v>45474.0</v>
      </c>
      <c r="F5150" s="25">
        <v>0.4736111111111111</v>
      </c>
      <c r="G5150" s="25">
        <v>0.6722222222222223</v>
      </c>
      <c r="H5150" s="27">
        <f t="shared" si="2"/>
        <v>0.1986111111</v>
      </c>
      <c r="I5150" s="28">
        <v>2.0</v>
      </c>
      <c r="J5150" s="39" t="s">
        <v>2476</v>
      </c>
      <c r="K5150" s="41"/>
      <c r="L5150" s="31" t="str">
        <f>IFERROR(__xludf.DUMMYFUNCTION("IF(OR(E5150="""",K5150=""""),"""",IFERROR(IF(K5150="""","""",query('tbl user'!$A$2:$D10975,""SELECT A WHERE D = '""&amp;K5150&amp;""'"")),""USER TIDAK DIKETAHUI""))"),"")</f>
        <v/>
      </c>
    </row>
    <row r="5151">
      <c r="A5151" s="21">
        <f t="shared" si="1"/>
        <v>45476.57388</v>
      </c>
      <c r="B5151" s="40" t="s">
        <v>2406</v>
      </c>
      <c r="C5151" s="23" t="s">
        <v>1871</v>
      </c>
      <c r="D5151" s="23" t="s">
        <v>58</v>
      </c>
      <c r="E5151" s="24">
        <v>45474.0</v>
      </c>
      <c r="F5151" s="25">
        <v>0.2881944444444444</v>
      </c>
      <c r="G5151" s="25">
        <v>0.6743055555555556</v>
      </c>
      <c r="H5151" s="27">
        <f t="shared" si="2"/>
        <v>0.3861111111</v>
      </c>
      <c r="I5151" s="28">
        <v>2.0</v>
      </c>
      <c r="J5151" s="39" t="s">
        <v>2519</v>
      </c>
      <c r="K5151" s="41"/>
      <c r="L5151" s="31" t="str">
        <f>IFERROR(__xludf.DUMMYFUNCTION("IF(OR(E5151="""",K5151=""""),"""",IFERROR(IF(K5151="""","""",query('tbl user'!$A$2:$D10975,""SELECT A WHERE D = '""&amp;K5151&amp;""'"")),""USER TIDAK DIKETAHUI""))"),"")</f>
        <v/>
      </c>
    </row>
    <row r="5152">
      <c r="A5152" s="21">
        <f t="shared" si="1"/>
        <v>45476.57388</v>
      </c>
      <c r="B5152" s="40" t="s">
        <v>2412</v>
      </c>
      <c r="C5152" s="23" t="s">
        <v>1872</v>
      </c>
      <c r="D5152" s="23" t="s">
        <v>58</v>
      </c>
      <c r="E5152" s="24">
        <v>45474.0</v>
      </c>
      <c r="F5152" s="25">
        <v>0.2923611111111111</v>
      </c>
      <c r="G5152" s="25">
        <v>0.6319444444444444</v>
      </c>
      <c r="H5152" s="27">
        <f t="shared" si="2"/>
        <v>0.3395833333</v>
      </c>
      <c r="I5152" s="28">
        <v>2.0</v>
      </c>
      <c r="J5152" s="39" t="s">
        <v>2519</v>
      </c>
      <c r="K5152" s="41"/>
      <c r="L5152" s="31" t="str">
        <f>IFERROR(__xludf.DUMMYFUNCTION("IF(OR(E5152="""",K5152=""""),"""",IFERROR(IF(K5152="""","""",query('tbl user'!$A$2:$D10975,""SELECT A WHERE D = '""&amp;K5152&amp;""'"")),""USER TIDAK DIKETAHUI""))"),"")</f>
        <v/>
      </c>
    </row>
    <row r="5153">
      <c r="A5153" s="21">
        <f t="shared" si="1"/>
        <v>45476.57388</v>
      </c>
      <c r="B5153" s="40" t="s">
        <v>2410</v>
      </c>
      <c r="C5153" s="23" t="s">
        <v>2090</v>
      </c>
      <c r="D5153" s="23" t="s">
        <v>58</v>
      </c>
      <c r="E5153" s="24">
        <v>45474.0</v>
      </c>
      <c r="F5153" s="25">
        <v>0.29097222222222224</v>
      </c>
      <c r="G5153" s="25">
        <v>0.6201388888888889</v>
      </c>
      <c r="H5153" s="27">
        <f t="shared" si="2"/>
        <v>0.3291666667</v>
      </c>
      <c r="I5153" s="28">
        <v>2.0</v>
      </c>
      <c r="J5153" s="39" t="s">
        <v>2519</v>
      </c>
      <c r="K5153" s="41"/>
      <c r="L5153" s="31" t="str">
        <f>IFERROR(__xludf.DUMMYFUNCTION("IF(OR(E5153="""",K5153=""""),"""",IFERROR(IF(K5153="""","""",query('tbl user'!$A$2:$D10975,""SELECT A WHERE D = '""&amp;K5153&amp;""'"")),""USER TIDAK DIKETAHUI""))"),"")</f>
        <v/>
      </c>
    </row>
    <row r="5154">
      <c r="A5154" s="21">
        <f t="shared" si="1"/>
        <v>45476.57388</v>
      </c>
      <c r="B5154" s="40" t="s">
        <v>2430</v>
      </c>
      <c r="C5154" s="23" t="s">
        <v>1861</v>
      </c>
      <c r="D5154" s="23" t="s">
        <v>58</v>
      </c>
      <c r="E5154" s="24">
        <v>45474.0</v>
      </c>
      <c r="F5154" s="25">
        <v>0.28888888888888886</v>
      </c>
      <c r="G5154" s="25">
        <v>0.6208333333333333</v>
      </c>
      <c r="H5154" s="27">
        <f t="shared" si="2"/>
        <v>0.3319444444</v>
      </c>
      <c r="I5154" s="28">
        <v>2.0</v>
      </c>
      <c r="J5154" s="39" t="s">
        <v>2519</v>
      </c>
      <c r="K5154" s="41"/>
      <c r="L5154" s="31" t="str">
        <f>IFERROR(__xludf.DUMMYFUNCTION("IF(OR(E5154="""",K5154=""""),"""",IFERROR(IF(K5154="""","""",query('tbl user'!$A$2:$D10975,""SELECT A WHERE D = '""&amp;K5154&amp;""'"")),""USER TIDAK DIKETAHUI""))"),"")</f>
        <v/>
      </c>
    </row>
    <row r="5155">
      <c r="A5155" s="21">
        <f t="shared" si="1"/>
        <v>45476.57388</v>
      </c>
      <c r="B5155" s="40" t="s">
        <v>2418</v>
      </c>
      <c r="C5155" s="23" t="s">
        <v>1878</v>
      </c>
      <c r="D5155" s="23" t="s">
        <v>58</v>
      </c>
      <c r="E5155" s="24">
        <v>45474.0</v>
      </c>
      <c r="F5155" s="25">
        <v>0.2902777777777778</v>
      </c>
      <c r="G5155" s="25">
        <v>0.6840277777777778</v>
      </c>
      <c r="H5155" s="27">
        <f t="shared" si="2"/>
        <v>0.39375</v>
      </c>
      <c r="I5155" s="28">
        <v>3.0</v>
      </c>
      <c r="J5155" s="39" t="s">
        <v>2519</v>
      </c>
      <c r="K5155" s="41"/>
      <c r="L5155" s="31" t="str">
        <f>IFERROR(__xludf.DUMMYFUNCTION("IF(OR(E5155="""",K5155=""""),"""",IFERROR(IF(K5155="""","""",query('tbl user'!$A$2:$D10975,""SELECT A WHERE D = '""&amp;K5155&amp;""'"")),""USER TIDAK DIKETAHUI""))"),"")</f>
        <v/>
      </c>
    </row>
    <row r="5156">
      <c r="A5156" s="21">
        <f t="shared" si="1"/>
        <v>45476.57388</v>
      </c>
      <c r="B5156" s="40" t="s">
        <v>2431</v>
      </c>
      <c r="C5156" s="23" t="s">
        <v>1879</v>
      </c>
      <c r="D5156" s="23" t="s">
        <v>58</v>
      </c>
      <c r="E5156" s="24">
        <v>45474.0</v>
      </c>
      <c r="F5156" s="25">
        <v>0.26458333333333334</v>
      </c>
      <c r="G5156" s="25">
        <v>0.6479166666666667</v>
      </c>
      <c r="H5156" s="27">
        <f t="shared" si="2"/>
        <v>0.3833333333</v>
      </c>
      <c r="I5156" s="28">
        <v>3.0</v>
      </c>
      <c r="J5156" s="39" t="s">
        <v>2519</v>
      </c>
      <c r="K5156" s="41"/>
      <c r="L5156" s="31" t="str">
        <f>IFERROR(__xludf.DUMMYFUNCTION("IF(OR(E5156="""",K5156=""""),"""",IFERROR(IF(K5156="""","""",query('tbl user'!$A$2:$D10975,""SELECT A WHERE D = '""&amp;K5156&amp;""'"")),""USER TIDAK DIKETAHUI""))"),"")</f>
        <v/>
      </c>
    </row>
    <row r="5157">
      <c r="A5157" s="21">
        <f t="shared" si="1"/>
        <v>45476.57388</v>
      </c>
      <c r="B5157" s="40" t="s">
        <v>2457</v>
      </c>
      <c r="C5157" s="23" t="s">
        <v>1860</v>
      </c>
      <c r="D5157" s="23" t="s">
        <v>58</v>
      </c>
      <c r="E5157" s="24">
        <v>45474.0</v>
      </c>
      <c r="F5157" s="25">
        <v>0.2722222222222222</v>
      </c>
      <c r="G5157" s="25">
        <v>0.6611111111111111</v>
      </c>
      <c r="H5157" s="27">
        <f t="shared" si="2"/>
        <v>0.3888888889</v>
      </c>
      <c r="I5157" s="28">
        <v>3.0</v>
      </c>
      <c r="J5157" s="39" t="s">
        <v>2519</v>
      </c>
      <c r="K5157" s="41"/>
      <c r="L5157" s="31" t="str">
        <f>IFERROR(__xludf.DUMMYFUNCTION("IF(OR(E5157="""",K5157=""""),"""",IFERROR(IF(K5157="""","""",query('tbl user'!$A$2:$D10975,""SELECT A WHERE D = '""&amp;K5157&amp;""'"")),""USER TIDAK DIKETAHUI""))"),"")</f>
        <v/>
      </c>
    </row>
    <row r="5158">
      <c r="A5158" s="21">
        <f t="shared" si="1"/>
        <v>45476.57388</v>
      </c>
      <c r="B5158" s="40" t="s">
        <v>2432</v>
      </c>
      <c r="C5158" s="23" t="s">
        <v>1884</v>
      </c>
      <c r="D5158" s="23" t="s">
        <v>58</v>
      </c>
      <c r="E5158" s="24">
        <v>45474.0</v>
      </c>
      <c r="F5158" s="25">
        <v>0.26458333333333334</v>
      </c>
      <c r="G5158" s="25">
        <v>0.6486111111111111</v>
      </c>
      <c r="H5158" s="27">
        <f t="shared" si="2"/>
        <v>0.3840277778</v>
      </c>
      <c r="I5158" s="28">
        <v>3.0</v>
      </c>
      <c r="J5158" s="39" t="s">
        <v>2520</v>
      </c>
      <c r="K5158" s="41"/>
      <c r="L5158" s="31" t="str">
        <f>IFERROR(__xludf.DUMMYFUNCTION("IF(OR(E5158="""",K5158=""""),"""",IFERROR(IF(K5158="""","""",query('tbl user'!$A$2:$D10975,""SELECT A WHERE D = '""&amp;K5158&amp;""'"")),""USER TIDAK DIKETAHUI""))"),"")</f>
        <v/>
      </c>
    </row>
    <row r="5159">
      <c r="A5159" s="21">
        <f t="shared" si="1"/>
        <v>45476.57388</v>
      </c>
      <c r="B5159" s="40" t="s">
        <v>2433</v>
      </c>
      <c r="C5159" s="23" t="s">
        <v>1950</v>
      </c>
      <c r="D5159" s="23" t="s">
        <v>58</v>
      </c>
      <c r="E5159" s="24">
        <v>45474.0</v>
      </c>
      <c r="F5159" s="25">
        <v>0.2652777777777778</v>
      </c>
      <c r="G5159" s="25">
        <v>0.6326388888888889</v>
      </c>
      <c r="H5159" s="27">
        <f t="shared" si="2"/>
        <v>0.3673611111</v>
      </c>
      <c r="I5159" s="28">
        <v>3.0</v>
      </c>
      <c r="J5159" s="39" t="s">
        <v>2519</v>
      </c>
      <c r="K5159" s="41"/>
      <c r="L5159" s="31" t="str">
        <f>IFERROR(__xludf.DUMMYFUNCTION("IF(OR(E5159="""",K5159=""""),"""",IFERROR(IF(K5159="""","""",query('tbl user'!$A$2:$D10975,""SELECT A WHERE D = '""&amp;K5159&amp;""'"")),""USER TIDAK DIKETAHUI""))"),"")</f>
        <v/>
      </c>
    </row>
    <row r="5160">
      <c r="A5160" s="21">
        <f t="shared" si="1"/>
        <v>45476.57388</v>
      </c>
      <c r="B5160" s="40" t="s">
        <v>2423</v>
      </c>
      <c r="C5160" s="23" t="s">
        <v>1863</v>
      </c>
      <c r="D5160" s="23" t="s">
        <v>58</v>
      </c>
      <c r="E5160" s="24">
        <v>45474.0</v>
      </c>
      <c r="F5160" s="25">
        <v>0.2791666666666667</v>
      </c>
      <c r="G5160" s="25">
        <v>0.6493055555555556</v>
      </c>
      <c r="H5160" s="27">
        <f t="shared" si="2"/>
        <v>0.3701388889</v>
      </c>
      <c r="I5160" s="28">
        <v>3.0</v>
      </c>
      <c r="J5160" s="39" t="s">
        <v>2519</v>
      </c>
      <c r="K5160" s="41"/>
      <c r="L5160" s="31" t="str">
        <f>IFERROR(__xludf.DUMMYFUNCTION("IF(OR(E5160="""",K5160=""""),"""",IFERROR(IF(K5160="""","""",query('tbl user'!$A$2:$D10975,""SELECT A WHERE D = '""&amp;K5160&amp;""'"")),""USER TIDAK DIKETAHUI""))"),"")</f>
        <v/>
      </c>
    </row>
    <row r="5161">
      <c r="A5161" s="21">
        <f t="shared" si="1"/>
        <v>45476.57388</v>
      </c>
      <c r="B5161" s="40" t="s">
        <v>2425</v>
      </c>
      <c r="C5161" s="23" t="s">
        <v>1887</v>
      </c>
      <c r="D5161" s="23" t="s">
        <v>58</v>
      </c>
      <c r="E5161" s="24">
        <v>45474.0</v>
      </c>
      <c r="F5161" s="25">
        <v>0.28680555555555554</v>
      </c>
      <c r="G5161" s="25">
        <v>0.675</v>
      </c>
      <c r="H5161" s="27">
        <f t="shared" si="2"/>
        <v>0.3881944444</v>
      </c>
      <c r="I5161" s="28">
        <v>3.0</v>
      </c>
      <c r="J5161" s="39" t="s">
        <v>2519</v>
      </c>
      <c r="K5161" s="41"/>
      <c r="L5161" s="31" t="str">
        <f>IFERROR(__xludf.DUMMYFUNCTION("IF(OR(E5161="""",K5161=""""),"""",IFERROR(IF(K5161="""","""",query('tbl user'!$A$2:$D10975,""SELECT A WHERE D = '""&amp;K5161&amp;""'"")),""USER TIDAK DIKETAHUI""))"),"")</f>
        <v/>
      </c>
    </row>
    <row r="5162">
      <c r="A5162" s="21">
        <f t="shared" si="1"/>
        <v>45476.57388</v>
      </c>
      <c r="B5162" s="40" t="s">
        <v>2521</v>
      </c>
      <c r="C5162" s="23" t="s">
        <v>1888</v>
      </c>
      <c r="D5162" s="23" t="s">
        <v>58</v>
      </c>
      <c r="E5162" s="24">
        <v>45474.0</v>
      </c>
      <c r="F5162" s="25">
        <v>0.26666666666666666</v>
      </c>
      <c r="G5162" s="25">
        <v>0.64375</v>
      </c>
      <c r="H5162" s="27">
        <f t="shared" si="2"/>
        <v>0.3770833333</v>
      </c>
      <c r="I5162" s="28">
        <v>3.0</v>
      </c>
      <c r="J5162" s="39" t="s">
        <v>2519</v>
      </c>
      <c r="K5162" s="41"/>
      <c r="L5162" s="31" t="str">
        <f>IFERROR(__xludf.DUMMYFUNCTION("IF(OR(E5162="""",K5162=""""),"""",IFERROR(IF(K5162="""","""",query('tbl user'!$A$2:$D10975,""SELECT A WHERE D = '""&amp;K5162&amp;""'"")),""USER TIDAK DIKETAHUI""))"),"")</f>
        <v/>
      </c>
    </row>
    <row r="5163">
      <c r="A5163" s="21">
        <f t="shared" si="1"/>
        <v>45476.57388</v>
      </c>
      <c r="B5163" s="40" t="s">
        <v>2434</v>
      </c>
      <c r="C5163" s="23" t="s">
        <v>1892</v>
      </c>
      <c r="D5163" s="23" t="s">
        <v>58</v>
      </c>
      <c r="E5163" s="24">
        <v>45474.0</v>
      </c>
      <c r="F5163" s="25">
        <v>0.2638888888888889</v>
      </c>
      <c r="G5163" s="25">
        <v>0.6736111111111112</v>
      </c>
      <c r="H5163" s="27">
        <f t="shared" si="2"/>
        <v>0.4097222222</v>
      </c>
      <c r="I5163" s="28">
        <v>3.0</v>
      </c>
      <c r="J5163" s="39" t="s">
        <v>2519</v>
      </c>
      <c r="K5163" s="41"/>
      <c r="L5163" s="31" t="str">
        <f>IFERROR(__xludf.DUMMYFUNCTION("IF(OR(E5163="""",K5163=""""),"""",IFERROR(IF(K5163="""","""",query('tbl user'!$A$2:$D10975,""SELECT A WHERE D = '""&amp;K5163&amp;""'"")),""USER TIDAK DIKETAHUI""))"),"")</f>
        <v/>
      </c>
    </row>
    <row r="5164">
      <c r="A5164" s="21">
        <f t="shared" si="1"/>
        <v>45476.57388</v>
      </c>
      <c r="B5164" s="40" t="s">
        <v>2460</v>
      </c>
      <c r="C5164" s="23" t="s">
        <v>1893</v>
      </c>
      <c r="D5164" s="23" t="s">
        <v>58</v>
      </c>
      <c r="E5164" s="24">
        <v>45474.0</v>
      </c>
      <c r="F5164" s="25">
        <v>0.28055555555555556</v>
      </c>
      <c r="G5164" s="25">
        <v>0.6715277777777777</v>
      </c>
      <c r="H5164" s="27">
        <f t="shared" si="2"/>
        <v>0.3909722222</v>
      </c>
      <c r="I5164" s="28">
        <v>3.0</v>
      </c>
      <c r="J5164" s="39" t="s">
        <v>2519</v>
      </c>
      <c r="K5164" s="41"/>
      <c r="L5164" s="31" t="str">
        <f>IFERROR(__xludf.DUMMYFUNCTION("IF(OR(E5164="""",K5164=""""),"""",IFERROR(IF(K5164="""","""",query('tbl user'!$A$2:$D10975,""SELECT A WHERE D = '""&amp;K5164&amp;""'"")),""USER TIDAK DIKETAHUI""))"),"")</f>
        <v/>
      </c>
    </row>
    <row r="5165">
      <c r="A5165" s="21">
        <f t="shared" si="1"/>
        <v>45476.57388</v>
      </c>
      <c r="B5165" s="40" t="s">
        <v>2482</v>
      </c>
      <c r="C5165" s="23" t="s">
        <v>1951</v>
      </c>
      <c r="D5165" s="23" t="s">
        <v>32</v>
      </c>
      <c r="E5165" s="24">
        <v>45474.0</v>
      </c>
      <c r="F5165" s="25">
        <v>0.2847222222222222</v>
      </c>
      <c r="G5165" s="25">
        <v>0.5104166666666666</v>
      </c>
      <c r="H5165" s="27">
        <f t="shared" si="2"/>
        <v>0.2256944444</v>
      </c>
      <c r="I5165" s="28">
        <v>1.0</v>
      </c>
      <c r="J5165" s="39" t="s">
        <v>2522</v>
      </c>
      <c r="K5165" s="41"/>
      <c r="L5165" s="31" t="str">
        <f>IFERROR(__xludf.DUMMYFUNCTION("IF(OR(E5165="""",K5165=""""),"""",IFERROR(IF(K5165="""","""",query('tbl user'!$A$2:$D10975,""SELECT A WHERE D = '""&amp;K5165&amp;""'"")),""USER TIDAK DIKETAHUI""))"),"")</f>
        <v/>
      </c>
    </row>
    <row r="5166">
      <c r="A5166" s="21">
        <f t="shared" si="1"/>
        <v>45476.57388</v>
      </c>
      <c r="B5166" s="40" t="s">
        <v>2495</v>
      </c>
      <c r="C5166" s="23" t="s">
        <v>1965</v>
      </c>
      <c r="D5166" s="23" t="s">
        <v>32</v>
      </c>
      <c r="E5166" s="24">
        <v>45474.0</v>
      </c>
      <c r="F5166" s="25">
        <v>0.2965277777777778</v>
      </c>
      <c r="G5166" s="25">
        <v>0.6986111111111111</v>
      </c>
      <c r="H5166" s="27">
        <f t="shared" si="2"/>
        <v>0.4020833333</v>
      </c>
      <c r="I5166" s="28">
        <v>2.0</v>
      </c>
      <c r="J5166" s="39" t="s">
        <v>2523</v>
      </c>
      <c r="K5166" s="41"/>
      <c r="L5166" s="31" t="str">
        <f>IFERROR(__xludf.DUMMYFUNCTION("IF(OR(E5166="""",K5166=""""),"""",IFERROR(IF(K5166="""","""",query('tbl user'!$A$2:$D10975,""SELECT A WHERE D = '""&amp;K5166&amp;""'"")),""USER TIDAK DIKETAHUI""))"),"")</f>
        <v/>
      </c>
    </row>
    <row r="5167">
      <c r="A5167" s="21">
        <f t="shared" si="1"/>
        <v>45476.57388</v>
      </c>
      <c r="B5167" s="40" t="s">
        <v>2444</v>
      </c>
      <c r="C5167" s="23" t="s">
        <v>1903</v>
      </c>
      <c r="D5167" s="23" t="s">
        <v>32</v>
      </c>
      <c r="E5167" s="24">
        <v>45474.0</v>
      </c>
      <c r="F5167" s="25">
        <v>0.2826388888888889</v>
      </c>
      <c r="G5167" s="25">
        <v>0.5729166666666666</v>
      </c>
      <c r="H5167" s="27">
        <f t="shared" si="2"/>
        <v>0.2902777778</v>
      </c>
      <c r="I5167" s="28">
        <v>2.0</v>
      </c>
      <c r="J5167" s="39" t="s">
        <v>2524</v>
      </c>
      <c r="K5167" s="41"/>
      <c r="L5167" s="31" t="str">
        <f>IFERROR(__xludf.DUMMYFUNCTION("IF(OR(E5167="""",K5167=""""),"""",IFERROR(IF(K5167="""","""",query('tbl user'!$A$2:$D10975,""SELECT A WHERE D = '""&amp;K5167&amp;""'"")),""USER TIDAK DIKETAHUI""))"),"")</f>
        <v/>
      </c>
    </row>
    <row r="5168">
      <c r="A5168" s="21">
        <f t="shared" si="1"/>
        <v>45476.57388</v>
      </c>
      <c r="B5168" s="40" t="s">
        <v>2443</v>
      </c>
      <c r="C5168" s="23" t="s">
        <v>2190</v>
      </c>
      <c r="D5168" s="23" t="s">
        <v>32</v>
      </c>
      <c r="E5168" s="24">
        <v>45474.0</v>
      </c>
      <c r="F5168" s="25">
        <v>0.29097222222222224</v>
      </c>
      <c r="G5168" s="25">
        <v>0.6256944444444444</v>
      </c>
      <c r="H5168" s="27">
        <f t="shared" si="2"/>
        <v>0.3347222222</v>
      </c>
      <c r="I5168" s="28">
        <v>3.0</v>
      </c>
      <c r="J5168" s="39" t="s">
        <v>2525</v>
      </c>
      <c r="K5168" s="41"/>
      <c r="L5168" s="31" t="str">
        <f>IFERROR(__xludf.DUMMYFUNCTION("IF(OR(E5168="""",K5168=""""),"""",IFERROR(IF(K5168="""","""",query('tbl user'!$A$2:$D10975,""SELECT A WHERE D = '""&amp;K5168&amp;""'"")),""USER TIDAK DIKETAHUI""))"),"")</f>
        <v/>
      </c>
    </row>
    <row r="5169">
      <c r="A5169" s="21">
        <f t="shared" si="1"/>
        <v>45476.57388</v>
      </c>
      <c r="B5169" s="40" t="s">
        <v>2526</v>
      </c>
      <c r="C5169" s="23" t="s">
        <v>1902</v>
      </c>
      <c r="D5169" s="23" t="s">
        <v>32</v>
      </c>
      <c r="E5169" s="24">
        <v>45474.0</v>
      </c>
      <c r="F5169" s="25">
        <v>0.3138888888888889</v>
      </c>
      <c r="G5169" s="25">
        <v>0.6548611111111111</v>
      </c>
      <c r="H5169" s="27">
        <f t="shared" si="2"/>
        <v>0.3409722222</v>
      </c>
      <c r="I5169" s="28">
        <v>3.0</v>
      </c>
      <c r="J5169" s="39" t="s">
        <v>2527</v>
      </c>
      <c r="K5169" s="41"/>
      <c r="L5169" s="31" t="str">
        <f>IFERROR(__xludf.DUMMYFUNCTION("IF(OR(E5169="""",K5169=""""),"""",IFERROR(IF(K5169="""","""",query('tbl user'!$A$2:$D10975,""SELECT A WHERE D = '""&amp;K5169&amp;""'"")),""USER TIDAK DIKETAHUI""))"),"")</f>
        <v/>
      </c>
    </row>
    <row r="5170">
      <c r="A5170" s="21">
        <f t="shared" si="1"/>
        <v>45476.57388</v>
      </c>
      <c r="B5170" s="40" t="s">
        <v>2453</v>
      </c>
      <c r="C5170" s="23" t="s">
        <v>1907</v>
      </c>
      <c r="D5170" s="23" t="s">
        <v>32</v>
      </c>
      <c r="E5170" s="24">
        <v>45474.0</v>
      </c>
      <c r="F5170" s="25">
        <v>0.2826388888888889</v>
      </c>
      <c r="G5170" s="25">
        <v>0.6152777777777778</v>
      </c>
      <c r="H5170" s="27">
        <f t="shared" si="2"/>
        <v>0.3326388889</v>
      </c>
      <c r="I5170" s="28">
        <v>3.0</v>
      </c>
      <c r="J5170" s="39" t="s">
        <v>2528</v>
      </c>
      <c r="K5170" s="41"/>
      <c r="L5170" s="31" t="str">
        <f>IFERROR(__xludf.DUMMYFUNCTION("IF(OR(E5170="""",K5170=""""),"""",IFERROR(IF(K5170="""","""",query('tbl user'!$A$2:$D10975,""SELECT A WHERE D = '""&amp;K5170&amp;""'"")),""USER TIDAK DIKETAHUI""))"),"")</f>
        <v/>
      </c>
    </row>
    <row r="5171">
      <c r="A5171" s="21">
        <f t="shared" si="1"/>
        <v>45476.57388</v>
      </c>
      <c r="B5171" s="40" t="s">
        <v>2441</v>
      </c>
      <c r="C5171" s="23" t="s">
        <v>2092</v>
      </c>
      <c r="D5171" s="23" t="s">
        <v>32</v>
      </c>
      <c r="E5171" s="24">
        <v>45474.0</v>
      </c>
      <c r="F5171" s="25">
        <v>0.28888888888888886</v>
      </c>
      <c r="G5171" s="25">
        <v>0.7291666666666666</v>
      </c>
      <c r="H5171" s="27">
        <f t="shared" si="2"/>
        <v>0.4402777778</v>
      </c>
      <c r="I5171" s="28">
        <v>4.0</v>
      </c>
      <c r="J5171" s="39" t="s">
        <v>55</v>
      </c>
      <c r="K5171" s="41"/>
      <c r="L5171" s="31" t="str">
        <f>IFERROR(__xludf.DUMMYFUNCTION("IF(OR(E5171="""",K5171=""""),"""",IFERROR(IF(K5171="""","""",query('tbl user'!$A$2:$D10975,""SELECT A WHERE D = '""&amp;K5171&amp;""'"")),""USER TIDAK DIKETAHUI""))"),"")</f>
        <v/>
      </c>
    </row>
    <row r="5172">
      <c r="A5172" s="21">
        <f t="shared" si="1"/>
        <v>45476.57388</v>
      </c>
      <c r="B5172" s="40" t="s">
        <v>2442</v>
      </c>
      <c r="C5172" s="23" t="s">
        <v>2066</v>
      </c>
      <c r="D5172" s="23" t="s">
        <v>32</v>
      </c>
      <c r="E5172" s="24">
        <v>45474.0</v>
      </c>
      <c r="F5172" s="25">
        <v>0.29097222222222224</v>
      </c>
      <c r="G5172" s="25">
        <v>0.6979166666666666</v>
      </c>
      <c r="H5172" s="27">
        <f t="shared" si="2"/>
        <v>0.4069444444</v>
      </c>
      <c r="I5172" s="28">
        <v>4.0</v>
      </c>
      <c r="J5172" s="39" t="s">
        <v>55</v>
      </c>
      <c r="K5172" s="41"/>
      <c r="L5172" s="31" t="str">
        <f>IFERROR(__xludf.DUMMYFUNCTION("IF(OR(E5172="""",K5172=""""),"""",IFERROR(IF(K5172="""","""",query('tbl user'!$A$2:$D10975,""SELECT A WHERE D = '""&amp;K5172&amp;""'"")),""USER TIDAK DIKETAHUI""))"),"")</f>
        <v/>
      </c>
    </row>
    <row r="5173">
      <c r="A5173" s="21">
        <f t="shared" si="1"/>
        <v>45476.57388</v>
      </c>
      <c r="B5173" s="40" t="s">
        <v>2450</v>
      </c>
      <c r="C5173" s="23" t="s">
        <v>1894</v>
      </c>
      <c r="D5173" s="23" t="s">
        <v>32</v>
      </c>
      <c r="E5173" s="24">
        <v>45474.0</v>
      </c>
      <c r="F5173" s="25">
        <v>0.26666666666666666</v>
      </c>
      <c r="G5173" s="25">
        <v>0.65625</v>
      </c>
      <c r="H5173" s="27">
        <f t="shared" si="2"/>
        <v>0.3895833333</v>
      </c>
      <c r="I5173" s="28">
        <v>4.0</v>
      </c>
      <c r="J5173" s="39" t="s">
        <v>55</v>
      </c>
      <c r="K5173" s="41"/>
      <c r="L5173" s="31" t="str">
        <f>IFERROR(__xludf.DUMMYFUNCTION("IF(OR(E5173="""",K5173=""""),"""",IFERROR(IF(K5173="""","""",query('tbl user'!$A$2:$D10975,""SELECT A WHERE D = '""&amp;K5173&amp;""'"")),""USER TIDAK DIKETAHUI""))"),"")</f>
        <v/>
      </c>
    </row>
    <row r="5174">
      <c r="A5174" s="21">
        <f t="shared" si="1"/>
        <v>45476.57388</v>
      </c>
      <c r="B5174" s="40" t="s">
        <v>2529</v>
      </c>
      <c r="C5174" s="23" t="s">
        <v>2252</v>
      </c>
      <c r="D5174" s="23" t="s">
        <v>32</v>
      </c>
      <c r="E5174" s="24">
        <v>45474.0</v>
      </c>
      <c r="F5174" s="25">
        <v>0.27152777777777776</v>
      </c>
      <c r="G5174" s="25">
        <v>0.6791666666666667</v>
      </c>
      <c r="H5174" s="27">
        <f t="shared" si="2"/>
        <v>0.4076388889</v>
      </c>
      <c r="I5174" s="28">
        <v>4.0</v>
      </c>
      <c r="J5174" s="39" t="s">
        <v>55</v>
      </c>
      <c r="K5174" s="41"/>
      <c r="L5174" s="31" t="str">
        <f>IFERROR(__xludf.DUMMYFUNCTION("IF(OR(E5174="""",K5174=""""),"""",IFERROR(IF(K5174="""","""",query('tbl user'!$A$2:$D10975,""SELECT A WHERE D = '""&amp;K5174&amp;""'"")),""USER TIDAK DIKETAHUI""))"),"")</f>
        <v/>
      </c>
    </row>
    <row r="5175">
      <c r="A5175" s="21">
        <f t="shared" si="1"/>
        <v>45476.57388</v>
      </c>
      <c r="B5175" s="40" t="s">
        <v>2451</v>
      </c>
      <c r="C5175" s="23" t="s">
        <v>1967</v>
      </c>
      <c r="D5175" s="23" t="s">
        <v>32</v>
      </c>
      <c r="E5175" s="24">
        <v>45474.0</v>
      </c>
      <c r="F5175" s="25">
        <v>0.26319444444444445</v>
      </c>
      <c r="G5175" s="25">
        <v>0.6541666666666667</v>
      </c>
      <c r="H5175" s="27">
        <f t="shared" si="2"/>
        <v>0.3909722222</v>
      </c>
      <c r="I5175" s="28">
        <v>4.0</v>
      </c>
      <c r="J5175" s="39" t="s">
        <v>55</v>
      </c>
      <c r="K5175" s="41"/>
      <c r="L5175" s="31" t="str">
        <f>IFERROR(__xludf.DUMMYFUNCTION("IF(OR(E5175="""",K5175=""""),"""",IFERROR(IF(K5175="""","""",query('tbl user'!$A$2:$D10975,""SELECT A WHERE D = '""&amp;K5175&amp;""'"")),""USER TIDAK DIKETAHUI""))"),"")</f>
        <v/>
      </c>
    </row>
    <row r="5176">
      <c r="A5176" s="21">
        <f t="shared" si="1"/>
        <v>45476.57388</v>
      </c>
      <c r="B5176" s="40" t="s">
        <v>2452</v>
      </c>
      <c r="C5176" s="23" t="s">
        <v>1912</v>
      </c>
      <c r="D5176" s="23" t="s">
        <v>32</v>
      </c>
      <c r="E5176" s="24">
        <v>45474.0</v>
      </c>
      <c r="F5176" s="25">
        <v>0.27152777777777776</v>
      </c>
      <c r="G5176" s="25">
        <v>0.6881944444444444</v>
      </c>
      <c r="H5176" s="27">
        <f t="shared" si="2"/>
        <v>0.4166666667</v>
      </c>
      <c r="I5176" s="28">
        <v>4.0</v>
      </c>
      <c r="J5176" s="39" t="s">
        <v>55</v>
      </c>
      <c r="K5176" s="41"/>
      <c r="L5176" s="31" t="str">
        <f>IFERROR(__xludf.DUMMYFUNCTION("IF(OR(E5176="""",K5176=""""),"""",IFERROR(IF(K5176="""","""",query('tbl user'!$A$2:$D10975,""SELECT A WHERE D = '""&amp;K5176&amp;""'"")),""USER TIDAK DIKETAHUI""))"),"")</f>
        <v/>
      </c>
    </row>
    <row r="5177">
      <c r="A5177" s="21">
        <f t="shared" si="1"/>
        <v>45476.57388</v>
      </c>
      <c r="B5177" s="40" t="s">
        <v>2439</v>
      </c>
      <c r="C5177" s="23" t="s">
        <v>1990</v>
      </c>
      <c r="D5177" s="23" t="s">
        <v>32</v>
      </c>
      <c r="E5177" s="24">
        <v>45474.0</v>
      </c>
      <c r="F5177" s="25">
        <v>0.2875</v>
      </c>
      <c r="G5177" s="25">
        <v>0.7097222222222223</v>
      </c>
      <c r="H5177" s="27">
        <f t="shared" si="2"/>
        <v>0.4222222222</v>
      </c>
      <c r="I5177" s="28">
        <v>4.0</v>
      </c>
      <c r="J5177" s="39" t="s">
        <v>55</v>
      </c>
      <c r="K5177" s="41"/>
      <c r="L5177" s="31" t="str">
        <f>IFERROR(__xludf.DUMMYFUNCTION("IF(OR(E5177="""",K5177=""""),"""",IFERROR(IF(K5177="""","""",query('tbl user'!$A$2:$D10975,""SELECT A WHERE D = '""&amp;K5177&amp;""'"")),""USER TIDAK DIKETAHUI""))"),"")</f>
        <v/>
      </c>
    </row>
    <row r="5178">
      <c r="A5178" s="21">
        <f t="shared" si="1"/>
        <v>45476.57388</v>
      </c>
      <c r="B5178" s="40" t="s">
        <v>2449</v>
      </c>
      <c r="C5178" s="23" t="s">
        <v>1908</v>
      </c>
      <c r="D5178" s="23" t="s">
        <v>32</v>
      </c>
      <c r="E5178" s="24">
        <v>45474.0</v>
      </c>
      <c r="F5178" s="25">
        <v>0.28194444444444444</v>
      </c>
      <c r="G5178" s="25">
        <v>0.6854166666666667</v>
      </c>
      <c r="H5178" s="27">
        <f t="shared" si="2"/>
        <v>0.4034722222</v>
      </c>
      <c r="I5178" s="28">
        <v>4.0</v>
      </c>
      <c r="J5178" s="39" t="s">
        <v>55</v>
      </c>
      <c r="K5178" s="41"/>
      <c r="L5178" s="31" t="str">
        <f>IFERROR(__xludf.DUMMYFUNCTION("IF(OR(E5178="""",K5178=""""),"""",IFERROR(IF(K5178="""","""",query('tbl user'!$A$2:$D10975,""SELECT A WHERE D = '""&amp;K5178&amp;""'"")),""USER TIDAK DIKETAHUI""))"),"")</f>
        <v/>
      </c>
    </row>
    <row r="5179">
      <c r="A5179" s="21">
        <f t="shared" si="1"/>
        <v>45476.57388</v>
      </c>
      <c r="B5179" s="40" t="s">
        <v>2492</v>
      </c>
      <c r="C5179" s="23" t="s">
        <v>1913</v>
      </c>
      <c r="D5179" s="23" t="s">
        <v>32</v>
      </c>
      <c r="E5179" s="24">
        <v>45474.0</v>
      </c>
      <c r="F5179" s="25">
        <v>0.2951388888888889</v>
      </c>
      <c r="G5179" s="25">
        <v>0.7305555555555555</v>
      </c>
      <c r="H5179" s="27">
        <f t="shared" si="2"/>
        <v>0.4354166667</v>
      </c>
      <c r="I5179" s="28">
        <v>4.0</v>
      </c>
      <c r="J5179" s="39" t="s">
        <v>55</v>
      </c>
      <c r="K5179" s="41"/>
      <c r="L5179" s="31" t="str">
        <f>IFERROR(__xludf.DUMMYFUNCTION("IF(OR(E5179="""",K5179=""""),"""",IFERROR(IF(K5179="""","""",query('tbl user'!$A$2:$D10975,""SELECT A WHERE D = '""&amp;K5179&amp;""'"")),""USER TIDAK DIKETAHUI""))"),"")</f>
        <v/>
      </c>
    </row>
    <row r="5180">
      <c r="A5180" s="21">
        <f t="shared" si="1"/>
        <v>45476.57388</v>
      </c>
      <c r="B5180" s="40" t="s">
        <v>2486</v>
      </c>
      <c r="C5180" s="23" t="s">
        <v>1900</v>
      </c>
      <c r="D5180" s="23" t="s">
        <v>32</v>
      </c>
      <c r="E5180" s="24">
        <v>45474.0</v>
      </c>
      <c r="F5180" s="25">
        <v>0.26875</v>
      </c>
      <c r="G5180" s="25">
        <v>0.6895833333333333</v>
      </c>
      <c r="H5180" s="27">
        <f t="shared" si="2"/>
        <v>0.4208333333</v>
      </c>
      <c r="I5180" s="28">
        <v>4.0</v>
      </c>
      <c r="J5180" s="39" t="s">
        <v>55</v>
      </c>
      <c r="K5180" s="41"/>
      <c r="L5180" s="31" t="str">
        <f>IFERROR(__xludf.DUMMYFUNCTION("IF(OR(E5180="""",K5180=""""),"""",IFERROR(IF(K5180="""","""",query('tbl user'!$A$2:$D10975,""SELECT A WHERE D = '""&amp;K5180&amp;""'"")),""USER TIDAK DIKETAHUI""))"),"")</f>
        <v/>
      </c>
    </row>
    <row r="5181">
      <c r="A5181" s="21">
        <f t="shared" si="1"/>
        <v>45476.58527</v>
      </c>
      <c r="B5181" s="40" t="s">
        <v>2395</v>
      </c>
      <c r="C5181" s="23" t="s">
        <v>1827</v>
      </c>
      <c r="D5181" s="23" t="s">
        <v>21</v>
      </c>
      <c r="E5181" s="24">
        <v>45475.0</v>
      </c>
      <c r="F5181" s="25">
        <v>0.4083333333333333</v>
      </c>
      <c r="G5181" s="25">
        <v>0.7159722222222222</v>
      </c>
      <c r="H5181" s="27">
        <f t="shared" si="2"/>
        <v>0.3076388889</v>
      </c>
      <c r="I5181" s="28">
        <v>2.0</v>
      </c>
      <c r="J5181" s="39" t="s">
        <v>245</v>
      </c>
      <c r="K5181" s="41"/>
      <c r="L5181" s="31" t="str">
        <f>IFERROR(__xludf.DUMMYFUNCTION("IF(OR(E5181="""",K5181=""""),"""",IFERROR(IF(K5181="""","""",query('tbl user'!$A$2:$D10975,""SELECT A WHERE D = '""&amp;K5181&amp;""'"")),""USER TIDAK DIKETAHUI""))"),"")</f>
        <v/>
      </c>
    </row>
    <row r="5182">
      <c r="A5182" s="21">
        <f t="shared" si="1"/>
        <v>45476.58527</v>
      </c>
      <c r="B5182" s="40" t="s">
        <v>2384</v>
      </c>
      <c r="C5182" s="23" t="s">
        <v>1833</v>
      </c>
      <c r="D5182" s="23" t="s">
        <v>21</v>
      </c>
      <c r="E5182" s="24">
        <v>45475.0</v>
      </c>
      <c r="F5182" s="25">
        <v>0.29097222222222224</v>
      </c>
      <c r="G5182" s="25">
        <v>0.6256944444444444</v>
      </c>
      <c r="H5182" s="27">
        <f t="shared" si="2"/>
        <v>0.3347222222</v>
      </c>
      <c r="I5182" s="28">
        <v>2.0</v>
      </c>
      <c r="J5182" s="39" t="s">
        <v>1349</v>
      </c>
      <c r="K5182" s="41"/>
      <c r="L5182" s="31" t="str">
        <f>IFERROR(__xludf.DUMMYFUNCTION("IF(OR(E5182="""",K5182=""""),"""",IFERROR(IF(K5182="""","""",query('tbl user'!$A$2:$D10975,""SELECT A WHERE D = '""&amp;K5182&amp;""'"")),""USER TIDAK DIKETAHUI""))"),"")</f>
        <v/>
      </c>
    </row>
    <row r="5183">
      <c r="A5183" s="21">
        <f t="shared" si="1"/>
        <v>45476.58527</v>
      </c>
      <c r="B5183" s="40" t="s">
        <v>2390</v>
      </c>
      <c r="C5183" s="23" t="s">
        <v>2136</v>
      </c>
      <c r="D5183" s="23" t="s">
        <v>21</v>
      </c>
      <c r="E5183" s="24">
        <v>45475.0</v>
      </c>
      <c r="F5183" s="25">
        <v>0.26805555555555555</v>
      </c>
      <c r="G5183" s="25">
        <v>0.5694444444444444</v>
      </c>
      <c r="H5183" s="27">
        <f t="shared" si="2"/>
        <v>0.3013888889</v>
      </c>
      <c r="I5183" s="28">
        <v>2.0</v>
      </c>
      <c r="J5183" s="39" t="s">
        <v>2530</v>
      </c>
      <c r="K5183" s="41"/>
      <c r="L5183" s="31" t="str">
        <f>IFERROR(__xludf.DUMMYFUNCTION("IF(OR(E5183="""",K5183=""""),"""",IFERROR(IF(K5183="""","""",query('tbl user'!$A$2:$D10975,""SELECT A WHERE D = '""&amp;K5183&amp;""'"")),""USER TIDAK DIKETAHUI""))"),"")</f>
        <v/>
      </c>
    </row>
    <row r="5184">
      <c r="A5184" s="21">
        <f t="shared" si="1"/>
        <v>45476.58527</v>
      </c>
      <c r="B5184" s="40" t="s">
        <v>2393</v>
      </c>
      <c r="C5184" s="23" t="s">
        <v>1925</v>
      </c>
      <c r="D5184" s="23" t="s">
        <v>21</v>
      </c>
      <c r="E5184" s="24">
        <v>45475.0</v>
      </c>
      <c r="F5184" s="25">
        <v>0.2548611111111111</v>
      </c>
      <c r="G5184" s="25">
        <v>0.4986111111111111</v>
      </c>
      <c r="H5184" s="27">
        <f t="shared" si="2"/>
        <v>0.24375</v>
      </c>
      <c r="I5184" s="28">
        <v>2.0</v>
      </c>
      <c r="J5184" s="39" t="s">
        <v>2531</v>
      </c>
      <c r="K5184" s="41"/>
      <c r="L5184" s="31" t="str">
        <f>IFERROR(__xludf.DUMMYFUNCTION("IF(OR(E5184="""",K5184=""""),"""",IFERROR(IF(K5184="""","""",query('tbl user'!$A$2:$D10975,""SELECT A WHERE D = '""&amp;K5184&amp;""'"")),""USER TIDAK DIKETAHUI""))"),"")</f>
        <v/>
      </c>
    </row>
    <row r="5185">
      <c r="A5185" s="21">
        <f t="shared" si="1"/>
        <v>45476.58527</v>
      </c>
      <c r="B5185" s="40" t="s">
        <v>2394</v>
      </c>
      <c r="C5185" s="23" t="s">
        <v>1837</v>
      </c>
      <c r="D5185" s="23" t="s">
        <v>21</v>
      </c>
      <c r="E5185" s="24">
        <v>45475.0</v>
      </c>
      <c r="F5185" s="25">
        <v>0.25555555555555554</v>
      </c>
      <c r="G5185" s="25">
        <v>0.5722222222222222</v>
      </c>
      <c r="H5185" s="27">
        <f t="shared" si="2"/>
        <v>0.3166666667</v>
      </c>
      <c r="I5185" s="28">
        <v>2.0</v>
      </c>
      <c r="J5185" s="39" t="s">
        <v>2532</v>
      </c>
      <c r="K5185" s="41"/>
      <c r="L5185" s="31" t="str">
        <f>IFERROR(__xludf.DUMMYFUNCTION("IF(OR(E5185="""",K5185=""""),"""",IFERROR(IF(K5185="""","""",query('tbl user'!$A$2:$D10975,""SELECT A WHERE D = '""&amp;K5185&amp;""'"")),""USER TIDAK DIKETAHUI""))"),"")</f>
        <v/>
      </c>
    </row>
    <row r="5186">
      <c r="A5186" s="21">
        <f t="shared" si="1"/>
        <v>45476.58527</v>
      </c>
      <c r="B5186" s="40" t="s">
        <v>2376</v>
      </c>
      <c r="C5186" s="23" t="s">
        <v>1853</v>
      </c>
      <c r="D5186" s="23" t="s">
        <v>21</v>
      </c>
      <c r="E5186" s="24">
        <v>45475.0</v>
      </c>
      <c r="F5186" s="25">
        <v>0.275</v>
      </c>
      <c r="G5186" s="25">
        <v>0.7152777777777778</v>
      </c>
      <c r="H5186" s="27">
        <f t="shared" si="2"/>
        <v>0.4402777778</v>
      </c>
      <c r="I5186" s="28">
        <v>3.0</v>
      </c>
      <c r="J5186" s="39" t="s">
        <v>2533</v>
      </c>
      <c r="K5186" s="41"/>
      <c r="L5186" s="31" t="str">
        <f>IFERROR(__xludf.DUMMYFUNCTION("IF(OR(E5186="""",K5186=""""),"""",IFERROR(IF(K5186="""","""",query('tbl user'!$A$2:$D10975,""SELECT A WHERE D = '""&amp;K5186&amp;""'"")),""USER TIDAK DIKETAHUI""))"),"")</f>
        <v/>
      </c>
    </row>
    <row r="5187">
      <c r="A5187" s="21">
        <f t="shared" si="1"/>
        <v>45476.58527</v>
      </c>
      <c r="B5187" s="40" t="s">
        <v>2365</v>
      </c>
      <c r="C5187" s="23" t="s">
        <v>1830</v>
      </c>
      <c r="D5187" s="23" t="s">
        <v>21</v>
      </c>
      <c r="E5187" s="24">
        <v>45475.0</v>
      </c>
      <c r="F5187" s="25">
        <v>0.27847222222222223</v>
      </c>
      <c r="G5187" s="25">
        <v>0.6881944444444444</v>
      </c>
      <c r="H5187" s="27">
        <f t="shared" si="2"/>
        <v>0.4097222222</v>
      </c>
      <c r="I5187" s="28">
        <v>3.0</v>
      </c>
      <c r="J5187" s="39" t="s">
        <v>2533</v>
      </c>
      <c r="K5187" s="41"/>
      <c r="L5187" s="31" t="str">
        <f>IFERROR(__xludf.DUMMYFUNCTION("IF(OR(E5187="""",K5187=""""),"""",IFERROR(IF(K5187="""","""",query('tbl user'!$A$2:$D10975,""SELECT A WHERE D = '""&amp;K5187&amp;""'"")),""USER TIDAK DIKETAHUI""))"),"")</f>
        <v/>
      </c>
    </row>
    <row r="5188">
      <c r="A5188" s="21">
        <f t="shared" si="1"/>
        <v>45476.58527</v>
      </c>
      <c r="B5188" s="40" t="s">
        <v>2387</v>
      </c>
      <c r="C5188" s="23" t="s">
        <v>1923</v>
      </c>
      <c r="D5188" s="23" t="s">
        <v>21</v>
      </c>
      <c r="E5188" s="24">
        <v>45475.0</v>
      </c>
      <c r="F5188" s="25">
        <v>0.2847222222222222</v>
      </c>
      <c r="G5188" s="25">
        <v>0.7541666666666667</v>
      </c>
      <c r="H5188" s="27">
        <f t="shared" si="2"/>
        <v>0.4694444444</v>
      </c>
      <c r="I5188" s="28">
        <v>3.0</v>
      </c>
      <c r="J5188" s="39" t="s">
        <v>2534</v>
      </c>
      <c r="K5188" s="41"/>
      <c r="L5188" s="31" t="str">
        <f>IFERROR(__xludf.DUMMYFUNCTION("IF(OR(E5188="""",K5188=""""),"""",IFERROR(IF(K5188="""","""",query('tbl user'!$A$2:$D10975,""SELECT A WHERE D = '""&amp;K5188&amp;""'"")),""USER TIDAK DIKETAHUI""))"),"")</f>
        <v/>
      </c>
    </row>
    <row r="5189">
      <c r="A5189" s="21">
        <f t="shared" si="1"/>
        <v>45476.58527</v>
      </c>
      <c r="B5189" s="40" t="s">
        <v>2378</v>
      </c>
      <c r="C5189" s="23" t="s">
        <v>1854</v>
      </c>
      <c r="D5189" s="23" t="s">
        <v>21</v>
      </c>
      <c r="E5189" s="24">
        <v>45475.0</v>
      </c>
      <c r="F5189" s="25">
        <v>0.2590277777777778</v>
      </c>
      <c r="G5189" s="25">
        <v>0.675</v>
      </c>
      <c r="H5189" s="27">
        <f t="shared" si="2"/>
        <v>0.4159722222</v>
      </c>
      <c r="I5189" s="28">
        <v>3.0</v>
      </c>
      <c r="J5189" s="39" t="s">
        <v>2533</v>
      </c>
      <c r="K5189" s="41"/>
      <c r="L5189" s="31" t="str">
        <f>IFERROR(__xludf.DUMMYFUNCTION("IF(OR(E5189="""",K5189=""""),"""",IFERROR(IF(K5189="""","""",query('tbl user'!$A$2:$D10975,""SELECT A WHERE D = '""&amp;K5189&amp;""'"")),""USER TIDAK DIKETAHUI""))"),"")</f>
        <v/>
      </c>
    </row>
    <row r="5190">
      <c r="A5190" s="21">
        <f t="shared" si="1"/>
        <v>45476.58527</v>
      </c>
      <c r="B5190" s="40" t="s">
        <v>2379</v>
      </c>
      <c r="C5190" s="23" t="s">
        <v>1835</v>
      </c>
      <c r="D5190" s="23" t="s">
        <v>21</v>
      </c>
      <c r="E5190" s="24">
        <v>45475.0</v>
      </c>
      <c r="F5190" s="25">
        <v>0.27291666666666664</v>
      </c>
      <c r="G5190" s="25">
        <v>0.6847222222222222</v>
      </c>
      <c r="H5190" s="27">
        <f t="shared" si="2"/>
        <v>0.4118055556</v>
      </c>
      <c r="I5190" s="28">
        <v>3.0</v>
      </c>
      <c r="J5190" s="39" t="s">
        <v>2535</v>
      </c>
      <c r="K5190" s="41"/>
      <c r="L5190" s="31" t="str">
        <f>IFERROR(__xludf.DUMMYFUNCTION("IF(OR(E5190="""",K5190=""""),"""",IFERROR(IF(K5190="""","""",query('tbl user'!$A$2:$D10975,""SELECT A WHERE D = '""&amp;K5190&amp;""'"")),""USER TIDAK DIKETAHUI""))"),"")</f>
        <v/>
      </c>
    </row>
    <row r="5191">
      <c r="A5191" s="21">
        <f t="shared" si="1"/>
        <v>45476.58527</v>
      </c>
      <c r="B5191" s="40" t="s">
        <v>2460</v>
      </c>
      <c r="C5191" s="23" t="s">
        <v>1856</v>
      </c>
      <c r="D5191" s="23" t="s">
        <v>21</v>
      </c>
      <c r="E5191" s="24">
        <v>45475.0</v>
      </c>
      <c r="F5191" s="25">
        <v>0.25416666666666665</v>
      </c>
      <c r="G5191" s="25">
        <v>0.7729166666666667</v>
      </c>
      <c r="H5191" s="27">
        <f t="shared" si="2"/>
        <v>0.51875</v>
      </c>
      <c r="I5191" s="28">
        <v>3.0</v>
      </c>
      <c r="J5191" s="39" t="s">
        <v>2536</v>
      </c>
      <c r="K5191" s="41"/>
      <c r="L5191" s="31" t="str">
        <f>IFERROR(__xludf.DUMMYFUNCTION("IF(OR(E5191="""",K5191=""""),"""",IFERROR(IF(K5191="""","""",query('tbl user'!$A$2:$D10975,""SELECT A WHERE D = '""&amp;K5191&amp;""'"")),""USER TIDAK DIKETAHUI""))"),"")</f>
        <v/>
      </c>
    </row>
    <row r="5192">
      <c r="A5192" s="21">
        <f t="shared" si="1"/>
        <v>45476.58527</v>
      </c>
      <c r="B5192" s="40" t="s">
        <v>2371</v>
      </c>
      <c r="C5192" s="23" t="s">
        <v>1845</v>
      </c>
      <c r="D5192" s="23" t="s">
        <v>21</v>
      </c>
      <c r="E5192" s="24">
        <v>45475.0</v>
      </c>
      <c r="F5192" s="25">
        <v>0.27569444444444446</v>
      </c>
      <c r="G5192" s="25">
        <v>0.68125</v>
      </c>
      <c r="H5192" s="27">
        <f t="shared" si="2"/>
        <v>0.4055555556</v>
      </c>
      <c r="I5192" s="28">
        <v>3.0</v>
      </c>
      <c r="J5192" s="39" t="s">
        <v>2533</v>
      </c>
      <c r="K5192" s="41"/>
      <c r="L5192" s="31" t="str">
        <f>IFERROR(__xludf.DUMMYFUNCTION("IF(OR(E5192="""",K5192=""""),"""",IFERROR(IF(K5192="""","""",query('tbl user'!$A$2:$D10975,""SELECT A WHERE D = '""&amp;K5192&amp;""'"")),""USER TIDAK DIKETAHUI""))"),"")</f>
        <v/>
      </c>
    </row>
    <row r="5193">
      <c r="A5193" s="21">
        <f t="shared" si="1"/>
        <v>45476.58527</v>
      </c>
      <c r="B5193" s="40" t="s">
        <v>2382</v>
      </c>
      <c r="C5193" s="23" t="s">
        <v>1858</v>
      </c>
      <c r="D5193" s="23" t="s">
        <v>21</v>
      </c>
      <c r="E5193" s="24">
        <v>45475.0</v>
      </c>
      <c r="F5193" s="25">
        <v>0.2534722222222222</v>
      </c>
      <c r="G5193" s="25">
        <v>0.6138888888888889</v>
      </c>
      <c r="H5193" s="27">
        <f t="shared" si="2"/>
        <v>0.3604166667</v>
      </c>
      <c r="I5193" s="28">
        <v>3.0</v>
      </c>
      <c r="J5193" s="39" t="s">
        <v>2533</v>
      </c>
      <c r="K5193" s="41"/>
      <c r="L5193" s="31" t="str">
        <f>IFERROR(__xludf.DUMMYFUNCTION("IF(OR(E5193="""",K5193=""""),"""",IFERROR(IF(K5193="""","""",query('tbl user'!$A$2:$D10975,""SELECT A WHERE D = '""&amp;K5193&amp;""'"")),""USER TIDAK DIKETAHUI""))"),"")</f>
        <v/>
      </c>
    </row>
    <row r="5194">
      <c r="A5194" s="21">
        <f t="shared" si="1"/>
        <v>45476.58527</v>
      </c>
      <c r="B5194" s="40" t="s">
        <v>2373</v>
      </c>
      <c r="C5194" s="23" t="s">
        <v>1847</v>
      </c>
      <c r="D5194" s="23" t="s">
        <v>21</v>
      </c>
      <c r="E5194" s="24">
        <v>45475.0</v>
      </c>
      <c r="F5194" s="25">
        <v>0.24513888888888888</v>
      </c>
      <c r="G5194" s="25">
        <v>0.7722222222222223</v>
      </c>
      <c r="H5194" s="27">
        <f t="shared" si="2"/>
        <v>0.5270833333</v>
      </c>
      <c r="I5194" s="28">
        <v>3.0</v>
      </c>
      <c r="J5194" s="39" t="s">
        <v>2537</v>
      </c>
      <c r="K5194" s="41"/>
      <c r="L5194" s="31" t="str">
        <f>IFERROR(__xludf.DUMMYFUNCTION("IF(OR(E5194="""",K5194=""""),"""",IFERROR(IF(K5194="""","""",query('tbl user'!$A$2:$D10975,""SELECT A WHERE D = '""&amp;K5194&amp;""'"")),""USER TIDAK DIKETAHUI""))"),"")</f>
        <v/>
      </c>
    </row>
    <row r="5195">
      <c r="A5195" s="21">
        <f t="shared" si="1"/>
        <v>45476.58527</v>
      </c>
      <c r="B5195" s="40" t="s">
        <v>2462</v>
      </c>
      <c r="C5195" s="23" t="s">
        <v>1928</v>
      </c>
      <c r="D5195" s="23" t="s">
        <v>21</v>
      </c>
      <c r="E5195" s="24">
        <v>45475.0</v>
      </c>
      <c r="F5195" s="25">
        <v>0.2875</v>
      </c>
      <c r="G5195" s="25">
        <v>0.7131944444444445</v>
      </c>
      <c r="H5195" s="27">
        <f t="shared" si="2"/>
        <v>0.4256944444</v>
      </c>
      <c r="I5195" s="28">
        <v>3.0</v>
      </c>
      <c r="J5195" s="39" t="s">
        <v>2533</v>
      </c>
      <c r="K5195" s="41"/>
      <c r="L5195" s="31" t="str">
        <f>IFERROR(__xludf.DUMMYFUNCTION("IF(OR(E5195="""",K5195=""""),"""",IFERROR(IF(K5195="""","""",query('tbl user'!$A$2:$D10975,""SELECT A WHERE D = '""&amp;K5195&amp;""'"")),""USER TIDAK DIKETAHUI""))"),"")</f>
        <v/>
      </c>
    </row>
    <row r="5196">
      <c r="A5196" s="21">
        <f t="shared" si="1"/>
        <v>45476.58527</v>
      </c>
      <c r="B5196" s="40" t="s">
        <v>2397</v>
      </c>
      <c r="C5196" s="23" t="s">
        <v>1935</v>
      </c>
      <c r="D5196" s="23" t="s">
        <v>21</v>
      </c>
      <c r="E5196" s="24">
        <v>45475.0</v>
      </c>
      <c r="F5196" s="25">
        <v>0.25833333333333336</v>
      </c>
      <c r="G5196" s="25">
        <v>0.68125</v>
      </c>
      <c r="H5196" s="27">
        <f t="shared" si="2"/>
        <v>0.4229166667</v>
      </c>
      <c r="I5196" s="28">
        <v>3.0</v>
      </c>
      <c r="J5196" s="39" t="s">
        <v>2533</v>
      </c>
      <c r="K5196" s="41"/>
      <c r="L5196" s="31" t="str">
        <f>IFERROR(__xludf.DUMMYFUNCTION("IF(OR(E5196="""",K5196=""""),"""",IFERROR(IF(K5196="""","""",query('tbl user'!$A$2:$D10975,""SELECT A WHERE D = '""&amp;K5196&amp;""'"")),""USER TIDAK DIKETAHUI""))"),"")</f>
        <v/>
      </c>
    </row>
    <row r="5197">
      <c r="A5197" s="21">
        <f t="shared" si="1"/>
        <v>45476.58527</v>
      </c>
      <c r="B5197" s="40" t="s">
        <v>2374</v>
      </c>
      <c r="C5197" s="23" t="s">
        <v>1850</v>
      </c>
      <c r="D5197" s="23" t="s">
        <v>21</v>
      </c>
      <c r="E5197" s="24">
        <v>45475.0</v>
      </c>
      <c r="F5197" s="25">
        <v>0.2708333333333333</v>
      </c>
      <c r="G5197" s="25">
        <v>0.66875</v>
      </c>
      <c r="H5197" s="27">
        <f t="shared" si="2"/>
        <v>0.3979166667</v>
      </c>
      <c r="I5197" s="28">
        <v>3.0</v>
      </c>
      <c r="J5197" s="39" t="s">
        <v>2538</v>
      </c>
      <c r="K5197" s="41"/>
      <c r="L5197" s="31" t="str">
        <f>IFERROR(__xludf.DUMMYFUNCTION("IF(OR(E5197="""",K5197=""""),"""",IFERROR(IF(K5197="""","""",query('tbl user'!$A$2:$D10975,""SELECT A WHERE D = '""&amp;K5197&amp;""'"")),""USER TIDAK DIKETAHUI""))"),"")</f>
        <v/>
      </c>
    </row>
    <row r="5198">
      <c r="A5198" s="21">
        <f t="shared" si="1"/>
        <v>45476.58527</v>
      </c>
      <c r="B5198" s="40" t="s">
        <v>2386</v>
      </c>
      <c r="C5198" s="23" t="s">
        <v>1843</v>
      </c>
      <c r="D5198" s="23" t="s">
        <v>21</v>
      </c>
      <c r="E5198" s="24">
        <v>45475.0</v>
      </c>
      <c r="F5198" s="25">
        <v>0.20902777777777778</v>
      </c>
      <c r="G5198" s="25">
        <v>0.7708333333333334</v>
      </c>
      <c r="H5198" s="27">
        <f t="shared" si="2"/>
        <v>0.5618055556</v>
      </c>
      <c r="I5198" s="28">
        <v>4.0</v>
      </c>
      <c r="J5198" s="39" t="s">
        <v>2533</v>
      </c>
      <c r="K5198" s="41"/>
      <c r="L5198" s="31" t="str">
        <f>IFERROR(__xludf.DUMMYFUNCTION("IF(OR(E5198="""",K5198=""""),"""",IFERROR(IF(K5198="""","""",query('tbl user'!$A$2:$D10975,""SELECT A WHERE D = '""&amp;K5198&amp;""'"")),""USER TIDAK DIKETAHUI""))"),"")</f>
        <v/>
      </c>
    </row>
    <row r="5199">
      <c r="A5199" s="21">
        <f t="shared" si="1"/>
        <v>45476.58527</v>
      </c>
      <c r="B5199" s="40" t="s">
        <v>2396</v>
      </c>
      <c r="C5199" s="23" t="s">
        <v>2049</v>
      </c>
      <c r="D5199" s="23" t="s">
        <v>21</v>
      </c>
      <c r="E5199" s="24">
        <v>45475.0</v>
      </c>
      <c r="F5199" s="25">
        <v>0.24027777777777778</v>
      </c>
      <c r="G5199" s="25">
        <v>0.7625</v>
      </c>
      <c r="H5199" s="27">
        <f t="shared" si="2"/>
        <v>0.5222222222</v>
      </c>
      <c r="I5199" s="28">
        <v>4.0</v>
      </c>
      <c r="J5199" s="39" t="s">
        <v>2539</v>
      </c>
      <c r="K5199" s="41"/>
      <c r="L5199" s="31" t="str">
        <f>IFERROR(__xludf.DUMMYFUNCTION("IF(OR(E5199="""",K5199=""""),"""",IFERROR(IF(K5199="""","""",query('tbl user'!$A$2:$D10975,""SELECT A WHERE D = '""&amp;K5199&amp;""'"")),""USER TIDAK DIKETAHUI""))"),"")</f>
        <v/>
      </c>
    </row>
    <row r="5200">
      <c r="A5200" s="21">
        <f t="shared" si="1"/>
        <v>45476.58527</v>
      </c>
      <c r="B5200" s="40" t="s">
        <v>2457</v>
      </c>
      <c r="C5200" s="23" t="s">
        <v>2005</v>
      </c>
      <c r="D5200" s="23" t="s">
        <v>21</v>
      </c>
      <c r="E5200" s="24">
        <v>45475.0</v>
      </c>
      <c r="F5200" s="25">
        <v>0.23958333333333334</v>
      </c>
      <c r="G5200" s="25">
        <v>0.7763888888888889</v>
      </c>
      <c r="H5200" s="27">
        <f t="shared" si="2"/>
        <v>0.5368055556</v>
      </c>
      <c r="I5200" s="28">
        <v>4.0</v>
      </c>
      <c r="J5200" s="39" t="s">
        <v>2540</v>
      </c>
      <c r="K5200" s="41"/>
      <c r="L5200" s="31" t="str">
        <f>IFERROR(__xludf.DUMMYFUNCTION("IF(OR(E5200="""",K5200=""""),"""",IFERROR(IF(K5200="""","""",query('tbl user'!$A$2:$D10975,""SELECT A WHERE D = '""&amp;K5200&amp;""'"")),""USER TIDAK DIKETAHUI""))"),"")</f>
        <v/>
      </c>
    </row>
    <row r="5201">
      <c r="A5201" s="21">
        <f t="shared" si="1"/>
        <v>45476.58527</v>
      </c>
      <c r="B5201" s="40" t="s">
        <v>2385</v>
      </c>
      <c r="C5201" s="23" t="s">
        <v>1852</v>
      </c>
      <c r="D5201" s="23" t="s">
        <v>21</v>
      </c>
      <c r="E5201" s="24">
        <v>45475.0</v>
      </c>
      <c r="F5201" s="25">
        <v>0.28402777777777777</v>
      </c>
      <c r="G5201" s="25">
        <v>0.6590277777777778</v>
      </c>
      <c r="H5201" s="27">
        <f t="shared" si="2"/>
        <v>0.375</v>
      </c>
      <c r="I5201" s="28">
        <v>2.0</v>
      </c>
      <c r="J5201" s="39" t="s">
        <v>2541</v>
      </c>
      <c r="K5201" s="41"/>
      <c r="L5201" s="31" t="str">
        <f>IFERROR(__xludf.DUMMYFUNCTION("IF(OR(E5201="""",K5201=""""),"""",IFERROR(IF(K5201="""","""",query('tbl user'!$A$2:$D10975,""SELECT A WHERE D = '""&amp;K5201&amp;""'"")),""USER TIDAK DIKETAHUI""))"),"")</f>
        <v/>
      </c>
    </row>
    <row r="5202">
      <c r="A5202" s="21">
        <f t="shared" si="1"/>
        <v>45476.58527</v>
      </c>
      <c r="B5202" s="40" t="s">
        <v>2398</v>
      </c>
      <c r="C5202" s="23" t="s">
        <v>1829</v>
      </c>
      <c r="D5202" s="23" t="s">
        <v>21</v>
      </c>
      <c r="E5202" s="24">
        <v>45475.0</v>
      </c>
      <c r="F5202" s="25">
        <v>0.2916666666666667</v>
      </c>
      <c r="G5202" s="25">
        <v>0.6555555555555556</v>
      </c>
      <c r="H5202" s="27">
        <f t="shared" si="2"/>
        <v>0.3638888889</v>
      </c>
      <c r="I5202" s="28">
        <v>2.0</v>
      </c>
      <c r="J5202" s="39" t="s">
        <v>2541</v>
      </c>
      <c r="K5202" s="41"/>
      <c r="L5202" s="31" t="str">
        <f>IFERROR(__xludf.DUMMYFUNCTION("IF(OR(E5202="""",K5202=""""),"""",IFERROR(IF(K5202="""","""",query('tbl user'!$A$2:$D10975,""SELECT A WHERE D = '""&amp;K5202&amp;""'"")),""USER TIDAK DIKETAHUI""))"),"")</f>
        <v/>
      </c>
    </row>
    <row r="5203">
      <c r="A5203" s="21">
        <f t="shared" si="1"/>
        <v>45476.58527</v>
      </c>
      <c r="B5203" s="40" t="s">
        <v>2400</v>
      </c>
      <c r="C5203" s="23" t="s">
        <v>1917</v>
      </c>
      <c r="D5203" s="23" t="s">
        <v>21</v>
      </c>
      <c r="E5203" s="24">
        <v>45475.0</v>
      </c>
      <c r="F5203" s="25">
        <v>0.27152777777777776</v>
      </c>
      <c r="G5203" s="25">
        <v>0.65625</v>
      </c>
      <c r="H5203" s="27">
        <f t="shared" si="2"/>
        <v>0.3847222222</v>
      </c>
      <c r="I5203" s="28">
        <v>2.0</v>
      </c>
      <c r="J5203" s="39" t="s">
        <v>2542</v>
      </c>
      <c r="K5203" s="41"/>
      <c r="L5203" s="31" t="str">
        <f>IFERROR(__xludf.DUMMYFUNCTION("IF(OR(E5203="""",K5203=""""),"""",IFERROR(IF(K5203="""","""",query('tbl user'!$A$2:$D10975,""SELECT A WHERE D = '""&amp;K5203&amp;""'"")),""USER TIDAK DIKETAHUI""))"),"")</f>
        <v/>
      </c>
    </row>
    <row r="5204">
      <c r="A5204" s="21">
        <f t="shared" si="1"/>
        <v>45476.58527</v>
      </c>
      <c r="B5204" s="40" t="s">
        <v>2418</v>
      </c>
      <c r="C5204" s="23" t="s">
        <v>1878</v>
      </c>
      <c r="D5204" s="23" t="s">
        <v>58</v>
      </c>
      <c r="E5204" s="24">
        <v>45475.0</v>
      </c>
      <c r="F5204" s="25">
        <v>0.3645833333333333</v>
      </c>
      <c r="G5204" s="25">
        <v>0.49722222222222223</v>
      </c>
      <c r="H5204" s="27">
        <f t="shared" si="2"/>
        <v>0.1326388889</v>
      </c>
      <c r="I5204" s="28">
        <v>1.0</v>
      </c>
      <c r="J5204" s="39" t="s">
        <v>2543</v>
      </c>
      <c r="K5204" s="41"/>
      <c r="L5204" s="31" t="str">
        <f>IFERROR(__xludf.DUMMYFUNCTION("IF(OR(E5204="""",K5204=""""),"""",IFERROR(IF(K5204="""","""",query('tbl user'!$A$2:$D10975,""SELECT A WHERE D = '""&amp;K5204&amp;""'"")),""USER TIDAK DIKETAHUI""))"),"")</f>
        <v/>
      </c>
    </row>
    <row r="5205">
      <c r="A5205" s="21">
        <f t="shared" si="1"/>
        <v>45476.58527</v>
      </c>
      <c r="B5205" s="40" t="s">
        <v>2422</v>
      </c>
      <c r="C5205" s="23" t="s">
        <v>1860</v>
      </c>
      <c r="D5205" s="23" t="s">
        <v>58</v>
      </c>
      <c r="E5205" s="24">
        <v>45475.0</v>
      </c>
      <c r="F5205" s="25">
        <v>0.23055555555555557</v>
      </c>
      <c r="G5205" s="25">
        <v>0.7402777777777778</v>
      </c>
      <c r="H5205" s="27">
        <f t="shared" si="2"/>
        <v>0.5097222222</v>
      </c>
      <c r="I5205" s="28">
        <v>1.0</v>
      </c>
      <c r="J5205" s="39" t="s">
        <v>2544</v>
      </c>
      <c r="K5205" s="41"/>
      <c r="L5205" s="31" t="str">
        <f>IFERROR(__xludf.DUMMYFUNCTION("IF(OR(E5205="""",K5205=""""),"""",IFERROR(IF(K5205="""","""",query('tbl user'!$A$2:$D10975,""SELECT A WHERE D = '""&amp;K5205&amp;""'"")),""USER TIDAK DIKETAHUI""))"),"")</f>
        <v/>
      </c>
    </row>
    <row r="5206">
      <c r="A5206" s="21">
        <f t="shared" si="1"/>
        <v>45476.58527</v>
      </c>
      <c r="B5206" s="40" t="s">
        <v>2427</v>
      </c>
      <c r="C5206" s="23" t="s">
        <v>1888</v>
      </c>
      <c r="D5206" s="23" t="s">
        <v>58</v>
      </c>
      <c r="E5206" s="24">
        <v>45475.0</v>
      </c>
      <c r="F5206" s="25">
        <v>0.26875</v>
      </c>
      <c r="G5206" s="25">
        <v>0.40555555555555556</v>
      </c>
      <c r="H5206" s="27">
        <f t="shared" si="2"/>
        <v>0.1368055556</v>
      </c>
      <c r="I5206" s="28">
        <v>1.0</v>
      </c>
      <c r="J5206" s="39" t="s">
        <v>2545</v>
      </c>
      <c r="K5206" s="41"/>
      <c r="L5206" s="31" t="str">
        <f>IFERROR(__xludf.DUMMYFUNCTION("IF(OR(E5206="""",K5206=""""),"""",IFERROR(IF(K5206="""","""",query('tbl user'!$A$2:$D10975,""SELECT A WHERE D = '""&amp;K5206&amp;""'"")),""USER TIDAK DIKETAHUI""))"),"")</f>
        <v/>
      </c>
    </row>
    <row r="5207">
      <c r="A5207" s="21">
        <f t="shared" si="1"/>
        <v>45476.58527</v>
      </c>
      <c r="B5207" s="40" t="s">
        <v>2363</v>
      </c>
      <c r="C5207" s="23" t="s">
        <v>1874</v>
      </c>
      <c r="D5207" s="23" t="s">
        <v>58</v>
      </c>
      <c r="E5207" s="24">
        <v>45475.0</v>
      </c>
      <c r="F5207" s="25">
        <v>0.29305555555555557</v>
      </c>
      <c r="G5207" s="25">
        <v>0.5986111111111111</v>
      </c>
      <c r="H5207" s="27">
        <f t="shared" si="2"/>
        <v>0.3055555556</v>
      </c>
      <c r="I5207" s="28">
        <v>2.0</v>
      </c>
      <c r="J5207" s="39" t="s">
        <v>2546</v>
      </c>
      <c r="K5207" s="41"/>
      <c r="L5207" s="31" t="str">
        <f>IFERROR(__xludf.DUMMYFUNCTION("IF(OR(E5207="""",K5207=""""),"""",IFERROR(IF(K5207="""","""",query('tbl user'!$A$2:$D10975,""SELECT A WHERE D = '""&amp;K5207&amp;""'"")),""USER TIDAK DIKETAHUI""))"),"")</f>
        <v/>
      </c>
    </row>
    <row r="5208">
      <c r="A5208" s="21">
        <f t="shared" si="1"/>
        <v>45476.58527</v>
      </c>
      <c r="B5208" s="40" t="s">
        <v>2404</v>
      </c>
      <c r="C5208" s="23" t="s">
        <v>1869</v>
      </c>
      <c r="D5208" s="23" t="s">
        <v>58</v>
      </c>
      <c r="E5208" s="24">
        <v>45475.0</v>
      </c>
      <c r="F5208" s="25">
        <v>0.33611111111111114</v>
      </c>
      <c r="G5208" s="25">
        <v>0.6020833333333333</v>
      </c>
      <c r="H5208" s="27">
        <f t="shared" si="2"/>
        <v>0.2659722222</v>
      </c>
      <c r="I5208" s="28">
        <v>2.0</v>
      </c>
      <c r="J5208" s="39" t="s">
        <v>2547</v>
      </c>
      <c r="K5208" s="41"/>
      <c r="L5208" s="31" t="str">
        <f>IFERROR(__xludf.DUMMYFUNCTION("IF(OR(E5208="""",K5208=""""),"""",IFERROR(IF(K5208="""","""",query('tbl user'!$A$2:$D10975,""SELECT A WHERE D = '""&amp;K5208&amp;""'"")),""USER TIDAK DIKETAHUI""))"),"")</f>
        <v/>
      </c>
    </row>
    <row r="5209">
      <c r="A5209" s="21">
        <f t="shared" si="1"/>
        <v>45476.58527</v>
      </c>
      <c r="B5209" s="40" t="s">
        <v>2359</v>
      </c>
      <c r="C5209" s="23" t="s">
        <v>1881</v>
      </c>
      <c r="D5209" s="23" t="s">
        <v>58</v>
      </c>
      <c r="E5209" s="24">
        <v>45475.0</v>
      </c>
      <c r="F5209" s="25">
        <v>0.3597222222222222</v>
      </c>
      <c r="G5209" s="25">
        <v>0.6694444444444444</v>
      </c>
      <c r="H5209" s="27">
        <f t="shared" si="2"/>
        <v>0.3097222222</v>
      </c>
      <c r="I5209" s="28">
        <v>2.0</v>
      </c>
      <c r="J5209" s="39" t="s">
        <v>2548</v>
      </c>
      <c r="K5209" s="41"/>
      <c r="L5209" s="31" t="str">
        <f>IFERROR(__xludf.DUMMYFUNCTION("IF(OR(E5209="""",K5209=""""),"""",IFERROR(IF(K5209="""","""",query('tbl user'!$A$2:$D10975,""SELECT A WHERE D = '""&amp;K5209&amp;""'"")),""USER TIDAK DIKETAHUI""))"),"")</f>
        <v/>
      </c>
    </row>
    <row r="5210">
      <c r="A5210" s="21">
        <f t="shared" si="1"/>
        <v>45476.58527</v>
      </c>
      <c r="B5210" s="40" t="s">
        <v>2428</v>
      </c>
      <c r="C5210" s="23" t="s">
        <v>1889</v>
      </c>
      <c r="D5210" s="23" t="s">
        <v>58</v>
      </c>
      <c r="E5210" s="24">
        <v>45475.0</v>
      </c>
      <c r="F5210" s="25">
        <v>0.27152777777777776</v>
      </c>
      <c r="G5210" s="25">
        <v>0.7243055555555555</v>
      </c>
      <c r="H5210" s="27">
        <f t="shared" si="2"/>
        <v>0.4527777778</v>
      </c>
      <c r="I5210" s="28">
        <v>2.0</v>
      </c>
      <c r="J5210" s="39" t="s">
        <v>309</v>
      </c>
      <c r="K5210" s="41"/>
      <c r="L5210" s="31" t="str">
        <f>IFERROR(__xludf.DUMMYFUNCTION("IF(OR(E5210="""",K5210=""""),"""",IFERROR(IF(K5210="""","""",query('tbl user'!$A$2:$D10975,""SELECT A WHERE D = '""&amp;K5210&amp;""'"")),""USER TIDAK DIKETAHUI""))"),"")</f>
        <v/>
      </c>
    </row>
    <row r="5211">
      <c r="A5211" s="21">
        <f t="shared" si="1"/>
        <v>45476.58527</v>
      </c>
      <c r="B5211" s="40" t="s">
        <v>2406</v>
      </c>
      <c r="C5211" s="23" t="s">
        <v>1871</v>
      </c>
      <c r="D5211" s="23" t="s">
        <v>58</v>
      </c>
      <c r="E5211" s="24">
        <v>45475.0</v>
      </c>
      <c r="F5211" s="25">
        <v>0.45555555555555555</v>
      </c>
      <c r="G5211" s="25">
        <v>0.7430555555555556</v>
      </c>
      <c r="H5211" s="27">
        <f t="shared" si="2"/>
        <v>0.2875</v>
      </c>
      <c r="I5211" s="28">
        <v>2.0</v>
      </c>
      <c r="J5211" s="39" t="s">
        <v>1617</v>
      </c>
      <c r="K5211" s="41"/>
      <c r="L5211" s="31" t="str">
        <f>IFERROR(__xludf.DUMMYFUNCTION("IF(OR(E5211="""",K5211=""""),"""",IFERROR(IF(K5211="""","""",query('tbl user'!$A$2:$D10975,""SELECT A WHERE D = '""&amp;K5211&amp;""'"")),""USER TIDAK DIKETAHUI""))"),"")</f>
        <v/>
      </c>
    </row>
    <row r="5212">
      <c r="A5212" s="21">
        <f t="shared" si="1"/>
        <v>45476.58527</v>
      </c>
      <c r="B5212" s="40" t="s">
        <v>2412</v>
      </c>
      <c r="C5212" s="23" t="s">
        <v>1872</v>
      </c>
      <c r="D5212" s="23" t="s">
        <v>58</v>
      </c>
      <c r="E5212" s="24">
        <v>45475.0</v>
      </c>
      <c r="F5212" s="25">
        <v>0.2916666666666667</v>
      </c>
      <c r="G5212" s="25">
        <v>0.6625</v>
      </c>
      <c r="H5212" s="27">
        <f t="shared" si="2"/>
        <v>0.3708333333</v>
      </c>
      <c r="I5212" s="28">
        <v>2.0</v>
      </c>
      <c r="J5212" s="39" t="s">
        <v>2549</v>
      </c>
      <c r="K5212" s="41"/>
      <c r="L5212" s="31" t="str">
        <f>IFERROR(__xludf.DUMMYFUNCTION("IF(OR(E5212="""",K5212=""""),"""",IFERROR(IF(K5212="""","""",query('tbl user'!$A$2:$D10975,""SELECT A WHERE D = '""&amp;K5212&amp;""'"")),""USER TIDAK DIKETAHUI""))"),"")</f>
        <v/>
      </c>
    </row>
    <row r="5213">
      <c r="A5213" s="21">
        <f t="shared" si="1"/>
        <v>45476.58527</v>
      </c>
      <c r="B5213" s="40" t="s">
        <v>2361</v>
      </c>
      <c r="C5213" s="23" t="s">
        <v>1875</v>
      </c>
      <c r="D5213" s="23" t="s">
        <v>58</v>
      </c>
      <c r="E5213" s="24">
        <v>45475.0</v>
      </c>
      <c r="F5213" s="25">
        <v>0.26666666666666666</v>
      </c>
      <c r="G5213" s="25">
        <v>0.6909722222222222</v>
      </c>
      <c r="H5213" s="27">
        <f t="shared" si="2"/>
        <v>0.4243055556</v>
      </c>
      <c r="I5213" s="28">
        <v>3.0</v>
      </c>
      <c r="J5213" s="39" t="s">
        <v>171</v>
      </c>
      <c r="K5213" s="41"/>
      <c r="L5213" s="31" t="str">
        <f>IFERROR(__xludf.DUMMYFUNCTION("IF(OR(E5213="""",K5213=""""),"""",IFERROR(IF(K5213="""","""",query('tbl user'!$A$2:$D10975,""SELECT A WHERE D = '""&amp;K5213&amp;""'"")),""USER TIDAK DIKETAHUI""))"),"")</f>
        <v/>
      </c>
    </row>
    <row r="5214">
      <c r="A5214" s="21">
        <f t="shared" si="1"/>
        <v>45476.58527</v>
      </c>
      <c r="B5214" s="40" t="s">
        <v>2414</v>
      </c>
      <c r="C5214" s="23" t="s">
        <v>1865</v>
      </c>
      <c r="D5214" s="23" t="s">
        <v>58</v>
      </c>
      <c r="E5214" s="24">
        <v>45475.0</v>
      </c>
      <c r="F5214" s="25">
        <v>0.2763888888888889</v>
      </c>
      <c r="G5214" s="25">
        <v>0.6673611111111111</v>
      </c>
      <c r="H5214" s="27">
        <f t="shared" si="2"/>
        <v>0.3909722222</v>
      </c>
      <c r="I5214" s="28">
        <v>3.0</v>
      </c>
      <c r="J5214" s="39" t="s">
        <v>171</v>
      </c>
      <c r="K5214" s="41"/>
      <c r="L5214" s="31" t="str">
        <f>IFERROR(__xludf.DUMMYFUNCTION("IF(OR(E5214="""",K5214=""""),"""",IFERROR(IF(K5214="""","""",query('tbl user'!$A$2:$D10975,""SELECT A WHERE D = '""&amp;K5214&amp;""'"")),""USER TIDAK DIKETAHUI""))"),"")</f>
        <v/>
      </c>
    </row>
    <row r="5215">
      <c r="A5215" s="21">
        <f t="shared" si="1"/>
        <v>45476.58527</v>
      </c>
      <c r="B5215" s="40" t="s">
        <v>2415</v>
      </c>
      <c r="C5215" s="23" t="s">
        <v>1867</v>
      </c>
      <c r="D5215" s="23" t="s">
        <v>58</v>
      </c>
      <c r="E5215" s="24">
        <v>45475.0</v>
      </c>
      <c r="F5215" s="25">
        <v>0.2743055555555556</v>
      </c>
      <c r="G5215" s="25">
        <v>0.6694444444444444</v>
      </c>
      <c r="H5215" s="27">
        <f t="shared" si="2"/>
        <v>0.3951388889</v>
      </c>
      <c r="I5215" s="28">
        <v>3.0</v>
      </c>
      <c r="J5215" s="39" t="s">
        <v>171</v>
      </c>
      <c r="K5215" s="41"/>
      <c r="L5215" s="31" t="str">
        <f>IFERROR(__xludf.DUMMYFUNCTION("IF(OR(E5215="""",K5215=""""),"""",IFERROR(IF(K5215="""","""",query('tbl user'!$A$2:$D10975,""SELECT A WHERE D = '""&amp;K5215&amp;""'"")),""USER TIDAK DIKETAHUI""))"),"")</f>
        <v/>
      </c>
    </row>
    <row r="5216">
      <c r="A5216" s="21">
        <f t="shared" si="1"/>
        <v>45476.58527</v>
      </c>
      <c r="B5216" s="40" t="s">
        <v>2416</v>
      </c>
      <c r="C5216" s="23" t="s">
        <v>1948</v>
      </c>
      <c r="D5216" s="23" t="s">
        <v>58</v>
      </c>
      <c r="E5216" s="24">
        <v>45475.0</v>
      </c>
      <c r="F5216" s="25">
        <v>0.25763888888888886</v>
      </c>
      <c r="G5216" s="25">
        <v>0.6597222222222222</v>
      </c>
      <c r="H5216" s="27">
        <f t="shared" si="2"/>
        <v>0.4020833333</v>
      </c>
      <c r="I5216" s="28">
        <v>3.0</v>
      </c>
      <c r="J5216" s="39" t="s">
        <v>171</v>
      </c>
      <c r="K5216" s="41"/>
      <c r="L5216" s="31" t="str">
        <f>IFERROR(__xludf.DUMMYFUNCTION("IF(OR(E5216="""",K5216=""""),"""",IFERROR(IF(K5216="""","""",query('tbl user'!$A$2:$D10975,""SELECT A WHERE D = '""&amp;K5216&amp;""'"")),""USER TIDAK DIKETAHUI""))"),"")</f>
        <v/>
      </c>
    </row>
    <row r="5217">
      <c r="A5217" s="21">
        <f t="shared" si="1"/>
        <v>45476.58527</v>
      </c>
      <c r="B5217" s="40" t="s">
        <v>2417</v>
      </c>
      <c r="C5217" s="23" t="s">
        <v>1941</v>
      </c>
      <c r="D5217" s="23" t="s">
        <v>58</v>
      </c>
      <c r="E5217" s="24">
        <v>45475.0</v>
      </c>
      <c r="F5217" s="25">
        <v>0.2659722222222222</v>
      </c>
      <c r="G5217" s="25">
        <v>0.6569444444444444</v>
      </c>
      <c r="H5217" s="27">
        <f t="shared" si="2"/>
        <v>0.3909722222</v>
      </c>
      <c r="I5217" s="28">
        <v>3.0</v>
      </c>
      <c r="J5217" s="39" t="s">
        <v>171</v>
      </c>
      <c r="K5217" s="41"/>
      <c r="L5217" s="31" t="str">
        <f>IFERROR(__xludf.DUMMYFUNCTION("IF(OR(E5217="""",K5217=""""),"""",IFERROR(IF(K5217="""","""",query('tbl user'!$A$2:$D10975,""SELECT A WHERE D = '""&amp;K5217&amp;""'"")),""USER TIDAK DIKETAHUI""))"),"")</f>
        <v/>
      </c>
    </row>
    <row r="5218">
      <c r="A5218" s="21">
        <f t="shared" si="1"/>
        <v>45476.58527</v>
      </c>
      <c r="B5218" s="40" t="s">
        <v>2421</v>
      </c>
      <c r="C5218" s="23" t="s">
        <v>1883</v>
      </c>
      <c r="D5218" s="23" t="s">
        <v>58</v>
      </c>
      <c r="E5218" s="24">
        <v>45475.0</v>
      </c>
      <c r="F5218" s="25">
        <v>0.27361111111111114</v>
      </c>
      <c r="G5218" s="25">
        <v>0.7194444444444444</v>
      </c>
      <c r="H5218" s="27">
        <f t="shared" si="2"/>
        <v>0.4458333333</v>
      </c>
      <c r="I5218" s="28">
        <v>3.0</v>
      </c>
      <c r="J5218" s="39" t="s">
        <v>171</v>
      </c>
      <c r="K5218" s="41"/>
      <c r="L5218" s="31" t="str">
        <f>IFERROR(__xludf.DUMMYFUNCTION("IF(OR(E5218="""",K5218=""""),"""",IFERROR(IF(K5218="""","""",query('tbl user'!$A$2:$D10975,""SELECT A WHERE D = '""&amp;K5218&amp;""'"")),""USER TIDAK DIKETAHUI""))"),"")</f>
        <v/>
      </c>
    </row>
    <row r="5219">
      <c r="A5219" s="21">
        <f t="shared" si="1"/>
        <v>45476.58527</v>
      </c>
      <c r="B5219" s="40" t="s">
        <v>2423</v>
      </c>
      <c r="C5219" s="23" t="s">
        <v>1863</v>
      </c>
      <c r="D5219" s="23" t="s">
        <v>58</v>
      </c>
      <c r="E5219" s="24">
        <v>45475.0</v>
      </c>
      <c r="F5219" s="25">
        <v>0.26319444444444445</v>
      </c>
      <c r="G5219" s="25">
        <v>0.6458333333333334</v>
      </c>
      <c r="H5219" s="27">
        <f t="shared" si="2"/>
        <v>0.3826388889</v>
      </c>
      <c r="I5219" s="28">
        <v>3.0</v>
      </c>
      <c r="J5219" s="39" t="s">
        <v>171</v>
      </c>
      <c r="K5219" s="41"/>
      <c r="L5219" s="31" t="str">
        <f>IFERROR(__xludf.DUMMYFUNCTION("IF(OR(E5219="""",K5219=""""),"""",IFERROR(IF(K5219="""","""",query('tbl user'!$A$2:$D10975,""SELECT A WHERE D = '""&amp;K5219&amp;""'"")),""USER TIDAK DIKETAHUI""))"),"")</f>
        <v/>
      </c>
    </row>
    <row r="5220">
      <c r="A5220" s="21">
        <f t="shared" si="1"/>
        <v>45476.58527</v>
      </c>
      <c r="B5220" s="40" t="s">
        <v>2424</v>
      </c>
      <c r="C5220" s="23" t="s">
        <v>1886</v>
      </c>
      <c r="D5220" s="23" t="s">
        <v>58</v>
      </c>
      <c r="E5220" s="24">
        <v>45475.0</v>
      </c>
      <c r="F5220" s="25">
        <v>0.3590277777777778</v>
      </c>
      <c r="G5220" s="25">
        <v>0.7229166666666667</v>
      </c>
      <c r="H5220" s="27">
        <f t="shared" si="2"/>
        <v>0.3638888889</v>
      </c>
      <c r="I5220" s="28">
        <v>3.0</v>
      </c>
      <c r="J5220" s="39" t="s">
        <v>710</v>
      </c>
      <c r="K5220" s="41"/>
      <c r="L5220" s="31" t="str">
        <f>IFERROR(__xludf.DUMMYFUNCTION("IF(OR(E5220="""",K5220=""""),"""",IFERROR(IF(K5220="""","""",query('tbl user'!$A$2:$D10975,""SELECT A WHERE D = '""&amp;K5220&amp;""'"")),""USER TIDAK DIKETAHUI""))"),"")</f>
        <v/>
      </c>
    </row>
    <row r="5221">
      <c r="A5221" s="21">
        <f t="shared" si="1"/>
        <v>45476.58527</v>
      </c>
      <c r="B5221" s="40" t="s">
        <v>2425</v>
      </c>
      <c r="C5221" s="23" t="s">
        <v>1887</v>
      </c>
      <c r="D5221" s="23" t="s">
        <v>58</v>
      </c>
      <c r="E5221" s="24">
        <v>45475.0</v>
      </c>
      <c r="F5221" s="25">
        <v>0.2833333333333333</v>
      </c>
      <c r="G5221" s="25">
        <v>0.6861111111111111</v>
      </c>
      <c r="H5221" s="27">
        <f t="shared" si="2"/>
        <v>0.4027777778</v>
      </c>
      <c r="I5221" s="28">
        <v>3.0</v>
      </c>
      <c r="J5221" s="39" t="s">
        <v>171</v>
      </c>
      <c r="K5221" s="41"/>
      <c r="L5221" s="31" t="str">
        <f>IFERROR(__xludf.DUMMYFUNCTION("IF(OR(E5221="""",K5221=""""),"""",IFERROR(IF(K5221="""","""",query('tbl user'!$A$2:$D10975,""SELECT A WHERE D = '""&amp;K5221&amp;""'"")),""USER TIDAK DIKETAHUI""))"),"")</f>
        <v/>
      </c>
    </row>
    <row r="5222">
      <c r="A5222" s="21">
        <f t="shared" si="1"/>
        <v>45476.58527</v>
      </c>
      <c r="B5222" s="40" t="s">
        <v>2435</v>
      </c>
      <c r="C5222" s="23" t="s">
        <v>1893</v>
      </c>
      <c r="D5222" s="23" t="s">
        <v>58</v>
      </c>
      <c r="E5222" s="24">
        <v>45475.0</v>
      </c>
      <c r="F5222" s="25">
        <v>0.2048611111111111</v>
      </c>
      <c r="G5222" s="25">
        <v>0.6090277777777777</v>
      </c>
      <c r="H5222" s="27">
        <f t="shared" si="2"/>
        <v>0.4041666667</v>
      </c>
      <c r="I5222" s="28">
        <v>3.0</v>
      </c>
      <c r="J5222" s="39" t="s">
        <v>2550</v>
      </c>
      <c r="K5222" s="41"/>
      <c r="L5222" s="31" t="str">
        <f>IFERROR(__xludf.DUMMYFUNCTION("IF(OR(E5222="""",K5222=""""),"""",IFERROR(IF(K5222="""","""",query('tbl user'!$A$2:$D10975,""SELECT A WHERE D = '""&amp;K5222&amp;""'"")),""USER TIDAK DIKETAHUI""))"),"")</f>
        <v/>
      </c>
    </row>
    <row r="5223">
      <c r="A5223" s="21">
        <f t="shared" si="1"/>
        <v>45476.58527</v>
      </c>
      <c r="B5223" s="40" t="s">
        <v>2430</v>
      </c>
      <c r="C5223" s="23" t="s">
        <v>1861</v>
      </c>
      <c r="D5223" s="23" t="s">
        <v>58</v>
      </c>
      <c r="E5223" s="24">
        <v>45475.0</v>
      </c>
      <c r="F5223" s="25">
        <v>0.2673611111111111</v>
      </c>
      <c r="G5223" s="25">
        <v>0.7215277777777778</v>
      </c>
      <c r="H5223" s="27">
        <f t="shared" si="2"/>
        <v>0.4541666667</v>
      </c>
      <c r="I5223" s="28">
        <v>3.0</v>
      </c>
      <c r="J5223" s="39" t="s">
        <v>2551</v>
      </c>
      <c r="K5223" s="41"/>
      <c r="L5223" s="31" t="str">
        <f>IFERROR(__xludf.DUMMYFUNCTION("IF(OR(E5223="""",K5223=""""),"""",IFERROR(IF(K5223="""","""",query('tbl user'!$A$2:$D10975,""SELECT A WHERE D = '""&amp;K5223&amp;""'"")),""USER TIDAK DIKETAHUI""))"),"")</f>
        <v/>
      </c>
    </row>
    <row r="5224">
      <c r="A5224" s="21">
        <f t="shared" si="1"/>
        <v>45476.58527</v>
      </c>
      <c r="B5224" s="40" t="s">
        <v>2351</v>
      </c>
      <c r="C5224" s="23" t="s">
        <v>1891</v>
      </c>
      <c r="D5224" s="23" t="s">
        <v>58</v>
      </c>
      <c r="E5224" s="24">
        <v>45475.0</v>
      </c>
      <c r="F5224" s="25">
        <v>0.20694444444444443</v>
      </c>
      <c r="G5224" s="25">
        <v>0.65625</v>
      </c>
      <c r="H5224" s="27">
        <f t="shared" si="2"/>
        <v>0.4493055556</v>
      </c>
      <c r="I5224" s="28">
        <v>3.0</v>
      </c>
      <c r="J5224" s="39" t="s">
        <v>171</v>
      </c>
      <c r="K5224" s="41"/>
      <c r="L5224" s="31" t="str">
        <f>IFERROR(__xludf.DUMMYFUNCTION("IF(OR(E5224="""",K5224=""""),"""",IFERROR(IF(K5224="""","""",query('tbl user'!$A$2:$D10975,""SELECT A WHERE D = '""&amp;K5224&amp;""'"")),""USER TIDAK DIKETAHUI""))"),"")</f>
        <v/>
      </c>
    </row>
    <row r="5225">
      <c r="A5225" s="21">
        <f t="shared" si="1"/>
        <v>45476.58527</v>
      </c>
      <c r="B5225" s="40" t="s">
        <v>2431</v>
      </c>
      <c r="C5225" s="23" t="s">
        <v>1879</v>
      </c>
      <c r="D5225" s="23" t="s">
        <v>58</v>
      </c>
      <c r="E5225" s="24">
        <v>45475.0</v>
      </c>
      <c r="F5225" s="25">
        <v>0.24097222222222223</v>
      </c>
      <c r="G5225" s="25">
        <v>0.7118055555555556</v>
      </c>
      <c r="H5225" s="27">
        <f t="shared" si="2"/>
        <v>0.4708333333</v>
      </c>
      <c r="I5225" s="28">
        <v>4.0</v>
      </c>
      <c r="J5225" s="39" t="s">
        <v>55</v>
      </c>
      <c r="K5225" s="41"/>
      <c r="L5225" s="31" t="str">
        <f>IFERROR(__xludf.DUMMYFUNCTION("IF(OR(E5225="""",K5225=""""),"""",IFERROR(IF(K5225="""","""",query('tbl user'!$A$2:$D10975,""SELECT A WHERE D = '""&amp;K5225&amp;""'"")),""USER TIDAK DIKETAHUI""))"),"")</f>
        <v/>
      </c>
    </row>
    <row r="5226">
      <c r="A5226" s="21">
        <f t="shared" si="1"/>
        <v>45476.58527</v>
      </c>
      <c r="B5226" s="40" t="s">
        <v>2432</v>
      </c>
      <c r="C5226" s="23" t="s">
        <v>1884</v>
      </c>
      <c r="D5226" s="23" t="s">
        <v>58</v>
      </c>
      <c r="E5226" s="24">
        <v>45475.0</v>
      </c>
      <c r="F5226" s="25">
        <v>0.2298611111111111</v>
      </c>
      <c r="G5226" s="25">
        <v>0.7152777777777778</v>
      </c>
      <c r="H5226" s="27">
        <f t="shared" si="2"/>
        <v>0.4854166667</v>
      </c>
      <c r="I5226" s="28">
        <v>4.0</v>
      </c>
      <c r="J5226" s="39" t="s">
        <v>55</v>
      </c>
      <c r="K5226" s="41"/>
      <c r="L5226" s="31" t="str">
        <f>IFERROR(__xludf.DUMMYFUNCTION("IF(OR(E5226="""",K5226=""""),"""",IFERROR(IF(K5226="""","""",query('tbl user'!$A$2:$D10975,""SELECT A WHERE D = '""&amp;K5226&amp;""'"")),""USER TIDAK DIKETAHUI""))"),"")</f>
        <v/>
      </c>
    </row>
    <row r="5227">
      <c r="A5227" s="21">
        <f t="shared" si="1"/>
        <v>45476.58527</v>
      </c>
      <c r="B5227" s="40" t="s">
        <v>2433</v>
      </c>
      <c r="C5227" s="23" t="s">
        <v>1950</v>
      </c>
      <c r="D5227" s="23" t="s">
        <v>58</v>
      </c>
      <c r="E5227" s="24">
        <v>45475.0</v>
      </c>
      <c r="F5227" s="25">
        <v>0.23819444444444443</v>
      </c>
      <c r="G5227" s="25">
        <v>0.6993055555555555</v>
      </c>
      <c r="H5227" s="27">
        <f t="shared" si="2"/>
        <v>0.4611111111</v>
      </c>
      <c r="I5227" s="28">
        <v>4.0</v>
      </c>
      <c r="J5227" s="39" t="s">
        <v>55</v>
      </c>
      <c r="K5227" s="41"/>
      <c r="L5227" s="31" t="str">
        <f>IFERROR(__xludf.DUMMYFUNCTION("IF(OR(E5227="""",K5227=""""),"""",IFERROR(IF(K5227="""","""",query('tbl user'!$A$2:$D10975,""SELECT A WHERE D = '""&amp;K5227&amp;""'"")),""USER TIDAK DIKETAHUI""))"),"")</f>
        <v/>
      </c>
    </row>
    <row r="5228">
      <c r="A5228" s="21">
        <f t="shared" si="1"/>
        <v>45476.58527</v>
      </c>
      <c r="B5228" s="40" t="s">
        <v>2434</v>
      </c>
      <c r="C5228" s="23" t="s">
        <v>1892</v>
      </c>
      <c r="D5228" s="23" t="s">
        <v>58</v>
      </c>
      <c r="E5228" s="24">
        <v>45475.0</v>
      </c>
      <c r="F5228" s="25">
        <v>0.20277777777777778</v>
      </c>
      <c r="G5228" s="25">
        <v>0.6638888888888889</v>
      </c>
      <c r="H5228" s="27">
        <f t="shared" si="2"/>
        <v>0.4611111111</v>
      </c>
      <c r="I5228" s="28">
        <v>4.0</v>
      </c>
      <c r="J5228" s="39" t="s">
        <v>55</v>
      </c>
      <c r="K5228" s="41"/>
      <c r="L5228" s="31" t="str">
        <f>IFERROR(__xludf.DUMMYFUNCTION("IF(OR(E5228="""",K5228=""""),"""",IFERROR(IF(K5228="""","""",query('tbl user'!$A$2:$D10975,""SELECT A WHERE D = '""&amp;K5228&amp;""'"")),""USER TIDAK DIKETAHUI""))"),"")</f>
        <v/>
      </c>
    </row>
    <row r="5229">
      <c r="A5229" s="21">
        <f t="shared" si="1"/>
        <v>45476.58527</v>
      </c>
      <c r="B5229" s="40" t="s">
        <v>2552</v>
      </c>
      <c r="C5229" s="23" t="s">
        <v>1901</v>
      </c>
      <c r="D5229" s="23" t="s">
        <v>32</v>
      </c>
      <c r="E5229" s="24">
        <v>45475.0</v>
      </c>
      <c r="F5229" s="25">
        <v>0.29097222222222224</v>
      </c>
      <c r="G5229" s="25">
        <v>0.65</v>
      </c>
      <c r="H5229" s="27">
        <f t="shared" si="2"/>
        <v>0.3590277778</v>
      </c>
      <c r="I5229" s="28">
        <v>2.0</v>
      </c>
      <c r="J5229" s="39" t="s">
        <v>2553</v>
      </c>
      <c r="K5229" s="41"/>
      <c r="L5229" s="31" t="str">
        <f>IFERROR(__xludf.DUMMYFUNCTION("IF(OR(E5229="""",K5229=""""),"""",IFERROR(IF(K5229="""","""",query('tbl user'!$A$2:$D10975,""SELECT A WHERE D = '""&amp;K5229&amp;""'"")),""USER TIDAK DIKETAHUI""))"),"")</f>
        <v/>
      </c>
    </row>
    <row r="5230">
      <c r="A5230" s="21">
        <f t="shared" si="1"/>
        <v>45476.58527</v>
      </c>
      <c r="B5230" s="40" t="s">
        <v>2452</v>
      </c>
      <c r="C5230" s="23" t="s">
        <v>1912</v>
      </c>
      <c r="D5230" s="23" t="s">
        <v>32</v>
      </c>
      <c r="E5230" s="24">
        <v>45475.0</v>
      </c>
      <c r="F5230" s="25">
        <v>0.25069444444444444</v>
      </c>
      <c r="G5230" s="25">
        <v>0.6805555555555556</v>
      </c>
      <c r="H5230" s="27">
        <f t="shared" si="2"/>
        <v>0.4298611111</v>
      </c>
      <c r="I5230" s="28">
        <v>2.0</v>
      </c>
      <c r="J5230" s="39" t="s">
        <v>2554</v>
      </c>
      <c r="K5230" s="41"/>
      <c r="L5230" s="31" t="str">
        <f>IFERROR(__xludf.DUMMYFUNCTION("IF(OR(E5230="""",K5230=""""),"""",IFERROR(IF(K5230="""","""",query('tbl user'!$A$2:$D10975,""SELECT A WHERE D = '""&amp;K5230&amp;""'"")),""USER TIDAK DIKETAHUI""))"),"")</f>
        <v/>
      </c>
    </row>
    <row r="5231">
      <c r="A5231" s="21">
        <f t="shared" si="1"/>
        <v>45476.58527</v>
      </c>
      <c r="B5231" s="40" t="s">
        <v>2482</v>
      </c>
      <c r="C5231" s="23" t="s">
        <v>1961</v>
      </c>
      <c r="D5231" s="23" t="s">
        <v>32</v>
      </c>
      <c r="E5231" s="24">
        <v>45475.0</v>
      </c>
      <c r="F5231" s="25">
        <v>0.28958333333333336</v>
      </c>
      <c r="G5231" s="25">
        <v>0.6680555555555555</v>
      </c>
      <c r="H5231" s="27">
        <f t="shared" si="2"/>
        <v>0.3784722222</v>
      </c>
      <c r="I5231" s="28">
        <v>3.0</v>
      </c>
      <c r="J5231" s="39" t="s">
        <v>2555</v>
      </c>
      <c r="K5231" s="41"/>
      <c r="L5231" s="31" t="str">
        <f>IFERROR(__xludf.DUMMYFUNCTION("IF(OR(E5231="""",K5231=""""),"""",IFERROR(IF(K5231="""","""",query('tbl user'!$A$2:$D10975,""SELECT A WHERE D = '""&amp;K5231&amp;""'"")),""USER TIDAK DIKETAHUI""))"),"")</f>
        <v/>
      </c>
    </row>
    <row r="5232">
      <c r="A5232" s="21">
        <f t="shared" si="1"/>
        <v>45476.58527</v>
      </c>
      <c r="B5232" s="40" t="s">
        <v>2556</v>
      </c>
      <c r="C5232" s="23" t="s">
        <v>1910</v>
      </c>
      <c r="D5232" s="23" t="s">
        <v>32</v>
      </c>
      <c r="E5232" s="24">
        <v>45475.0</v>
      </c>
      <c r="F5232" s="25">
        <v>0.26319444444444445</v>
      </c>
      <c r="G5232" s="25">
        <v>0.6395833333333333</v>
      </c>
      <c r="H5232" s="27">
        <f t="shared" si="2"/>
        <v>0.3763888889</v>
      </c>
      <c r="I5232" s="28">
        <v>3.0</v>
      </c>
      <c r="J5232" s="39" t="s">
        <v>2555</v>
      </c>
      <c r="K5232" s="41"/>
      <c r="L5232" s="31" t="str">
        <f>IFERROR(__xludf.DUMMYFUNCTION("IF(OR(E5232="""",K5232=""""),"""",IFERROR(IF(K5232="""","""",query('tbl user'!$A$2:$D10975,""SELECT A WHERE D = '""&amp;K5232&amp;""'"")),""USER TIDAK DIKETAHUI""))"),"")</f>
        <v/>
      </c>
    </row>
    <row r="5233">
      <c r="A5233" s="21">
        <f t="shared" si="1"/>
        <v>45476.58527</v>
      </c>
      <c r="B5233" s="40" t="s">
        <v>2552</v>
      </c>
      <c r="C5233" s="23" t="s">
        <v>2092</v>
      </c>
      <c r="D5233" s="23" t="s">
        <v>32</v>
      </c>
      <c r="E5233" s="24">
        <v>45475.0</v>
      </c>
      <c r="F5233" s="25">
        <v>0.2423611111111111</v>
      </c>
      <c r="G5233" s="25">
        <v>0.6423611111111112</v>
      </c>
      <c r="H5233" s="27">
        <f t="shared" si="2"/>
        <v>0.4</v>
      </c>
      <c r="I5233" s="28">
        <v>3.0</v>
      </c>
      <c r="J5233" s="39" t="s">
        <v>2557</v>
      </c>
      <c r="K5233" s="41"/>
      <c r="L5233" s="31" t="str">
        <f>IFERROR(__xludf.DUMMYFUNCTION("IF(OR(E5233="""",K5233=""""),"""",IFERROR(IF(K5233="""","""",query('tbl user'!$A$2:$D10975,""SELECT A WHERE D = '""&amp;K5233&amp;""'"")),""USER TIDAK DIKETAHUI""))"),"")</f>
        <v/>
      </c>
    </row>
    <row r="5234">
      <c r="A5234" s="21">
        <f t="shared" si="1"/>
        <v>45476.58527</v>
      </c>
      <c r="B5234" s="40" t="s">
        <v>2488</v>
      </c>
      <c r="C5234" s="23" t="s">
        <v>1898</v>
      </c>
      <c r="D5234" s="23" t="s">
        <v>32</v>
      </c>
      <c r="E5234" s="24">
        <v>45475.0</v>
      </c>
      <c r="F5234" s="25">
        <v>0.28888888888888886</v>
      </c>
      <c r="G5234" s="25">
        <v>0.6736111111111112</v>
      </c>
      <c r="H5234" s="27">
        <f t="shared" si="2"/>
        <v>0.3847222222</v>
      </c>
      <c r="I5234" s="28">
        <v>3.0</v>
      </c>
      <c r="J5234" s="39" t="s">
        <v>2555</v>
      </c>
      <c r="K5234" s="41"/>
      <c r="L5234" s="31" t="str">
        <f>IFERROR(__xludf.DUMMYFUNCTION("IF(OR(E5234="""",K5234=""""),"""",IFERROR(IF(K5234="""","""",query('tbl user'!$A$2:$D10975,""SELECT A WHERE D = '""&amp;K5234&amp;""'"")),""USER TIDAK DIKETAHUI""))"),"")</f>
        <v/>
      </c>
    </row>
    <row r="5235">
      <c r="A5235" s="21">
        <f t="shared" si="1"/>
        <v>45476.58527</v>
      </c>
      <c r="B5235" s="40" t="s">
        <v>2495</v>
      </c>
      <c r="C5235" s="23" t="s">
        <v>1965</v>
      </c>
      <c r="D5235" s="23" t="s">
        <v>32</v>
      </c>
      <c r="E5235" s="24">
        <v>45475.0</v>
      </c>
      <c r="F5235" s="25">
        <v>0.2972222222222222</v>
      </c>
      <c r="G5235" s="25">
        <v>0.6506944444444445</v>
      </c>
      <c r="H5235" s="27">
        <f t="shared" si="2"/>
        <v>0.3534722222</v>
      </c>
      <c r="I5235" s="28">
        <v>3.0</v>
      </c>
      <c r="J5235" s="39" t="s">
        <v>1349</v>
      </c>
      <c r="K5235" s="41"/>
      <c r="L5235" s="31" t="str">
        <f>IFERROR(__xludf.DUMMYFUNCTION("IF(OR(E5235="""",K5235=""""),"""",IFERROR(IF(K5235="""","""",query('tbl user'!$A$2:$D10975,""SELECT A WHERE D = '""&amp;K5235&amp;""'"")),""USER TIDAK DIKETAHUI""))"),"")</f>
        <v/>
      </c>
    </row>
    <row r="5236">
      <c r="A5236" s="21">
        <f t="shared" si="1"/>
        <v>45476.58527</v>
      </c>
      <c r="B5236" s="40" t="s">
        <v>2450</v>
      </c>
      <c r="C5236" s="23" t="s">
        <v>1894</v>
      </c>
      <c r="D5236" s="23" t="s">
        <v>32</v>
      </c>
      <c r="E5236" s="24">
        <v>45475.0</v>
      </c>
      <c r="F5236" s="25">
        <v>0.2361111111111111</v>
      </c>
      <c r="G5236" s="25">
        <v>0.5763888888888888</v>
      </c>
      <c r="H5236" s="27">
        <f t="shared" si="2"/>
        <v>0.3402777778</v>
      </c>
      <c r="I5236" s="28">
        <v>3.0</v>
      </c>
      <c r="J5236" s="39" t="s">
        <v>2558</v>
      </c>
      <c r="K5236" s="41"/>
      <c r="L5236" s="31" t="str">
        <f>IFERROR(__xludf.DUMMYFUNCTION("IF(OR(E5236="""",K5236=""""),"""",IFERROR(IF(K5236="""","""",query('tbl user'!$A$2:$D10975,""SELECT A WHERE D = '""&amp;K5236&amp;""'"")),""USER TIDAK DIKETAHUI""))"),"")</f>
        <v/>
      </c>
    </row>
    <row r="5237">
      <c r="A5237" s="21">
        <f t="shared" si="1"/>
        <v>45476.58527</v>
      </c>
      <c r="B5237" s="40" t="s">
        <v>2443</v>
      </c>
      <c r="C5237" s="23" t="s">
        <v>2190</v>
      </c>
      <c r="D5237" s="23" t="s">
        <v>32</v>
      </c>
      <c r="E5237" s="24">
        <v>45475.0</v>
      </c>
      <c r="F5237" s="25">
        <v>0.2902777777777778</v>
      </c>
      <c r="G5237" s="25">
        <v>0.6590277777777778</v>
      </c>
      <c r="H5237" s="27">
        <f t="shared" si="2"/>
        <v>0.36875</v>
      </c>
      <c r="I5237" s="28">
        <v>3.0</v>
      </c>
      <c r="J5237" s="39" t="s">
        <v>2555</v>
      </c>
      <c r="K5237" s="41"/>
      <c r="L5237" s="31" t="str">
        <f>IFERROR(__xludf.DUMMYFUNCTION("IF(OR(E5237="""",K5237=""""),"""",IFERROR(IF(K5237="""","""",query('tbl user'!$A$2:$D10975,""SELECT A WHERE D = '""&amp;K5237&amp;""'"")),""USER TIDAK DIKETAHUI""))"),"")</f>
        <v/>
      </c>
    </row>
    <row r="5238">
      <c r="A5238" s="21">
        <f t="shared" si="1"/>
        <v>45476.58527</v>
      </c>
      <c r="B5238" s="40" t="s">
        <v>2526</v>
      </c>
      <c r="C5238" s="23" t="s">
        <v>1902</v>
      </c>
      <c r="D5238" s="23" t="s">
        <v>32</v>
      </c>
      <c r="E5238" s="24">
        <v>45475.0</v>
      </c>
      <c r="F5238" s="25">
        <v>0.28541666666666665</v>
      </c>
      <c r="G5238" s="25">
        <v>0.6944444444444444</v>
      </c>
      <c r="H5238" s="27">
        <f t="shared" si="2"/>
        <v>0.4090277778</v>
      </c>
      <c r="I5238" s="28">
        <v>3.0</v>
      </c>
      <c r="J5238" s="39" t="s">
        <v>2555</v>
      </c>
      <c r="K5238" s="41"/>
      <c r="L5238" s="31" t="str">
        <f>IFERROR(__xludf.DUMMYFUNCTION("IF(OR(E5238="""",K5238=""""),"""",IFERROR(IF(K5238="""","""",query('tbl user'!$A$2:$D10975,""SELECT A WHERE D = '""&amp;K5238&amp;""'"")),""USER TIDAK DIKETAHUI""))"),"")</f>
        <v/>
      </c>
    </row>
    <row r="5239">
      <c r="A5239" s="21">
        <f t="shared" si="1"/>
        <v>45476.58527</v>
      </c>
      <c r="B5239" s="40" t="s">
        <v>2494</v>
      </c>
      <c r="C5239" s="23" t="s">
        <v>1962</v>
      </c>
      <c r="D5239" s="23" t="s">
        <v>32</v>
      </c>
      <c r="E5239" s="24">
        <v>45475.0</v>
      </c>
      <c r="F5239" s="25">
        <v>0.2625</v>
      </c>
      <c r="G5239" s="25">
        <v>0.7013888888888888</v>
      </c>
      <c r="H5239" s="27">
        <f t="shared" si="2"/>
        <v>0.4388888889</v>
      </c>
      <c r="I5239" s="28">
        <v>4.0</v>
      </c>
      <c r="J5239" s="39" t="s">
        <v>55</v>
      </c>
      <c r="K5239" s="41"/>
      <c r="L5239" s="31" t="str">
        <f>IFERROR(__xludf.DUMMYFUNCTION("IF(OR(E5239="""",K5239=""""),"""",IFERROR(IF(K5239="""","""",query('tbl user'!$A$2:$D10975,""SELECT A WHERE D = '""&amp;K5239&amp;""'"")),""USER TIDAK DIKETAHUI""))"),"")</f>
        <v/>
      </c>
    </row>
    <row r="5240">
      <c r="A5240" s="21">
        <f t="shared" si="1"/>
        <v>45476.58527</v>
      </c>
      <c r="B5240" s="40" t="s">
        <v>2484</v>
      </c>
      <c r="C5240" s="23" t="s">
        <v>1964</v>
      </c>
      <c r="D5240" s="23" t="s">
        <v>32</v>
      </c>
      <c r="E5240" s="24">
        <v>45475.0</v>
      </c>
      <c r="F5240" s="25">
        <v>0.25555555555555554</v>
      </c>
      <c r="G5240" s="25">
        <v>0.7111111111111111</v>
      </c>
      <c r="H5240" s="27">
        <f t="shared" si="2"/>
        <v>0.4555555556</v>
      </c>
      <c r="I5240" s="28">
        <v>4.0</v>
      </c>
      <c r="J5240" s="39" t="s">
        <v>55</v>
      </c>
      <c r="K5240" s="41"/>
      <c r="L5240" s="31" t="str">
        <f>IFERROR(__xludf.DUMMYFUNCTION("IF(OR(E5240="""",K5240=""""),"""",IFERROR(IF(K5240="""","""",query('tbl user'!$A$2:$D10975,""SELECT A WHERE D = '""&amp;K5240&amp;""'"")),""USER TIDAK DIKETAHUI""))"),"")</f>
        <v/>
      </c>
    </row>
    <row r="5241">
      <c r="A5241" s="21">
        <f t="shared" si="1"/>
        <v>45476.58527</v>
      </c>
      <c r="B5241" s="40" t="s">
        <v>2442</v>
      </c>
      <c r="C5241" s="23" t="s">
        <v>2066</v>
      </c>
      <c r="D5241" s="23" t="s">
        <v>32</v>
      </c>
      <c r="E5241" s="24">
        <v>45475.0</v>
      </c>
      <c r="F5241" s="25">
        <v>0.26805555555555555</v>
      </c>
      <c r="G5241" s="25">
        <v>0.7166666666666667</v>
      </c>
      <c r="H5241" s="27">
        <f t="shared" si="2"/>
        <v>0.4486111111</v>
      </c>
      <c r="I5241" s="28">
        <v>4.0</v>
      </c>
      <c r="J5241" s="39" t="s">
        <v>55</v>
      </c>
      <c r="K5241" s="41"/>
      <c r="L5241" s="31" t="str">
        <f>IFERROR(__xludf.DUMMYFUNCTION("IF(OR(E5241="""",K5241=""""),"""",IFERROR(IF(K5241="""","""",query('tbl user'!$A$2:$D10975,""SELECT A WHERE D = '""&amp;K5241&amp;""'"")),""USER TIDAK DIKETAHUI""))"),"")</f>
        <v/>
      </c>
    </row>
    <row r="5242">
      <c r="A5242" s="21">
        <f t="shared" si="1"/>
        <v>45476.58527</v>
      </c>
      <c r="B5242" s="40" t="s">
        <v>2529</v>
      </c>
      <c r="C5242" s="23" t="s">
        <v>2252</v>
      </c>
      <c r="D5242" s="23" t="s">
        <v>32</v>
      </c>
      <c r="E5242" s="24">
        <v>45475.0</v>
      </c>
      <c r="F5242" s="25">
        <v>0.26944444444444443</v>
      </c>
      <c r="G5242" s="25">
        <v>0.7326388888888888</v>
      </c>
      <c r="H5242" s="27">
        <f t="shared" si="2"/>
        <v>0.4631944444</v>
      </c>
      <c r="I5242" s="28">
        <v>4.0</v>
      </c>
      <c r="J5242" s="39" t="s">
        <v>55</v>
      </c>
      <c r="K5242" s="41"/>
      <c r="L5242" s="31" t="str">
        <f>IFERROR(__xludf.DUMMYFUNCTION("IF(OR(E5242="""",K5242=""""),"""",IFERROR(IF(K5242="""","""",query('tbl user'!$A$2:$D10975,""SELECT A WHERE D = '""&amp;K5242&amp;""'"")),""USER TIDAK DIKETAHUI""))"),"")</f>
        <v/>
      </c>
    </row>
    <row r="5243">
      <c r="A5243" s="21">
        <f t="shared" si="1"/>
        <v>45476.58527</v>
      </c>
      <c r="B5243" s="40" t="s">
        <v>2451</v>
      </c>
      <c r="C5243" s="23" t="s">
        <v>1967</v>
      </c>
      <c r="D5243" s="23" t="s">
        <v>32</v>
      </c>
      <c r="E5243" s="24">
        <v>45475.0</v>
      </c>
      <c r="F5243" s="25">
        <v>0.24444444444444444</v>
      </c>
      <c r="G5243" s="25">
        <v>0.6875</v>
      </c>
      <c r="H5243" s="27">
        <f t="shared" si="2"/>
        <v>0.4430555556</v>
      </c>
      <c r="I5243" s="28">
        <v>4.0</v>
      </c>
      <c r="J5243" s="39" t="s">
        <v>55</v>
      </c>
      <c r="K5243" s="41"/>
      <c r="L5243" s="31" t="str">
        <f>IFERROR(__xludf.DUMMYFUNCTION("IF(OR(E5243="""",K5243=""""),"""",IFERROR(IF(K5243="""","""",query('tbl user'!$A$2:$D10975,""SELECT A WHERE D = '""&amp;K5243&amp;""'"")),""USER TIDAK DIKETAHUI""))"),"")</f>
        <v/>
      </c>
    </row>
    <row r="5244">
      <c r="A5244" s="21" t="str">
        <f t="shared" si="1"/>
        <v/>
      </c>
      <c r="B5244" s="38"/>
      <c r="C5244" s="23" t="s">
        <v>1837</v>
      </c>
      <c r="D5244" s="23" t="s">
        <v>21</v>
      </c>
      <c r="E5244" s="24">
        <v>45476.0</v>
      </c>
      <c r="F5244" s="25">
        <v>0.2625</v>
      </c>
      <c r="G5244" s="25">
        <v>0.7333333333333333</v>
      </c>
      <c r="H5244" s="27">
        <f t="shared" si="2"/>
        <v>0.4708333333</v>
      </c>
      <c r="I5244" s="28">
        <v>1.0</v>
      </c>
      <c r="J5244" s="39" t="s">
        <v>2559</v>
      </c>
      <c r="K5244" s="41"/>
      <c r="L5244" s="31" t="str">
        <f>IFERROR(__xludf.DUMMYFUNCTION("IF(OR(E5244="""",K5244=""""),"""",IFERROR(IF(K5244="""","""",query('tbl user'!$A$2:$D10975,""SELECT A WHERE D = '""&amp;K5244&amp;""'"")),""USER TIDAK DIKETAHUI""))"),"")</f>
        <v/>
      </c>
    </row>
    <row r="5245">
      <c r="A5245" s="21">
        <f t="shared" si="1"/>
        <v>45477.58739</v>
      </c>
      <c r="B5245" s="40" t="s">
        <v>2560</v>
      </c>
      <c r="C5245" s="23" t="s">
        <v>1849</v>
      </c>
      <c r="D5245" s="23" t="s">
        <v>21</v>
      </c>
      <c r="E5245" s="24">
        <v>45476.0</v>
      </c>
      <c r="F5245" s="25">
        <v>0.28680555555555554</v>
      </c>
      <c r="G5245" s="25">
        <v>0.4618055555555556</v>
      </c>
      <c r="H5245" s="27">
        <f t="shared" si="2"/>
        <v>0.175</v>
      </c>
      <c r="I5245" s="28">
        <v>1.0</v>
      </c>
      <c r="J5245" s="39" t="s">
        <v>2561</v>
      </c>
      <c r="K5245" s="41"/>
      <c r="L5245" s="31" t="str">
        <f>IFERROR(__xludf.DUMMYFUNCTION("IF(OR(E5245="""",K5245=""""),"""",IFERROR(IF(K5245="""","""",query('tbl user'!$A$2:$D10975,""SELECT A WHERE D = '""&amp;K5245&amp;""'"")),""USER TIDAK DIKETAHUI""))"),"")</f>
        <v/>
      </c>
    </row>
    <row r="5246">
      <c r="A5246" s="21">
        <f t="shared" si="1"/>
        <v>45477.58744</v>
      </c>
      <c r="B5246" s="40" t="s">
        <v>2376</v>
      </c>
      <c r="C5246" s="23" t="s">
        <v>1853</v>
      </c>
      <c r="D5246" s="23" t="s">
        <v>21</v>
      </c>
      <c r="E5246" s="24">
        <v>45476.0</v>
      </c>
      <c r="F5246" s="25">
        <v>0.2861111111111111</v>
      </c>
      <c r="G5246" s="25">
        <v>0.5784722222222223</v>
      </c>
      <c r="H5246" s="27">
        <f t="shared" si="2"/>
        <v>0.2923611111</v>
      </c>
      <c r="I5246" s="28">
        <v>2.0</v>
      </c>
      <c r="J5246" s="39" t="s">
        <v>2562</v>
      </c>
      <c r="K5246" s="41"/>
      <c r="L5246" s="31" t="str">
        <f>IFERROR(__xludf.DUMMYFUNCTION("IF(OR(E5246="""",K5246=""""),"""",IFERROR(IF(K5246="""","""",query('tbl user'!$A$2:$D10975,""SELECT A WHERE D = '""&amp;K5246&amp;""'"")),""USER TIDAK DIKETAHUI""))"),"")</f>
        <v/>
      </c>
    </row>
    <row r="5247">
      <c r="A5247" s="21">
        <f t="shared" si="1"/>
        <v>45477.5875</v>
      </c>
      <c r="B5247" s="40" t="s">
        <v>2365</v>
      </c>
      <c r="C5247" s="23" t="s">
        <v>1830</v>
      </c>
      <c r="D5247" s="23" t="s">
        <v>21</v>
      </c>
      <c r="E5247" s="24">
        <v>45476.0</v>
      </c>
      <c r="F5247" s="25">
        <v>0.28958333333333336</v>
      </c>
      <c r="G5247" s="25">
        <v>0.5756944444444444</v>
      </c>
      <c r="H5247" s="27">
        <f t="shared" si="2"/>
        <v>0.2861111111</v>
      </c>
      <c r="I5247" s="28">
        <v>2.0</v>
      </c>
      <c r="J5247" s="39" t="s">
        <v>2563</v>
      </c>
      <c r="K5247" s="41"/>
      <c r="L5247" s="31" t="str">
        <f>IFERROR(__xludf.DUMMYFUNCTION("IF(OR(E5247="""",K5247=""""),"""",IFERROR(IF(K5247="""","""",query('tbl user'!$A$2:$D10975,""SELECT A WHERE D = '""&amp;K5247&amp;""'"")),""USER TIDAK DIKETAHUI""))"),"")</f>
        <v/>
      </c>
    </row>
    <row r="5248">
      <c r="A5248" s="21">
        <f t="shared" si="1"/>
        <v>45477.58755</v>
      </c>
      <c r="B5248" s="40" t="s">
        <v>2386</v>
      </c>
      <c r="C5248" s="23" t="s">
        <v>1843</v>
      </c>
      <c r="D5248" s="23" t="s">
        <v>21</v>
      </c>
      <c r="E5248" s="24">
        <v>45476.0</v>
      </c>
      <c r="F5248" s="25">
        <v>0.2611111111111111</v>
      </c>
      <c r="G5248" s="25">
        <v>0.7319444444444444</v>
      </c>
      <c r="H5248" s="27">
        <f t="shared" si="2"/>
        <v>0.4708333333</v>
      </c>
      <c r="I5248" s="28">
        <v>2.0</v>
      </c>
      <c r="J5248" s="39" t="s">
        <v>2564</v>
      </c>
      <c r="K5248" s="41"/>
      <c r="L5248" s="31" t="str">
        <f>IFERROR(__xludf.DUMMYFUNCTION("IF(OR(E5248="""",K5248=""""),"""",IFERROR(IF(K5248="""","""",query('tbl user'!$A$2:$D10975,""SELECT A WHERE D = '""&amp;K5248&amp;""'"")),""USER TIDAK DIKETAHUI""))"),"")</f>
        <v/>
      </c>
    </row>
    <row r="5249">
      <c r="A5249" s="21">
        <f t="shared" si="1"/>
        <v>45477.58758</v>
      </c>
      <c r="B5249" s="40" t="s">
        <v>2384</v>
      </c>
      <c r="C5249" s="23" t="s">
        <v>1833</v>
      </c>
      <c r="D5249" s="23" t="s">
        <v>21</v>
      </c>
      <c r="E5249" s="24">
        <v>45476.0</v>
      </c>
      <c r="F5249" s="25">
        <v>0.2875</v>
      </c>
      <c r="G5249" s="25">
        <v>0.5763888888888888</v>
      </c>
      <c r="H5249" s="27">
        <f t="shared" si="2"/>
        <v>0.2888888889</v>
      </c>
      <c r="I5249" s="28">
        <v>2.0</v>
      </c>
      <c r="J5249" s="39" t="s">
        <v>2565</v>
      </c>
      <c r="K5249" s="41"/>
      <c r="L5249" s="31" t="str">
        <f>IFERROR(__xludf.DUMMYFUNCTION("IF(OR(E5249="""",K5249=""""),"""",IFERROR(IF(K5249="""","""",query('tbl user'!$A$2:$D10975,""SELECT A WHERE D = '""&amp;K5249&amp;""'"")),""USER TIDAK DIKETAHUI""))"),"")</f>
        <v/>
      </c>
    </row>
    <row r="5250">
      <c r="A5250" s="21">
        <f t="shared" si="1"/>
        <v>45477.58763</v>
      </c>
      <c r="B5250" s="40" t="s">
        <v>2378</v>
      </c>
      <c r="C5250" s="23" t="s">
        <v>1844</v>
      </c>
      <c r="D5250" s="23" t="s">
        <v>21</v>
      </c>
      <c r="E5250" s="24">
        <v>45476.0</v>
      </c>
      <c r="F5250" s="25">
        <v>0.28888888888888886</v>
      </c>
      <c r="G5250" s="25">
        <v>0.6159722222222223</v>
      </c>
      <c r="H5250" s="27">
        <f t="shared" si="2"/>
        <v>0.3270833333</v>
      </c>
      <c r="I5250" s="28">
        <v>2.0</v>
      </c>
      <c r="J5250" s="39" t="s">
        <v>934</v>
      </c>
      <c r="K5250" s="41"/>
      <c r="L5250" s="31" t="str">
        <f>IFERROR(__xludf.DUMMYFUNCTION("IF(OR(E5250="""",K5250=""""),"""",IFERROR(IF(K5250="""","""",query('tbl user'!$A$2:$D10975,""SELECT A WHERE D = '""&amp;K5250&amp;""'"")),""USER TIDAK DIKETAHUI""))"),"")</f>
        <v/>
      </c>
    </row>
    <row r="5251">
      <c r="A5251" s="21">
        <f t="shared" si="1"/>
        <v>45477.58768</v>
      </c>
      <c r="B5251" s="40" t="s">
        <v>2373</v>
      </c>
      <c r="C5251" s="23" t="s">
        <v>1847</v>
      </c>
      <c r="D5251" s="23" t="s">
        <v>21</v>
      </c>
      <c r="E5251" s="24">
        <v>45476.0</v>
      </c>
      <c r="F5251" s="25">
        <v>0.24861111111111112</v>
      </c>
      <c r="G5251" s="25">
        <v>0.7354166666666667</v>
      </c>
      <c r="H5251" s="27">
        <f t="shared" si="2"/>
        <v>0.4868055556</v>
      </c>
      <c r="I5251" s="28">
        <v>2.0</v>
      </c>
      <c r="J5251" s="39" t="s">
        <v>2566</v>
      </c>
      <c r="K5251" s="41"/>
      <c r="L5251" s="31" t="str">
        <f>IFERROR(__xludf.DUMMYFUNCTION("IF(OR(E5251="""",K5251=""""),"""",IFERROR(IF(K5251="""","""",query('tbl user'!$A$2:$D10975,""SELECT A WHERE D = '""&amp;K5251&amp;""'"")),""USER TIDAK DIKETAHUI""))"),"")</f>
        <v/>
      </c>
    </row>
    <row r="5252">
      <c r="A5252" s="21">
        <f t="shared" si="1"/>
        <v>45477.58784</v>
      </c>
      <c r="B5252" s="40" t="s">
        <v>2397</v>
      </c>
      <c r="C5252" s="23" t="s">
        <v>1935</v>
      </c>
      <c r="D5252" s="23" t="s">
        <v>21</v>
      </c>
      <c r="E5252" s="24">
        <v>45476.0</v>
      </c>
      <c r="F5252" s="25">
        <v>0.28888888888888886</v>
      </c>
      <c r="G5252" s="25">
        <v>0.7361111111111112</v>
      </c>
      <c r="H5252" s="27">
        <f t="shared" si="2"/>
        <v>0.4472222222</v>
      </c>
      <c r="I5252" s="28">
        <v>2.0</v>
      </c>
      <c r="J5252" s="39" t="s">
        <v>2567</v>
      </c>
      <c r="K5252" s="41"/>
      <c r="L5252" s="31" t="str">
        <f>IFERROR(__xludf.DUMMYFUNCTION("IF(OR(E5252="""",K5252=""""),"""",IFERROR(IF(K5252="""","""",query('tbl user'!$A$2:$D10975,""SELECT A WHERE D = '""&amp;K5252&amp;""'"")),""USER TIDAK DIKETAHUI""))"),"")</f>
        <v/>
      </c>
    </row>
    <row r="5253">
      <c r="A5253" s="21">
        <f t="shared" si="1"/>
        <v>45477.58792</v>
      </c>
      <c r="B5253" s="40" t="s">
        <v>2369</v>
      </c>
      <c r="C5253" s="23" t="s">
        <v>2568</v>
      </c>
      <c r="D5253" s="23" t="s">
        <v>21</v>
      </c>
      <c r="E5253" s="24">
        <v>45476.0</v>
      </c>
      <c r="F5253" s="25">
        <v>0.28402777777777777</v>
      </c>
      <c r="G5253" s="25">
        <v>0.5486111111111112</v>
      </c>
      <c r="H5253" s="27">
        <f t="shared" si="2"/>
        <v>0.2645833333</v>
      </c>
      <c r="I5253" s="28">
        <v>2.0</v>
      </c>
      <c r="J5253" s="39" t="s">
        <v>2569</v>
      </c>
      <c r="K5253" s="41"/>
      <c r="L5253" s="31" t="str">
        <f>IFERROR(__xludf.DUMMYFUNCTION("IF(OR(E5253="""",K5253=""""),"""",IFERROR(IF(K5253="""","""",query('tbl user'!$A$2:$D10975,""SELECT A WHERE D = '""&amp;K5253&amp;""'"")),""USER TIDAK DIKETAHUI""))"),"")</f>
        <v/>
      </c>
    </row>
    <row r="5254">
      <c r="A5254" s="21">
        <f t="shared" si="1"/>
        <v>45477.58801</v>
      </c>
      <c r="B5254" s="40" t="s">
        <v>2385</v>
      </c>
      <c r="C5254" s="23" t="s">
        <v>2002</v>
      </c>
      <c r="D5254" s="23" t="s">
        <v>21</v>
      </c>
      <c r="E5254" s="24">
        <v>45476.0</v>
      </c>
      <c r="F5254" s="25">
        <v>0.28680555555555554</v>
      </c>
      <c r="G5254" s="25">
        <v>0.75</v>
      </c>
      <c r="H5254" s="27">
        <f t="shared" si="2"/>
        <v>0.4631944444</v>
      </c>
      <c r="I5254" s="28">
        <v>3.0</v>
      </c>
      <c r="J5254" s="39" t="s">
        <v>1474</v>
      </c>
      <c r="K5254" s="41"/>
      <c r="L5254" s="31" t="str">
        <f>IFERROR(__xludf.DUMMYFUNCTION("IF(OR(E5254="""",K5254=""""),"""",IFERROR(IF(K5254="""","""",query('tbl user'!$A$2:$D10975,""SELECT A WHERE D = '""&amp;K5254&amp;""'"")),""USER TIDAK DIKETAHUI""))"),"")</f>
        <v/>
      </c>
    </row>
    <row r="5255">
      <c r="A5255" s="21">
        <f t="shared" si="1"/>
        <v>45477.58806</v>
      </c>
      <c r="B5255" s="40" t="s">
        <v>2387</v>
      </c>
      <c r="C5255" s="23" t="s">
        <v>1923</v>
      </c>
      <c r="D5255" s="23" t="s">
        <v>21</v>
      </c>
      <c r="E5255" s="24">
        <v>45476.0</v>
      </c>
      <c r="F5255" s="25">
        <v>0.26180555555555557</v>
      </c>
      <c r="G5255" s="25">
        <v>0.6965277777777777</v>
      </c>
      <c r="H5255" s="27">
        <f t="shared" si="2"/>
        <v>0.4347222222</v>
      </c>
      <c r="I5255" s="28">
        <v>3.0</v>
      </c>
      <c r="J5255" s="39" t="s">
        <v>2570</v>
      </c>
      <c r="K5255" s="41"/>
      <c r="L5255" s="31" t="str">
        <f>IFERROR(__xludf.DUMMYFUNCTION("IF(OR(E5255="""",K5255=""""),"""",IFERROR(IF(K5255="""","""",query('tbl user'!$A$2:$D10975,""SELECT A WHERE D = '""&amp;K5255&amp;""'"")),""USER TIDAK DIKETAHUI""))"),"")</f>
        <v/>
      </c>
    </row>
    <row r="5256">
      <c r="A5256" s="21">
        <f t="shared" si="1"/>
        <v>45477.58813</v>
      </c>
      <c r="B5256" s="40" t="s">
        <v>2390</v>
      </c>
      <c r="C5256" s="23" t="s">
        <v>2136</v>
      </c>
      <c r="D5256" s="23" t="s">
        <v>21</v>
      </c>
      <c r="E5256" s="24">
        <v>45476.0</v>
      </c>
      <c r="F5256" s="25">
        <v>0.2847222222222222</v>
      </c>
      <c r="G5256" s="25">
        <v>0.7145833333333333</v>
      </c>
      <c r="H5256" s="27">
        <f t="shared" si="2"/>
        <v>0.4298611111</v>
      </c>
      <c r="I5256" s="28">
        <v>3.0</v>
      </c>
      <c r="J5256" s="39" t="s">
        <v>2571</v>
      </c>
      <c r="K5256" s="41"/>
      <c r="L5256" s="31" t="str">
        <f>IFERROR(__xludf.DUMMYFUNCTION("IF(OR(E5256="""",K5256=""""),"""",IFERROR(IF(K5256="""","""",query('tbl user'!$A$2:$D10975,""SELECT A WHERE D = '""&amp;K5256&amp;""'"")),""USER TIDAK DIKETAHUI""))"),"")</f>
        <v/>
      </c>
    </row>
    <row r="5257">
      <c r="A5257" s="21">
        <f t="shared" si="1"/>
        <v>45477.58818</v>
      </c>
      <c r="B5257" s="40" t="s">
        <v>2460</v>
      </c>
      <c r="C5257" s="23" t="s">
        <v>1856</v>
      </c>
      <c r="D5257" s="23" t="s">
        <v>21</v>
      </c>
      <c r="E5257" s="24">
        <v>45476.0</v>
      </c>
      <c r="F5257" s="25">
        <v>0.29097222222222224</v>
      </c>
      <c r="G5257" s="25">
        <v>0.6277777777777778</v>
      </c>
      <c r="H5257" s="27">
        <f t="shared" si="2"/>
        <v>0.3368055556</v>
      </c>
      <c r="I5257" s="28">
        <v>3.0</v>
      </c>
      <c r="J5257" s="39" t="s">
        <v>2572</v>
      </c>
      <c r="K5257" s="41"/>
      <c r="L5257" s="31" t="str">
        <f>IFERROR(__xludf.DUMMYFUNCTION("IF(OR(E5257="""",K5257=""""),"""",IFERROR(IF(K5257="""","""",query('tbl user'!$A$2:$D10975,""SELECT A WHERE D = '""&amp;K5257&amp;""'"")),""USER TIDAK DIKETAHUI""))"),"")</f>
        <v/>
      </c>
    </row>
    <row r="5258">
      <c r="A5258" s="21">
        <f t="shared" si="1"/>
        <v>45477.58823</v>
      </c>
      <c r="B5258" s="40" t="s">
        <v>2371</v>
      </c>
      <c r="C5258" s="23" t="s">
        <v>1845</v>
      </c>
      <c r="D5258" s="23" t="s">
        <v>21</v>
      </c>
      <c r="E5258" s="24">
        <v>45476.0</v>
      </c>
      <c r="F5258" s="25">
        <v>0.2881944444444444</v>
      </c>
      <c r="G5258" s="25">
        <v>0.6423611111111112</v>
      </c>
      <c r="H5258" s="27">
        <f t="shared" si="2"/>
        <v>0.3541666667</v>
      </c>
      <c r="I5258" s="28">
        <v>3.0</v>
      </c>
      <c r="J5258" s="39" t="s">
        <v>2573</v>
      </c>
      <c r="K5258" s="41"/>
      <c r="L5258" s="31" t="str">
        <f>IFERROR(__xludf.DUMMYFUNCTION("IF(OR(E5258="""",K5258=""""),"""",IFERROR(IF(K5258="""","""",query('tbl user'!$A$2:$D10975,""SELECT A WHERE D = '""&amp;K5258&amp;""'"")),""USER TIDAK DIKETAHUI""))"),"")</f>
        <v/>
      </c>
    </row>
    <row r="5259">
      <c r="A5259" s="21">
        <f t="shared" si="1"/>
        <v>45477.58829</v>
      </c>
      <c r="B5259" s="40" t="s">
        <v>2462</v>
      </c>
      <c r="C5259" s="23" t="s">
        <v>1928</v>
      </c>
      <c r="D5259" s="23" t="s">
        <v>21</v>
      </c>
      <c r="E5259" s="24">
        <v>45476.0</v>
      </c>
      <c r="F5259" s="25">
        <v>0.2881944444444444</v>
      </c>
      <c r="G5259" s="25">
        <v>0.6701388888888888</v>
      </c>
      <c r="H5259" s="27">
        <f t="shared" si="2"/>
        <v>0.3819444444</v>
      </c>
      <c r="I5259" s="28">
        <v>3.0</v>
      </c>
      <c r="J5259" s="39" t="s">
        <v>2573</v>
      </c>
      <c r="K5259" s="41"/>
      <c r="L5259" s="31" t="str">
        <f>IFERROR(__xludf.DUMMYFUNCTION("IF(OR(E5259="""",K5259=""""),"""",IFERROR(IF(K5259="""","""",query('tbl user'!$A$2:$D10975,""SELECT A WHERE D = '""&amp;K5259&amp;""'"")),""USER TIDAK DIKETAHUI""))"),"")</f>
        <v/>
      </c>
    </row>
    <row r="5260">
      <c r="A5260" s="21">
        <f t="shared" si="1"/>
        <v>45477.58834</v>
      </c>
      <c r="B5260" s="40" t="s">
        <v>2395</v>
      </c>
      <c r="C5260" s="23" t="s">
        <v>1827</v>
      </c>
      <c r="D5260" s="23" t="s">
        <v>21</v>
      </c>
      <c r="E5260" s="24">
        <v>45476.0</v>
      </c>
      <c r="F5260" s="25">
        <v>0.28194444444444444</v>
      </c>
      <c r="G5260" s="25">
        <v>0.7243055555555555</v>
      </c>
      <c r="H5260" s="27">
        <f t="shared" si="2"/>
        <v>0.4423611111</v>
      </c>
      <c r="I5260" s="28">
        <v>4.0</v>
      </c>
      <c r="J5260" s="39" t="s">
        <v>2573</v>
      </c>
      <c r="K5260" s="41"/>
      <c r="L5260" s="31" t="str">
        <f>IFERROR(__xludf.DUMMYFUNCTION("IF(OR(E5260="""",K5260=""""),"""",IFERROR(IF(K5260="""","""",query('tbl user'!$A$2:$D10975,""SELECT A WHERE D = '""&amp;K5260&amp;""'"")),""USER TIDAK DIKETAHUI""))"),"")</f>
        <v/>
      </c>
    </row>
    <row r="5261">
      <c r="A5261" s="21">
        <f t="shared" si="1"/>
        <v>45477.5884</v>
      </c>
      <c r="B5261" s="40" t="s">
        <v>2392</v>
      </c>
      <c r="C5261" s="23" t="s">
        <v>2041</v>
      </c>
      <c r="D5261" s="23" t="s">
        <v>21</v>
      </c>
      <c r="E5261" s="24">
        <v>45476.0</v>
      </c>
      <c r="F5261" s="25">
        <v>0.24166666666666667</v>
      </c>
      <c r="G5261" s="25">
        <v>0.6673611111111111</v>
      </c>
      <c r="H5261" s="27">
        <f t="shared" si="2"/>
        <v>0.4256944444</v>
      </c>
      <c r="I5261" s="28">
        <v>4.0</v>
      </c>
      <c r="J5261" s="39" t="s">
        <v>880</v>
      </c>
      <c r="K5261" s="41"/>
      <c r="L5261" s="31" t="str">
        <f>IFERROR(__xludf.DUMMYFUNCTION("IF(OR(E5261="""",K5261=""""),"""",IFERROR(IF(K5261="""","""",query('tbl user'!$A$2:$D10975,""SELECT A WHERE D = '""&amp;K5261&amp;""'"")),""USER TIDAK DIKETAHUI""))"),"")</f>
        <v/>
      </c>
    </row>
    <row r="5262">
      <c r="A5262" s="21">
        <f t="shared" si="1"/>
        <v>45477.58844</v>
      </c>
      <c r="B5262" s="40" t="s">
        <v>2379</v>
      </c>
      <c r="C5262" s="23" t="s">
        <v>1835</v>
      </c>
      <c r="D5262" s="23" t="s">
        <v>21</v>
      </c>
      <c r="E5262" s="24">
        <v>45476.0</v>
      </c>
      <c r="F5262" s="25">
        <v>0.2881944444444444</v>
      </c>
      <c r="G5262" s="25">
        <v>0.7395833333333334</v>
      </c>
      <c r="H5262" s="27">
        <f t="shared" si="2"/>
        <v>0.4513888889</v>
      </c>
      <c r="I5262" s="28">
        <v>4.0</v>
      </c>
      <c r="J5262" s="39" t="s">
        <v>2573</v>
      </c>
      <c r="K5262" s="41"/>
      <c r="L5262" s="31" t="str">
        <f>IFERROR(__xludf.DUMMYFUNCTION("IF(OR(E5262="""",K5262=""""),"""",IFERROR(IF(K5262="""","""",query('tbl user'!$A$2:$D10975,""SELECT A WHERE D = '""&amp;K5262&amp;""'"")),""USER TIDAK DIKETAHUI""))"),"")</f>
        <v/>
      </c>
    </row>
    <row r="5263">
      <c r="A5263" s="21">
        <f t="shared" si="1"/>
        <v>45477.58849</v>
      </c>
      <c r="B5263" s="40" t="s">
        <v>2393</v>
      </c>
      <c r="C5263" s="23" t="s">
        <v>1925</v>
      </c>
      <c r="D5263" s="23" t="s">
        <v>21</v>
      </c>
      <c r="E5263" s="24">
        <v>45476.0</v>
      </c>
      <c r="F5263" s="25">
        <v>0.2722222222222222</v>
      </c>
      <c r="G5263" s="25">
        <v>0.6826388888888889</v>
      </c>
      <c r="H5263" s="27">
        <f t="shared" si="2"/>
        <v>0.4104166667</v>
      </c>
      <c r="I5263" s="28">
        <v>4.0</v>
      </c>
      <c r="J5263" s="39" t="s">
        <v>2574</v>
      </c>
      <c r="K5263" s="41"/>
      <c r="L5263" s="31" t="str">
        <f>IFERROR(__xludf.DUMMYFUNCTION("IF(OR(E5263="""",K5263=""""),"""",IFERROR(IF(K5263="""","""",query('tbl user'!$A$2:$D10975,""SELECT A WHERE D = '""&amp;K5263&amp;""'"")),""USER TIDAK DIKETAHUI""))"),"")</f>
        <v/>
      </c>
    </row>
    <row r="5264">
      <c r="A5264" s="21">
        <f t="shared" si="1"/>
        <v>45477.58854</v>
      </c>
      <c r="B5264" s="40" t="s">
        <v>2396</v>
      </c>
      <c r="C5264" s="23" t="s">
        <v>2049</v>
      </c>
      <c r="D5264" s="23" t="s">
        <v>21</v>
      </c>
      <c r="E5264" s="24">
        <v>45476.0</v>
      </c>
      <c r="F5264" s="25">
        <v>0.24583333333333332</v>
      </c>
      <c r="G5264" s="25">
        <v>0.6875</v>
      </c>
      <c r="H5264" s="27">
        <f t="shared" si="2"/>
        <v>0.4416666667</v>
      </c>
      <c r="I5264" s="28">
        <v>4.0</v>
      </c>
      <c r="J5264" s="39" t="s">
        <v>2573</v>
      </c>
      <c r="K5264" s="41"/>
      <c r="L5264" s="31" t="str">
        <f>IFERROR(__xludf.DUMMYFUNCTION("IF(OR(E5264="""",K5264=""""),"""",IFERROR(IF(K5264="""","""",query('tbl user'!$A$2:$D10975,""SELECT A WHERE D = '""&amp;K5264&amp;""'"")),""USER TIDAK DIKETAHUI""))"),"")</f>
        <v/>
      </c>
    </row>
    <row r="5265">
      <c r="A5265" s="21">
        <f t="shared" si="1"/>
        <v>45477.58861</v>
      </c>
      <c r="B5265" s="40" t="s">
        <v>2457</v>
      </c>
      <c r="C5265" s="23" t="s">
        <v>2005</v>
      </c>
      <c r="D5265" s="23" t="s">
        <v>21</v>
      </c>
      <c r="E5265" s="24">
        <v>45476.0</v>
      </c>
      <c r="F5265" s="25">
        <v>0.25555555555555554</v>
      </c>
      <c r="G5265" s="25">
        <v>0.6736111111111112</v>
      </c>
      <c r="H5265" s="27">
        <f t="shared" si="2"/>
        <v>0.4180555556</v>
      </c>
      <c r="I5265" s="28">
        <v>4.0</v>
      </c>
      <c r="J5265" s="39" t="s">
        <v>2575</v>
      </c>
      <c r="K5265" s="41"/>
      <c r="L5265" s="31" t="str">
        <f>IFERROR(__xludf.DUMMYFUNCTION("IF(OR(E5265="""",K5265=""""),"""",IFERROR(IF(K5265="""","""",query('tbl user'!$A$2:$D10975,""SELECT A WHERE D = '""&amp;K5265&amp;""'"")),""USER TIDAK DIKETAHUI""))"),"")</f>
        <v/>
      </c>
    </row>
    <row r="5266">
      <c r="A5266" s="21">
        <f t="shared" si="1"/>
        <v>45477.58866</v>
      </c>
      <c r="B5266" s="40" t="s">
        <v>2374</v>
      </c>
      <c r="C5266" s="23" t="s">
        <v>1850</v>
      </c>
      <c r="D5266" s="23" t="s">
        <v>21</v>
      </c>
      <c r="E5266" s="24">
        <v>45476.0</v>
      </c>
      <c r="F5266" s="25">
        <v>0.28958333333333336</v>
      </c>
      <c r="G5266" s="25">
        <v>0.7555555555555555</v>
      </c>
      <c r="H5266" s="27">
        <f t="shared" si="2"/>
        <v>0.4659722222</v>
      </c>
      <c r="I5266" s="28">
        <v>4.0</v>
      </c>
      <c r="J5266" s="39" t="s">
        <v>2573</v>
      </c>
      <c r="K5266" s="41"/>
      <c r="L5266" s="31" t="str">
        <f>IFERROR(__xludf.DUMMYFUNCTION("IF(OR(E5266="""",K5266=""""),"""",IFERROR(IF(K5266="""","""",query('tbl user'!$A$2:$D10975,""SELECT A WHERE D = '""&amp;K5266&amp;""'"")),""USER TIDAK DIKETAHUI""))"),"")</f>
        <v/>
      </c>
    </row>
    <row r="5267">
      <c r="A5267" s="21">
        <f t="shared" si="1"/>
        <v>45477.58875</v>
      </c>
      <c r="B5267" s="40" t="s">
        <v>2400</v>
      </c>
      <c r="C5267" s="23" t="s">
        <v>1917</v>
      </c>
      <c r="D5267" s="23" t="s">
        <v>21</v>
      </c>
      <c r="E5267" s="24">
        <v>45476.0</v>
      </c>
      <c r="F5267" s="25">
        <v>0.28541666666666665</v>
      </c>
      <c r="G5267" s="25">
        <v>0.6166666666666667</v>
      </c>
      <c r="H5267" s="27">
        <f t="shared" si="2"/>
        <v>0.33125</v>
      </c>
      <c r="I5267" s="28">
        <v>2.0</v>
      </c>
      <c r="J5267" s="39" t="s">
        <v>2541</v>
      </c>
      <c r="K5267" s="41"/>
      <c r="L5267" s="31" t="str">
        <f>IFERROR(__xludf.DUMMYFUNCTION("IF(OR(E5267="""",K5267=""""),"""",IFERROR(IF(K5267="""","""",query('tbl user'!$A$2:$D10975,""SELECT A WHERE D = '""&amp;K5267&amp;""'"")),""USER TIDAK DIKETAHUI""))"),"")</f>
        <v/>
      </c>
    </row>
    <row r="5268">
      <c r="A5268" s="21">
        <f t="shared" si="1"/>
        <v>45477.58881</v>
      </c>
      <c r="B5268" s="40" t="s">
        <v>2401</v>
      </c>
      <c r="C5268" s="23" t="s">
        <v>1841</v>
      </c>
      <c r="D5268" s="23" t="s">
        <v>21</v>
      </c>
      <c r="E5268" s="24">
        <v>45476.0</v>
      </c>
      <c r="F5268" s="25">
        <v>0.3090277777777778</v>
      </c>
      <c r="G5268" s="25">
        <v>0.6423611111111112</v>
      </c>
      <c r="H5268" s="27">
        <f t="shared" si="2"/>
        <v>0.3333333333</v>
      </c>
      <c r="I5268" s="28">
        <v>2.0</v>
      </c>
      <c r="J5268" s="39" t="s">
        <v>2576</v>
      </c>
      <c r="K5268" s="41"/>
      <c r="L5268" s="31" t="str">
        <f>IFERROR(__xludf.DUMMYFUNCTION("IF(OR(E5268="""",K5268=""""),"""",IFERROR(IF(K5268="""","""",query('tbl user'!$A$2:$D10975,""SELECT A WHERE D = '""&amp;K5268&amp;""'"")),""USER TIDAK DIKETAHUI""))"),"")</f>
        <v/>
      </c>
    </row>
    <row r="5269">
      <c r="A5269" s="21">
        <f t="shared" si="1"/>
        <v>45477.58933</v>
      </c>
      <c r="B5269" s="40" t="s">
        <v>2416</v>
      </c>
      <c r="C5269" s="23" t="s">
        <v>1948</v>
      </c>
      <c r="D5269" s="23" t="s">
        <v>58</v>
      </c>
      <c r="E5269" s="24">
        <v>45476.0</v>
      </c>
      <c r="F5269" s="25">
        <v>0.42916666666666664</v>
      </c>
      <c r="G5269" s="25">
        <v>0.7354166666666667</v>
      </c>
      <c r="H5269" s="27">
        <f t="shared" si="2"/>
        <v>0.30625</v>
      </c>
      <c r="I5269" s="28">
        <v>1.0</v>
      </c>
      <c r="J5269" s="39" t="s">
        <v>2577</v>
      </c>
      <c r="K5269" s="41"/>
      <c r="L5269" s="31" t="str">
        <f>IFERROR(__xludf.DUMMYFUNCTION("IF(OR(E5269="""",K5269=""""),"""",IFERROR(IF(K5269="""","""",query('tbl user'!$A$2:$D10975,""SELECT A WHERE D = '""&amp;K5269&amp;""'"")),""USER TIDAK DIKETAHUI""))"),"")</f>
        <v/>
      </c>
    </row>
    <row r="5270">
      <c r="A5270" s="21">
        <f t="shared" si="1"/>
        <v>45477.5894</v>
      </c>
      <c r="B5270" s="40" t="s">
        <v>2418</v>
      </c>
      <c r="C5270" s="23" t="s">
        <v>1881</v>
      </c>
      <c r="D5270" s="23" t="s">
        <v>58</v>
      </c>
      <c r="E5270" s="24">
        <v>45476.0</v>
      </c>
      <c r="F5270" s="25">
        <v>0.29305555555555557</v>
      </c>
      <c r="G5270" s="25">
        <v>0.65</v>
      </c>
      <c r="H5270" s="27">
        <f t="shared" si="2"/>
        <v>0.3569444444</v>
      </c>
      <c r="I5270" s="28">
        <v>1.0</v>
      </c>
      <c r="J5270" s="39" t="s">
        <v>2578</v>
      </c>
      <c r="K5270" s="41"/>
      <c r="L5270" s="31" t="str">
        <f>IFERROR(__xludf.DUMMYFUNCTION("IF(OR(E5270="""",K5270=""""),"""",IFERROR(IF(K5270="""","""",query('tbl user'!$A$2:$D10975,""SELECT A WHERE D = '""&amp;K5270&amp;""'"")),""USER TIDAK DIKETAHUI""))"),"")</f>
        <v/>
      </c>
    </row>
    <row r="5271">
      <c r="A5271" s="21">
        <f t="shared" si="1"/>
        <v>45477.58946</v>
      </c>
      <c r="B5271" s="40" t="s">
        <v>2421</v>
      </c>
      <c r="C5271" s="23" t="s">
        <v>1883</v>
      </c>
      <c r="D5271" s="23" t="s">
        <v>58</v>
      </c>
      <c r="E5271" s="24">
        <v>45476.0</v>
      </c>
      <c r="F5271" s="25">
        <v>0.2708333333333333</v>
      </c>
      <c r="G5271" s="25">
        <v>0.4861111111111111</v>
      </c>
      <c r="H5271" s="27">
        <f t="shared" si="2"/>
        <v>0.2152777778</v>
      </c>
      <c r="I5271" s="28">
        <v>1.0</v>
      </c>
      <c r="J5271" s="39" t="s">
        <v>1109</v>
      </c>
      <c r="K5271" s="41"/>
      <c r="L5271" s="31" t="str">
        <f>IFERROR(__xludf.DUMMYFUNCTION("IF(OR(E5271="""",K5271=""""),"""",IFERROR(IF(K5271="""","""",query('tbl user'!$A$2:$D10975,""SELECT A WHERE D = '""&amp;K5271&amp;""'"")),""USER TIDAK DIKETAHUI""))"),"")</f>
        <v/>
      </c>
    </row>
    <row r="5272">
      <c r="A5272" s="21">
        <f t="shared" si="1"/>
        <v>45477.58953</v>
      </c>
      <c r="B5272" s="40" t="s">
        <v>2422</v>
      </c>
      <c r="C5272" s="23" t="s">
        <v>1860</v>
      </c>
      <c r="D5272" s="23" t="s">
        <v>58</v>
      </c>
      <c r="E5272" s="24">
        <v>45476.0</v>
      </c>
      <c r="F5272" s="25">
        <v>0.2916666666666667</v>
      </c>
      <c r="G5272" s="25">
        <v>0.5097222222222222</v>
      </c>
      <c r="H5272" s="27">
        <f t="shared" si="2"/>
        <v>0.2180555556</v>
      </c>
      <c r="I5272" s="28">
        <v>1.0</v>
      </c>
      <c r="J5272" s="39" t="s">
        <v>2579</v>
      </c>
      <c r="K5272" s="41"/>
      <c r="L5272" s="31" t="str">
        <f>IFERROR(__xludf.DUMMYFUNCTION("IF(OR(E5272="""",K5272=""""),"""",IFERROR(IF(K5272="""","""",query('tbl user'!$A$2:$D10975,""SELECT A WHERE D = '""&amp;K5272&amp;""'"")),""USER TIDAK DIKETAHUI""))"),"")</f>
        <v/>
      </c>
    </row>
    <row r="5273">
      <c r="A5273" s="21">
        <f t="shared" si="1"/>
        <v>45477.58966</v>
      </c>
      <c r="B5273" s="40" t="s">
        <v>2428</v>
      </c>
      <c r="C5273" s="23" t="s">
        <v>1889</v>
      </c>
      <c r="D5273" s="23" t="s">
        <v>58</v>
      </c>
      <c r="E5273" s="24">
        <v>45476.0</v>
      </c>
      <c r="F5273" s="25">
        <v>0.27291666666666664</v>
      </c>
      <c r="G5273" s="25">
        <v>0.4340277777777778</v>
      </c>
      <c r="H5273" s="27">
        <f t="shared" si="2"/>
        <v>0.1611111111</v>
      </c>
      <c r="I5273" s="28">
        <v>1.0</v>
      </c>
      <c r="J5273" s="39" t="s">
        <v>2580</v>
      </c>
      <c r="K5273" s="41"/>
      <c r="L5273" s="31" t="str">
        <f>IFERROR(__xludf.DUMMYFUNCTION("IF(OR(E5273="""",K5273=""""),"""",IFERROR(IF(K5273="""","""",query('tbl user'!$A$2:$D10975,""SELECT A WHERE D = '""&amp;K5273&amp;""'"")),""USER TIDAK DIKETAHUI""))"),"")</f>
        <v/>
      </c>
    </row>
    <row r="5274">
      <c r="A5274" s="21">
        <f t="shared" si="1"/>
        <v>45477.58975</v>
      </c>
      <c r="B5274" s="40" t="s">
        <v>2363</v>
      </c>
      <c r="C5274" s="23" t="s">
        <v>1874</v>
      </c>
      <c r="D5274" s="23" t="s">
        <v>58</v>
      </c>
      <c r="E5274" s="24">
        <v>45476.0</v>
      </c>
      <c r="F5274" s="25">
        <v>0.28541666666666665</v>
      </c>
      <c r="G5274" s="25">
        <v>0.6201388888888889</v>
      </c>
      <c r="H5274" s="27">
        <f t="shared" si="2"/>
        <v>0.3347222222</v>
      </c>
      <c r="I5274" s="28">
        <v>2.0</v>
      </c>
      <c r="J5274" s="39" t="s">
        <v>2581</v>
      </c>
      <c r="K5274" s="41"/>
      <c r="L5274" s="31" t="str">
        <f>IFERROR(__xludf.DUMMYFUNCTION("IF(OR(E5274="""",K5274=""""),"""",IFERROR(IF(K5274="""","""",query('tbl user'!$A$2:$D10975,""SELECT A WHERE D = '""&amp;K5274&amp;""'"")),""USER TIDAK DIKETAHUI""))"),"")</f>
        <v/>
      </c>
    </row>
    <row r="5275">
      <c r="A5275" s="21">
        <f t="shared" si="1"/>
        <v>45477.58979</v>
      </c>
      <c r="B5275" s="40" t="s">
        <v>2417</v>
      </c>
      <c r="C5275" s="23" t="s">
        <v>1941</v>
      </c>
      <c r="D5275" s="23" t="s">
        <v>58</v>
      </c>
      <c r="E5275" s="24">
        <v>45476.0</v>
      </c>
      <c r="F5275" s="25">
        <v>0.2902777777777778</v>
      </c>
      <c r="G5275" s="25">
        <v>0.575</v>
      </c>
      <c r="H5275" s="27">
        <f t="shared" si="2"/>
        <v>0.2847222222</v>
      </c>
      <c r="I5275" s="28">
        <v>2.0</v>
      </c>
      <c r="J5275" s="39" t="s">
        <v>2582</v>
      </c>
      <c r="K5275" s="41"/>
      <c r="L5275" s="31" t="str">
        <f>IFERROR(__xludf.DUMMYFUNCTION("IF(OR(E5275="""",K5275=""""),"""",IFERROR(IF(K5275="""","""",query('tbl user'!$A$2:$D10975,""SELECT A WHERE D = '""&amp;K5275&amp;""'"")),""USER TIDAK DIKETAHUI""))"),"")</f>
        <v/>
      </c>
    </row>
    <row r="5276">
      <c r="A5276" s="21">
        <f t="shared" si="1"/>
        <v>45477.59003</v>
      </c>
      <c r="B5276" s="40" t="s">
        <v>2404</v>
      </c>
      <c r="C5276" s="23" t="s">
        <v>1879</v>
      </c>
      <c r="D5276" s="23" t="s">
        <v>58</v>
      </c>
      <c r="E5276" s="24">
        <v>45476.0</v>
      </c>
      <c r="F5276" s="25">
        <v>0.2916666666666667</v>
      </c>
      <c r="G5276" s="25">
        <v>0.6465277777777778</v>
      </c>
      <c r="H5276" s="27">
        <f t="shared" si="2"/>
        <v>0.3548611111</v>
      </c>
      <c r="I5276" s="28">
        <v>2.0</v>
      </c>
      <c r="J5276" s="39" t="s">
        <v>171</v>
      </c>
      <c r="K5276" s="41"/>
      <c r="L5276" s="31" t="str">
        <f>IFERROR(__xludf.DUMMYFUNCTION("IF(OR(E5276="""",K5276=""""),"""",IFERROR(IF(K5276="""","""",query('tbl user'!$A$2:$D10975,""SELECT A WHERE D = '""&amp;K5276&amp;""'"")),""USER TIDAK DIKETAHUI""))"),"")</f>
        <v/>
      </c>
    </row>
    <row r="5277">
      <c r="A5277" s="21">
        <f t="shared" si="1"/>
        <v>45477.59006</v>
      </c>
      <c r="B5277" s="40" t="s">
        <v>2433</v>
      </c>
      <c r="C5277" s="23" t="s">
        <v>1950</v>
      </c>
      <c r="D5277" s="23" t="s">
        <v>58</v>
      </c>
      <c r="E5277" s="24">
        <v>45476.0</v>
      </c>
      <c r="F5277" s="25">
        <v>0.2923611111111111</v>
      </c>
      <c r="G5277" s="25">
        <v>0.6513888888888889</v>
      </c>
      <c r="H5277" s="27">
        <f t="shared" si="2"/>
        <v>0.3590277778</v>
      </c>
      <c r="I5277" s="28">
        <v>2.0</v>
      </c>
      <c r="J5277" s="39" t="s">
        <v>2583</v>
      </c>
      <c r="K5277" s="41"/>
      <c r="L5277" s="31" t="str">
        <f>IFERROR(__xludf.DUMMYFUNCTION("IF(OR(E5277="""",K5277=""""),"""",IFERROR(IF(K5277="""","""",query('tbl user'!$A$2:$D10975,""SELECT A WHERE D = '""&amp;K5277&amp;""'"")),""USER TIDAK DIKETAHUI""))"),"")</f>
        <v/>
      </c>
    </row>
    <row r="5278">
      <c r="A5278" s="21">
        <f t="shared" si="1"/>
        <v>45477.59011</v>
      </c>
      <c r="B5278" s="40" t="s">
        <v>2424</v>
      </c>
      <c r="C5278" s="23" t="s">
        <v>1886</v>
      </c>
      <c r="D5278" s="23" t="s">
        <v>58</v>
      </c>
      <c r="E5278" s="24">
        <v>45476.0</v>
      </c>
      <c r="F5278" s="25">
        <v>0.2673611111111111</v>
      </c>
      <c r="G5278" s="25">
        <v>0.6541666666666667</v>
      </c>
      <c r="H5278" s="27">
        <f t="shared" si="2"/>
        <v>0.3868055556</v>
      </c>
      <c r="I5278" s="28">
        <v>2.0</v>
      </c>
      <c r="J5278" s="39" t="s">
        <v>1303</v>
      </c>
      <c r="K5278" s="41"/>
      <c r="L5278" s="31" t="str">
        <f>IFERROR(__xludf.DUMMYFUNCTION("IF(OR(E5278="""",K5278=""""),"""",IFERROR(IF(K5278="""","""",query('tbl user'!$A$2:$D10975,""SELECT A WHERE D = '""&amp;K5278&amp;""'"")),""USER TIDAK DIKETAHUI""))"),"")</f>
        <v/>
      </c>
    </row>
    <row r="5279">
      <c r="A5279" s="21">
        <f t="shared" si="1"/>
        <v>45477.59016</v>
      </c>
      <c r="B5279" s="40" t="s">
        <v>2359</v>
      </c>
      <c r="C5279" s="23" t="s">
        <v>1888</v>
      </c>
      <c r="D5279" s="23" t="s">
        <v>58</v>
      </c>
      <c r="E5279" s="24">
        <v>45476.0</v>
      </c>
      <c r="F5279" s="25">
        <v>0.28402777777777777</v>
      </c>
      <c r="G5279" s="25">
        <v>0.7333333333333333</v>
      </c>
      <c r="H5279" s="27">
        <f t="shared" si="2"/>
        <v>0.4493055556</v>
      </c>
      <c r="I5279" s="28">
        <v>2.0</v>
      </c>
      <c r="J5279" s="39" t="s">
        <v>2584</v>
      </c>
      <c r="K5279" s="41"/>
      <c r="L5279" s="31" t="str">
        <f>IFERROR(__xludf.DUMMYFUNCTION("IF(OR(E5279="""",K5279=""""),"""",IFERROR(IF(K5279="""","""",query('tbl user'!$A$2:$D10975,""SELECT A WHERE D = '""&amp;K5279&amp;""'"")),""USER TIDAK DIKETAHUI""))"),"")</f>
        <v/>
      </c>
    </row>
    <row r="5280">
      <c r="A5280" s="21">
        <f t="shared" si="1"/>
        <v>45477.59028</v>
      </c>
      <c r="B5280" s="40" t="s">
        <v>2435</v>
      </c>
      <c r="C5280" s="23" t="s">
        <v>1893</v>
      </c>
      <c r="D5280" s="23" t="s">
        <v>58</v>
      </c>
      <c r="E5280" s="24">
        <v>45476.0</v>
      </c>
      <c r="F5280" s="25">
        <v>0.2048611111111111</v>
      </c>
      <c r="G5280" s="25">
        <v>0.6048611111111111</v>
      </c>
      <c r="H5280" s="27">
        <f t="shared" si="2"/>
        <v>0.4</v>
      </c>
      <c r="I5280" s="28">
        <v>2.0</v>
      </c>
      <c r="J5280" s="39" t="s">
        <v>2585</v>
      </c>
      <c r="K5280" s="41"/>
      <c r="L5280" s="31" t="str">
        <f>IFERROR(__xludf.DUMMYFUNCTION("IF(OR(E5280="""",K5280=""""),"""",IFERROR(IF(K5280="""","""",query('tbl user'!$A$2:$D10975,""SELECT A WHERE D = '""&amp;K5280&amp;""'"")),""USER TIDAK DIKETAHUI""))"),"")</f>
        <v/>
      </c>
    </row>
    <row r="5281">
      <c r="A5281" s="21">
        <f t="shared" si="1"/>
        <v>45477.59032</v>
      </c>
      <c r="B5281" s="40" t="s">
        <v>2412</v>
      </c>
      <c r="C5281" s="23" t="s">
        <v>1872</v>
      </c>
      <c r="D5281" s="23" t="s">
        <v>58</v>
      </c>
      <c r="E5281" s="24">
        <v>45476.0</v>
      </c>
      <c r="F5281" s="25">
        <v>0.2875</v>
      </c>
      <c r="G5281" s="25">
        <v>0.6645833333333333</v>
      </c>
      <c r="H5281" s="27">
        <f t="shared" si="2"/>
        <v>0.3770833333</v>
      </c>
      <c r="I5281" s="28">
        <v>2.0</v>
      </c>
      <c r="J5281" s="39" t="s">
        <v>2584</v>
      </c>
      <c r="K5281" s="41"/>
      <c r="L5281" s="31" t="str">
        <f>IFERROR(__xludf.DUMMYFUNCTION("IF(OR(E5281="""",K5281=""""),"""",IFERROR(IF(K5281="""","""",query('tbl user'!$A$2:$D10975,""SELECT A WHERE D = '""&amp;K5281&amp;""'"")),""USER TIDAK DIKETAHUI""))"),"")</f>
        <v/>
      </c>
    </row>
    <row r="5282">
      <c r="A5282" s="21">
        <f t="shared" si="1"/>
        <v>45477.59037</v>
      </c>
      <c r="B5282" s="40" t="s">
        <v>2410</v>
      </c>
      <c r="C5282" s="23" t="s">
        <v>2090</v>
      </c>
      <c r="D5282" s="23" t="s">
        <v>58</v>
      </c>
      <c r="E5282" s="24">
        <v>45476.0</v>
      </c>
      <c r="F5282" s="25">
        <v>0.28958333333333336</v>
      </c>
      <c r="G5282" s="25">
        <v>0.625</v>
      </c>
      <c r="H5282" s="27">
        <f t="shared" si="2"/>
        <v>0.3354166667</v>
      </c>
      <c r="I5282" s="28">
        <v>2.0</v>
      </c>
      <c r="J5282" s="39" t="s">
        <v>2584</v>
      </c>
      <c r="K5282" s="41"/>
      <c r="L5282" s="31" t="str">
        <f>IFERROR(__xludf.DUMMYFUNCTION("IF(OR(E5282="""",K5282=""""),"""",IFERROR(IF(K5282="""","""",query('tbl user'!$A$2:$D10975,""SELECT A WHERE D = '""&amp;K5282&amp;""'"")),""USER TIDAK DIKETAHUI""))"),"")</f>
        <v/>
      </c>
    </row>
    <row r="5283">
      <c r="A5283" s="21">
        <f t="shared" si="1"/>
        <v>45477.59045</v>
      </c>
      <c r="B5283" s="40" t="s">
        <v>2361</v>
      </c>
      <c r="C5283" s="23" t="s">
        <v>1875</v>
      </c>
      <c r="D5283" s="23" t="s">
        <v>58</v>
      </c>
      <c r="E5283" s="24">
        <v>45476.0</v>
      </c>
      <c r="F5283" s="25">
        <v>0.2423611111111111</v>
      </c>
      <c r="G5283" s="25">
        <v>0.6430555555555556</v>
      </c>
      <c r="H5283" s="27">
        <f t="shared" si="2"/>
        <v>0.4006944444</v>
      </c>
      <c r="I5283" s="28">
        <v>3.0</v>
      </c>
      <c r="J5283" s="39" t="s">
        <v>2584</v>
      </c>
      <c r="K5283" s="41"/>
      <c r="L5283" s="31" t="str">
        <f>IFERROR(__xludf.DUMMYFUNCTION("IF(OR(E5283="""",K5283=""""),"""",IFERROR(IF(K5283="""","""",query('tbl user'!$A$2:$D10975,""SELECT A WHERE D = '""&amp;K5283&amp;""'"")),""USER TIDAK DIKETAHUI""))"),"")</f>
        <v/>
      </c>
    </row>
    <row r="5284">
      <c r="A5284" s="21">
        <f t="shared" si="1"/>
        <v>45477.59054</v>
      </c>
      <c r="B5284" s="40" t="s">
        <v>2419</v>
      </c>
      <c r="C5284" s="23" t="s">
        <v>1882</v>
      </c>
      <c r="D5284" s="23" t="s">
        <v>58</v>
      </c>
      <c r="E5284" s="24">
        <v>45476.0</v>
      </c>
      <c r="F5284" s="25">
        <v>0.28888888888888886</v>
      </c>
      <c r="G5284" s="25">
        <v>0.6916666666666667</v>
      </c>
      <c r="H5284" s="27">
        <f t="shared" si="2"/>
        <v>0.4027777778</v>
      </c>
      <c r="I5284" s="28">
        <v>3.0</v>
      </c>
      <c r="J5284" s="39" t="s">
        <v>2586</v>
      </c>
      <c r="K5284" s="41"/>
      <c r="L5284" s="31" t="str">
        <f>IFERROR(__xludf.DUMMYFUNCTION("IF(OR(E5284="""",K5284=""""),"""",IFERROR(IF(K5284="""","""",query('tbl user'!$A$2:$D10975,""SELECT A WHERE D = '""&amp;K5284&amp;""'"")),""USER TIDAK DIKETAHUI""))"),"")</f>
        <v/>
      </c>
    </row>
    <row r="5285">
      <c r="A5285" s="21">
        <f t="shared" si="1"/>
        <v>45477.59063</v>
      </c>
      <c r="B5285" s="40" t="s">
        <v>2432</v>
      </c>
      <c r="C5285" s="23" t="s">
        <v>1884</v>
      </c>
      <c r="D5285" s="23" t="s">
        <v>58</v>
      </c>
      <c r="E5285" s="24">
        <v>45476.0</v>
      </c>
      <c r="F5285" s="25">
        <v>0.25</v>
      </c>
      <c r="G5285" s="25">
        <v>0.6291666666666667</v>
      </c>
      <c r="H5285" s="27">
        <f t="shared" si="2"/>
        <v>0.3791666667</v>
      </c>
      <c r="I5285" s="28">
        <v>3.0</v>
      </c>
      <c r="J5285" s="39" t="s">
        <v>2587</v>
      </c>
      <c r="K5285" s="41"/>
      <c r="L5285" s="31" t="str">
        <f>IFERROR(__xludf.DUMMYFUNCTION("IF(OR(E5285="""",K5285=""""),"""",IFERROR(IF(K5285="""","""",query('tbl user'!$A$2:$D10975,""SELECT A WHERE D = '""&amp;K5285&amp;""'"")),""USER TIDAK DIKETAHUI""))"),"")</f>
        <v/>
      </c>
    </row>
    <row r="5286">
      <c r="A5286" s="21">
        <f t="shared" si="1"/>
        <v>45477.59071</v>
      </c>
      <c r="B5286" s="40" t="s">
        <v>2423</v>
      </c>
      <c r="C5286" s="23" t="s">
        <v>1863</v>
      </c>
      <c r="D5286" s="23" t="s">
        <v>58</v>
      </c>
      <c r="E5286" s="24">
        <v>45476.0</v>
      </c>
      <c r="F5286" s="25">
        <v>0.2833333333333333</v>
      </c>
      <c r="G5286" s="25">
        <v>0.6458333333333334</v>
      </c>
      <c r="H5286" s="27">
        <f t="shared" si="2"/>
        <v>0.3625</v>
      </c>
      <c r="I5286" s="28">
        <v>3.0</v>
      </c>
      <c r="J5286" s="39" t="s">
        <v>2584</v>
      </c>
      <c r="K5286" s="41"/>
      <c r="L5286" s="31" t="str">
        <f>IFERROR(__xludf.DUMMYFUNCTION("IF(OR(E5286="""",K5286=""""),"""",IFERROR(IF(K5286="""","""",query('tbl user'!$A$2:$D10975,""SELECT A WHERE D = '""&amp;K5286&amp;""'"")),""USER TIDAK DIKETAHUI""))"),"")</f>
        <v/>
      </c>
    </row>
    <row r="5287">
      <c r="A5287" s="21">
        <f t="shared" si="1"/>
        <v>45477.59077</v>
      </c>
      <c r="B5287" s="40" t="s">
        <v>2425</v>
      </c>
      <c r="C5287" s="23" t="s">
        <v>1887</v>
      </c>
      <c r="D5287" s="23" t="s">
        <v>58</v>
      </c>
      <c r="E5287" s="24">
        <v>45476.0</v>
      </c>
      <c r="F5287" s="25">
        <v>0.29097222222222224</v>
      </c>
      <c r="G5287" s="25">
        <v>0.6631944444444444</v>
      </c>
      <c r="H5287" s="27">
        <f t="shared" si="2"/>
        <v>0.3722222222</v>
      </c>
      <c r="I5287" s="28">
        <v>3.0</v>
      </c>
      <c r="J5287" s="39" t="s">
        <v>2588</v>
      </c>
      <c r="K5287" s="41"/>
      <c r="L5287" s="31" t="str">
        <f>IFERROR(__xludf.DUMMYFUNCTION("IF(OR(E5287="""",K5287=""""),"""",IFERROR(IF(K5287="""","""",query('tbl user'!$A$2:$D10975,""SELECT A WHERE D = '""&amp;K5287&amp;""'"")),""USER TIDAK DIKETAHUI""))"),"")</f>
        <v/>
      </c>
    </row>
    <row r="5288">
      <c r="A5288" s="21">
        <f t="shared" si="1"/>
        <v>45477.59083</v>
      </c>
      <c r="B5288" s="40" t="s">
        <v>2406</v>
      </c>
      <c r="C5288" s="23" t="s">
        <v>1871</v>
      </c>
      <c r="D5288" s="23" t="s">
        <v>58</v>
      </c>
      <c r="E5288" s="24">
        <v>45476.0</v>
      </c>
      <c r="F5288" s="25">
        <v>0.24097222222222223</v>
      </c>
      <c r="G5288" s="25">
        <v>0.6979166666666666</v>
      </c>
      <c r="H5288" s="27">
        <f t="shared" si="2"/>
        <v>0.4569444444</v>
      </c>
      <c r="I5288" s="28">
        <v>3.0</v>
      </c>
      <c r="J5288" s="39" t="s">
        <v>2584</v>
      </c>
      <c r="K5288" s="41"/>
      <c r="L5288" s="31" t="str">
        <f>IFERROR(__xludf.DUMMYFUNCTION("IF(OR(E5288="""",K5288=""""),"""",IFERROR(IF(K5288="""","""",query('tbl user'!$A$2:$D10975,""SELECT A WHERE D = '""&amp;K5288&amp;""'"")),""USER TIDAK DIKETAHUI""))"),"")</f>
        <v/>
      </c>
    </row>
    <row r="5289">
      <c r="A5289" s="21">
        <f t="shared" si="1"/>
        <v>45477.59089</v>
      </c>
      <c r="B5289" s="40" t="s">
        <v>2415</v>
      </c>
      <c r="C5289" s="23" t="s">
        <v>1867</v>
      </c>
      <c r="D5289" s="23" t="s">
        <v>58</v>
      </c>
      <c r="E5289" s="24">
        <v>45476.0</v>
      </c>
      <c r="F5289" s="25">
        <v>0.24166666666666667</v>
      </c>
      <c r="G5289" s="25">
        <v>0.7090277777777778</v>
      </c>
      <c r="H5289" s="27">
        <f t="shared" si="2"/>
        <v>0.4673611111</v>
      </c>
      <c r="I5289" s="28">
        <v>4.0</v>
      </c>
      <c r="J5289" s="39" t="s">
        <v>55</v>
      </c>
      <c r="K5289" s="41"/>
      <c r="L5289" s="31" t="str">
        <f>IFERROR(__xludf.DUMMYFUNCTION("IF(OR(E5289="""",K5289=""""),"""",IFERROR(IF(K5289="""","""",query('tbl user'!$A$2:$D10975,""SELECT A WHERE D = '""&amp;K5289&amp;""'"")),""USER TIDAK DIKETAHUI""))"),"")</f>
        <v/>
      </c>
    </row>
    <row r="5290">
      <c r="A5290" s="21">
        <f t="shared" si="1"/>
        <v>45477.59096</v>
      </c>
      <c r="B5290" s="40" t="s">
        <v>2434</v>
      </c>
      <c r="C5290" s="23" t="s">
        <v>1892</v>
      </c>
      <c r="D5290" s="23" t="s">
        <v>58</v>
      </c>
      <c r="E5290" s="24">
        <v>45476.0</v>
      </c>
      <c r="F5290" s="25">
        <v>0.2013888888888889</v>
      </c>
      <c r="G5290" s="25">
        <v>0.675</v>
      </c>
      <c r="H5290" s="27">
        <f t="shared" si="2"/>
        <v>0.4736111111</v>
      </c>
      <c r="I5290" s="28">
        <v>4.0</v>
      </c>
      <c r="J5290" s="39" t="s">
        <v>55</v>
      </c>
      <c r="K5290" s="41"/>
      <c r="L5290" s="31" t="str">
        <f>IFERROR(__xludf.DUMMYFUNCTION("IF(OR(E5290="""",K5290=""""),"""",IFERROR(IF(K5290="""","""",query('tbl user'!$A$2:$D10975,""SELECT A WHERE D = '""&amp;K5290&amp;""'"")),""USER TIDAK DIKETAHUI""))"),"")</f>
        <v/>
      </c>
    </row>
    <row r="5291">
      <c r="A5291" s="21">
        <f t="shared" si="1"/>
        <v>45477.59099</v>
      </c>
      <c r="B5291" s="40" t="s">
        <v>2351</v>
      </c>
      <c r="C5291" s="23" t="s">
        <v>1891</v>
      </c>
      <c r="D5291" s="23" t="s">
        <v>58</v>
      </c>
      <c r="E5291" s="24">
        <v>45476.0</v>
      </c>
      <c r="F5291" s="25">
        <v>0.22777777777777777</v>
      </c>
      <c r="G5291" s="25">
        <v>0.73125</v>
      </c>
      <c r="H5291" s="27">
        <f t="shared" si="2"/>
        <v>0.5034722222</v>
      </c>
      <c r="I5291" s="28">
        <v>4.0</v>
      </c>
      <c r="J5291" s="39" t="s">
        <v>55</v>
      </c>
      <c r="K5291" s="41"/>
      <c r="L5291" s="31" t="str">
        <f>IFERROR(__xludf.DUMMYFUNCTION("IF(OR(E5291="""",K5291=""""),"""",IFERROR(IF(K5291="""","""",query('tbl user'!$A$2:$D10975,""SELECT A WHERE D = '""&amp;K5291&amp;""'"")),""USER TIDAK DIKETAHUI""))"),"")</f>
        <v/>
      </c>
    </row>
    <row r="5292">
      <c r="A5292" s="21">
        <f t="shared" si="1"/>
        <v>45477.59132</v>
      </c>
      <c r="B5292" s="40" t="s">
        <v>2552</v>
      </c>
      <c r="C5292" s="23" t="s">
        <v>1901</v>
      </c>
      <c r="D5292" s="23" t="s">
        <v>32</v>
      </c>
      <c r="E5292" s="24">
        <v>45476.0</v>
      </c>
      <c r="F5292" s="25">
        <v>0.28402777777777777</v>
      </c>
      <c r="G5292" s="25">
        <v>0.6118055555555556</v>
      </c>
      <c r="H5292" s="27">
        <f t="shared" si="2"/>
        <v>0.3277777778</v>
      </c>
      <c r="I5292" s="28">
        <v>1.0</v>
      </c>
      <c r="J5292" s="39" t="s">
        <v>2589</v>
      </c>
      <c r="K5292" s="41"/>
      <c r="L5292" s="31" t="str">
        <f>IFERROR(__xludf.DUMMYFUNCTION("IF(OR(E5292="""",K5292=""""),"""",IFERROR(IF(K5292="""","""",query('tbl user'!$A$2:$D10975,""SELECT A WHERE D = '""&amp;K5292&amp;""'"")),""USER TIDAK DIKETAHUI""))"),"")</f>
        <v/>
      </c>
    </row>
    <row r="5293">
      <c r="A5293" s="21">
        <f t="shared" si="1"/>
        <v>45477.59136</v>
      </c>
      <c r="B5293" s="40" t="s">
        <v>2441</v>
      </c>
      <c r="C5293" s="23" t="s">
        <v>1910</v>
      </c>
      <c r="D5293" s="23" t="s">
        <v>32</v>
      </c>
      <c r="E5293" s="24">
        <v>45476.0</v>
      </c>
      <c r="F5293" s="25">
        <v>0.2826388888888889</v>
      </c>
      <c r="G5293" s="25">
        <v>0.6770833333333334</v>
      </c>
      <c r="H5293" s="27">
        <f t="shared" si="2"/>
        <v>0.3944444444</v>
      </c>
      <c r="I5293" s="28">
        <v>2.0</v>
      </c>
      <c r="J5293" s="39" t="s">
        <v>2590</v>
      </c>
      <c r="K5293" s="41"/>
      <c r="L5293" s="31" t="str">
        <f>IFERROR(__xludf.DUMMYFUNCTION("IF(OR(E5293="""",K5293=""""),"""",IFERROR(IF(K5293="""","""",query('tbl user'!$A$2:$D10975,""SELECT A WHERE D = '""&amp;K5293&amp;""'"")),""USER TIDAK DIKETAHUI""))"),"")</f>
        <v/>
      </c>
    </row>
    <row r="5294">
      <c r="A5294" s="21">
        <f t="shared" si="1"/>
        <v>45477.5914</v>
      </c>
      <c r="B5294" s="40" t="s">
        <v>2591</v>
      </c>
      <c r="C5294" s="23" t="s">
        <v>1963</v>
      </c>
      <c r="D5294" s="23" t="s">
        <v>32</v>
      </c>
      <c r="E5294" s="24">
        <v>45476.0</v>
      </c>
      <c r="F5294" s="25">
        <v>0.28680555555555554</v>
      </c>
      <c r="G5294" s="25">
        <v>0.5770833333333333</v>
      </c>
      <c r="H5294" s="27">
        <f t="shared" si="2"/>
        <v>0.2902777778</v>
      </c>
      <c r="I5294" s="28">
        <v>2.0</v>
      </c>
      <c r="J5294" s="39" t="s">
        <v>2592</v>
      </c>
      <c r="K5294" s="41"/>
      <c r="L5294" s="31" t="str">
        <f>IFERROR(__xludf.DUMMYFUNCTION("IF(OR(E5294="""",K5294=""""),"""",IFERROR(IF(K5294="""","""",query('tbl user'!$A$2:$D10975,""SELECT A WHERE D = '""&amp;K5294&amp;""'"")),""USER TIDAK DIKETAHUI""))"),"")</f>
        <v/>
      </c>
    </row>
    <row r="5295">
      <c r="A5295" s="21">
        <f t="shared" si="1"/>
        <v>45477.59148</v>
      </c>
      <c r="B5295" s="40" t="s">
        <v>2482</v>
      </c>
      <c r="C5295" s="23" t="s">
        <v>1951</v>
      </c>
      <c r="D5295" s="23" t="s">
        <v>32</v>
      </c>
      <c r="E5295" s="24">
        <v>45476.0</v>
      </c>
      <c r="F5295" s="25">
        <v>0.2861111111111111</v>
      </c>
      <c r="G5295" s="25">
        <v>0.7666666666666667</v>
      </c>
      <c r="H5295" s="27">
        <f t="shared" si="2"/>
        <v>0.4805555556</v>
      </c>
      <c r="I5295" s="28">
        <v>2.0</v>
      </c>
      <c r="J5295" s="39" t="s">
        <v>2593</v>
      </c>
      <c r="K5295" s="41"/>
      <c r="L5295" s="31" t="str">
        <f>IFERROR(__xludf.DUMMYFUNCTION("IF(OR(E5295="""",K5295=""""),"""",IFERROR(IF(K5295="""","""",query('tbl user'!$A$2:$D10975,""SELECT A WHERE D = '""&amp;K5295&amp;""'"")),""USER TIDAK DIKETAHUI""))"),"")</f>
        <v/>
      </c>
    </row>
    <row r="5296">
      <c r="A5296" s="21">
        <f t="shared" si="1"/>
        <v>45477.59154</v>
      </c>
      <c r="B5296" s="40" t="s">
        <v>2439</v>
      </c>
      <c r="C5296" s="23" t="s">
        <v>1990</v>
      </c>
      <c r="D5296" s="23" t="s">
        <v>32</v>
      </c>
      <c r="E5296" s="24">
        <v>45476.0</v>
      </c>
      <c r="F5296" s="25">
        <v>0.25</v>
      </c>
      <c r="G5296" s="25">
        <v>0.4930555555555556</v>
      </c>
      <c r="H5296" s="27">
        <f t="shared" si="2"/>
        <v>0.2430555556</v>
      </c>
      <c r="I5296" s="28">
        <v>2.0</v>
      </c>
      <c r="J5296" s="39" t="s">
        <v>2594</v>
      </c>
      <c r="K5296" s="41"/>
      <c r="L5296" s="31" t="str">
        <f>IFERROR(__xludf.DUMMYFUNCTION("IF(OR(E5296="""",K5296=""""),"""",IFERROR(IF(K5296="""","""",query('tbl user'!$A$2:$D10975,""SELECT A WHERE D = '""&amp;K5296&amp;""'"")),""USER TIDAK DIKETAHUI""))"),"")</f>
        <v/>
      </c>
    </row>
    <row r="5297">
      <c r="A5297" s="21">
        <f t="shared" si="1"/>
        <v>45477.59159</v>
      </c>
      <c r="B5297" s="40" t="s">
        <v>2444</v>
      </c>
      <c r="C5297" s="23" t="s">
        <v>1903</v>
      </c>
      <c r="D5297" s="23" t="s">
        <v>32</v>
      </c>
      <c r="E5297" s="24">
        <v>45476.0</v>
      </c>
      <c r="F5297" s="25">
        <v>0.25625</v>
      </c>
      <c r="G5297" s="25">
        <v>0.5083333333333333</v>
      </c>
      <c r="H5297" s="27">
        <f t="shared" si="2"/>
        <v>0.2520833333</v>
      </c>
      <c r="I5297" s="28">
        <v>2.0</v>
      </c>
      <c r="J5297" s="39" t="s">
        <v>2595</v>
      </c>
      <c r="K5297" s="41"/>
      <c r="L5297" s="31" t="str">
        <f>IFERROR(__xludf.DUMMYFUNCTION("IF(OR(E5297="""",K5297=""""),"""",IFERROR(IF(K5297="""","""",query('tbl user'!$A$2:$D10975,""SELECT A WHERE D = '""&amp;K5297&amp;""'"")),""USER TIDAK DIKETAHUI""))"),"")</f>
        <v/>
      </c>
    </row>
    <row r="5298">
      <c r="A5298" s="21">
        <f t="shared" si="1"/>
        <v>45477.59163</v>
      </c>
      <c r="B5298" s="40" t="s">
        <v>2486</v>
      </c>
      <c r="C5298" s="23" t="s">
        <v>1900</v>
      </c>
      <c r="D5298" s="23" t="s">
        <v>32</v>
      </c>
      <c r="E5298" s="24">
        <v>45476.0</v>
      </c>
      <c r="F5298" s="25">
        <v>0.22708333333333333</v>
      </c>
      <c r="G5298" s="25">
        <v>0.48125</v>
      </c>
      <c r="H5298" s="27">
        <f t="shared" si="2"/>
        <v>0.2541666667</v>
      </c>
      <c r="I5298" s="28">
        <v>2.0</v>
      </c>
      <c r="J5298" s="39" t="s">
        <v>2596</v>
      </c>
      <c r="K5298" s="41"/>
      <c r="L5298" s="31" t="str">
        <f>IFERROR(__xludf.DUMMYFUNCTION("IF(OR(E5298="""",K5298=""""),"""",IFERROR(IF(K5298="""","""",query('tbl user'!$A$2:$D10975,""SELECT A WHERE D = '""&amp;K5298&amp;""'"")),""USER TIDAK DIKETAHUI""))"),"")</f>
        <v/>
      </c>
    </row>
    <row r="5299">
      <c r="A5299" s="21">
        <f t="shared" si="1"/>
        <v>45477.5917</v>
      </c>
      <c r="B5299" s="40" t="s">
        <v>2452</v>
      </c>
      <c r="C5299" s="23" t="s">
        <v>1912</v>
      </c>
      <c r="D5299" s="23" t="s">
        <v>32</v>
      </c>
      <c r="E5299" s="24">
        <v>45476.0</v>
      </c>
      <c r="F5299" s="25">
        <v>0.2902777777777778</v>
      </c>
      <c r="G5299" s="25">
        <v>0.6652777777777777</v>
      </c>
      <c r="H5299" s="27">
        <f t="shared" si="2"/>
        <v>0.375</v>
      </c>
      <c r="I5299" s="28">
        <v>3.0</v>
      </c>
      <c r="J5299" s="39" t="s">
        <v>171</v>
      </c>
      <c r="K5299" s="41"/>
      <c r="L5299" s="31" t="str">
        <f>IFERROR(__xludf.DUMMYFUNCTION("IF(OR(E5299="""",K5299=""""),"""",IFERROR(IF(K5299="""","""",query('tbl user'!$A$2:$D10975,""SELECT A WHERE D = '""&amp;K5299&amp;""'"")),""USER TIDAK DIKETAHUI""))"),"")</f>
        <v/>
      </c>
    </row>
    <row r="5300">
      <c r="A5300" s="21">
        <f t="shared" si="1"/>
        <v>45477.59176</v>
      </c>
      <c r="B5300" s="40" t="s">
        <v>2453</v>
      </c>
      <c r="C5300" s="23" t="s">
        <v>1907</v>
      </c>
      <c r="D5300" s="23" t="s">
        <v>32</v>
      </c>
      <c r="E5300" s="24">
        <v>45476.0</v>
      </c>
      <c r="F5300" s="25">
        <v>0.2861111111111111</v>
      </c>
      <c r="G5300" s="25">
        <v>0.6840277777777778</v>
      </c>
      <c r="H5300" s="27">
        <f t="shared" si="2"/>
        <v>0.3979166667</v>
      </c>
      <c r="I5300" s="28">
        <v>3.0</v>
      </c>
      <c r="J5300" s="39" t="s">
        <v>2597</v>
      </c>
      <c r="K5300" s="41"/>
      <c r="L5300" s="31" t="str">
        <f>IFERROR(__xludf.DUMMYFUNCTION("IF(OR(E5300="""",K5300=""""),"""",IFERROR(IF(K5300="""","""",query('tbl user'!$A$2:$D10975,""SELECT A WHERE D = '""&amp;K5300&amp;""'"")),""USER TIDAK DIKETAHUI""))"),"")</f>
        <v/>
      </c>
    </row>
    <row r="5301">
      <c r="A5301" s="21">
        <f t="shared" si="1"/>
        <v>45478.58182</v>
      </c>
      <c r="B5301" s="40" t="s">
        <v>2556</v>
      </c>
      <c r="C5301" s="23" t="s">
        <v>1909</v>
      </c>
      <c r="D5301" s="23" t="s">
        <v>32</v>
      </c>
      <c r="E5301" s="24">
        <v>45476.0</v>
      </c>
      <c r="F5301" s="25">
        <v>0.28541666666666665</v>
      </c>
      <c r="G5301" s="25">
        <v>0.6659722222222222</v>
      </c>
      <c r="H5301" s="27">
        <f t="shared" si="2"/>
        <v>0.3805555556</v>
      </c>
      <c r="I5301" s="28">
        <v>3.0</v>
      </c>
      <c r="J5301" s="39" t="s">
        <v>171</v>
      </c>
      <c r="K5301" s="41"/>
      <c r="L5301" s="31" t="str">
        <f>IFERROR(__xludf.DUMMYFUNCTION("IF(OR(E5301="""",K5301=""""),"""",IFERROR(IF(K5301="""","""",query('tbl user'!$A$2:$D10975,""SELECT A WHERE D = '""&amp;K5301&amp;""'"")),""USER TIDAK DIKETAHUI""))"),"")</f>
        <v/>
      </c>
    </row>
    <row r="5302">
      <c r="A5302" s="21">
        <f t="shared" si="1"/>
        <v>45478.58186</v>
      </c>
      <c r="B5302" s="40" t="s">
        <v>2494</v>
      </c>
      <c r="C5302" s="23" t="s">
        <v>1962</v>
      </c>
      <c r="D5302" s="23" t="s">
        <v>32</v>
      </c>
      <c r="E5302" s="24">
        <v>45476.0</v>
      </c>
      <c r="F5302" s="25">
        <v>0.2708333333333333</v>
      </c>
      <c r="G5302" s="25">
        <v>0.74375</v>
      </c>
      <c r="H5302" s="27">
        <f t="shared" si="2"/>
        <v>0.4729166667</v>
      </c>
      <c r="I5302" s="28">
        <v>4.0</v>
      </c>
      <c r="J5302" s="39" t="s">
        <v>55</v>
      </c>
      <c r="K5302" s="41"/>
      <c r="L5302" s="31" t="str">
        <f>IFERROR(__xludf.DUMMYFUNCTION("IF(OR(E5302="""",K5302=""""),"""",IFERROR(IF(K5302="""","""",query('tbl user'!$A$2:$D10975,""SELECT A WHERE D = '""&amp;K5302&amp;""'"")),""USER TIDAK DIKETAHUI""))"),"")</f>
        <v/>
      </c>
    </row>
    <row r="5303">
      <c r="A5303" s="21">
        <f t="shared" si="1"/>
        <v>45478.58195</v>
      </c>
      <c r="B5303" s="40" t="s">
        <v>2445</v>
      </c>
      <c r="C5303" s="23" t="s">
        <v>1904</v>
      </c>
      <c r="D5303" s="23" t="s">
        <v>32</v>
      </c>
      <c r="E5303" s="24">
        <v>45476.0</v>
      </c>
      <c r="F5303" s="25">
        <v>0.2861111111111111</v>
      </c>
      <c r="G5303" s="25">
        <v>0.7465277777777778</v>
      </c>
      <c r="H5303" s="27">
        <f t="shared" si="2"/>
        <v>0.4604166667</v>
      </c>
      <c r="I5303" s="28">
        <v>4.0</v>
      </c>
      <c r="J5303" s="39" t="s">
        <v>55</v>
      </c>
      <c r="K5303" s="41"/>
      <c r="L5303" s="31" t="str">
        <f>IFERROR(__xludf.DUMMYFUNCTION("IF(OR(E5303="""",K5303=""""),"""",IFERROR(IF(K5303="""","""",query('tbl user'!$A$2:$D10975,""SELECT A WHERE D = '""&amp;K5303&amp;""'"")),""USER TIDAK DIKETAHUI""))"),"")</f>
        <v/>
      </c>
    </row>
    <row r="5304">
      <c r="A5304" s="21">
        <f t="shared" si="1"/>
        <v>45478.58199</v>
      </c>
      <c r="B5304" s="40" t="s">
        <v>2447</v>
      </c>
      <c r="C5304" s="23" t="s">
        <v>1905</v>
      </c>
      <c r="D5304" s="23" t="s">
        <v>32</v>
      </c>
      <c r="E5304" s="24">
        <v>45476.0</v>
      </c>
      <c r="F5304" s="25">
        <v>0.2388888888888889</v>
      </c>
      <c r="G5304" s="25">
        <v>0.7069444444444445</v>
      </c>
      <c r="H5304" s="27">
        <f t="shared" si="2"/>
        <v>0.4680555556</v>
      </c>
      <c r="I5304" s="28">
        <v>4.0</v>
      </c>
      <c r="J5304" s="39" t="s">
        <v>55</v>
      </c>
      <c r="K5304" s="41"/>
      <c r="L5304" s="31" t="str">
        <f>IFERROR(__xludf.DUMMYFUNCTION("IF(OR(E5304="""",K5304=""""),"""",IFERROR(IF(K5304="""","""",query('tbl user'!$A$2:$D10975,""SELECT A WHERE D = '""&amp;K5304&amp;""'"")),""USER TIDAK DIKETAHUI""))"),"")</f>
        <v/>
      </c>
    </row>
    <row r="5305">
      <c r="A5305" s="21">
        <f t="shared" si="1"/>
        <v>45478.58203</v>
      </c>
      <c r="B5305" s="40" t="s">
        <v>2449</v>
      </c>
      <c r="C5305" s="23" t="s">
        <v>1908</v>
      </c>
      <c r="D5305" s="23" t="s">
        <v>32</v>
      </c>
      <c r="E5305" s="24">
        <v>45476.0</v>
      </c>
      <c r="F5305" s="25">
        <v>0.29097222222222224</v>
      </c>
      <c r="G5305" s="25">
        <v>0.7555555555555555</v>
      </c>
      <c r="H5305" s="27">
        <f t="shared" si="2"/>
        <v>0.4645833333</v>
      </c>
      <c r="I5305" s="28">
        <v>4.0</v>
      </c>
      <c r="J5305" s="39" t="s">
        <v>55</v>
      </c>
      <c r="K5305" s="41"/>
      <c r="L5305" s="31" t="str">
        <f>IFERROR(__xludf.DUMMYFUNCTION("IF(OR(E5305="""",K5305=""""),"""",IFERROR(IF(K5305="""","""",query('tbl user'!$A$2:$D10975,""SELECT A WHERE D = '""&amp;K5305&amp;""'"")),""USER TIDAK DIKETAHUI""))"),"")</f>
        <v/>
      </c>
    </row>
    <row r="5306">
      <c r="A5306" s="21">
        <f t="shared" si="1"/>
        <v>45478.58211</v>
      </c>
      <c r="B5306" s="40" t="s">
        <v>2598</v>
      </c>
      <c r="C5306" s="23" t="s">
        <v>1913</v>
      </c>
      <c r="D5306" s="23" t="s">
        <v>32</v>
      </c>
      <c r="E5306" s="24">
        <v>45476.0</v>
      </c>
      <c r="F5306" s="25">
        <v>0.24791666666666667</v>
      </c>
      <c r="G5306" s="25">
        <v>0.7263888888888889</v>
      </c>
      <c r="H5306" s="27">
        <f t="shared" si="2"/>
        <v>0.4784722222</v>
      </c>
      <c r="I5306" s="28">
        <v>4.0</v>
      </c>
      <c r="J5306" s="39" t="s">
        <v>55</v>
      </c>
      <c r="K5306" s="41"/>
      <c r="L5306" s="31" t="str">
        <f>IFERROR(__xludf.DUMMYFUNCTION("IF(OR(E5306="""",K5306=""""),"""",IFERROR(IF(K5306="""","""",query('tbl user'!$A$2:$D10975,""SELECT A WHERE D = '""&amp;K5306&amp;""'"")),""USER TIDAK DIKETAHUI""))"),"")</f>
        <v/>
      </c>
    </row>
    <row r="5307">
      <c r="A5307" s="21">
        <f t="shared" si="1"/>
        <v>45478.58616</v>
      </c>
      <c r="B5307" s="40" t="s">
        <v>2371</v>
      </c>
      <c r="C5307" s="23" t="s">
        <v>1845</v>
      </c>
      <c r="D5307" s="23" t="s">
        <v>21</v>
      </c>
      <c r="E5307" s="24">
        <v>45477.0</v>
      </c>
      <c r="F5307" s="25">
        <v>0.26319444444444445</v>
      </c>
      <c r="G5307" s="25">
        <v>0.4215277777777778</v>
      </c>
      <c r="H5307" s="27">
        <f t="shared" si="2"/>
        <v>0.1583333333</v>
      </c>
      <c r="I5307" s="28">
        <v>1.0</v>
      </c>
      <c r="J5307" s="39" t="s">
        <v>2599</v>
      </c>
      <c r="K5307" s="41"/>
      <c r="L5307" s="31" t="str">
        <f>IFERROR(__xludf.DUMMYFUNCTION("IF(OR(E5307="""",K5307=""""),"""",IFERROR(IF(K5307="""","""",query('tbl user'!$A$2:$D10975,""SELECT A WHERE D = '""&amp;K5307&amp;""'"")),""USER TIDAK DIKETAHUI""))"),"")</f>
        <v/>
      </c>
    </row>
    <row r="5308">
      <c r="A5308" s="21">
        <f t="shared" si="1"/>
        <v>45478.58622</v>
      </c>
      <c r="B5308" s="40" t="s">
        <v>2396</v>
      </c>
      <c r="C5308" s="23" t="s">
        <v>2049</v>
      </c>
      <c r="D5308" s="23" t="s">
        <v>21</v>
      </c>
      <c r="E5308" s="24">
        <v>45477.0</v>
      </c>
      <c r="F5308" s="25">
        <v>0.26180555555555557</v>
      </c>
      <c r="G5308" s="25">
        <v>0.4083333333333333</v>
      </c>
      <c r="H5308" s="27">
        <f t="shared" si="2"/>
        <v>0.1465277778</v>
      </c>
      <c r="I5308" s="28">
        <v>1.0</v>
      </c>
      <c r="J5308" s="39" t="s">
        <v>2600</v>
      </c>
      <c r="K5308" s="41"/>
      <c r="L5308" s="31" t="str">
        <f>IFERROR(__xludf.DUMMYFUNCTION("IF(OR(E5308="""",K5308=""""),"""",IFERROR(IF(K5308="""","""",query('tbl user'!$A$2:$D10975,""SELECT A WHERE D = '""&amp;K5308&amp;""'"")),""USER TIDAK DIKETAHUI""))"),"")</f>
        <v/>
      </c>
    </row>
    <row r="5309">
      <c r="A5309" s="21">
        <f t="shared" si="1"/>
        <v>45478.58627</v>
      </c>
      <c r="B5309" s="40" t="s">
        <v>2390</v>
      </c>
      <c r="C5309" s="23" t="s">
        <v>2136</v>
      </c>
      <c r="D5309" s="23" t="s">
        <v>21</v>
      </c>
      <c r="E5309" s="24">
        <v>45477.0</v>
      </c>
      <c r="F5309" s="25">
        <v>0.29097222222222224</v>
      </c>
      <c r="G5309" s="25">
        <v>0.5701388888888889</v>
      </c>
      <c r="H5309" s="27">
        <f t="shared" si="2"/>
        <v>0.2791666667</v>
      </c>
      <c r="I5309" s="28">
        <v>2.0</v>
      </c>
      <c r="J5309" s="39" t="s">
        <v>2601</v>
      </c>
      <c r="K5309" s="41"/>
      <c r="L5309" s="31" t="str">
        <f>IFERROR(__xludf.DUMMYFUNCTION("IF(OR(E5309="""",K5309=""""),"""",IFERROR(IF(K5309="""","""",query('tbl user'!$A$2:$D10975,""SELECT A WHERE D = '""&amp;K5309&amp;""'"")),""USER TIDAK DIKETAHUI""))"),"")</f>
        <v/>
      </c>
    </row>
    <row r="5310">
      <c r="A5310" s="21">
        <f t="shared" si="1"/>
        <v>45478.58632</v>
      </c>
      <c r="B5310" s="40" t="s">
        <v>2378</v>
      </c>
      <c r="C5310" s="23" t="s">
        <v>1844</v>
      </c>
      <c r="D5310" s="23" t="s">
        <v>21</v>
      </c>
      <c r="E5310" s="24">
        <v>45477.0</v>
      </c>
      <c r="F5310" s="25">
        <v>0.25555555555555554</v>
      </c>
      <c r="G5310" s="25">
        <v>0.7166666666666667</v>
      </c>
      <c r="H5310" s="27">
        <f t="shared" si="2"/>
        <v>0.4611111111</v>
      </c>
      <c r="I5310" s="28">
        <v>2.0</v>
      </c>
      <c r="J5310" s="39" t="s">
        <v>2602</v>
      </c>
      <c r="K5310" s="41"/>
      <c r="L5310" s="31" t="str">
        <f>IFERROR(__xludf.DUMMYFUNCTION("IF(OR(E5310="""",K5310=""""),"""",IFERROR(IF(K5310="""","""",query('tbl user'!$A$2:$D10975,""SELECT A WHERE D = '""&amp;K5310&amp;""'"")),""USER TIDAK DIKETAHUI""))"),"")</f>
        <v/>
      </c>
    </row>
    <row r="5311">
      <c r="A5311" s="21">
        <f t="shared" si="1"/>
        <v>45478.58639</v>
      </c>
      <c r="B5311" s="40" t="s">
        <v>2373</v>
      </c>
      <c r="C5311" s="23" t="s">
        <v>1847</v>
      </c>
      <c r="D5311" s="23" t="s">
        <v>21</v>
      </c>
      <c r="E5311" s="24">
        <v>45477.0</v>
      </c>
      <c r="F5311" s="25">
        <v>0.2638888888888889</v>
      </c>
      <c r="G5311" s="25">
        <v>0.5680555555555555</v>
      </c>
      <c r="H5311" s="27">
        <f t="shared" si="2"/>
        <v>0.3041666667</v>
      </c>
      <c r="I5311" s="28">
        <v>2.0</v>
      </c>
      <c r="J5311" s="39" t="s">
        <v>2603</v>
      </c>
      <c r="K5311" s="41"/>
      <c r="L5311" s="31" t="str">
        <f>IFERROR(__xludf.DUMMYFUNCTION("IF(OR(E5311="""",K5311=""""),"""",IFERROR(IF(K5311="""","""",query('tbl user'!$A$2:$D10975,""SELECT A WHERE D = '""&amp;K5311&amp;""'"")),""USER TIDAK DIKETAHUI""))"),"")</f>
        <v/>
      </c>
    </row>
    <row r="5312">
      <c r="A5312" s="21">
        <f t="shared" si="1"/>
        <v>45478.58666</v>
      </c>
      <c r="B5312" s="40" t="s">
        <v>2384</v>
      </c>
      <c r="C5312" s="23" t="s">
        <v>1922</v>
      </c>
      <c r="D5312" s="23" t="s">
        <v>21</v>
      </c>
      <c r="E5312" s="24">
        <v>45477.0</v>
      </c>
      <c r="F5312" s="25">
        <v>0.2847222222222222</v>
      </c>
      <c r="G5312" s="25">
        <v>0.6722222222222223</v>
      </c>
      <c r="H5312" s="27">
        <f t="shared" si="2"/>
        <v>0.3875</v>
      </c>
      <c r="I5312" s="28">
        <v>3.0</v>
      </c>
      <c r="J5312" s="39" t="s">
        <v>2604</v>
      </c>
      <c r="K5312" s="41"/>
      <c r="L5312" s="31" t="str">
        <f>IFERROR(__xludf.DUMMYFUNCTION("IF(OR(E5312="""",K5312=""""),"""",IFERROR(IF(K5312="""","""",query('tbl user'!$A$2:$D10975,""SELECT A WHERE D = '""&amp;K5312&amp;""'"")),""USER TIDAK DIKETAHUI""))"),"")</f>
        <v/>
      </c>
    </row>
    <row r="5313">
      <c r="A5313" s="21">
        <f t="shared" si="1"/>
        <v>45478.5867</v>
      </c>
      <c r="B5313" s="40" t="s">
        <v>2379</v>
      </c>
      <c r="C5313" s="23" t="s">
        <v>1835</v>
      </c>
      <c r="D5313" s="23" t="s">
        <v>21</v>
      </c>
      <c r="E5313" s="24">
        <v>45477.0</v>
      </c>
      <c r="F5313" s="25">
        <v>0.26458333333333334</v>
      </c>
      <c r="G5313" s="25">
        <v>0.6583333333333333</v>
      </c>
      <c r="H5313" s="27">
        <f t="shared" si="2"/>
        <v>0.39375</v>
      </c>
      <c r="I5313" s="28">
        <v>3.0</v>
      </c>
      <c r="J5313" s="39" t="s">
        <v>2605</v>
      </c>
      <c r="K5313" s="41"/>
      <c r="L5313" s="31" t="str">
        <f>IFERROR(__xludf.DUMMYFUNCTION("IF(OR(E5313="""",K5313=""""),"""",IFERROR(IF(K5313="""","""",query('tbl user'!$A$2:$D10975,""SELECT A WHERE D = '""&amp;K5313&amp;""'"")),""USER TIDAK DIKETAHUI""))"),"")</f>
        <v/>
      </c>
    </row>
    <row r="5314">
      <c r="A5314" s="21">
        <f t="shared" si="1"/>
        <v>45478.58674</v>
      </c>
      <c r="B5314" s="40" t="s">
        <v>2393</v>
      </c>
      <c r="C5314" s="23" t="s">
        <v>1925</v>
      </c>
      <c r="D5314" s="23" t="s">
        <v>21</v>
      </c>
      <c r="E5314" s="24">
        <v>45477.0</v>
      </c>
      <c r="F5314" s="25">
        <v>0.27708333333333335</v>
      </c>
      <c r="G5314" s="25">
        <v>0.6861111111111111</v>
      </c>
      <c r="H5314" s="27">
        <f t="shared" si="2"/>
        <v>0.4090277778</v>
      </c>
      <c r="I5314" s="28">
        <v>3.0</v>
      </c>
      <c r="J5314" s="39" t="s">
        <v>2604</v>
      </c>
      <c r="K5314" s="41"/>
      <c r="L5314" s="31" t="str">
        <f>IFERROR(__xludf.DUMMYFUNCTION("IF(OR(E5314="""",K5314=""""),"""",IFERROR(IF(K5314="""","""",query('tbl user'!$A$2:$D10975,""SELECT A WHERE D = '""&amp;K5314&amp;""'"")),""USER TIDAK DIKETAHUI""))"),"")</f>
        <v/>
      </c>
    </row>
    <row r="5315">
      <c r="A5315" s="21">
        <f t="shared" si="1"/>
        <v>45478.58678</v>
      </c>
      <c r="B5315" s="40" t="s">
        <v>2460</v>
      </c>
      <c r="C5315" s="23" t="s">
        <v>1857</v>
      </c>
      <c r="D5315" s="23" t="s">
        <v>21</v>
      </c>
      <c r="E5315" s="24">
        <v>45477.0</v>
      </c>
      <c r="F5315" s="25">
        <v>0.28680555555555554</v>
      </c>
      <c r="G5315" s="25">
        <v>0.6416666666666667</v>
      </c>
      <c r="H5315" s="27">
        <f t="shared" si="2"/>
        <v>0.3548611111</v>
      </c>
      <c r="I5315" s="28">
        <v>3.0</v>
      </c>
      <c r="J5315" s="39" t="s">
        <v>940</v>
      </c>
      <c r="K5315" s="41"/>
      <c r="L5315" s="31" t="str">
        <f>IFERROR(__xludf.DUMMYFUNCTION("IF(OR(E5315="""",K5315=""""),"""",IFERROR(IF(K5315="""","""",query('tbl user'!$A$2:$D10975,""SELECT A WHERE D = '""&amp;K5315&amp;""'"")),""USER TIDAK DIKETAHUI""))"),"")</f>
        <v/>
      </c>
    </row>
    <row r="5316">
      <c r="A5316" s="21">
        <f t="shared" si="1"/>
        <v>45478.58682</v>
      </c>
      <c r="B5316" s="40" t="s">
        <v>2385</v>
      </c>
      <c r="C5316" s="23" t="s">
        <v>2002</v>
      </c>
      <c r="D5316" s="23" t="s">
        <v>21</v>
      </c>
      <c r="E5316" s="24">
        <v>45477.0</v>
      </c>
      <c r="F5316" s="25">
        <v>0.2638888888888889</v>
      </c>
      <c r="G5316" s="25">
        <v>0.7097222222222223</v>
      </c>
      <c r="H5316" s="27">
        <f t="shared" si="2"/>
        <v>0.4458333333</v>
      </c>
      <c r="I5316" s="28">
        <v>4.0</v>
      </c>
      <c r="J5316" s="39" t="s">
        <v>2604</v>
      </c>
      <c r="K5316" s="41"/>
      <c r="L5316" s="31" t="str">
        <f>IFERROR(__xludf.DUMMYFUNCTION("IF(OR(E5316="""",K5316=""""),"""",IFERROR(IF(K5316="""","""",query('tbl user'!$A$2:$D10975,""SELECT A WHERE D = '""&amp;K5316&amp;""'"")),""USER TIDAK DIKETAHUI""))"),"")</f>
        <v/>
      </c>
    </row>
    <row r="5317">
      <c r="A5317" s="21">
        <f t="shared" si="1"/>
        <v>45478.58686</v>
      </c>
      <c r="B5317" s="40" t="s">
        <v>2382</v>
      </c>
      <c r="C5317" s="23" t="s">
        <v>1858</v>
      </c>
      <c r="D5317" s="23" t="s">
        <v>21</v>
      </c>
      <c r="E5317" s="24">
        <v>45477.0</v>
      </c>
      <c r="F5317" s="25">
        <v>0.2520833333333333</v>
      </c>
      <c r="G5317" s="25">
        <v>0.70625</v>
      </c>
      <c r="H5317" s="27">
        <f t="shared" si="2"/>
        <v>0.4541666667</v>
      </c>
      <c r="I5317" s="28">
        <v>4.0</v>
      </c>
      <c r="J5317" s="39" t="s">
        <v>2604</v>
      </c>
      <c r="K5317" s="41"/>
      <c r="L5317" s="31" t="str">
        <f>IFERROR(__xludf.DUMMYFUNCTION("IF(OR(E5317="""",K5317=""""),"""",IFERROR(IF(K5317="""","""",query('tbl user'!$A$2:$D10975,""SELECT A WHERE D = '""&amp;K5317&amp;""'"")),""USER TIDAK DIKETAHUI""))"),"")</f>
        <v/>
      </c>
    </row>
    <row r="5318">
      <c r="A5318" s="21">
        <f t="shared" si="1"/>
        <v>45478.58693</v>
      </c>
      <c r="B5318" s="40" t="s">
        <v>2457</v>
      </c>
      <c r="C5318" s="23" t="s">
        <v>2005</v>
      </c>
      <c r="D5318" s="23" t="s">
        <v>21</v>
      </c>
      <c r="E5318" s="24">
        <v>45477.0</v>
      </c>
      <c r="F5318" s="25">
        <v>0.25277777777777777</v>
      </c>
      <c r="G5318" s="25">
        <v>0.7048611111111112</v>
      </c>
      <c r="H5318" s="27">
        <f t="shared" si="2"/>
        <v>0.4520833333</v>
      </c>
      <c r="I5318" s="28">
        <v>4.0</v>
      </c>
      <c r="J5318" s="39" t="s">
        <v>2604</v>
      </c>
      <c r="K5318" s="41"/>
      <c r="L5318" s="31" t="str">
        <f>IFERROR(__xludf.DUMMYFUNCTION("IF(OR(E5318="""",K5318=""""),"""",IFERROR(IF(K5318="""","""",query('tbl user'!$A$2:$D10975,""SELECT A WHERE D = '""&amp;K5318&amp;""'"")),""USER TIDAK DIKETAHUI""))"),"")</f>
        <v/>
      </c>
    </row>
    <row r="5319">
      <c r="A5319" s="21">
        <f t="shared" si="1"/>
        <v>45478.58697</v>
      </c>
      <c r="B5319" s="40" t="s">
        <v>2374</v>
      </c>
      <c r="C5319" s="23" t="s">
        <v>1850</v>
      </c>
      <c r="D5319" s="23" t="s">
        <v>21</v>
      </c>
      <c r="E5319" s="24">
        <v>45477.0</v>
      </c>
      <c r="F5319" s="25">
        <v>0.275</v>
      </c>
      <c r="G5319" s="25">
        <v>0.7451388888888889</v>
      </c>
      <c r="H5319" s="27">
        <f t="shared" si="2"/>
        <v>0.4701388889</v>
      </c>
      <c r="I5319" s="28">
        <v>4.0</v>
      </c>
      <c r="J5319" s="39" t="s">
        <v>2604</v>
      </c>
      <c r="K5319" s="41"/>
      <c r="L5319" s="31" t="str">
        <f>IFERROR(__xludf.DUMMYFUNCTION("IF(OR(E5319="""",K5319=""""),"""",IFERROR(IF(K5319="""","""",query('tbl user'!$A$2:$D10975,""SELECT A WHERE D = '""&amp;K5319&amp;""'"")),""USER TIDAK DIKETAHUI""))"),"")</f>
        <v/>
      </c>
    </row>
    <row r="5320">
      <c r="A5320" s="21">
        <f t="shared" si="1"/>
        <v>45478.58704</v>
      </c>
      <c r="B5320" s="40" t="s">
        <v>2401</v>
      </c>
      <c r="C5320" s="23" t="s">
        <v>1841</v>
      </c>
      <c r="D5320" s="23" t="s">
        <v>21</v>
      </c>
      <c r="E5320" s="24">
        <v>45477.0</v>
      </c>
      <c r="F5320" s="25">
        <v>0.3923611111111111</v>
      </c>
      <c r="G5320" s="25">
        <v>0.6590277777777778</v>
      </c>
      <c r="H5320" s="27">
        <f t="shared" si="2"/>
        <v>0.2666666667</v>
      </c>
      <c r="I5320" s="28">
        <v>2.0</v>
      </c>
      <c r="J5320" s="39" t="s">
        <v>2606</v>
      </c>
      <c r="K5320" s="41"/>
      <c r="L5320" s="31" t="str">
        <f>IFERROR(__xludf.DUMMYFUNCTION("IF(OR(E5320="""",K5320=""""),"""",IFERROR(IF(K5320="""","""",query('tbl user'!$A$2:$D10975,""SELECT A WHERE D = '""&amp;K5320&amp;""'"")),""USER TIDAK DIKETAHUI""))"),"")</f>
        <v/>
      </c>
    </row>
    <row r="5321">
      <c r="A5321" s="21">
        <f t="shared" si="1"/>
        <v>45478.5871</v>
      </c>
      <c r="B5321" s="40" t="s">
        <v>2397</v>
      </c>
      <c r="C5321" s="23" t="s">
        <v>1852</v>
      </c>
      <c r="D5321" s="23" t="s">
        <v>21</v>
      </c>
      <c r="E5321" s="24">
        <v>45477.0</v>
      </c>
      <c r="F5321" s="25">
        <v>0.3</v>
      </c>
      <c r="G5321" s="25">
        <v>0.6513888888888889</v>
      </c>
      <c r="H5321" s="27">
        <f t="shared" si="2"/>
        <v>0.3513888889</v>
      </c>
      <c r="I5321" s="28">
        <v>3.0</v>
      </c>
      <c r="J5321" s="39" t="s">
        <v>2607</v>
      </c>
      <c r="K5321" s="41"/>
      <c r="L5321" s="31" t="str">
        <f>IFERROR(__xludf.DUMMYFUNCTION("IF(OR(E5321="""",K5321=""""),"""",IFERROR(IF(K5321="""","""",query('tbl user'!$A$2:$D10975,""SELECT A WHERE D = '""&amp;K5321&amp;""'"")),""USER TIDAK DIKETAHUI""))"),"")</f>
        <v/>
      </c>
    </row>
    <row r="5322">
      <c r="A5322" s="21">
        <f t="shared" si="1"/>
        <v>45478.58713</v>
      </c>
      <c r="B5322" s="40" t="s">
        <v>2400</v>
      </c>
      <c r="C5322" s="23" t="s">
        <v>1917</v>
      </c>
      <c r="D5322" s="23" t="s">
        <v>21</v>
      </c>
      <c r="E5322" s="24">
        <v>45477.0</v>
      </c>
      <c r="F5322" s="25">
        <v>0.2722222222222222</v>
      </c>
      <c r="G5322" s="25">
        <v>0.6090277777777777</v>
      </c>
      <c r="H5322" s="27">
        <f t="shared" si="2"/>
        <v>0.3368055556</v>
      </c>
      <c r="I5322" s="28">
        <v>3.0</v>
      </c>
      <c r="J5322" s="39" t="s">
        <v>2608</v>
      </c>
      <c r="K5322" s="41"/>
      <c r="L5322" s="31" t="str">
        <f>IFERROR(__xludf.DUMMYFUNCTION("IF(OR(E5322="""",K5322=""""),"""",IFERROR(IF(K5322="""","""",query('tbl user'!$A$2:$D10975,""SELECT A WHERE D = '""&amp;K5322&amp;""'"")),""USER TIDAK DIKETAHUI""))"),"")</f>
        <v/>
      </c>
    </row>
    <row r="5323">
      <c r="A5323" s="21">
        <f t="shared" si="1"/>
        <v>45478.58725</v>
      </c>
      <c r="B5323" s="40" t="s">
        <v>2406</v>
      </c>
      <c r="C5323" s="23" t="s">
        <v>1871</v>
      </c>
      <c r="D5323" s="23" t="s">
        <v>58</v>
      </c>
      <c r="E5323" s="24">
        <v>45477.0</v>
      </c>
      <c r="F5323" s="25">
        <v>0.2534722222222222</v>
      </c>
      <c r="G5323" s="28" t="s">
        <v>1817</v>
      </c>
      <c r="H5323" s="27" t="str">
        <f t="shared" si="2"/>
        <v/>
      </c>
      <c r="I5323" s="28">
        <v>0.0</v>
      </c>
      <c r="J5323" s="39" t="s">
        <v>2609</v>
      </c>
      <c r="K5323" s="41"/>
      <c r="L5323" s="31" t="str">
        <f>IFERROR(__xludf.DUMMYFUNCTION("IF(OR(E5323="""",K5323=""""),"""",IFERROR(IF(K5323="""","""",query('tbl user'!$A$2:$D10975,""SELECT A WHERE D = '""&amp;K5323&amp;""'"")),""USER TIDAK DIKETAHUI""))"),"")</f>
        <v/>
      </c>
    </row>
    <row r="5324">
      <c r="A5324" s="21">
        <f t="shared" si="1"/>
        <v>45478.5873</v>
      </c>
      <c r="B5324" s="40" t="s">
        <v>2416</v>
      </c>
      <c r="C5324" s="23" t="s">
        <v>1948</v>
      </c>
      <c r="D5324" s="23" t="s">
        <v>58</v>
      </c>
      <c r="E5324" s="24">
        <v>45477.0</v>
      </c>
      <c r="F5324" s="25">
        <v>0.2902777777777778</v>
      </c>
      <c r="G5324" s="25">
        <v>0.4270833333333333</v>
      </c>
      <c r="H5324" s="27">
        <f t="shared" si="2"/>
        <v>0.1368055556</v>
      </c>
      <c r="I5324" s="28">
        <v>1.0</v>
      </c>
      <c r="J5324" s="39" t="s">
        <v>393</v>
      </c>
      <c r="K5324" s="41"/>
      <c r="L5324" s="31" t="str">
        <f>IFERROR(__xludf.DUMMYFUNCTION("IF(OR(E5324="""",K5324=""""),"""",IFERROR(IF(K5324="""","""",query('tbl user'!$A$2:$D10975,""SELECT A WHERE D = '""&amp;K5324&amp;""'"")),""USER TIDAK DIKETAHUI""))"),"")</f>
        <v/>
      </c>
    </row>
    <row r="5325">
      <c r="A5325" s="21">
        <f t="shared" si="1"/>
        <v>45478.58736</v>
      </c>
      <c r="B5325" s="40" t="s">
        <v>2402</v>
      </c>
      <c r="C5325" s="23" t="s">
        <v>1881</v>
      </c>
      <c r="D5325" s="23" t="s">
        <v>58</v>
      </c>
      <c r="E5325" s="24">
        <v>45477.0</v>
      </c>
      <c r="F5325" s="25">
        <v>0.2076388888888889</v>
      </c>
      <c r="G5325" s="25">
        <v>0.39791666666666664</v>
      </c>
      <c r="H5325" s="27">
        <f t="shared" si="2"/>
        <v>0.1902777778</v>
      </c>
      <c r="I5325" s="28">
        <v>1.0</v>
      </c>
      <c r="J5325" s="39" t="s">
        <v>2610</v>
      </c>
      <c r="K5325" s="41"/>
      <c r="L5325" s="31" t="str">
        <f>IFERROR(__xludf.DUMMYFUNCTION("IF(OR(E5325="""",K5325=""""),"""",IFERROR(IF(K5325="""","""",query('tbl user'!$A$2:$D10975,""SELECT A WHERE D = '""&amp;K5325&amp;""'"")),""USER TIDAK DIKETAHUI""))"),"")</f>
        <v/>
      </c>
    </row>
    <row r="5326">
      <c r="A5326" s="21">
        <f t="shared" si="1"/>
        <v>45478.58739</v>
      </c>
      <c r="B5326" s="40" t="s">
        <v>2363</v>
      </c>
      <c r="C5326" s="23" t="s">
        <v>1874</v>
      </c>
      <c r="D5326" s="23" t="s">
        <v>58</v>
      </c>
      <c r="E5326" s="24">
        <v>45477.0</v>
      </c>
      <c r="F5326" s="25">
        <v>0.3375</v>
      </c>
      <c r="G5326" s="25">
        <v>0.6041666666666666</v>
      </c>
      <c r="H5326" s="27">
        <f t="shared" si="2"/>
        <v>0.2666666667</v>
      </c>
      <c r="I5326" s="28">
        <v>2.0</v>
      </c>
      <c r="J5326" s="39" t="s">
        <v>2581</v>
      </c>
      <c r="K5326" s="41"/>
      <c r="L5326" s="31" t="str">
        <f>IFERROR(__xludf.DUMMYFUNCTION("IF(OR(E5326="""",K5326=""""),"""",IFERROR(IF(K5326="""","""",query('tbl user'!$A$2:$D10975,""SELECT A WHERE D = '""&amp;K5326&amp;""'"")),""USER TIDAK DIKETAHUI""))"),"")</f>
        <v/>
      </c>
    </row>
    <row r="5327">
      <c r="A5327" s="21">
        <f t="shared" si="1"/>
        <v>45478.58745</v>
      </c>
      <c r="B5327" s="40" t="s">
        <v>2361</v>
      </c>
      <c r="C5327" s="23" t="s">
        <v>1875</v>
      </c>
      <c r="D5327" s="23" t="s">
        <v>58</v>
      </c>
      <c r="E5327" s="24">
        <v>45477.0</v>
      </c>
      <c r="F5327" s="25">
        <v>0.2534722222222222</v>
      </c>
      <c r="G5327" s="25">
        <v>0.5611111111111111</v>
      </c>
      <c r="H5327" s="27">
        <f t="shared" si="2"/>
        <v>0.3076388889</v>
      </c>
      <c r="I5327" s="28">
        <v>2.0</v>
      </c>
      <c r="J5327" s="39" t="s">
        <v>2611</v>
      </c>
      <c r="K5327" s="41"/>
      <c r="L5327" s="31" t="str">
        <f>IFERROR(__xludf.DUMMYFUNCTION("IF(OR(E5327="""",K5327=""""),"""",IFERROR(IF(K5327="""","""",query('tbl user'!$A$2:$D10975,""SELECT A WHERE D = '""&amp;K5327&amp;""'"")),""USER TIDAK DIKETAHUI""))"),"")</f>
        <v/>
      </c>
    </row>
    <row r="5328">
      <c r="A5328" s="21">
        <f t="shared" si="1"/>
        <v>45478.58751</v>
      </c>
      <c r="B5328" s="40" t="s">
        <v>2414</v>
      </c>
      <c r="C5328" s="23" t="s">
        <v>1865</v>
      </c>
      <c r="D5328" s="23" t="s">
        <v>58</v>
      </c>
      <c r="E5328" s="24">
        <v>45477.0</v>
      </c>
      <c r="F5328" s="25">
        <v>0.2604166666666667</v>
      </c>
      <c r="G5328" s="25">
        <v>0.5534722222222223</v>
      </c>
      <c r="H5328" s="27">
        <f t="shared" si="2"/>
        <v>0.2930555556</v>
      </c>
      <c r="I5328" s="28">
        <v>2.0</v>
      </c>
      <c r="J5328" s="39" t="s">
        <v>2612</v>
      </c>
      <c r="K5328" s="41"/>
      <c r="L5328" s="31" t="str">
        <f>IFERROR(__xludf.DUMMYFUNCTION("IF(OR(E5328="""",K5328=""""),"""",IFERROR(IF(K5328="""","""",query('tbl user'!$A$2:$D10975,""SELECT A WHERE D = '""&amp;K5328&amp;""'"")),""USER TIDAK DIKETAHUI""))"),"")</f>
        <v/>
      </c>
    </row>
    <row r="5329">
      <c r="A5329" s="21">
        <f t="shared" si="1"/>
        <v>45478.58756</v>
      </c>
      <c r="B5329" s="40" t="s">
        <v>2415</v>
      </c>
      <c r="C5329" s="23" t="s">
        <v>1867</v>
      </c>
      <c r="D5329" s="23" t="s">
        <v>58</v>
      </c>
      <c r="E5329" s="24">
        <v>45477.0</v>
      </c>
      <c r="F5329" s="25">
        <v>0.29097222222222224</v>
      </c>
      <c r="G5329" s="25">
        <v>0.5847222222222223</v>
      </c>
      <c r="H5329" s="27">
        <f t="shared" si="2"/>
        <v>0.29375</v>
      </c>
      <c r="I5329" s="28">
        <v>2.0</v>
      </c>
      <c r="J5329" s="39" t="s">
        <v>2613</v>
      </c>
      <c r="K5329" s="41"/>
      <c r="L5329" s="31" t="str">
        <f>IFERROR(__xludf.DUMMYFUNCTION("IF(OR(E5329="""",K5329=""""),"""",IFERROR(IF(K5329="""","""",query('tbl user'!$A$2:$D10975,""SELECT A WHERE D = '""&amp;K5329&amp;""'"")),""USER TIDAK DIKETAHUI""))"),"")</f>
        <v/>
      </c>
    </row>
    <row r="5330">
      <c r="A5330" s="21">
        <f t="shared" si="1"/>
        <v>45478.58759</v>
      </c>
      <c r="B5330" s="40" t="s">
        <v>2417</v>
      </c>
      <c r="C5330" s="23" t="s">
        <v>1941</v>
      </c>
      <c r="D5330" s="23" t="s">
        <v>58</v>
      </c>
      <c r="E5330" s="24">
        <v>45477.0</v>
      </c>
      <c r="F5330" s="25">
        <v>0.28888888888888886</v>
      </c>
      <c r="G5330" s="25">
        <v>0.5736111111111111</v>
      </c>
      <c r="H5330" s="27">
        <f t="shared" si="2"/>
        <v>0.2847222222</v>
      </c>
      <c r="I5330" s="28">
        <v>2.0</v>
      </c>
      <c r="J5330" s="39" t="s">
        <v>2614</v>
      </c>
      <c r="K5330" s="41"/>
      <c r="L5330" s="31" t="str">
        <f>IFERROR(__xludf.DUMMYFUNCTION("IF(OR(E5330="""",K5330=""""),"""",IFERROR(IF(K5330="""","""",query('tbl user'!$A$2:$D10975,""SELECT A WHERE D = '""&amp;K5330&amp;""'"")),""USER TIDAK DIKETAHUI""))"),"")</f>
        <v/>
      </c>
    </row>
    <row r="5331">
      <c r="A5331" s="21">
        <f t="shared" si="1"/>
        <v>45478.58766</v>
      </c>
      <c r="B5331" s="40" t="s">
        <v>2431</v>
      </c>
      <c r="C5331" s="23" t="s">
        <v>1879</v>
      </c>
      <c r="D5331" s="23" t="s">
        <v>58</v>
      </c>
      <c r="E5331" s="24">
        <v>45477.0</v>
      </c>
      <c r="F5331" s="25">
        <v>0.24375</v>
      </c>
      <c r="G5331" s="25">
        <v>0.48125</v>
      </c>
      <c r="H5331" s="27">
        <f t="shared" si="2"/>
        <v>0.2375</v>
      </c>
      <c r="I5331" s="28">
        <v>2.0</v>
      </c>
      <c r="J5331" s="39" t="s">
        <v>2615</v>
      </c>
      <c r="K5331" s="41"/>
      <c r="L5331" s="31" t="str">
        <f>IFERROR(__xludf.DUMMYFUNCTION("IF(OR(E5331="""",K5331=""""),"""",IFERROR(IF(K5331="""","""",query('tbl user'!$A$2:$D10975,""SELECT A WHERE D = '""&amp;K5331&amp;""'"")),""USER TIDAK DIKETAHUI""))"),"")</f>
        <v/>
      </c>
    </row>
    <row r="5332">
      <c r="A5332" s="21">
        <f t="shared" si="1"/>
        <v>45478.58771</v>
      </c>
      <c r="B5332" s="40" t="s">
        <v>2376</v>
      </c>
      <c r="C5332" s="23" t="s">
        <v>1860</v>
      </c>
      <c r="D5332" s="23" t="s">
        <v>58</v>
      </c>
      <c r="E5332" s="24">
        <v>45477.0</v>
      </c>
      <c r="F5332" s="25">
        <v>0.3402777777777778</v>
      </c>
      <c r="G5332" s="25">
        <v>0.6979166666666666</v>
      </c>
      <c r="H5332" s="27">
        <f t="shared" si="2"/>
        <v>0.3576388889</v>
      </c>
      <c r="I5332" s="28">
        <v>2.0</v>
      </c>
      <c r="J5332" s="39" t="s">
        <v>2616</v>
      </c>
      <c r="K5332" s="41"/>
      <c r="L5332" s="31" t="str">
        <f>IFERROR(__xludf.DUMMYFUNCTION("IF(OR(E5332="""",K5332=""""),"""",IFERROR(IF(K5332="""","""",query('tbl user'!$A$2:$D10975,""SELECT A WHERE D = '""&amp;K5332&amp;""'"")),""USER TIDAK DIKETAHUI""))"),"")</f>
        <v/>
      </c>
    </row>
    <row r="5333">
      <c r="A5333" s="21">
        <f t="shared" si="1"/>
        <v>45478.58775</v>
      </c>
      <c r="B5333" s="40" t="s">
        <v>2423</v>
      </c>
      <c r="C5333" s="23" t="s">
        <v>1863</v>
      </c>
      <c r="D5333" s="23" t="s">
        <v>58</v>
      </c>
      <c r="E5333" s="24">
        <v>45477.0</v>
      </c>
      <c r="F5333" s="25">
        <v>0.2513888888888889</v>
      </c>
      <c r="G5333" s="25">
        <v>0.56875</v>
      </c>
      <c r="H5333" s="27">
        <f t="shared" si="2"/>
        <v>0.3173611111</v>
      </c>
      <c r="I5333" s="28">
        <v>2.0</v>
      </c>
      <c r="J5333" s="39" t="s">
        <v>2617</v>
      </c>
      <c r="K5333" s="41"/>
      <c r="L5333" s="31" t="str">
        <f>IFERROR(__xludf.DUMMYFUNCTION("IF(OR(E5333="""",K5333=""""),"""",IFERROR(IF(K5333="""","""",query('tbl user'!$A$2:$D10975,""SELECT A WHERE D = '""&amp;K5333&amp;""'"")),""USER TIDAK DIKETAHUI""))"),"")</f>
        <v/>
      </c>
    </row>
    <row r="5334">
      <c r="A5334" s="21">
        <f t="shared" si="1"/>
        <v>45478.58781</v>
      </c>
      <c r="B5334" s="40" t="s">
        <v>2386</v>
      </c>
      <c r="C5334" s="23" t="s">
        <v>1872</v>
      </c>
      <c r="D5334" s="23" t="s">
        <v>58</v>
      </c>
      <c r="E5334" s="24">
        <v>45477.0</v>
      </c>
      <c r="F5334" s="25">
        <v>0.36319444444444443</v>
      </c>
      <c r="G5334" s="25">
        <v>0.6493055555555556</v>
      </c>
      <c r="H5334" s="27">
        <f t="shared" si="2"/>
        <v>0.2861111111</v>
      </c>
      <c r="I5334" s="28">
        <v>2.0</v>
      </c>
      <c r="J5334" s="39" t="s">
        <v>2618</v>
      </c>
      <c r="K5334" s="41"/>
      <c r="L5334" s="31" t="str">
        <f>IFERROR(__xludf.DUMMYFUNCTION("IF(OR(E5334="""",K5334=""""),"""",IFERROR(IF(K5334="""","""",query('tbl user'!$A$2:$D10975,""SELECT A WHERE D = '""&amp;K5334&amp;""'"")),""USER TIDAK DIKETAHUI""))"),"")</f>
        <v/>
      </c>
    </row>
    <row r="5335">
      <c r="A5335" s="21">
        <f t="shared" si="1"/>
        <v>45478.58827</v>
      </c>
      <c r="B5335" s="40" t="s">
        <v>2404</v>
      </c>
      <c r="C5335" s="23" t="s">
        <v>1869</v>
      </c>
      <c r="D5335" s="23" t="s">
        <v>58</v>
      </c>
      <c r="E5335" s="24">
        <v>45477.0</v>
      </c>
      <c r="F5335" s="25">
        <v>0.2916666666666667</v>
      </c>
      <c r="G5335" s="25">
        <v>0.6972222222222222</v>
      </c>
      <c r="H5335" s="27">
        <f t="shared" si="2"/>
        <v>0.4055555556</v>
      </c>
      <c r="I5335" s="28">
        <v>3.0</v>
      </c>
      <c r="J5335" s="39" t="s">
        <v>2619</v>
      </c>
      <c r="K5335" s="41"/>
      <c r="L5335" s="31" t="str">
        <f>IFERROR(__xludf.DUMMYFUNCTION("IF(OR(E5335="""",K5335=""""),"""",IFERROR(IF(K5335="""","""",query('tbl user'!$A$2:$D10975,""SELECT A WHERE D = '""&amp;K5335&amp;""'"")),""USER TIDAK DIKETAHUI""))"),"")</f>
        <v/>
      </c>
    </row>
    <row r="5336">
      <c r="A5336" s="21">
        <f t="shared" si="1"/>
        <v>45478.58836</v>
      </c>
      <c r="B5336" s="40" t="s">
        <v>2419</v>
      </c>
      <c r="C5336" s="23" t="s">
        <v>1882</v>
      </c>
      <c r="D5336" s="23" t="s">
        <v>58</v>
      </c>
      <c r="E5336" s="24">
        <v>45477.0</v>
      </c>
      <c r="F5336" s="25">
        <v>0.2652777777777778</v>
      </c>
      <c r="G5336" s="25">
        <v>0.6541666666666667</v>
      </c>
      <c r="H5336" s="27">
        <f t="shared" si="2"/>
        <v>0.3888888889</v>
      </c>
      <c r="I5336" s="28">
        <v>3.0</v>
      </c>
      <c r="J5336" s="39" t="s">
        <v>171</v>
      </c>
      <c r="K5336" s="41"/>
      <c r="L5336" s="31" t="str">
        <f>IFERROR(__xludf.DUMMYFUNCTION("IF(OR(E5336="""",K5336=""""),"""",IFERROR(IF(K5336="""","""",query('tbl user'!$A$2:$D10975,""SELECT A WHERE D = '""&amp;K5336&amp;""'"")),""USER TIDAK DIKETAHUI""))"),"")</f>
        <v/>
      </c>
    </row>
    <row r="5337">
      <c r="A5337" s="21">
        <f t="shared" si="1"/>
        <v>45478.58842</v>
      </c>
      <c r="B5337" s="40" t="s">
        <v>2421</v>
      </c>
      <c r="C5337" s="23" t="s">
        <v>1883</v>
      </c>
      <c r="D5337" s="23" t="s">
        <v>58</v>
      </c>
      <c r="E5337" s="24">
        <v>45477.0</v>
      </c>
      <c r="F5337" s="25">
        <v>0.2708333333333333</v>
      </c>
      <c r="G5337" s="25">
        <v>0.6708333333333333</v>
      </c>
      <c r="H5337" s="27">
        <f t="shared" si="2"/>
        <v>0.4</v>
      </c>
      <c r="I5337" s="28">
        <v>3.0</v>
      </c>
      <c r="J5337" s="39" t="s">
        <v>171</v>
      </c>
      <c r="K5337" s="41"/>
      <c r="L5337" s="31" t="str">
        <f>IFERROR(__xludf.DUMMYFUNCTION("IF(OR(E5337="""",K5337=""""),"""",IFERROR(IF(K5337="""","""",query('tbl user'!$A$2:$D10975,""SELECT A WHERE D = '""&amp;K5337&amp;""'"")),""USER TIDAK DIKETAHUI""))"),"")</f>
        <v/>
      </c>
    </row>
    <row r="5338">
      <c r="A5338" s="21">
        <f t="shared" si="1"/>
        <v>45478.58846</v>
      </c>
      <c r="B5338" s="40" t="s">
        <v>2424</v>
      </c>
      <c r="C5338" s="23" t="s">
        <v>1886</v>
      </c>
      <c r="D5338" s="23" t="s">
        <v>58</v>
      </c>
      <c r="E5338" s="24">
        <v>45477.0</v>
      </c>
      <c r="F5338" s="25">
        <v>0.24513888888888888</v>
      </c>
      <c r="G5338" s="25">
        <v>0.7083333333333334</v>
      </c>
      <c r="H5338" s="27">
        <f t="shared" si="2"/>
        <v>0.4631944444</v>
      </c>
      <c r="I5338" s="28">
        <v>3.0</v>
      </c>
      <c r="J5338" s="39" t="s">
        <v>2620</v>
      </c>
      <c r="K5338" s="41"/>
      <c r="L5338" s="31" t="str">
        <f>IFERROR(__xludf.DUMMYFUNCTION("IF(OR(E5338="""",K5338=""""),"""",IFERROR(IF(K5338="""","""",query('tbl user'!$A$2:$D10975,""SELECT A WHERE D = '""&amp;K5338&amp;""'"")),""USER TIDAK DIKETAHUI""))"),"")</f>
        <v/>
      </c>
    </row>
    <row r="5339">
      <c r="A5339" s="21">
        <f t="shared" si="1"/>
        <v>45478.5885</v>
      </c>
      <c r="B5339" s="40" t="s">
        <v>2427</v>
      </c>
      <c r="C5339" s="23" t="s">
        <v>1888</v>
      </c>
      <c r="D5339" s="23" t="s">
        <v>58</v>
      </c>
      <c r="E5339" s="24">
        <v>45477.0</v>
      </c>
      <c r="F5339" s="25">
        <v>0.2701388888888889</v>
      </c>
      <c r="G5339" s="25">
        <v>0.6527777777777778</v>
      </c>
      <c r="H5339" s="27">
        <f t="shared" si="2"/>
        <v>0.3826388889</v>
      </c>
      <c r="I5339" s="28">
        <v>3.0</v>
      </c>
      <c r="J5339" s="39" t="s">
        <v>171</v>
      </c>
      <c r="K5339" s="41"/>
      <c r="L5339" s="31" t="str">
        <f>IFERROR(__xludf.DUMMYFUNCTION("IF(OR(E5339="""",K5339=""""),"""",IFERROR(IF(K5339="""","""",query('tbl user'!$A$2:$D10975,""SELECT A WHERE D = '""&amp;K5339&amp;""'"")),""USER TIDAK DIKETAHUI""))"),"")</f>
        <v/>
      </c>
    </row>
    <row r="5340">
      <c r="A5340" s="21">
        <f t="shared" si="1"/>
        <v>45478.5886</v>
      </c>
      <c r="B5340" s="40" t="s">
        <v>2435</v>
      </c>
      <c r="C5340" s="23" t="s">
        <v>1893</v>
      </c>
      <c r="D5340" s="23" t="s">
        <v>58</v>
      </c>
      <c r="E5340" s="24">
        <v>45477.0</v>
      </c>
      <c r="F5340" s="25">
        <v>0.25069444444444444</v>
      </c>
      <c r="G5340" s="25">
        <v>0.6444444444444445</v>
      </c>
      <c r="H5340" s="27">
        <f t="shared" si="2"/>
        <v>0.39375</v>
      </c>
      <c r="I5340" s="28">
        <v>3.0</v>
      </c>
      <c r="J5340" s="39" t="s">
        <v>171</v>
      </c>
      <c r="K5340" s="41"/>
      <c r="L5340" s="31" t="str">
        <f>IFERROR(__xludf.DUMMYFUNCTION("IF(OR(E5340="""",K5340=""""),"""",IFERROR(IF(K5340="""","""",query('tbl user'!$A$2:$D10975,""SELECT A WHERE D = '""&amp;K5340&amp;""'"")),""USER TIDAK DIKETAHUI""))"),"")</f>
        <v/>
      </c>
    </row>
    <row r="5341">
      <c r="A5341" s="21">
        <f t="shared" si="1"/>
        <v>45478.58863</v>
      </c>
      <c r="B5341" s="40" t="s">
        <v>2410</v>
      </c>
      <c r="C5341" s="23" t="s">
        <v>2090</v>
      </c>
      <c r="D5341" s="23" t="s">
        <v>58</v>
      </c>
      <c r="E5341" s="24">
        <v>45477.0</v>
      </c>
      <c r="F5341" s="25">
        <v>0.25625</v>
      </c>
      <c r="G5341" s="25">
        <v>0.6194444444444445</v>
      </c>
      <c r="H5341" s="27">
        <f t="shared" si="2"/>
        <v>0.3631944444</v>
      </c>
      <c r="I5341" s="28">
        <v>3.0</v>
      </c>
      <c r="J5341" s="39" t="s">
        <v>171</v>
      </c>
      <c r="K5341" s="41"/>
      <c r="L5341" s="31" t="str">
        <f>IFERROR(__xludf.DUMMYFUNCTION("IF(OR(E5341="""",K5341=""""),"""",IFERROR(IF(K5341="""","""",query('tbl user'!$A$2:$D10975,""SELECT A WHERE D = '""&amp;K5341&amp;""'"")),""USER TIDAK DIKETAHUI""))"),"")</f>
        <v/>
      </c>
    </row>
    <row r="5342">
      <c r="A5342" s="21">
        <f t="shared" si="1"/>
        <v>45478.58865</v>
      </c>
      <c r="B5342" s="40" t="s">
        <v>2412</v>
      </c>
      <c r="C5342" s="23" t="s">
        <v>1890</v>
      </c>
      <c r="D5342" s="23" t="s">
        <v>58</v>
      </c>
      <c r="E5342" s="24">
        <v>45477.0</v>
      </c>
      <c r="F5342" s="25">
        <v>0.2569444444444444</v>
      </c>
      <c r="G5342" s="25">
        <v>0.6513888888888889</v>
      </c>
      <c r="H5342" s="27">
        <f t="shared" si="2"/>
        <v>0.3944444444</v>
      </c>
      <c r="I5342" s="28">
        <v>3.0</v>
      </c>
      <c r="J5342" s="39" t="s">
        <v>171</v>
      </c>
      <c r="K5342" s="41"/>
      <c r="L5342" s="31" t="str">
        <f>IFERROR(__xludf.DUMMYFUNCTION("IF(OR(E5342="""",K5342=""""),"""",IFERROR(IF(K5342="""","""",query('tbl user'!$A$2:$D10975,""SELECT A WHERE D = '""&amp;K5342&amp;""'"")),""USER TIDAK DIKETAHUI""))"),"")</f>
        <v/>
      </c>
    </row>
    <row r="5343">
      <c r="A5343" s="21">
        <f t="shared" si="1"/>
        <v>45478.58873</v>
      </c>
      <c r="B5343" s="40" t="s">
        <v>2351</v>
      </c>
      <c r="C5343" s="23" t="s">
        <v>1891</v>
      </c>
      <c r="D5343" s="23" t="s">
        <v>58</v>
      </c>
      <c r="E5343" s="24">
        <v>45477.0</v>
      </c>
      <c r="F5343" s="25">
        <v>0.25277777777777777</v>
      </c>
      <c r="G5343" s="25">
        <v>0.6520833333333333</v>
      </c>
      <c r="H5343" s="27">
        <f t="shared" si="2"/>
        <v>0.3993055556</v>
      </c>
      <c r="I5343" s="28">
        <v>3.0</v>
      </c>
      <c r="J5343" s="39" t="s">
        <v>171</v>
      </c>
      <c r="K5343" s="41"/>
      <c r="L5343" s="31" t="str">
        <f>IFERROR(__xludf.DUMMYFUNCTION("IF(OR(E5343="""",K5343=""""),"""",IFERROR(IF(K5343="""","""",query('tbl user'!$A$2:$D10975,""SELECT A WHERE D = '""&amp;K5343&amp;""'"")),""USER TIDAK DIKETAHUI""))"),"")</f>
        <v/>
      </c>
    </row>
    <row r="5344">
      <c r="A5344" s="21">
        <f t="shared" si="1"/>
        <v>45478.58877</v>
      </c>
      <c r="B5344" s="40" t="s">
        <v>2432</v>
      </c>
      <c r="C5344" s="23" t="s">
        <v>1884</v>
      </c>
      <c r="D5344" s="23" t="s">
        <v>58</v>
      </c>
      <c r="E5344" s="24">
        <v>45477.0</v>
      </c>
      <c r="F5344" s="25">
        <v>0.23055555555555557</v>
      </c>
      <c r="G5344" s="25">
        <v>0.7145833333333333</v>
      </c>
      <c r="H5344" s="27">
        <f t="shared" si="2"/>
        <v>0.4840277778</v>
      </c>
      <c r="I5344" s="28">
        <v>4.0</v>
      </c>
      <c r="J5344" s="39" t="s">
        <v>55</v>
      </c>
      <c r="K5344" s="41"/>
      <c r="L5344" s="31" t="str">
        <f>IFERROR(__xludf.DUMMYFUNCTION("IF(OR(E5344="""",K5344=""""),"""",IFERROR(IF(K5344="""","""",query('tbl user'!$A$2:$D10975,""SELECT A WHERE D = '""&amp;K5344&amp;""'"")),""USER TIDAK DIKETAHUI""))"),"")</f>
        <v/>
      </c>
    </row>
    <row r="5345">
      <c r="A5345" s="21">
        <f t="shared" si="1"/>
        <v>45478.58882</v>
      </c>
      <c r="B5345" s="40" t="s">
        <v>2433</v>
      </c>
      <c r="C5345" s="23" t="s">
        <v>1950</v>
      </c>
      <c r="D5345" s="23" t="s">
        <v>58</v>
      </c>
      <c r="E5345" s="24">
        <v>45477.0</v>
      </c>
      <c r="F5345" s="25">
        <v>0.2548611111111111</v>
      </c>
      <c r="G5345" s="25">
        <v>0.7048611111111112</v>
      </c>
      <c r="H5345" s="27">
        <f t="shared" si="2"/>
        <v>0.45</v>
      </c>
      <c r="I5345" s="28">
        <v>4.0</v>
      </c>
      <c r="J5345" s="39" t="s">
        <v>55</v>
      </c>
      <c r="K5345" s="41"/>
      <c r="L5345" s="31" t="str">
        <f>IFERROR(__xludf.DUMMYFUNCTION("IF(OR(E5345="""",K5345=""""),"""",IFERROR(IF(K5345="""","""",query('tbl user'!$A$2:$D10975,""SELECT A WHERE D = '""&amp;K5345&amp;""'"")),""USER TIDAK DIKETAHUI""))"),"")</f>
        <v/>
      </c>
    </row>
    <row r="5346">
      <c r="A5346" s="21">
        <f t="shared" si="1"/>
        <v>45478.58886</v>
      </c>
      <c r="B5346" s="40" t="s">
        <v>2428</v>
      </c>
      <c r="C5346" s="23" t="s">
        <v>1889</v>
      </c>
      <c r="D5346" s="23" t="s">
        <v>58</v>
      </c>
      <c r="E5346" s="24">
        <v>45477.0</v>
      </c>
      <c r="F5346" s="25">
        <v>0.2611111111111111</v>
      </c>
      <c r="G5346" s="25">
        <v>0.70625</v>
      </c>
      <c r="H5346" s="27">
        <f t="shared" si="2"/>
        <v>0.4451388889</v>
      </c>
      <c r="I5346" s="28">
        <v>4.0</v>
      </c>
      <c r="J5346" s="39" t="s">
        <v>55</v>
      </c>
      <c r="K5346" s="41"/>
      <c r="L5346" s="31" t="str">
        <f>IFERROR(__xludf.DUMMYFUNCTION("IF(OR(E5346="""",K5346=""""),"""",IFERROR(IF(K5346="""","""",query('tbl user'!$A$2:$D10975,""SELECT A WHERE D = '""&amp;K5346&amp;""'"")),""USER TIDAK DIKETAHUI""))"),"")</f>
        <v/>
      </c>
    </row>
    <row r="5347">
      <c r="A5347" s="21">
        <f t="shared" si="1"/>
        <v>45478.58892</v>
      </c>
      <c r="B5347" s="40" t="s">
        <v>2495</v>
      </c>
      <c r="C5347" s="23" t="s">
        <v>1965</v>
      </c>
      <c r="D5347" s="23" t="s">
        <v>32</v>
      </c>
      <c r="E5347" s="24">
        <v>45477.0</v>
      </c>
      <c r="F5347" s="25">
        <v>0.27152777777777776</v>
      </c>
      <c r="G5347" s="28" t="s">
        <v>1817</v>
      </c>
      <c r="H5347" s="27" t="str">
        <f t="shared" si="2"/>
        <v/>
      </c>
      <c r="I5347" s="28">
        <v>0.0</v>
      </c>
      <c r="J5347" s="39" t="s">
        <v>2621</v>
      </c>
      <c r="K5347" s="41"/>
      <c r="L5347" s="31" t="str">
        <f>IFERROR(__xludf.DUMMYFUNCTION("IF(OR(E5347="""",K5347=""""),"""",IFERROR(IF(K5347="""","""",query('tbl user'!$A$2:$D10975,""SELECT A WHERE D = '""&amp;K5347&amp;""'"")),""USER TIDAK DIKETAHUI""))"),"")</f>
        <v/>
      </c>
    </row>
    <row r="5348">
      <c r="A5348" s="21">
        <f t="shared" si="1"/>
        <v>45478.58897</v>
      </c>
      <c r="B5348" s="40" t="s">
        <v>2438</v>
      </c>
      <c r="C5348" s="23" t="s">
        <v>2153</v>
      </c>
      <c r="D5348" s="23" t="s">
        <v>32</v>
      </c>
      <c r="E5348" s="24">
        <v>45477.0</v>
      </c>
      <c r="F5348" s="25">
        <v>0.28888888888888886</v>
      </c>
      <c r="G5348" s="25">
        <v>0.5555555555555556</v>
      </c>
      <c r="H5348" s="27">
        <f t="shared" si="2"/>
        <v>0.2666666667</v>
      </c>
      <c r="I5348" s="28">
        <v>2.0</v>
      </c>
      <c r="J5348" s="39" t="s">
        <v>2622</v>
      </c>
      <c r="K5348" s="41"/>
      <c r="L5348" s="31" t="str">
        <f>IFERROR(__xludf.DUMMYFUNCTION("IF(OR(E5348="""",K5348=""""),"""",IFERROR(IF(K5348="""","""",query('tbl user'!$A$2:$D10975,""SELECT A WHERE D = '""&amp;K5348&amp;""'"")),""USER TIDAK DIKETAHUI""))"),"")</f>
        <v/>
      </c>
    </row>
    <row r="5349">
      <c r="A5349" s="21">
        <f t="shared" si="1"/>
        <v>45478.58905</v>
      </c>
      <c r="B5349" s="40" t="s">
        <v>2484</v>
      </c>
      <c r="C5349" s="23" t="s">
        <v>1896</v>
      </c>
      <c r="D5349" s="23" t="s">
        <v>32</v>
      </c>
      <c r="E5349" s="24">
        <v>45477.0</v>
      </c>
      <c r="F5349" s="25">
        <v>0.3923611111111111</v>
      </c>
      <c r="G5349" s="25">
        <v>0.7444444444444445</v>
      </c>
      <c r="H5349" s="27">
        <f t="shared" si="2"/>
        <v>0.3520833333</v>
      </c>
      <c r="I5349" s="28">
        <v>2.0</v>
      </c>
      <c r="J5349" s="39" t="s">
        <v>2623</v>
      </c>
      <c r="K5349" s="41"/>
      <c r="L5349" s="31" t="str">
        <f>IFERROR(__xludf.DUMMYFUNCTION("IF(OR(E5349="""",K5349=""""),"""",IFERROR(IF(K5349="""","""",query('tbl user'!$A$2:$D10975,""SELECT A WHERE D = '""&amp;K5349&amp;""'"")),""USER TIDAK DIKETAHUI""))"),"")</f>
        <v/>
      </c>
    </row>
    <row r="5350">
      <c r="A5350" s="21">
        <f t="shared" si="1"/>
        <v>45478.58915</v>
      </c>
      <c r="B5350" s="40" t="s">
        <v>2446</v>
      </c>
      <c r="C5350" s="23" t="s">
        <v>1954</v>
      </c>
      <c r="D5350" s="23" t="s">
        <v>32</v>
      </c>
      <c r="E5350" s="24">
        <v>45477.0</v>
      </c>
      <c r="F5350" s="25">
        <v>0.2881944444444444</v>
      </c>
      <c r="G5350" s="25">
        <v>0.7194444444444444</v>
      </c>
      <c r="H5350" s="27">
        <f t="shared" si="2"/>
        <v>0.43125</v>
      </c>
      <c r="I5350" s="28">
        <v>2.0</v>
      </c>
      <c r="J5350" s="39" t="s">
        <v>218</v>
      </c>
      <c r="K5350" s="41"/>
      <c r="L5350" s="31" t="str">
        <f>IFERROR(__xludf.DUMMYFUNCTION("IF(OR(E5350="""",K5350=""""),"""",IFERROR(IF(K5350="""","""",query('tbl user'!$A$2:$D10975,""SELECT A WHERE D = '""&amp;K5350&amp;""'"")),""USER TIDAK DIKETAHUI""))"),"")</f>
        <v/>
      </c>
    </row>
    <row r="5351">
      <c r="A5351" s="21">
        <f t="shared" si="1"/>
        <v>45478.58925</v>
      </c>
      <c r="B5351" s="40" t="s">
        <v>2442</v>
      </c>
      <c r="C5351" s="23" t="s">
        <v>2066</v>
      </c>
      <c r="D5351" s="23" t="s">
        <v>32</v>
      </c>
      <c r="E5351" s="24">
        <v>45477.0</v>
      </c>
      <c r="F5351" s="25">
        <v>0.29097222222222224</v>
      </c>
      <c r="G5351" s="25">
        <v>0.71875</v>
      </c>
      <c r="H5351" s="27">
        <f t="shared" si="2"/>
        <v>0.4277777778</v>
      </c>
      <c r="I5351" s="28">
        <v>3.0</v>
      </c>
      <c r="J5351" s="39" t="s">
        <v>2624</v>
      </c>
      <c r="K5351" s="41"/>
      <c r="L5351" s="31" t="str">
        <f>IFERROR(__xludf.DUMMYFUNCTION("IF(OR(E5351="""",K5351=""""),"""",IFERROR(IF(K5351="""","""",query('tbl user'!$A$2:$D10975,""SELECT A WHERE D = '""&amp;K5351&amp;""'"")),""USER TIDAK DIKETAHUI""))"),"")</f>
        <v/>
      </c>
    </row>
    <row r="5352">
      <c r="A5352" s="21">
        <f t="shared" si="1"/>
        <v>45478.58952</v>
      </c>
      <c r="B5352" s="40" t="s">
        <v>2529</v>
      </c>
      <c r="C5352" s="23" t="s">
        <v>2252</v>
      </c>
      <c r="D5352" s="23" t="s">
        <v>32</v>
      </c>
      <c r="E5352" s="24">
        <v>45477.0</v>
      </c>
      <c r="F5352" s="25">
        <v>0.2847222222222222</v>
      </c>
      <c r="G5352" s="25">
        <v>0.7236111111111111</v>
      </c>
      <c r="H5352" s="27">
        <f t="shared" si="2"/>
        <v>0.4388888889</v>
      </c>
      <c r="I5352" s="28">
        <v>3.0</v>
      </c>
      <c r="J5352" s="39" t="s">
        <v>2625</v>
      </c>
      <c r="K5352" s="41"/>
      <c r="L5352" s="31" t="str">
        <f>IFERROR(__xludf.DUMMYFUNCTION("IF(OR(E5352="""",K5352=""""),"""",IFERROR(IF(K5352="""","""",query('tbl user'!$A$2:$D10975,""SELECT A WHERE D = '""&amp;K5352&amp;""'"")),""USER TIDAK DIKETAHUI""))"),"")</f>
        <v/>
      </c>
    </row>
    <row r="5353">
      <c r="A5353" s="21">
        <f t="shared" si="1"/>
        <v>45478.58956</v>
      </c>
      <c r="B5353" s="40" t="s">
        <v>2443</v>
      </c>
      <c r="C5353" s="23" t="s">
        <v>2190</v>
      </c>
      <c r="D5353" s="23" t="s">
        <v>32</v>
      </c>
      <c r="E5353" s="24">
        <v>45477.0</v>
      </c>
      <c r="F5353" s="25">
        <v>0.28958333333333336</v>
      </c>
      <c r="G5353" s="25">
        <v>0.7215277777777778</v>
      </c>
      <c r="H5353" s="27">
        <f t="shared" si="2"/>
        <v>0.4319444444</v>
      </c>
      <c r="I5353" s="28">
        <v>3.0</v>
      </c>
      <c r="J5353" s="39" t="s">
        <v>2625</v>
      </c>
      <c r="K5353" s="41"/>
      <c r="L5353" s="31" t="str">
        <f>IFERROR(__xludf.DUMMYFUNCTION("IF(OR(E5353="""",K5353=""""),"""",IFERROR(IF(K5353="""","""",query('tbl user'!$A$2:$D10975,""SELECT A WHERE D = '""&amp;K5353&amp;""'"")),""USER TIDAK DIKETAHUI""))"),"")</f>
        <v/>
      </c>
    </row>
    <row r="5354">
      <c r="A5354" s="21">
        <f t="shared" si="1"/>
        <v>45478.58963</v>
      </c>
      <c r="B5354" s="40" t="s">
        <v>2452</v>
      </c>
      <c r="C5354" s="23" t="s">
        <v>1912</v>
      </c>
      <c r="D5354" s="23" t="s">
        <v>32</v>
      </c>
      <c r="E5354" s="24">
        <v>45477.0</v>
      </c>
      <c r="F5354" s="25">
        <v>0.2833333333333333</v>
      </c>
      <c r="G5354" s="25">
        <v>0.7041666666666667</v>
      </c>
      <c r="H5354" s="27">
        <f t="shared" si="2"/>
        <v>0.4208333333</v>
      </c>
      <c r="I5354" s="28">
        <v>3.0</v>
      </c>
      <c r="J5354" s="39" t="s">
        <v>2625</v>
      </c>
      <c r="K5354" s="41"/>
      <c r="L5354" s="31" t="str">
        <f>IFERROR(__xludf.DUMMYFUNCTION("IF(OR(E5354="""",K5354=""""),"""",IFERROR(IF(K5354="""","""",query('tbl user'!$A$2:$D10975,""SELECT A WHERE D = '""&amp;K5354&amp;""'"")),""USER TIDAK DIKETAHUI""))"),"")</f>
        <v/>
      </c>
    </row>
    <row r="5355">
      <c r="A5355" s="21">
        <f t="shared" si="1"/>
        <v>45478.58973</v>
      </c>
      <c r="B5355" s="40" t="s">
        <v>2526</v>
      </c>
      <c r="C5355" s="23" t="s">
        <v>1902</v>
      </c>
      <c r="D5355" s="23" t="s">
        <v>32</v>
      </c>
      <c r="E5355" s="24">
        <v>45477.0</v>
      </c>
      <c r="F5355" s="25">
        <v>0.28680555555555554</v>
      </c>
      <c r="G5355" s="25">
        <v>0.7256944444444444</v>
      </c>
      <c r="H5355" s="27">
        <f t="shared" si="2"/>
        <v>0.4388888889</v>
      </c>
      <c r="I5355" s="28">
        <v>3.0</v>
      </c>
      <c r="J5355" s="39" t="s">
        <v>2625</v>
      </c>
      <c r="K5355" s="41"/>
      <c r="L5355" s="31" t="str">
        <f>IFERROR(__xludf.DUMMYFUNCTION("IF(OR(E5355="""",K5355=""""),"""",IFERROR(IF(K5355="""","""",query('tbl user'!$A$2:$D10975,""SELECT A WHERE D = '""&amp;K5355&amp;""'"")),""USER TIDAK DIKETAHUI""))"),"")</f>
        <v/>
      </c>
    </row>
    <row r="5356">
      <c r="A5356" s="21">
        <f t="shared" si="1"/>
        <v>45478.58978</v>
      </c>
      <c r="B5356" s="40" t="s">
        <v>2439</v>
      </c>
      <c r="C5356" s="23" t="s">
        <v>1990</v>
      </c>
      <c r="D5356" s="23" t="s">
        <v>32</v>
      </c>
      <c r="E5356" s="24">
        <v>45477.0</v>
      </c>
      <c r="F5356" s="25">
        <v>0.25</v>
      </c>
      <c r="G5356" s="28" t="s">
        <v>1817</v>
      </c>
      <c r="H5356" s="27" t="str">
        <f t="shared" si="2"/>
        <v/>
      </c>
      <c r="I5356" s="28">
        <v>3.0</v>
      </c>
      <c r="J5356" s="39" t="s">
        <v>2626</v>
      </c>
      <c r="K5356" s="41"/>
      <c r="L5356" s="31" t="str">
        <f>IFERROR(__xludf.DUMMYFUNCTION("IF(OR(E5356="""",K5356=""""),"""",IFERROR(IF(K5356="""","""",query('tbl user'!$A$2:$D10975,""SELECT A WHERE D = '""&amp;K5356&amp;""'"")),""USER TIDAK DIKETAHUI""))"),"")</f>
        <v/>
      </c>
    </row>
    <row r="5357">
      <c r="A5357" s="21">
        <f t="shared" si="1"/>
        <v>45478.58982</v>
      </c>
      <c r="B5357" s="40" t="s">
        <v>2444</v>
      </c>
      <c r="C5357" s="23" t="s">
        <v>1903</v>
      </c>
      <c r="D5357" s="23" t="s">
        <v>32</v>
      </c>
      <c r="E5357" s="24">
        <v>45477.0</v>
      </c>
      <c r="F5357" s="25">
        <v>0.2638888888888889</v>
      </c>
      <c r="G5357" s="25">
        <v>0.6722222222222223</v>
      </c>
      <c r="H5357" s="27">
        <f t="shared" si="2"/>
        <v>0.4083333333</v>
      </c>
      <c r="I5357" s="28">
        <v>3.0</v>
      </c>
      <c r="J5357" s="39" t="s">
        <v>2627</v>
      </c>
      <c r="K5357" s="41"/>
      <c r="L5357" s="31" t="str">
        <f>IFERROR(__xludf.DUMMYFUNCTION("IF(OR(E5357="""",K5357=""""),"""",IFERROR(IF(K5357="""","""",query('tbl user'!$A$2:$D10975,""SELECT A WHERE D = '""&amp;K5357&amp;""'"")),""USER TIDAK DIKETAHUI""))"),"")</f>
        <v/>
      </c>
    </row>
    <row r="5358">
      <c r="A5358" s="21">
        <f t="shared" si="1"/>
        <v>45478.58991</v>
      </c>
      <c r="B5358" s="40" t="s">
        <v>2436</v>
      </c>
      <c r="C5358" s="23" t="s">
        <v>1966</v>
      </c>
      <c r="D5358" s="23" t="s">
        <v>32</v>
      </c>
      <c r="E5358" s="24">
        <v>45477.0</v>
      </c>
      <c r="F5358" s="25">
        <v>0.2569444444444444</v>
      </c>
      <c r="G5358" s="25">
        <v>0.7506944444444444</v>
      </c>
      <c r="H5358" s="27">
        <f t="shared" si="2"/>
        <v>0.49375</v>
      </c>
      <c r="I5358" s="28">
        <v>4.0</v>
      </c>
      <c r="J5358" s="39" t="s">
        <v>55</v>
      </c>
      <c r="K5358" s="41"/>
      <c r="L5358" s="31" t="str">
        <f>IFERROR(__xludf.DUMMYFUNCTION("IF(OR(E5358="""",K5358=""""),"""",IFERROR(IF(K5358="""","""",query('tbl user'!$A$2:$D10975,""SELECT A WHERE D = '""&amp;K5358&amp;""'"")),""USER TIDAK DIKETAHUI""))"),"")</f>
        <v/>
      </c>
    </row>
    <row r="5359">
      <c r="A5359" s="21">
        <f t="shared" si="1"/>
        <v>45478.58997</v>
      </c>
      <c r="B5359" s="40" t="s">
        <v>2450</v>
      </c>
      <c r="C5359" s="23" t="s">
        <v>1894</v>
      </c>
      <c r="D5359" s="23" t="s">
        <v>32</v>
      </c>
      <c r="E5359" s="24">
        <v>45477.0</v>
      </c>
      <c r="F5359" s="25">
        <v>0.25416666666666665</v>
      </c>
      <c r="G5359" s="25">
        <v>0.7534722222222222</v>
      </c>
      <c r="H5359" s="27">
        <f t="shared" si="2"/>
        <v>0.4993055556</v>
      </c>
      <c r="I5359" s="28">
        <v>4.0</v>
      </c>
      <c r="J5359" s="39" t="s">
        <v>55</v>
      </c>
      <c r="K5359" s="41"/>
      <c r="L5359" s="31" t="str">
        <f>IFERROR(__xludf.DUMMYFUNCTION("IF(OR(E5359="""",K5359=""""),"""",IFERROR(IF(K5359="""","""",query('tbl user'!$A$2:$D10975,""SELECT A WHERE D = '""&amp;K5359&amp;""'"")),""USER TIDAK DIKETAHUI""))"),"")</f>
        <v/>
      </c>
    </row>
    <row r="5360">
      <c r="A5360" s="21">
        <f t="shared" si="1"/>
        <v>45478.59005</v>
      </c>
      <c r="B5360" s="40" t="s">
        <v>2386</v>
      </c>
      <c r="C5360" s="23" t="s">
        <v>1967</v>
      </c>
      <c r="D5360" s="23" t="s">
        <v>32</v>
      </c>
      <c r="E5360" s="24">
        <v>45477.0</v>
      </c>
      <c r="F5360" s="25">
        <v>0.2638888888888889</v>
      </c>
      <c r="G5360" s="25">
        <v>0.7347222222222223</v>
      </c>
      <c r="H5360" s="27">
        <f t="shared" si="2"/>
        <v>0.4708333333</v>
      </c>
      <c r="I5360" s="28">
        <v>4.0</v>
      </c>
      <c r="J5360" s="39" t="s">
        <v>55</v>
      </c>
      <c r="K5360" s="41"/>
      <c r="L5360" s="31" t="str">
        <f>IFERROR(__xludf.DUMMYFUNCTION("IF(OR(E5360="""",K5360=""""),"""",IFERROR(IF(K5360="""","""",query('tbl user'!$A$2:$D10975,""SELECT A WHERE D = '""&amp;K5360&amp;""'"")),""USER TIDAK DIKETAHUI""))"),"")</f>
        <v/>
      </c>
    </row>
    <row r="5361">
      <c r="A5361" s="21">
        <f t="shared" si="1"/>
        <v>45481.42026</v>
      </c>
      <c r="B5361" s="40" t="s">
        <v>2359</v>
      </c>
      <c r="C5361" s="23" t="s">
        <v>2628</v>
      </c>
      <c r="D5361" s="23" t="s">
        <v>21</v>
      </c>
      <c r="E5361" s="24">
        <v>45478.0</v>
      </c>
      <c r="F5361" s="25">
        <v>0.29305555555555557</v>
      </c>
      <c r="G5361" s="25">
        <v>0.4576388888888889</v>
      </c>
      <c r="H5361" s="27">
        <f t="shared" si="2"/>
        <v>0.1645833333</v>
      </c>
      <c r="I5361" s="28">
        <v>1.0</v>
      </c>
      <c r="J5361" s="39" t="s">
        <v>2629</v>
      </c>
      <c r="K5361" s="41"/>
      <c r="L5361" s="31" t="str">
        <f>IFERROR(__xludf.DUMMYFUNCTION("IF(OR(E5361="""",K5361=""""),"""",IFERROR(IF(K5361="""","""",query('tbl user'!$A$2:$D10975,""SELECT A WHERE D = '""&amp;K5361&amp;""'"")),""USER TIDAK DIKETAHUI""))"),"")</f>
        <v/>
      </c>
    </row>
    <row r="5362">
      <c r="A5362" s="21">
        <f t="shared" si="1"/>
        <v>45481.42034</v>
      </c>
      <c r="B5362" s="40" t="s">
        <v>2378</v>
      </c>
      <c r="C5362" s="23" t="s">
        <v>1844</v>
      </c>
      <c r="D5362" s="23" t="s">
        <v>21</v>
      </c>
      <c r="E5362" s="24">
        <v>45478.0</v>
      </c>
      <c r="F5362" s="25">
        <v>0.43333333333333335</v>
      </c>
      <c r="G5362" s="25">
        <v>0.6444444444444445</v>
      </c>
      <c r="H5362" s="27">
        <f t="shared" si="2"/>
        <v>0.2111111111</v>
      </c>
      <c r="I5362" s="28">
        <v>1.0</v>
      </c>
      <c r="J5362" s="39" t="s">
        <v>1591</v>
      </c>
      <c r="K5362" s="41"/>
      <c r="L5362" s="31" t="str">
        <f>IFERROR(__xludf.DUMMYFUNCTION("IF(OR(E5362="""",K5362=""""),"""",IFERROR(IF(K5362="""","""",query('tbl user'!$A$2:$D10975,""SELECT A WHERE D = '""&amp;K5362&amp;""'"")),""USER TIDAK DIKETAHUI""))"),"")</f>
        <v/>
      </c>
    </row>
    <row r="5363">
      <c r="A5363" s="21">
        <f t="shared" si="1"/>
        <v>45481.42044</v>
      </c>
      <c r="B5363" s="40" t="s">
        <v>2365</v>
      </c>
      <c r="C5363" s="23" t="s">
        <v>1853</v>
      </c>
      <c r="D5363" s="23" t="s">
        <v>21</v>
      </c>
      <c r="E5363" s="24">
        <v>45478.0</v>
      </c>
      <c r="F5363" s="25">
        <v>0.3861111111111111</v>
      </c>
      <c r="G5363" s="25">
        <v>0.6729166666666667</v>
      </c>
      <c r="H5363" s="27">
        <f t="shared" si="2"/>
        <v>0.2868055556</v>
      </c>
      <c r="I5363" s="28">
        <v>2.0</v>
      </c>
      <c r="J5363" s="39" t="s">
        <v>2630</v>
      </c>
      <c r="K5363" s="41"/>
      <c r="L5363" s="31" t="str">
        <f>IFERROR(__xludf.DUMMYFUNCTION("IF(OR(E5363="""",K5363=""""),"""",IFERROR(IF(K5363="""","""",query('tbl user'!$A$2:$D10975,""SELECT A WHERE D = '""&amp;K5363&amp;""'"")),""USER TIDAK DIKETAHUI""))"),"")</f>
        <v/>
      </c>
    </row>
    <row r="5364">
      <c r="A5364" s="21">
        <f t="shared" si="1"/>
        <v>45481.42047</v>
      </c>
      <c r="B5364" s="40" t="s">
        <v>2631</v>
      </c>
      <c r="C5364" s="23" t="s">
        <v>1920</v>
      </c>
      <c r="D5364" s="23" t="s">
        <v>21</v>
      </c>
      <c r="E5364" s="24">
        <v>45478.0</v>
      </c>
      <c r="F5364" s="25">
        <v>0.33958333333333335</v>
      </c>
      <c r="G5364" s="25">
        <v>0.6423611111111112</v>
      </c>
      <c r="H5364" s="27">
        <f t="shared" si="2"/>
        <v>0.3027777778</v>
      </c>
      <c r="I5364" s="28">
        <v>2.0</v>
      </c>
      <c r="J5364" s="39" t="s">
        <v>2632</v>
      </c>
      <c r="K5364" s="41"/>
      <c r="L5364" s="31" t="str">
        <f>IFERROR(__xludf.DUMMYFUNCTION("IF(OR(E5364="""",K5364=""""),"""",IFERROR(IF(K5364="""","""",query('tbl user'!$A$2:$D10975,""SELECT A WHERE D = '""&amp;K5364&amp;""'"")),""USER TIDAK DIKETAHUI""))"),"")</f>
        <v/>
      </c>
    </row>
    <row r="5365">
      <c r="A5365" s="21">
        <f t="shared" si="1"/>
        <v>45481.42054</v>
      </c>
      <c r="B5365" s="40" t="s">
        <v>2387</v>
      </c>
      <c r="C5365" s="23" t="s">
        <v>1857</v>
      </c>
      <c r="D5365" s="23" t="s">
        <v>21</v>
      </c>
      <c r="E5365" s="24">
        <v>45478.0</v>
      </c>
      <c r="F5365" s="25">
        <v>0.2847222222222222</v>
      </c>
      <c r="G5365" s="25">
        <v>0.6208333333333333</v>
      </c>
      <c r="H5365" s="27">
        <f t="shared" si="2"/>
        <v>0.3361111111</v>
      </c>
      <c r="I5365" s="28">
        <v>2.0</v>
      </c>
      <c r="J5365" s="39" t="s">
        <v>424</v>
      </c>
      <c r="K5365" s="41"/>
      <c r="L5365" s="31" t="str">
        <f>IFERROR(__xludf.DUMMYFUNCTION("IF(OR(E5365="""",K5365=""""),"""",IFERROR(IF(K5365="""","""",query('tbl user'!$A$2:$D10975,""SELECT A WHERE D = '""&amp;K5365&amp;""'"")),""USER TIDAK DIKETAHUI""))"),"")</f>
        <v/>
      </c>
    </row>
    <row r="5366">
      <c r="A5366" s="21">
        <f t="shared" si="1"/>
        <v>45481.42059</v>
      </c>
      <c r="B5366" s="40" t="s">
        <v>2396</v>
      </c>
      <c r="C5366" s="23" t="s">
        <v>2049</v>
      </c>
      <c r="D5366" s="23" t="s">
        <v>21</v>
      </c>
      <c r="E5366" s="24">
        <v>45478.0</v>
      </c>
      <c r="F5366" s="25">
        <v>0.41388888888888886</v>
      </c>
      <c r="G5366" s="25">
        <v>0.6729166666666667</v>
      </c>
      <c r="H5366" s="27">
        <f t="shared" si="2"/>
        <v>0.2590277778</v>
      </c>
      <c r="I5366" s="28">
        <v>2.0</v>
      </c>
      <c r="J5366" s="39" t="s">
        <v>2633</v>
      </c>
      <c r="K5366" s="41"/>
      <c r="L5366" s="31" t="str">
        <f>IFERROR(__xludf.DUMMYFUNCTION("IF(OR(E5366="""",K5366=""""),"""",IFERROR(IF(K5366="""","""",query('tbl user'!$A$2:$D10975,""SELECT A WHERE D = '""&amp;K5366&amp;""'"")),""USER TIDAK DIKETAHUI""))"),"")</f>
        <v/>
      </c>
    </row>
    <row r="5367">
      <c r="A5367" s="21">
        <f t="shared" si="1"/>
        <v>45481.42069</v>
      </c>
      <c r="B5367" s="40" t="s">
        <v>2385</v>
      </c>
      <c r="C5367" s="23" t="s">
        <v>2002</v>
      </c>
      <c r="D5367" s="23" t="s">
        <v>21</v>
      </c>
      <c r="E5367" s="24">
        <v>45478.0</v>
      </c>
      <c r="F5367" s="25">
        <v>0.28402777777777777</v>
      </c>
      <c r="G5367" s="25">
        <v>0.71875</v>
      </c>
      <c r="H5367" s="27">
        <f t="shared" si="2"/>
        <v>0.4347222222</v>
      </c>
      <c r="I5367" s="28">
        <v>3.0</v>
      </c>
      <c r="J5367" s="39" t="s">
        <v>2634</v>
      </c>
      <c r="K5367" s="41"/>
      <c r="L5367" s="31" t="str">
        <f>IFERROR(__xludf.DUMMYFUNCTION("IF(OR(E5367="""",K5367=""""),"""",IFERROR(IF(K5367="""","""",query('tbl user'!$A$2:$D10975,""SELECT A WHERE D = '""&amp;K5367&amp;""'"")),""USER TIDAK DIKETAHUI""))"),"")</f>
        <v/>
      </c>
    </row>
    <row r="5368">
      <c r="A5368" s="21">
        <f t="shared" si="1"/>
        <v>45481.42073</v>
      </c>
      <c r="B5368" s="40" t="s">
        <v>2384</v>
      </c>
      <c r="C5368" s="23" t="s">
        <v>1922</v>
      </c>
      <c r="D5368" s="23" t="s">
        <v>21</v>
      </c>
      <c r="E5368" s="24">
        <v>45478.0</v>
      </c>
      <c r="F5368" s="25">
        <v>0.28958333333333336</v>
      </c>
      <c r="G5368" s="25">
        <v>0.6986111111111111</v>
      </c>
      <c r="H5368" s="27">
        <f t="shared" si="2"/>
        <v>0.4090277778</v>
      </c>
      <c r="I5368" s="28">
        <v>3.0</v>
      </c>
      <c r="J5368" s="39" t="s">
        <v>2635</v>
      </c>
      <c r="K5368" s="41"/>
      <c r="L5368" s="31" t="str">
        <f>IFERROR(__xludf.DUMMYFUNCTION("IF(OR(E5368="""",K5368=""""),"""",IFERROR(IF(K5368="""","""",query('tbl user'!$A$2:$D10975,""SELECT A WHERE D = '""&amp;K5368&amp;""'"")),""USER TIDAK DIKETAHUI""))"),"")</f>
        <v/>
      </c>
    </row>
    <row r="5369">
      <c r="A5369" s="21">
        <f t="shared" si="1"/>
        <v>45481.42077</v>
      </c>
      <c r="B5369" s="40" t="s">
        <v>2393</v>
      </c>
      <c r="C5369" s="23" t="s">
        <v>1925</v>
      </c>
      <c r="D5369" s="23" t="s">
        <v>21</v>
      </c>
      <c r="E5369" s="24">
        <v>45478.0</v>
      </c>
      <c r="F5369" s="25">
        <v>0.25277777777777777</v>
      </c>
      <c r="G5369" s="25">
        <v>0.6722222222222223</v>
      </c>
      <c r="H5369" s="27">
        <f t="shared" si="2"/>
        <v>0.4194444444</v>
      </c>
      <c r="I5369" s="28">
        <v>3.0</v>
      </c>
      <c r="J5369" s="39" t="s">
        <v>2635</v>
      </c>
      <c r="K5369" s="41"/>
      <c r="L5369" s="31" t="str">
        <f>IFERROR(__xludf.DUMMYFUNCTION("IF(OR(E5369="""",K5369=""""),"""",IFERROR(IF(K5369="""","""",query('tbl user'!$A$2:$D10975,""SELECT A WHERE D = '""&amp;K5369&amp;""'"")),""USER TIDAK DIKETAHUI""))"),"")</f>
        <v/>
      </c>
    </row>
    <row r="5370">
      <c r="A5370" s="21">
        <f t="shared" si="1"/>
        <v>45481.42081</v>
      </c>
      <c r="B5370" s="40" t="s">
        <v>2394</v>
      </c>
      <c r="C5370" s="23" t="s">
        <v>1837</v>
      </c>
      <c r="D5370" s="23" t="s">
        <v>21</v>
      </c>
      <c r="E5370" s="24">
        <v>45478.0</v>
      </c>
      <c r="F5370" s="25">
        <v>0.2604166666666667</v>
      </c>
      <c r="G5370" s="25">
        <v>0.6458333333333334</v>
      </c>
      <c r="H5370" s="27">
        <f t="shared" si="2"/>
        <v>0.3854166667</v>
      </c>
      <c r="I5370" s="28">
        <v>3.0</v>
      </c>
      <c r="J5370" s="39" t="s">
        <v>2635</v>
      </c>
      <c r="K5370" s="41"/>
      <c r="L5370" s="31" t="str">
        <f>IFERROR(__xludf.DUMMYFUNCTION("IF(OR(E5370="""",K5370=""""),"""",IFERROR(IF(K5370="""","""",query('tbl user'!$A$2:$D10975,""SELECT A WHERE D = '""&amp;K5370&amp;""'"")),""USER TIDAK DIKETAHUI""))"),"")</f>
        <v/>
      </c>
    </row>
    <row r="5371">
      <c r="A5371" s="21">
        <f t="shared" si="1"/>
        <v>45481.42085</v>
      </c>
      <c r="B5371" s="40" t="s">
        <v>2382</v>
      </c>
      <c r="C5371" s="23" t="s">
        <v>1858</v>
      </c>
      <c r="D5371" s="23" t="s">
        <v>21</v>
      </c>
      <c r="E5371" s="24">
        <v>45478.0</v>
      </c>
      <c r="F5371" s="25">
        <v>0.2513888888888889</v>
      </c>
      <c r="G5371" s="25">
        <v>0.6451388888888889</v>
      </c>
      <c r="H5371" s="27">
        <f t="shared" si="2"/>
        <v>0.39375</v>
      </c>
      <c r="I5371" s="28">
        <v>3.0</v>
      </c>
      <c r="J5371" s="39" t="s">
        <v>2636</v>
      </c>
      <c r="K5371" s="41"/>
      <c r="L5371" s="31" t="str">
        <f>IFERROR(__xludf.DUMMYFUNCTION("IF(OR(E5371="""",K5371=""""),"""",IFERROR(IF(K5371="""","""",query('tbl user'!$A$2:$D10975,""SELECT A WHERE D = '""&amp;K5371&amp;""'"")),""USER TIDAK DIKETAHUI""))"),"")</f>
        <v/>
      </c>
    </row>
    <row r="5372">
      <c r="A5372" s="21">
        <f t="shared" si="1"/>
        <v>45481.42089</v>
      </c>
      <c r="B5372" s="40" t="s">
        <v>2373</v>
      </c>
      <c r="C5372" s="23" t="s">
        <v>1847</v>
      </c>
      <c r="D5372" s="23" t="s">
        <v>21</v>
      </c>
      <c r="E5372" s="24">
        <v>45478.0</v>
      </c>
      <c r="F5372" s="25">
        <v>0.2847222222222222</v>
      </c>
      <c r="G5372" s="25">
        <v>0.7152777777777778</v>
      </c>
      <c r="H5372" s="27">
        <f t="shared" si="2"/>
        <v>0.4305555556</v>
      </c>
      <c r="I5372" s="28">
        <v>3.0</v>
      </c>
      <c r="J5372" s="39" t="s">
        <v>2635</v>
      </c>
      <c r="K5372" s="41"/>
      <c r="L5372" s="31" t="str">
        <f>IFERROR(__xludf.DUMMYFUNCTION("IF(OR(E5372="""",K5372=""""),"""",IFERROR(IF(K5372="""","""",query('tbl user'!$A$2:$D10975,""SELECT A WHERE D = '""&amp;K5372&amp;""'"")),""USER TIDAK DIKETAHUI""))"),"")</f>
        <v/>
      </c>
    </row>
    <row r="5373">
      <c r="A5373" s="21">
        <f t="shared" si="1"/>
        <v>45481.42093</v>
      </c>
      <c r="B5373" s="40" t="s">
        <v>2560</v>
      </c>
      <c r="C5373" s="23" t="s">
        <v>1849</v>
      </c>
      <c r="D5373" s="23" t="s">
        <v>21</v>
      </c>
      <c r="E5373" s="24">
        <v>45478.0</v>
      </c>
      <c r="F5373" s="25">
        <v>0.3020833333333333</v>
      </c>
      <c r="G5373" s="25">
        <v>0.7118055555555556</v>
      </c>
      <c r="H5373" s="27">
        <f t="shared" si="2"/>
        <v>0.4097222222</v>
      </c>
      <c r="I5373" s="28">
        <v>3.0</v>
      </c>
      <c r="J5373" s="39" t="s">
        <v>2637</v>
      </c>
      <c r="K5373" s="41"/>
      <c r="L5373" s="31" t="str">
        <f>IFERROR(__xludf.DUMMYFUNCTION("IF(OR(E5373="""",K5373=""""),"""",IFERROR(IF(K5373="""","""",query('tbl user'!$A$2:$D10975,""SELECT A WHERE D = '""&amp;K5373&amp;""'"")),""USER TIDAK DIKETAHUI""))"),"")</f>
        <v/>
      </c>
    </row>
    <row r="5374">
      <c r="A5374" s="21">
        <f t="shared" si="1"/>
        <v>45481.42098</v>
      </c>
      <c r="B5374" s="40" t="s">
        <v>2462</v>
      </c>
      <c r="C5374" s="23" t="s">
        <v>1928</v>
      </c>
      <c r="D5374" s="23" t="s">
        <v>21</v>
      </c>
      <c r="E5374" s="24">
        <v>45478.0</v>
      </c>
      <c r="F5374" s="25">
        <v>0.2708333333333333</v>
      </c>
      <c r="G5374" s="25">
        <v>0.6625</v>
      </c>
      <c r="H5374" s="27">
        <f t="shared" si="2"/>
        <v>0.3916666667</v>
      </c>
      <c r="I5374" s="28">
        <v>3.0</v>
      </c>
      <c r="J5374" s="39" t="s">
        <v>2635</v>
      </c>
      <c r="K5374" s="41"/>
      <c r="L5374" s="31" t="str">
        <f>IFERROR(__xludf.DUMMYFUNCTION("IF(OR(E5374="""",K5374=""""),"""",IFERROR(IF(K5374="""","""",query('tbl user'!$A$2:$D10975,""SELECT A WHERE D = '""&amp;K5374&amp;""'"")),""USER TIDAK DIKETAHUI""))"),"")</f>
        <v/>
      </c>
    </row>
    <row r="5375">
      <c r="A5375" s="21">
        <f t="shared" si="1"/>
        <v>45481.42103</v>
      </c>
      <c r="B5375" s="40" t="s">
        <v>2390</v>
      </c>
      <c r="C5375" s="23" t="s">
        <v>2136</v>
      </c>
      <c r="D5375" s="23" t="s">
        <v>21</v>
      </c>
      <c r="E5375" s="24">
        <v>45478.0</v>
      </c>
      <c r="F5375" s="25">
        <v>0.2520833333333333</v>
      </c>
      <c r="G5375" s="25">
        <v>0.7361111111111112</v>
      </c>
      <c r="H5375" s="27">
        <f t="shared" si="2"/>
        <v>0.4840277778</v>
      </c>
      <c r="I5375" s="28">
        <v>4.0</v>
      </c>
      <c r="J5375" s="39" t="s">
        <v>2635</v>
      </c>
      <c r="K5375" s="41"/>
      <c r="L5375" s="31" t="str">
        <f>IFERROR(__xludf.DUMMYFUNCTION("IF(OR(E5375="""",K5375=""""),"""",IFERROR(IF(K5375="""","""",query('tbl user'!$A$2:$D10975,""SELECT A WHERE D = '""&amp;K5375&amp;""'"")),""USER TIDAK DIKETAHUI""))"),"")</f>
        <v/>
      </c>
    </row>
    <row r="5376">
      <c r="A5376" s="21">
        <f t="shared" si="1"/>
        <v>45481.42109</v>
      </c>
      <c r="B5376" s="40" t="s">
        <v>2457</v>
      </c>
      <c r="C5376" s="23" t="s">
        <v>2005</v>
      </c>
      <c r="D5376" s="23" t="s">
        <v>21</v>
      </c>
      <c r="E5376" s="24">
        <v>45478.0</v>
      </c>
      <c r="F5376" s="25">
        <v>0.2465277777777778</v>
      </c>
      <c r="G5376" s="25">
        <v>0.7361111111111112</v>
      </c>
      <c r="H5376" s="27">
        <f t="shared" si="2"/>
        <v>0.4895833333</v>
      </c>
      <c r="I5376" s="28">
        <v>4.0</v>
      </c>
      <c r="J5376" s="39" t="s">
        <v>2635</v>
      </c>
      <c r="K5376" s="41"/>
      <c r="L5376" s="31" t="str">
        <f>IFERROR(__xludf.DUMMYFUNCTION("IF(OR(E5376="""",K5376=""""),"""",IFERROR(IF(K5376="""","""",query('tbl user'!$A$2:$D10975,""SELECT A WHERE D = '""&amp;K5376&amp;""'"")),""USER TIDAK DIKETAHUI""))"),"")</f>
        <v/>
      </c>
    </row>
    <row r="5377">
      <c r="A5377" s="21">
        <f t="shared" si="1"/>
        <v>45481.42114</v>
      </c>
      <c r="B5377" s="40" t="s">
        <v>2374</v>
      </c>
      <c r="C5377" s="23" t="s">
        <v>1850</v>
      </c>
      <c r="D5377" s="23" t="s">
        <v>21</v>
      </c>
      <c r="E5377" s="24">
        <v>45478.0</v>
      </c>
      <c r="F5377" s="25">
        <v>0.24583333333333332</v>
      </c>
      <c r="G5377" s="25">
        <v>0.7743055555555556</v>
      </c>
      <c r="H5377" s="27">
        <f t="shared" si="2"/>
        <v>0.5284722222</v>
      </c>
      <c r="I5377" s="28">
        <v>4.0</v>
      </c>
      <c r="J5377" s="39" t="s">
        <v>2638</v>
      </c>
      <c r="K5377" s="41"/>
      <c r="L5377" s="31" t="str">
        <f>IFERROR(__xludf.DUMMYFUNCTION("IF(OR(E5377="""",K5377=""""),"""",IFERROR(IF(K5377="""","""",query('tbl user'!$A$2:$D10975,""SELECT A WHERE D = '""&amp;K5377&amp;""'"")),""USER TIDAK DIKETAHUI""))"),"")</f>
        <v/>
      </c>
    </row>
    <row r="5378">
      <c r="A5378" s="21">
        <f t="shared" si="1"/>
        <v>45481.42127</v>
      </c>
      <c r="B5378" s="40" t="s">
        <v>2397</v>
      </c>
      <c r="C5378" s="23" t="s">
        <v>1852</v>
      </c>
      <c r="D5378" s="23" t="s">
        <v>21</v>
      </c>
      <c r="E5378" s="24">
        <v>45478.0</v>
      </c>
      <c r="F5378" s="25">
        <v>0.23055555555555557</v>
      </c>
      <c r="G5378" s="25">
        <v>0.6701388888888888</v>
      </c>
      <c r="H5378" s="27">
        <f t="shared" si="2"/>
        <v>0.4395833333</v>
      </c>
      <c r="I5378" s="28">
        <v>2.0</v>
      </c>
      <c r="J5378" s="39" t="s">
        <v>2639</v>
      </c>
      <c r="K5378" s="41"/>
      <c r="L5378" s="31" t="str">
        <f>IFERROR(__xludf.DUMMYFUNCTION("IF(OR(E5378="""",K5378=""""),"""",IFERROR(IF(K5378="""","""",query('tbl user'!$A$2:$D10975,""SELECT A WHERE D = '""&amp;K5378&amp;""'"")),""USER TIDAK DIKETAHUI""))"),"")</f>
        <v/>
      </c>
    </row>
    <row r="5379">
      <c r="A5379" s="21">
        <f t="shared" si="1"/>
        <v>45481.42132</v>
      </c>
      <c r="B5379" s="40" t="s">
        <v>2392</v>
      </c>
      <c r="C5379" s="23" t="s">
        <v>1841</v>
      </c>
      <c r="D5379" s="23" t="s">
        <v>21</v>
      </c>
      <c r="E5379" s="24">
        <v>45478.0</v>
      </c>
      <c r="F5379" s="25">
        <v>0.2916666666666667</v>
      </c>
      <c r="G5379" s="25">
        <v>0.65625</v>
      </c>
      <c r="H5379" s="27">
        <f t="shared" si="2"/>
        <v>0.3645833333</v>
      </c>
      <c r="I5379" s="28">
        <v>3.0</v>
      </c>
      <c r="J5379" s="39" t="s">
        <v>2635</v>
      </c>
      <c r="K5379" s="41"/>
      <c r="L5379" s="31" t="str">
        <f>IFERROR(__xludf.DUMMYFUNCTION("IF(OR(E5379="""",K5379=""""),"""",IFERROR(IF(K5379="""","""",query('tbl user'!$A$2:$D10975,""SELECT A WHERE D = '""&amp;K5379&amp;""'"")),""USER TIDAK DIKETAHUI""))"),"")</f>
        <v/>
      </c>
    </row>
    <row r="5380">
      <c r="A5380" s="21">
        <f t="shared" si="1"/>
        <v>45481.41736</v>
      </c>
      <c r="B5380" s="40" t="s">
        <v>2425</v>
      </c>
      <c r="C5380" s="23" t="s">
        <v>1887</v>
      </c>
      <c r="D5380" s="23" t="s">
        <v>58</v>
      </c>
      <c r="E5380" s="24">
        <v>45478.0</v>
      </c>
      <c r="F5380" s="25">
        <v>0.28541666666666665</v>
      </c>
      <c r="G5380" s="25">
        <v>0.5722222222222222</v>
      </c>
      <c r="H5380" s="27">
        <f t="shared" si="2"/>
        <v>0.2868055556</v>
      </c>
      <c r="I5380" s="28">
        <v>0.0</v>
      </c>
      <c r="J5380" s="39" t="s">
        <v>2640</v>
      </c>
      <c r="K5380" s="41"/>
      <c r="L5380" s="31" t="str">
        <f>IFERROR(__xludf.DUMMYFUNCTION("IF(OR(E5380="""",K5380=""""),"""",IFERROR(IF(K5380="""","""",query('tbl user'!$A$2:$D10975,""SELECT A WHERE D = '""&amp;K5380&amp;""'"")),""USER TIDAK DIKETAHUI""))"),"")</f>
        <v/>
      </c>
    </row>
    <row r="5381">
      <c r="A5381" s="21">
        <f t="shared" si="1"/>
        <v>45481.41749</v>
      </c>
      <c r="B5381" s="40" t="s">
        <v>2421</v>
      </c>
      <c r="C5381" s="23" t="s">
        <v>1883</v>
      </c>
      <c r="D5381" s="23" t="s">
        <v>58</v>
      </c>
      <c r="E5381" s="24">
        <v>45478.0</v>
      </c>
      <c r="F5381" s="25">
        <v>0.2673611111111111</v>
      </c>
      <c r="G5381" s="25">
        <v>0.3902777777777778</v>
      </c>
      <c r="H5381" s="27">
        <f t="shared" si="2"/>
        <v>0.1229166667</v>
      </c>
      <c r="I5381" s="28">
        <v>1.0</v>
      </c>
      <c r="J5381" s="39" t="s">
        <v>2641</v>
      </c>
      <c r="K5381" s="41"/>
      <c r="L5381" s="31" t="str">
        <f>IFERROR(__xludf.DUMMYFUNCTION("IF(OR(E5381="""",K5381=""""),"""",IFERROR(IF(K5381="""","""",query('tbl user'!$A$2:$D10975,""SELECT A WHERE D = '""&amp;K5381&amp;""'"")),""USER TIDAK DIKETAHUI""))"),"")</f>
        <v/>
      </c>
    </row>
    <row r="5382">
      <c r="A5382" s="21">
        <f t="shared" si="1"/>
        <v>45481.41754</v>
      </c>
      <c r="B5382" s="40" t="s">
        <v>2427</v>
      </c>
      <c r="C5382" s="23" t="s">
        <v>1888</v>
      </c>
      <c r="D5382" s="23" t="s">
        <v>58</v>
      </c>
      <c r="E5382" s="24">
        <v>45478.0</v>
      </c>
      <c r="F5382" s="25">
        <v>0.26944444444444443</v>
      </c>
      <c r="G5382" s="25">
        <v>0.6875</v>
      </c>
      <c r="H5382" s="27">
        <f t="shared" si="2"/>
        <v>0.4180555556</v>
      </c>
      <c r="I5382" s="28">
        <v>1.0</v>
      </c>
      <c r="J5382" s="39" t="s">
        <v>2642</v>
      </c>
      <c r="K5382" s="41"/>
      <c r="L5382" s="31" t="str">
        <f>IFERROR(__xludf.DUMMYFUNCTION("IF(OR(E5382="""",K5382=""""),"""",IFERROR(IF(K5382="""","""",query('tbl user'!$A$2:$D10975,""SELECT A WHERE D = '""&amp;K5382&amp;""'"")),""USER TIDAK DIKETAHUI""))"),"")</f>
        <v/>
      </c>
    </row>
    <row r="5383">
      <c r="A5383" s="21">
        <f t="shared" si="1"/>
        <v>45481.41758</v>
      </c>
      <c r="B5383" s="40" t="s">
        <v>2406</v>
      </c>
      <c r="C5383" s="23" t="s">
        <v>1871</v>
      </c>
      <c r="D5383" s="23" t="s">
        <v>58</v>
      </c>
      <c r="E5383" s="24">
        <v>45478.0</v>
      </c>
      <c r="F5383" s="25">
        <v>0.40555555555555556</v>
      </c>
      <c r="G5383" s="25">
        <v>0.6326388888888889</v>
      </c>
      <c r="H5383" s="27">
        <f t="shared" si="2"/>
        <v>0.2270833333</v>
      </c>
      <c r="I5383" s="28">
        <v>1.0</v>
      </c>
      <c r="J5383" s="39" t="s">
        <v>2643</v>
      </c>
      <c r="K5383" s="41"/>
      <c r="L5383" s="31" t="str">
        <f>IFERROR(__xludf.DUMMYFUNCTION("IF(OR(E5383="""",K5383=""""),"""",IFERROR(IF(K5383="""","""",query('tbl user'!$A$2:$D10975,""SELECT A WHERE D = '""&amp;K5383&amp;""'"")),""USER TIDAK DIKETAHUI""))"),"")</f>
        <v/>
      </c>
    </row>
    <row r="5384">
      <c r="A5384" s="21">
        <f t="shared" si="1"/>
        <v>45481.41767</v>
      </c>
      <c r="B5384" s="40" t="s">
        <v>2412</v>
      </c>
      <c r="C5384" s="23" t="s">
        <v>1890</v>
      </c>
      <c r="D5384" s="23" t="s">
        <v>58</v>
      </c>
      <c r="E5384" s="24">
        <v>45478.0</v>
      </c>
      <c r="F5384" s="25">
        <v>0.5423611111111111</v>
      </c>
      <c r="G5384" s="25">
        <v>0.6729166666666667</v>
      </c>
      <c r="H5384" s="27">
        <f t="shared" si="2"/>
        <v>0.1305555556</v>
      </c>
      <c r="I5384" s="28">
        <v>1.0</v>
      </c>
      <c r="J5384" s="39" t="s">
        <v>2644</v>
      </c>
      <c r="K5384" s="41"/>
      <c r="L5384" s="31" t="str">
        <f>IFERROR(__xludf.DUMMYFUNCTION("IF(OR(E5384="""",K5384=""""),"""",IFERROR(IF(K5384="""","""",query('tbl user'!$A$2:$D10975,""SELECT A WHERE D = '""&amp;K5384&amp;""'"")),""USER TIDAK DIKETAHUI""))"),"")</f>
        <v/>
      </c>
    </row>
    <row r="5385">
      <c r="A5385" s="21">
        <f t="shared" si="1"/>
        <v>45481.41792</v>
      </c>
      <c r="B5385" s="40" t="s">
        <v>2416</v>
      </c>
      <c r="C5385" s="23" t="s">
        <v>1874</v>
      </c>
      <c r="D5385" s="23" t="s">
        <v>58</v>
      </c>
      <c r="E5385" s="24">
        <v>45478.0</v>
      </c>
      <c r="F5385" s="25">
        <v>0.2902777777777778</v>
      </c>
      <c r="G5385" s="25">
        <v>0.6395833333333333</v>
      </c>
      <c r="H5385" s="27">
        <f t="shared" si="2"/>
        <v>0.3493055556</v>
      </c>
      <c r="I5385" s="28">
        <v>2.0</v>
      </c>
      <c r="J5385" s="39" t="s">
        <v>2645</v>
      </c>
      <c r="K5385" s="41"/>
      <c r="L5385" s="31" t="str">
        <f>IFERROR(__xludf.DUMMYFUNCTION("IF(OR(E5385="""",K5385=""""),"""",IFERROR(IF(K5385="""","""",query('tbl user'!$A$2:$D10975,""SELECT A WHERE D = '""&amp;K5385&amp;""'"")),""USER TIDAK DIKETAHUI""))"),"")</f>
        <v/>
      </c>
    </row>
    <row r="5386">
      <c r="A5386" s="21">
        <f t="shared" si="1"/>
        <v>45481.41798</v>
      </c>
      <c r="B5386" s="40" t="s">
        <v>2428</v>
      </c>
      <c r="C5386" s="23" t="s">
        <v>1877</v>
      </c>
      <c r="D5386" s="23" t="s">
        <v>58</v>
      </c>
      <c r="E5386" s="24">
        <v>45478.0</v>
      </c>
      <c r="F5386" s="25">
        <v>0.26319444444444445</v>
      </c>
      <c r="G5386" s="25">
        <v>0.5770833333333333</v>
      </c>
      <c r="H5386" s="27">
        <f t="shared" si="2"/>
        <v>0.3138888889</v>
      </c>
      <c r="I5386" s="28">
        <v>2.0</v>
      </c>
      <c r="J5386" s="39" t="s">
        <v>1648</v>
      </c>
      <c r="K5386" s="41"/>
      <c r="L5386" s="31" t="str">
        <f>IFERROR(__xludf.DUMMYFUNCTION("IF(OR(E5386="""",K5386=""""),"""",IFERROR(IF(K5386="""","""",query('tbl user'!$A$2:$D10975,""SELECT A WHERE D = '""&amp;K5386&amp;""'"")),""USER TIDAK DIKETAHUI""))"),"")</f>
        <v/>
      </c>
    </row>
    <row r="5387">
      <c r="A5387" s="21">
        <f t="shared" si="1"/>
        <v>45481.41805</v>
      </c>
      <c r="B5387" s="40" t="s">
        <v>2415</v>
      </c>
      <c r="C5387" s="23" t="s">
        <v>1867</v>
      </c>
      <c r="D5387" s="23" t="s">
        <v>58</v>
      </c>
      <c r="E5387" s="24">
        <v>45478.0</v>
      </c>
      <c r="F5387" s="25">
        <v>0.29097222222222224</v>
      </c>
      <c r="G5387" s="25">
        <v>0.6993055555555555</v>
      </c>
      <c r="H5387" s="27">
        <f t="shared" si="2"/>
        <v>0.4083333333</v>
      </c>
      <c r="I5387" s="28">
        <v>2.0</v>
      </c>
      <c r="J5387" s="39" t="s">
        <v>2646</v>
      </c>
      <c r="K5387" s="41"/>
      <c r="L5387" s="31" t="str">
        <f>IFERROR(__xludf.DUMMYFUNCTION("IF(OR(E5387="""",K5387=""""),"""",IFERROR(IF(K5387="""","""",query('tbl user'!$A$2:$D10975,""SELECT A WHERE D = '""&amp;K5387&amp;""'"")),""USER TIDAK DIKETAHUI""))"),"")</f>
        <v/>
      </c>
    </row>
    <row r="5388">
      <c r="A5388" s="21">
        <f t="shared" si="1"/>
        <v>45481.41813</v>
      </c>
      <c r="B5388" s="40" t="s">
        <v>2404</v>
      </c>
      <c r="C5388" s="23" t="s">
        <v>1869</v>
      </c>
      <c r="D5388" s="23" t="s">
        <v>58</v>
      </c>
      <c r="E5388" s="24">
        <v>45478.0</v>
      </c>
      <c r="F5388" s="25">
        <v>0.2875</v>
      </c>
      <c r="G5388" s="25">
        <v>0.5847222222222223</v>
      </c>
      <c r="H5388" s="27">
        <f t="shared" si="2"/>
        <v>0.2972222222</v>
      </c>
      <c r="I5388" s="28">
        <v>2.0</v>
      </c>
      <c r="J5388" s="39" t="s">
        <v>2647</v>
      </c>
      <c r="K5388" s="41"/>
      <c r="L5388" s="31" t="str">
        <f>IFERROR(__xludf.DUMMYFUNCTION("IF(OR(E5388="""",K5388=""""),"""",IFERROR(IF(K5388="""","""",query('tbl user'!$A$2:$D10975,""SELECT A WHERE D = '""&amp;K5388&amp;""'"")),""USER TIDAK DIKETAHUI""))"),"")</f>
        <v/>
      </c>
    </row>
    <row r="5389">
      <c r="A5389" s="21">
        <f t="shared" si="1"/>
        <v>45481.41819</v>
      </c>
      <c r="B5389" s="40" t="s">
        <v>2434</v>
      </c>
      <c r="C5389" s="23" t="s">
        <v>1892</v>
      </c>
      <c r="D5389" s="23" t="s">
        <v>58</v>
      </c>
      <c r="E5389" s="24">
        <v>45478.0</v>
      </c>
      <c r="F5389" s="25">
        <v>0.20347222222222222</v>
      </c>
      <c r="G5389" s="25">
        <v>0.5756944444444444</v>
      </c>
      <c r="H5389" s="27">
        <f t="shared" si="2"/>
        <v>0.3722222222</v>
      </c>
      <c r="I5389" s="28">
        <v>2.0</v>
      </c>
      <c r="J5389" s="39" t="s">
        <v>2648</v>
      </c>
      <c r="K5389" s="41"/>
      <c r="L5389" s="31" t="str">
        <f>IFERROR(__xludf.DUMMYFUNCTION("IF(OR(E5389="""",K5389=""""),"""",IFERROR(IF(K5389="""","""",query('tbl user'!$A$2:$D10975,""SELECT A WHERE D = '""&amp;K5389&amp;""'"")),""USER TIDAK DIKETAHUI""))"),"")</f>
        <v/>
      </c>
    </row>
    <row r="5390">
      <c r="A5390" s="21">
        <f t="shared" si="1"/>
        <v>45481.41826</v>
      </c>
      <c r="B5390" s="40" t="s">
        <v>2386</v>
      </c>
      <c r="C5390" s="23" t="s">
        <v>1872</v>
      </c>
      <c r="D5390" s="23" t="s">
        <v>58</v>
      </c>
      <c r="E5390" s="24">
        <v>45478.0</v>
      </c>
      <c r="F5390" s="25">
        <v>0.2048611111111111</v>
      </c>
      <c r="G5390" s="25">
        <v>0.575</v>
      </c>
      <c r="H5390" s="27">
        <f t="shared" si="2"/>
        <v>0.3701388889</v>
      </c>
      <c r="I5390" s="28">
        <v>2.0</v>
      </c>
      <c r="J5390" s="39" t="s">
        <v>2649</v>
      </c>
      <c r="K5390" s="41"/>
      <c r="L5390" s="31" t="str">
        <f>IFERROR(__xludf.DUMMYFUNCTION("IF(OR(E5390="""",K5390=""""),"""",IFERROR(IF(K5390="""","""",query('tbl user'!$A$2:$D10975,""SELECT A WHERE D = '""&amp;K5390&amp;""'"")),""USER TIDAK DIKETAHUI""))"),"")</f>
        <v/>
      </c>
    </row>
    <row r="5391">
      <c r="A5391" s="21">
        <f t="shared" si="1"/>
        <v>45481.41839</v>
      </c>
      <c r="B5391" s="40" t="s">
        <v>2361</v>
      </c>
      <c r="C5391" s="23" t="s">
        <v>1875</v>
      </c>
      <c r="D5391" s="23" t="s">
        <v>58</v>
      </c>
      <c r="E5391" s="24">
        <v>45478.0</v>
      </c>
      <c r="F5391" s="25">
        <v>0.22430555555555556</v>
      </c>
      <c r="G5391" s="25">
        <v>0.6493055555555556</v>
      </c>
      <c r="H5391" s="27">
        <f t="shared" si="2"/>
        <v>0.425</v>
      </c>
      <c r="I5391" s="28">
        <v>3.0</v>
      </c>
      <c r="J5391" s="39" t="s">
        <v>2650</v>
      </c>
      <c r="K5391" s="41"/>
      <c r="L5391" s="31" t="str">
        <f>IFERROR(__xludf.DUMMYFUNCTION("IF(OR(E5391="""",K5391=""""),"""",IFERROR(IF(K5391="""","""",query('tbl user'!$A$2:$D10975,""SELECT A WHERE D = '""&amp;K5391&amp;""'"")),""USER TIDAK DIKETAHUI""))"),"")</f>
        <v/>
      </c>
    </row>
    <row r="5392">
      <c r="A5392" s="21">
        <f t="shared" si="1"/>
        <v>45481.41845</v>
      </c>
      <c r="B5392" s="40" t="s">
        <v>2414</v>
      </c>
      <c r="C5392" s="23" t="s">
        <v>1865</v>
      </c>
      <c r="D5392" s="23" t="s">
        <v>58</v>
      </c>
      <c r="E5392" s="24">
        <v>45478.0</v>
      </c>
      <c r="F5392" s="25">
        <v>0.2638888888888889</v>
      </c>
      <c r="G5392" s="25">
        <v>0.65</v>
      </c>
      <c r="H5392" s="27">
        <f t="shared" si="2"/>
        <v>0.3861111111</v>
      </c>
      <c r="I5392" s="28">
        <v>3.0</v>
      </c>
      <c r="J5392" s="39" t="s">
        <v>2596</v>
      </c>
      <c r="K5392" s="41"/>
      <c r="L5392" s="31" t="str">
        <f>IFERROR(__xludf.DUMMYFUNCTION("IF(OR(E5392="""",K5392=""""),"""",IFERROR(IF(K5392="""","""",query('tbl user'!$A$2:$D10975,""SELECT A WHERE D = '""&amp;K5392&amp;""'"")),""USER TIDAK DIKETAHUI""))"),"")</f>
        <v/>
      </c>
    </row>
    <row r="5393">
      <c r="A5393" s="21">
        <f t="shared" si="1"/>
        <v>45481.41854</v>
      </c>
      <c r="B5393" s="40" t="s">
        <v>2402</v>
      </c>
      <c r="C5393" s="23" t="s">
        <v>1881</v>
      </c>
      <c r="D5393" s="23" t="s">
        <v>58</v>
      </c>
      <c r="E5393" s="24">
        <v>45478.0</v>
      </c>
      <c r="F5393" s="25">
        <v>0.22361111111111112</v>
      </c>
      <c r="G5393" s="25">
        <v>0.6805555555555556</v>
      </c>
      <c r="H5393" s="27">
        <f t="shared" si="2"/>
        <v>0.4569444444</v>
      </c>
      <c r="I5393" s="28">
        <v>3.0</v>
      </c>
      <c r="J5393" s="39" t="s">
        <v>2651</v>
      </c>
      <c r="K5393" s="41"/>
      <c r="L5393" s="31" t="str">
        <f>IFERROR(__xludf.DUMMYFUNCTION("IF(OR(E5393="""",K5393=""""),"""",IFERROR(IF(K5393="""","""",query('tbl user'!$A$2:$D10975,""SELECT A WHERE D = '""&amp;K5393&amp;""'"")),""USER TIDAK DIKETAHUI""))"),"")</f>
        <v/>
      </c>
    </row>
    <row r="5394">
      <c r="A5394" s="21">
        <f t="shared" si="1"/>
        <v>45481.41868</v>
      </c>
      <c r="B5394" s="40" t="s">
        <v>2422</v>
      </c>
      <c r="C5394" s="23" t="s">
        <v>1860</v>
      </c>
      <c r="D5394" s="23" t="s">
        <v>58</v>
      </c>
      <c r="E5394" s="24">
        <v>45478.0</v>
      </c>
      <c r="F5394" s="25">
        <v>0.28958333333333336</v>
      </c>
      <c r="G5394" s="25">
        <v>0.6791666666666667</v>
      </c>
      <c r="H5394" s="27">
        <f t="shared" si="2"/>
        <v>0.3895833333</v>
      </c>
      <c r="I5394" s="28">
        <v>3.0</v>
      </c>
      <c r="J5394" s="39" t="s">
        <v>2652</v>
      </c>
      <c r="K5394" s="41"/>
      <c r="L5394" s="31" t="str">
        <f>IFERROR(__xludf.DUMMYFUNCTION("IF(OR(E5394="""",K5394=""""),"""",IFERROR(IF(K5394="""","""",query('tbl user'!$A$2:$D10975,""SELECT A WHERE D = '""&amp;K5394&amp;""'"")),""USER TIDAK DIKETAHUI""))"),"")</f>
        <v/>
      </c>
    </row>
    <row r="5395">
      <c r="A5395" s="21">
        <f t="shared" si="1"/>
        <v>45481.41877</v>
      </c>
      <c r="B5395" s="40" t="s">
        <v>2432</v>
      </c>
      <c r="C5395" s="23" t="s">
        <v>1884</v>
      </c>
      <c r="D5395" s="23" t="s">
        <v>58</v>
      </c>
      <c r="E5395" s="24">
        <v>45478.0</v>
      </c>
      <c r="F5395" s="25">
        <v>0.23680555555555555</v>
      </c>
      <c r="G5395" s="25">
        <v>0.6486111111111111</v>
      </c>
      <c r="H5395" s="27">
        <f t="shared" si="2"/>
        <v>0.4118055556</v>
      </c>
      <c r="I5395" s="28">
        <v>3.0</v>
      </c>
      <c r="J5395" s="39" t="s">
        <v>2651</v>
      </c>
      <c r="K5395" s="41"/>
      <c r="L5395" s="31" t="str">
        <f>IFERROR(__xludf.DUMMYFUNCTION("IF(OR(E5395="""",K5395=""""),"""",IFERROR(IF(K5395="""","""",query('tbl user'!$A$2:$D10975,""SELECT A WHERE D = '""&amp;K5395&amp;""'"")),""USER TIDAK DIKETAHUI""))"),"")</f>
        <v/>
      </c>
    </row>
    <row r="5396">
      <c r="A5396" s="21">
        <f t="shared" si="1"/>
        <v>45481.41894</v>
      </c>
      <c r="B5396" s="40" t="s">
        <v>2433</v>
      </c>
      <c r="C5396" s="23" t="s">
        <v>1950</v>
      </c>
      <c r="D5396" s="23" t="s">
        <v>58</v>
      </c>
      <c r="E5396" s="24">
        <v>45478.0</v>
      </c>
      <c r="F5396" s="25">
        <v>0.23125</v>
      </c>
      <c r="G5396" s="25">
        <v>0.5916666666666667</v>
      </c>
      <c r="H5396" s="27">
        <f t="shared" si="2"/>
        <v>0.3604166667</v>
      </c>
      <c r="I5396" s="28">
        <v>3.0</v>
      </c>
      <c r="J5396" s="39" t="s">
        <v>2653</v>
      </c>
      <c r="K5396" s="41"/>
      <c r="L5396" s="31" t="str">
        <f>IFERROR(__xludf.DUMMYFUNCTION("IF(OR(E5396="""",K5396=""""),"""",IFERROR(IF(K5396="""","""",query('tbl user'!$A$2:$D10975,""SELECT A WHERE D = '""&amp;K5396&amp;""'"")),""USER TIDAK DIKETAHUI""))"),"")</f>
        <v/>
      </c>
    </row>
    <row r="5397">
      <c r="A5397" s="21">
        <f t="shared" si="1"/>
        <v>45481.41899</v>
      </c>
      <c r="B5397" s="40" t="s">
        <v>2423</v>
      </c>
      <c r="C5397" s="23" t="s">
        <v>1863</v>
      </c>
      <c r="D5397" s="23" t="s">
        <v>58</v>
      </c>
      <c r="E5397" s="24">
        <v>45478.0</v>
      </c>
      <c r="F5397" s="25">
        <v>0.24930555555555556</v>
      </c>
      <c r="G5397" s="25">
        <v>0.6270833333333333</v>
      </c>
      <c r="H5397" s="27">
        <f t="shared" si="2"/>
        <v>0.3777777778</v>
      </c>
      <c r="I5397" s="28">
        <v>3.0</v>
      </c>
      <c r="J5397" s="39" t="s">
        <v>2654</v>
      </c>
      <c r="K5397" s="41"/>
      <c r="L5397" s="31" t="str">
        <f>IFERROR(__xludf.DUMMYFUNCTION("IF(OR(E5397="""",K5397=""""),"""",IFERROR(IF(K5397="""","""",query('tbl user'!$A$2:$D10975,""SELECT A WHERE D = '""&amp;K5397&amp;""'"")),""USER TIDAK DIKETAHUI""))"),"")</f>
        <v/>
      </c>
    </row>
    <row r="5398">
      <c r="A5398" s="21">
        <f t="shared" si="1"/>
        <v>45481.41906</v>
      </c>
      <c r="B5398" s="40" t="s">
        <v>2424</v>
      </c>
      <c r="C5398" s="23" t="s">
        <v>1886</v>
      </c>
      <c r="D5398" s="23" t="s">
        <v>58</v>
      </c>
      <c r="E5398" s="24">
        <v>45478.0</v>
      </c>
      <c r="F5398" s="25">
        <v>0.24097222222222223</v>
      </c>
      <c r="G5398" s="25">
        <v>0.6333333333333333</v>
      </c>
      <c r="H5398" s="27">
        <f t="shared" si="2"/>
        <v>0.3923611111</v>
      </c>
      <c r="I5398" s="28">
        <v>3.0</v>
      </c>
      <c r="J5398" s="39" t="s">
        <v>2655</v>
      </c>
      <c r="K5398" s="41"/>
      <c r="L5398" s="31" t="str">
        <f>IFERROR(__xludf.DUMMYFUNCTION("IF(OR(E5398="""",K5398=""""),"""",IFERROR(IF(K5398="""","""",query('tbl user'!$A$2:$D10975,""SELECT A WHERE D = '""&amp;K5398&amp;""'"")),""USER TIDAK DIKETAHUI""))"),"")</f>
        <v/>
      </c>
    </row>
    <row r="5399">
      <c r="A5399" s="21">
        <f t="shared" si="1"/>
        <v>45481.4191</v>
      </c>
      <c r="B5399" s="40" t="s">
        <v>2418</v>
      </c>
      <c r="C5399" s="23" t="s">
        <v>1889</v>
      </c>
      <c r="D5399" s="23" t="s">
        <v>58</v>
      </c>
      <c r="E5399" s="24">
        <v>45478.0</v>
      </c>
      <c r="F5399" s="25">
        <v>0.2902777777777778</v>
      </c>
      <c r="G5399" s="25">
        <v>0.6770833333333334</v>
      </c>
      <c r="H5399" s="27">
        <f t="shared" si="2"/>
        <v>0.3868055556</v>
      </c>
      <c r="I5399" s="28">
        <v>3.0</v>
      </c>
      <c r="J5399" s="39" t="s">
        <v>2651</v>
      </c>
      <c r="K5399" s="41"/>
      <c r="L5399" s="31" t="str">
        <f>IFERROR(__xludf.DUMMYFUNCTION("IF(OR(E5399="""",K5399=""""),"""",IFERROR(IF(K5399="""","""",query('tbl user'!$A$2:$D10975,""SELECT A WHERE D = '""&amp;K5399&amp;""'"")),""USER TIDAK DIKETAHUI""))"),"")</f>
        <v/>
      </c>
    </row>
    <row r="5400">
      <c r="A5400" s="21">
        <f t="shared" si="1"/>
        <v>45481.41915</v>
      </c>
      <c r="B5400" s="40" t="s">
        <v>2460</v>
      </c>
      <c r="C5400" s="23" t="s">
        <v>1893</v>
      </c>
      <c r="D5400" s="23" t="s">
        <v>58</v>
      </c>
      <c r="E5400" s="24">
        <v>45478.0</v>
      </c>
      <c r="F5400" s="25">
        <v>0.2534722222222222</v>
      </c>
      <c r="G5400" s="25">
        <v>0.6666666666666666</v>
      </c>
      <c r="H5400" s="27">
        <f t="shared" si="2"/>
        <v>0.4131944444</v>
      </c>
      <c r="I5400" s="28">
        <v>3.0</v>
      </c>
      <c r="J5400" s="39" t="s">
        <v>2651</v>
      </c>
      <c r="K5400" s="41"/>
      <c r="L5400" s="31" t="str">
        <f>IFERROR(__xludf.DUMMYFUNCTION("IF(OR(E5400="""",K5400=""""),"""",IFERROR(IF(K5400="""","""",query('tbl user'!$A$2:$D10975,""SELECT A WHERE D = '""&amp;K5400&amp;""'"")),""USER TIDAK DIKETAHUI""))"),"")</f>
        <v/>
      </c>
    </row>
    <row r="5401">
      <c r="A5401" s="21">
        <f t="shared" si="1"/>
        <v>45481.41922</v>
      </c>
      <c r="B5401" s="40" t="s">
        <v>2410</v>
      </c>
      <c r="C5401" s="23" t="s">
        <v>2090</v>
      </c>
      <c r="D5401" s="23" t="s">
        <v>58</v>
      </c>
      <c r="E5401" s="24">
        <v>45478.0</v>
      </c>
      <c r="F5401" s="25">
        <v>0.2611111111111111</v>
      </c>
      <c r="G5401" s="25">
        <v>0.5902777777777778</v>
      </c>
      <c r="H5401" s="27">
        <f t="shared" si="2"/>
        <v>0.3291666667</v>
      </c>
      <c r="I5401" s="28">
        <v>3.0</v>
      </c>
      <c r="J5401" s="39" t="s">
        <v>2656</v>
      </c>
      <c r="K5401" s="41"/>
      <c r="L5401" s="31" t="str">
        <f>IFERROR(__xludf.DUMMYFUNCTION("IF(OR(E5401="""",K5401=""""),"""",IFERROR(IF(K5401="""","""",query('tbl user'!$A$2:$D10975,""SELECT A WHERE D = '""&amp;K5401&amp;""'"")),""USER TIDAK DIKETAHUI""))"),"")</f>
        <v/>
      </c>
    </row>
    <row r="5402">
      <c r="A5402" s="21">
        <f t="shared" si="1"/>
        <v>45481.41997</v>
      </c>
      <c r="B5402" s="40" t="s">
        <v>2351</v>
      </c>
      <c r="C5402" s="23" t="s">
        <v>1891</v>
      </c>
      <c r="D5402" s="23" t="s">
        <v>58</v>
      </c>
      <c r="E5402" s="24">
        <v>45478.0</v>
      </c>
      <c r="F5402" s="25">
        <v>0.2881944444444444</v>
      </c>
      <c r="G5402" s="25">
        <v>0.7090277777777778</v>
      </c>
      <c r="H5402" s="27">
        <f t="shared" si="2"/>
        <v>0.4208333333</v>
      </c>
      <c r="I5402" s="28">
        <v>3.0</v>
      </c>
      <c r="J5402" s="39" t="s">
        <v>2651</v>
      </c>
      <c r="K5402" s="41"/>
      <c r="L5402" s="31" t="str">
        <f>IFERROR(__xludf.DUMMYFUNCTION("IF(OR(E5402="""",K5402=""""),"""",IFERROR(IF(K5402="""","""",query('tbl user'!$A$2:$D10975,""SELECT A WHERE D = '""&amp;K5402&amp;""'"")),""USER TIDAK DIKETAHUI""))"),"")</f>
        <v/>
      </c>
    </row>
    <row r="5403">
      <c r="A5403" s="21">
        <f t="shared" si="1"/>
        <v>45481.41536</v>
      </c>
      <c r="B5403" s="40" t="s">
        <v>2657</v>
      </c>
      <c r="C5403" s="23" t="s">
        <v>1957</v>
      </c>
      <c r="D5403" s="23" t="s">
        <v>32</v>
      </c>
      <c r="E5403" s="24">
        <v>45478.0</v>
      </c>
      <c r="F5403" s="25">
        <v>0.2881944444444444</v>
      </c>
      <c r="G5403" s="25">
        <v>0.5881944444444445</v>
      </c>
      <c r="H5403" s="27">
        <f t="shared" si="2"/>
        <v>0.3</v>
      </c>
      <c r="I5403" s="28">
        <v>2.0</v>
      </c>
      <c r="J5403" s="39" t="s">
        <v>2658</v>
      </c>
      <c r="K5403" s="41"/>
      <c r="L5403" s="31" t="str">
        <f>IFERROR(__xludf.DUMMYFUNCTION("IF(OR(E5403="""",K5403=""""),"""",IFERROR(IF(K5403="""","""",query('tbl user'!$A$2:$D10975,""SELECT A WHERE D = '""&amp;K5403&amp;""'"")),""USER TIDAK DIKETAHUI""))"),"")</f>
        <v/>
      </c>
    </row>
    <row r="5404">
      <c r="A5404" s="21">
        <f t="shared" si="1"/>
        <v>45481.41548</v>
      </c>
      <c r="B5404" s="40" t="s">
        <v>2438</v>
      </c>
      <c r="C5404" s="23" t="s">
        <v>2153</v>
      </c>
      <c r="D5404" s="23" t="s">
        <v>32</v>
      </c>
      <c r="E5404" s="24">
        <v>45478.0</v>
      </c>
      <c r="F5404" s="25">
        <v>0.2638888888888889</v>
      </c>
      <c r="G5404" s="25">
        <v>0.6013888888888889</v>
      </c>
      <c r="H5404" s="27">
        <f t="shared" si="2"/>
        <v>0.3375</v>
      </c>
      <c r="I5404" s="28">
        <v>2.0</v>
      </c>
      <c r="J5404" s="39" t="s">
        <v>2659</v>
      </c>
      <c r="K5404" s="41"/>
      <c r="L5404" s="31" t="str">
        <f>IFERROR(__xludf.DUMMYFUNCTION("IF(OR(E5404="""",K5404=""""),"""",IFERROR(IF(K5404="""","""",query('tbl user'!$A$2:$D10975,""SELECT A WHERE D = '""&amp;K5404&amp;""'"")),""USER TIDAK DIKETAHUI""))"),"")</f>
        <v/>
      </c>
    </row>
    <row r="5405">
      <c r="A5405" s="21">
        <f t="shared" si="1"/>
        <v>45481.41556</v>
      </c>
      <c r="B5405" s="40" t="s">
        <v>2439</v>
      </c>
      <c r="C5405" s="23" t="s">
        <v>1990</v>
      </c>
      <c r="D5405" s="23" t="s">
        <v>32</v>
      </c>
      <c r="E5405" s="24">
        <v>45478.0</v>
      </c>
      <c r="F5405" s="25">
        <v>0.22916666666666666</v>
      </c>
      <c r="G5405" s="25">
        <v>0.6444444444444445</v>
      </c>
      <c r="H5405" s="27">
        <f t="shared" si="2"/>
        <v>0.4152777778</v>
      </c>
      <c r="I5405" s="28">
        <v>2.0</v>
      </c>
      <c r="J5405" s="39" t="s">
        <v>2660</v>
      </c>
      <c r="K5405" s="41"/>
      <c r="L5405" s="31" t="str">
        <f>IFERROR(__xludf.DUMMYFUNCTION("IF(OR(E5405="""",K5405=""""),"""",IFERROR(IF(K5405="""","""",query('tbl user'!$A$2:$D10975,""SELECT A WHERE D = '""&amp;K5405&amp;""'"")),""USER TIDAK DIKETAHUI""))"),"")</f>
        <v/>
      </c>
    </row>
    <row r="5406">
      <c r="A5406" s="21">
        <f t="shared" si="1"/>
        <v>45481.41582</v>
      </c>
      <c r="B5406" s="40" t="s">
        <v>2446</v>
      </c>
      <c r="C5406" s="23" t="s">
        <v>1954</v>
      </c>
      <c r="D5406" s="23" t="s">
        <v>32</v>
      </c>
      <c r="E5406" s="24">
        <v>45478.0</v>
      </c>
      <c r="F5406" s="25">
        <v>0.38819444444444445</v>
      </c>
      <c r="G5406" s="25">
        <v>0.6798611111111111</v>
      </c>
      <c r="H5406" s="27">
        <f t="shared" si="2"/>
        <v>0.2916666667</v>
      </c>
      <c r="I5406" s="28">
        <v>2.0</v>
      </c>
      <c r="J5406" s="39" t="s">
        <v>2644</v>
      </c>
      <c r="K5406" s="41"/>
      <c r="L5406" s="31" t="str">
        <f>IFERROR(__xludf.DUMMYFUNCTION("IF(OR(E5406="""",K5406=""""),"""",IFERROR(IF(K5406="""","""",query('tbl user'!$A$2:$D10975,""SELECT A WHERE D = '""&amp;K5406&amp;""'"")),""USER TIDAK DIKETAHUI""))"),"")</f>
        <v/>
      </c>
    </row>
    <row r="5407">
      <c r="A5407" s="21">
        <f t="shared" si="1"/>
        <v>45481.416</v>
      </c>
      <c r="B5407" s="40" t="s">
        <v>2449</v>
      </c>
      <c r="C5407" s="23" t="s">
        <v>1908</v>
      </c>
      <c r="D5407" s="23" t="s">
        <v>32</v>
      </c>
      <c r="E5407" s="24">
        <v>45478.0</v>
      </c>
      <c r="F5407" s="25">
        <v>0.28888888888888886</v>
      </c>
      <c r="G5407" s="25">
        <v>0.7069444444444445</v>
      </c>
      <c r="H5407" s="27">
        <f t="shared" si="2"/>
        <v>0.4180555556</v>
      </c>
      <c r="I5407" s="28">
        <v>2.0</v>
      </c>
      <c r="J5407" s="39" t="s">
        <v>2661</v>
      </c>
      <c r="K5407" s="41"/>
      <c r="L5407" s="31" t="str">
        <f>IFERROR(__xludf.DUMMYFUNCTION("IF(OR(E5407="""",K5407=""""),"""",IFERROR(IF(K5407="""","""",query('tbl user'!$A$2:$D10975,""SELECT A WHERE D = '""&amp;K5407&amp;""'"")),""USER TIDAK DIKETAHUI""))"),"")</f>
        <v/>
      </c>
    </row>
    <row r="5408">
      <c r="A5408" s="21">
        <f t="shared" si="1"/>
        <v>45481.41607</v>
      </c>
      <c r="B5408" s="40" t="s">
        <v>2442</v>
      </c>
      <c r="C5408" s="23" t="s">
        <v>2066</v>
      </c>
      <c r="D5408" s="23" t="s">
        <v>32</v>
      </c>
      <c r="E5408" s="24">
        <v>45478.0</v>
      </c>
      <c r="F5408" s="25">
        <v>0.2708333333333333</v>
      </c>
      <c r="G5408" s="25">
        <v>0.6854166666666667</v>
      </c>
      <c r="H5408" s="27">
        <f t="shared" si="2"/>
        <v>0.4145833333</v>
      </c>
      <c r="I5408" s="28">
        <v>3.0</v>
      </c>
      <c r="J5408" s="39" t="s">
        <v>2635</v>
      </c>
      <c r="K5408" s="41"/>
      <c r="L5408" s="31" t="str">
        <f>IFERROR(__xludf.DUMMYFUNCTION("IF(OR(E5408="""",K5408=""""),"""",IFERROR(IF(K5408="""","""",query('tbl user'!$A$2:$D10975,""SELECT A WHERE D = '""&amp;K5408&amp;""'"")),""USER TIDAK DIKETAHUI""))"),"")</f>
        <v/>
      </c>
    </row>
    <row r="5409">
      <c r="A5409" s="21">
        <f t="shared" si="1"/>
        <v>45481.41614</v>
      </c>
      <c r="B5409" s="40" t="s">
        <v>2436</v>
      </c>
      <c r="C5409" s="23" t="s">
        <v>1966</v>
      </c>
      <c r="D5409" s="23" t="s">
        <v>32</v>
      </c>
      <c r="E5409" s="24">
        <v>45478.0</v>
      </c>
      <c r="F5409" s="25">
        <v>0.3680555555555556</v>
      </c>
      <c r="G5409" s="25">
        <v>0.7395833333333334</v>
      </c>
      <c r="H5409" s="27">
        <f t="shared" si="2"/>
        <v>0.3715277778</v>
      </c>
      <c r="I5409" s="28">
        <v>3.0</v>
      </c>
      <c r="J5409" s="39" t="s">
        <v>2662</v>
      </c>
      <c r="K5409" s="41"/>
      <c r="L5409" s="31" t="str">
        <f>IFERROR(__xludf.DUMMYFUNCTION("IF(OR(E5409="""",K5409=""""),"""",IFERROR(IF(K5409="""","""",query('tbl user'!$A$2:$D10975,""SELECT A WHERE D = '""&amp;K5409&amp;""'"")),""USER TIDAK DIKETAHUI""))"),"")</f>
        <v/>
      </c>
    </row>
    <row r="5410">
      <c r="A5410" s="21">
        <f t="shared" si="1"/>
        <v>45481.41619</v>
      </c>
      <c r="B5410" s="40" t="s">
        <v>2445</v>
      </c>
      <c r="C5410" s="23" t="s">
        <v>1904</v>
      </c>
      <c r="D5410" s="23" t="s">
        <v>32</v>
      </c>
      <c r="E5410" s="24">
        <v>45478.0</v>
      </c>
      <c r="F5410" s="25">
        <v>0.2777777777777778</v>
      </c>
      <c r="G5410" s="25">
        <v>0.6430555555555556</v>
      </c>
      <c r="H5410" s="27">
        <f t="shared" si="2"/>
        <v>0.3652777778</v>
      </c>
      <c r="I5410" s="28">
        <v>3.0</v>
      </c>
      <c r="J5410" s="39" t="s">
        <v>2663</v>
      </c>
      <c r="K5410" s="41"/>
      <c r="L5410" s="31" t="str">
        <f>IFERROR(__xludf.DUMMYFUNCTION("IF(OR(E5410="""",K5410=""""),"""",IFERROR(IF(K5410="""","""",query('tbl user'!$A$2:$D10975,""SELECT A WHERE D = '""&amp;K5410&amp;""'"")),""USER TIDAK DIKETAHUI""))"),"")</f>
        <v/>
      </c>
    </row>
    <row r="5411">
      <c r="A5411" s="21">
        <f t="shared" si="1"/>
        <v>45481.41628</v>
      </c>
      <c r="B5411" s="40" t="s">
        <v>2447</v>
      </c>
      <c r="C5411" s="23" t="s">
        <v>1905</v>
      </c>
      <c r="D5411" s="23" t="s">
        <v>32</v>
      </c>
      <c r="E5411" s="24">
        <v>45478.0</v>
      </c>
      <c r="F5411" s="25">
        <v>0.2423611111111111</v>
      </c>
      <c r="G5411" s="25">
        <v>0.5993055555555555</v>
      </c>
      <c r="H5411" s="27">
        <f t="shared" si="2"/>
        <v>0.3569444444</v>
      </c>
      <c r="I5411" s="28">
        <v>3.0</v>
      </c>
      <c r="J5411" s="39" t="s">
        <v>2664</v>
      </c>
      <c r="K5411" s="41"/>
      <c r="L5411" s="31" t="str">
        <f>IFERROR(__xludf.DUMMYFUNCTION("IF(OR(E5411="""",K5411=""""),"""",IFERROR(IF(K5411="""","""",query('tbl user'!$A$2:$D10975,""SELECT A WHERE D = '""&amp;K5411&amp;""'"")),""USER TIDAK DIKETAHUI""))"),"")</f>
        <v/>
      </c>
    </row>
    <row r="5412">
      <c r="A5412" s="21">
        <f t="shared" si="1"/>
        <v>45481.41639</v>
      </c>
      <c r="B5412" s="40" t="s">
        <v>2556</v>
      </c>
      <c r="C5412" s="23" t="s">
        <v>1909</v>
      </c>
      <c r="D5412" s="23" t="s">
        <v>32</v>
      </c>
      <c r="E5412" s="24">
        <v>45478.0</v>
      </c>
      <c r="F5412" s="25">
        <v>0.2673611111111111</v>
      </c>
      <c r="G5412" s="25">
        <v>0.69375</v>
      </c>
      <c r="H5412" s="27">
        <f t="shared" si="2"/>
        <v>0.4263888889</v>
      </c>
      <c r="I5412" s="28">
        <v>3.0</v>
      </c>
      <c r="J5412" s="39" t="s">
        <v>2665</v>
      </c>
      <c r="K5412" s="41"/>
      <c r="L5412" s="31" t="str">
        <f>IFERROR(__xludf.DUMMYFUNCTION("IF(OR(E5412="""",K5412=""""),"""",IFERROR(IF(K5412="""","""",query('tbl user'!$A$2:$D10975,""SELECT A WHERE D = '""&amp;K5412&amp;""'"")),""USER TIDAK DIKETAHUI""))"),"")</f>
        <v/>
      </c>
    </row>
    <row r="5413">
      <c r="A5413" s="21">
        <f t="shared" si="1"/>
        <v>45481.41648</v>
      </c>
      <c r="B5413" s="40" t="s">
        <v>2482</v>
      </c>
      <c r="C5413" s="23" t="s">
        <v>1962</v>
      </c>
      <c r="D5413" s="23" t="s">
        <v>32</v>
      </c>
      <c r="E5413" s="24">
        <v>45478.0</v>
      </c>
      <c r="F5413" s="25">
        <v>0.25069444444444444</v>
      </c>
      <c r="G5413" s="25">
        <v>0.7104166666666667</v>
      </c>
      <c r="H5413" s="27">
        <f t="shared" si="2"/>
        <v>0.4597222222</v>
      </c>
      <c r="I5413" s="28">
        <v>4.0</v>
      </c>
      <c r="J5413" s="39" t="s">
        <v>55</v>
      </c>
      <c r="K5413" s="41"/>
      <c r="L5413" s="31" t="str">
        <f>IFERROR(__xludf.DUMMYFUNCTION("IF(OR(E5413="""",K5413=""""),"""",IFERROR(IF(K5413="""","""",query('tbl user'!$A$2:$D10975,""SELECT A WHERE D = '""&amp;K5413&amp;""'"")),""USER TIDAK DIKETAHUI""))"),"")</f>
        <v/>
      </c>
    </row>
    <row r="5414">
      <c r="A5414" s="21">
        <f t="shared" si="1"/>
        <v>45481.41659</v>
      </c>
      <c r="B5414" s="40" t="s">
        <v>2441</v>
      </c>
      <c r="C5414" s="23" t="s">
        <v>2092</v>
      </c>
      <c r="D5414" s="23" t="s">
        <v>32</v>
      </c>
      <c r="E5414" s="24">
        <v>45478.0</v>
      </c>
      <c r="F5414" s="25">
        <v>0.24791666666666667</v>
      </c>
      <c r="G5414" s="25">
        <v>0.6958333333333333</v>
      </c>
      <c r="H5414" s="27">
        <f t="shared" si="2"/>
        <v>0.4479166667</v>
      </c>
      <c r="I5414" s="28">
        <v>4.0</v>
      </c>
      <c r="J5414" s="39" t="s">
        <v>55</v>
      </c>
      <c r="K5414" s="41"/>
      <c r="L5414" s="31" t="str">
        <f>IFERROR(__xludf.DUMMYFUNCTION("IF(OR(E5414="""",K5414=""""),"""",IFERROR(IF(K5414="""","""",query('tbl user'!$A$2:$D10975,""SELECT A WHERE D = '""&amp;K5414&amp;""'"")),""USER TIDAK DIKETAHUI""))"),"")</f>
        <v/>
      </c>
    </row>
    <row r="5415">
      <c r="A5415" s="21">
        <f t="shared" si="1"/>
        <v>45481.41664</v>
      </c>
      <c r="B5415" s="40" t="s">
        <v>2453</v>
      </c>
      <c r="C5415" s="23" t="s">
        <v>1907</v>
      </c>
      <c r="D5415" s="23" t="s">
        <v>32</v>
      </c>
      <c r="E5415" s="24">
        <v>45478.0</v>
      </c>
      <c r="F5415" s="25">
        <v>0.28125</v>
      </c>
      <c r="G5415" s="25">
        <v>0.7097222222222223</v>
      </c>
      <c r="H5415" s="27">
        <f t="shared" si="2"/>
        <v>0.4284722222</v>
      </c>
      <c r="I5415" s="28">
        <v>4.0</v>
      </c>
      <c r="J5415" s="39" t="s">
        <v>55</v>
      </c>
      <c r="K5415" s="41"/>
      <c r="L5415" s="31" t="str">
        <f>IFERROR(__xludf.DUMMYFUNCTION("IF(OR(E5415="""",K5415=""""),"""",IFERROR(IF(K5415="""","""",query('tbl user'!$A$2:$D10975,""SELECT A WHERE D = '""&amp;K5415&amp;""'"")),""USER TIDAK DIKETAHUI""))"),"")</f>
        <v/>
      </c>
    </row>
    <row r="5416">
      <c r="A5416" s="21">
        <f t="shared" si="1"/>
        <v>45481.4168</v>
      </c>
      <c r="B5416" s="40" t="s">
        <v>2492</v>
      </c>
      <c r="C5416" s="23" t="s">
        <v>1913</v>
      </c>
      <c r="D5416" s="23" t="s">
        <v>32</v>
      </c>
      <c r="E5416" s="24">
        <v>45478.0</v>
      </c>
      <c r="F5416" s="25">
        <v>0.24861111111111112</v>
      </c>
      <c r="G5416" s="25">
        <v>0.70625</v>
      </c>
      <c r="H5416" s="27">
        <f t="shared" si="2"/>
        <v>0.4576388889</v>
      </c>
      <c r="I5416" s="28">
        <v>4.0</v>
      </c>
      <c r="J5416" s="39" t="s">
        <v>55</v>
      </c>
      <c r="K5416" s="41"/>
      <c r="L5416" s="31" t="str">
        <f>IFERROR(__xludf.DUMMYFUNCTION("IF(OR(E5416="""",K5416=""""),"""",IFERROR(IF(K5416="""","""",query('tbl user'!$A$2:$D10975,""SELECT A WHERE D = '""&amp;K5416&amp;""'"")),""USER TIDAK DIKETAHUI""))"),"")</f>
        <v/>
      </c>
    </row>
    <row r="5417">
      <c r="A5417" s="21">
        <f t="shared" si="1"/>
        <v>45481.41686</v>
      </c>
      <c r="B5417" s="40" t="s">
        <v>2486</v>
      </c>
      <c r="C5417" s="23" t="s">
        <v>1900</v>
      </c>
      <c r="D5417" s="23" t="s">
        <v>32</v>
      </c>
      <c r="E5417" s="24">
        <v>45478.0</v>
      </c>
      <c r="F5417" s="25">
        <v>0.2659722222222222</v>
      </c>
      <c r="G5417" s="25">
        <v>0.7180555555555556</v>
      </c>
      <c r="H5417" s="27">
        <f t="shared" si="2"/>
        <v>0.4520833333</v>
      </c>
      <c r="I5417" s="28">
        <v>4.0</v>
      </c>
      <c r="J5417" s="39" t="s">
        <v>55</v>
      </c>
      <c r="K5417" s="41"/>
      <c r="L5417" s="31" t="str">
        <f>IFERROR(__xludf.DUMMYFUNCTION("IF(OR(E5417="""",K5417=""""),"""",IFERROR(IF(K5417="""","""",query('tbl user'!$A$2:$D10975,""SELECT A WHERE D = '""&amp;K5417&amp;""'"")),""USER TIDAK DIKETAHUI""))"),"")</f>
        <v/>
      </c>
    </row>
    <row r="5418">
      <c r="A5418" s="21">
        <f t="shared" si="1"/>
        <v>45481.40095</v>
      </c>
      <c r="B5418" s="40" t="s">
        <v>2384</v>
      </c>
      <c r="C5418" s="23" t="s">
        <v>1922</v>
      </c>
      <c r="D5418" s="23" t="s">
        <v>21</v>
      </c>
      <c r="E5418" s="24">
        <v>45479.0</v>
      </c>
      <c r="F5418" s="25">
        <v>0.2791666666666667</v>
      </c>
      <c r="G5418" s="25">
        <v>0.4895833333333333</v>
      </c>
      <c r="H5418" s="27">
        <f t="shared" si="2"/>
        <v>0.2104166667</v>
      </c>
      <c r="I5418" s="28">
        <v>1.0</v>
      </c>
      <c r="J5418" s="39" t="s">
        <v>2666</v>
      </c>
      <c r="K5418" s="41"/>
      <c r="L5418" s="31" t="str">
        <f>IFERROR(__xludf.DUMMYFUNCTION("IF(OR(E5418="""",K5418=""""),"""",IFERROR(IF(K5418="""","""",query('tbl user'!$A$2:$D10975,""SELECT A WHERE D = '""&amp;K5418&amp;""'"")),""USER TIDAK DIKETAHUI""))"),"")</f>
        <v/>
      </c>
    </row>
    <row r="5419">
      <c r="A5419" s="21">
        <f t="shared" si="1"/>
        <v>45481.41324</v>
      </c>
      <c r="B5419" s="40" t="s">
        <v>2371</v>
      </c>
      <c r="C5419" s="23" t="s">
        <v>1845</v>
      </c>
      <c r="D5419" s="23" t="s">
        <v>21</v>
      </c>
      <c r="E5419" s="24">
        <v>45479.0</v>
      </c>
      <c r="F5419" s="25">
        <v>0.28680555555555554</v>
      </c>
      <c r="G5419" s="25">
        <v>0.4548611111111111</v>
      </c>
      <c r="H5419" s="27">
        <f t="shared" si="2"/>
        <v>0.1680555556</v>
      </c>
      <c r="I5419" s="28">
        <v>1.0</v>
      </c>
      <c r="J5419" s="39" t="s">
        <v>2667</v>
      </c>
      <c r="K5419" s="41"/>
      <c r="L5419" s="31" t="str">
        <f>IFERROR(__xludf.DUMMYFUNCTION("IF(OR(E5419="""",K5419=""""),"""",IFERROR(IF(K5419="""","""",query('tbl user'!$A$2:$D10975,""SELECT A WHERE D = '""&amp;K5419&amp;""'"")),""USER TIDAK DIKETAHUI""))"),"")</f>
        <v/>
      </c>
    </row>
    <row r="5420">
      <c r="A5420" s="21">
        <f t="shared" si="1"/>
        <v>45481.41331</v>
      </c>
      <c r="B5420" s="40" t="s">
        <v>2392</v>
      </c>
      <c r="C5420" s="23" t="s">
        <v>1851</v>
      </c>
      <c r="D5420" s="23" t="s">
        <v>21</v>
      </c>
      <c r="E5420" s="24">
        <v>45479.0</v>
      </c>
      <c r="F5420" s="25">
        <v>0.2638888888888889</v>
      </c>
      <c r="G5420" s="25">
        <v>0.56875</v>
      </c>
      <c r="H5420" s="27">
        <f t="shared" si="2"/>
        <v>0.3048611111</v>
      </c>
      <c r="I5420" s="28">
        <v>2.0</v>
      </c>
      <c r="J5420" s="39" t="s">
        <v>2668</v>
      </c>
      <c r="K5420" s="41"/>
      <c r="L5420" s="31" t="str">
        <f>IFERROR(__xludf.DUMMYFUNCTION("IF(OR(E5420="""",K5420=""""),"""",IFERROR(IF(K5420="""","""",query('tbl user'!$A$2:$D10975,""SELECT A WHERE D = '""&amp;K5420&amp;""'"")),""USER TIDAK DIKETAHUI""))"),"")</f>
        <v/>
      </c>
    </row>
    <row r="5421">
      <c r="A5421" s="21">
        <f t="shared" si="1"/>
        <v>45481.41337</v>
      </c>
      <c r="B5421" s="40" t="s">
        <v>2631</v>
      </c>
      <c r="C5421" s="23" t="s">
        <v>1920</v>
      </c>
      <c r="D5421" s="23" t="s">
        <v>21</v>
      </c>
      <c r="E5421" s="24">
        <v>45479.0</v>
      </c>
      <c r="F5421" s="25">
        <v>0.2881944444444444</v>
      </c>
      <c r="G5421" s="25">
        <v>0.5541666666666667</v>
      </c>
      <c r="H5421" s="27">
        <f t="shared" si="2"/>
        <v>0.2659722222</v>
      </c>
      <c r="I5421" s="28">
        <v>2.0</v>
      </c>
      <c r="J5421" s="39" t="s">
        <v>299</v>
      </c>
      <c r="K5421" s="41"/>
      <c r="L5421" s="31" t="str">
        <f>IFERROR(__xludf.DUMMYFUNCTION("IF(OR(E5421="""",K5421=""""),"""",IFERROR(IF(K5421="""","""",query('tbl user'!$A$2:$D10975,""SELECT A WHERE D = '""&amp;K5421&amp;""'"")),""USER TIDAK DIKETAHUI""))"),"")</f>
        <v/>
      </c>
    </row>
    <row r="5422">
      <c r="A5422" s="21">
        <f t="shared" si="1"/>
        <v>45481.41341</v>
      </c>
      <c r="B5422" s="40" t="s">
        <v>2393</v>
      </c>
      <c r="C5422" s="23" t="s">
        <v>1925</v>
      </c>
      <c r="D5422" s="23" t="s">
        <v>21</v>
      </c>
      <c r="E5422" s="24">
        <v>45479.0</v>
      </c>
      <c r="F5422" s="25">
        <v>0.26319444444444445</v>
      </c>
      <c r="G5422" s="25">
        <v>0.5701388888888889</v>
      </c>
      <c r="H5422" s="27">
        <f t="shared" si="2"/>
        <v>0.3069444444</v>
      </c>
      <c r="I5422" s="28">
        <v>2.0</v>
      </c>
      <c r="J5422" s="39" t="s">
        <v>2669</v>
      </c>
      <c r="K5422" s="41"/>
      <c r="L5422" s="31" t="str">
        <f>IFERROR(__xludf.DUMMYFUNCTION("IF(OR(E5422="""",K5422=""""),"""",IFERROR(IF(K5422="""","""",query('tbl user'!$A$2:$D10975,""SELECT A WHERE D = '""&amp;K5422&amp;""'"")),""USER TIDAK DIKETAHUI""))"),"")</f>
        <v/>
      </c>
    </row>
    <row r="5423">
      <c r="A5423" s="21">
        <f t="shared" si="1"/>
        <v>45481.41351</v>
      </c>
      <c r="B5423" s="40" t="s">
        <v>2394</v>
      </c>
      <c r="C5423" s="23" t="s">
        <v>1837</v>
      </c>
      <c r="D5423" s="23" t="s">
        <v>21</v>
      </c>
      <c r="E5423" s="24">
        <v>45479.0</v>
      </c>
      <c r="F5423" s="25">
        <v>0.2708333333333333</v>
      </c>
      <c r="G5423" s="25">
        <v>0.49375</v>
      </c>
      <c r="H5423" s="27">
        <f t="shared" si="2"/>
        <v>0.2229166667</v>
      </c>
      <c r="I5423" s="28">
        <v>2.0</v>
      </c>
      <c r="J5423" s="39" t="s">
        <v>2670</v>
      </c>
      <c r="K5423" s="41"/>
      <c r="L5423" s="31" t="str">
        <f>IFERROR(__xludf.DUMMYFUNCTION("IF(OR(E5423="""",K5423=""""),"""",IFERROR(IF(K5423="""","""",query('tbl user'!$A$2:$D10975,""SELECT A WHERE D = '""&amp;K5423&amp;""'"")),""USER TIDAK DIKETAHUI""))"),"")</f>
        <v/>
      </c>
    </row>
    <row r="5424">
      <c r="A5424" s="21">
        <f t="shared" si="1"/>
        <v>45481.41356</v>
      </c>
      <c r="B5424" s="40" t="s">
        <v>2395</v>
      </c>
      <c r="C5424" s="23" t="s">
        <v>1847</v>
      </c>
      <c r="D5424" s="23" t="s">
        <v>21</v>
      </c>
      <c r="E5424" s="24">
        <v>45479.0</v>
      </c>
      <c r="F5424" s="25">
        <v>0.2638888888888889</v>
      </c>
      <c r="G5424" s="25">
        <v>0.5680555555555555</v>
      </c>
      <c r="H5424" s="27">
        <f t="shared" si="2"/>
        <v>0.3041666667</v>
      </c>
      <c r="I5424" s="28">
        <v>2.0</v>
      </c>
      <c r="J5424" s="39" t="s">
        <v>2671</v>
      </c>
      <c r="K5424" s="41"/>
      <c r="L5424" s="31" t="str">
        <f>IFERROR(__xludf.DUMMYFUNCTION("IF(OR(E5424="""",K5424=""""),"""",IFERROR(IF(K5424="""","""",query('tbl user'!$A$2:$D10975,""SELECT A WHERE D = '""&amp;K5424&amp;""'"")),""USER TIDAK DIKETAHUI""))"),"")</f>
        <v/>
      </c>
    </row>
    <row r="5425">
      <c r="A5425" s="21">
        <f t="shared" si="1"/>
        <v>45481.41372</v>
      </c>
      <c r="B5425" s="40" t="s">
        <v>2374</v>
      </c>
      <c r="C5425" s="23" t="s">
        <v>1850</v>
      </c>
      <c r="D5425" s="23" t="s">
        <v>21</v>
      </c>
      <c r="E5425" s="24">
        <v>45479.0</v>
      </c>
      <c r="F5425" s="25">
        <v>0.2902777777777778</v>
      </c>
      <c r="G5425" s="25">
        <v>0.5902777777777778</v>
      </c>
      <c r="H5425" s="27">
        <f t="shared" si="2"/>
        <v>0.3</v>
      </c>
      <c r="I5425" s="28">
        <v>2.0</v>
      </c>
      <c r="J5425" s="39" t="s">
        <v>2672</v>
      </c>
      <c r="K5425" s="41"/>
      <c r="L5425" s="31" t="str">
        <f>IFERROR(__xludf.DUMMYFUNCTION("IF(OR(E5425="""",K5425=""""),"""",IFERROR(IF(K5425="""","""",query('tbl user'!$A$2:$D10975,""SELECT A WHERE D = '""&amp;K5425&amp;""'"")),""USER TIDAK DIKETAHUI""))"),"")</f>
        <v/>
      </c>
    </row>
    <row r="5426">
      <c r="A5426" s="21">
        <f t="shared" si="1"/>
        <v>45481.41379</v>
      </c>
      <c r="B5426" s="40" t="s">
        <v>2376</v>
      </c>
      <c r="C5426" s="23" t="s">
        <v>1853</v>
      </c>
      <c r="D5426" s="23" t="s">
        <v>21</v>
      </c>
      <c r="E5426" s="24">
        <v>45479.0</v>
      </c>
      <c r="F5426" s="25">
        <v>0.24722222222222223</v>
      </c>
      <c r="G5426" s="25">
        <v>0.59375</v>
      </c>
      <c r="H5426" s="27">
        <f t="shared" si="2"/>
        <v>0.3465277778</v>
      </c>
      <c r="I5426" s="28">
        <v>3.0</v>
      </c>
      <c r="J5426" s="39" t="s">
        <v>2673</v>
      </c>
      <c r="K5426" s="41"/>
      <c r="L5426" s="31" t="str">
        <f>IFERROR(__xludf.DUMMYFUNCTION("IF(OR(E5426="""",K5426=""""),"""",IFERROR(IF(K5426="""","""",query('tbl user'!$A$2:$D10975,""SELECT A WHERE D = '""&amp;K5426&amp;""'"")),""USER TIDAK DIKETAHUI""))"),"")</f>
        <v/>
      </c>
    </row>
    <row r="5427">
      <c r="A5427" s="21">
        <f t="shared" si="1"/>
        <v>45481.41384</v>
      </c>
      <c r="B5427" s="40" t="s">
        <v>2378</v>
      </c>
      <c r="C5427" s="23" t="s">
        <v>1844</v>
      </c>
      <c r="D5427" s="23" t="s">
        <v>21</v>
      </c>
      <c r="E5427" s="24">
        <v>45479.0</v>
      </c>
      <c r="F5427" s="25">
        <v>0.24583333333333332</v>
      </c>
      <c r="G5427" s="25">
        <v>0.6381944444444444</v>
      </c>
      <c r="H5427" s="27">
        <f t="shared" si="2"/>
        <v>0.3923611111</v>
      </c>
      <c r="I5427" s="28">
        <v>3.0</v>
      </c>
      <c r="J5427" s="39" t="s">
        <v>2674</v>
      </c>
      <c r="K5427" s="41"/>
      <c r="L5427" s="31" t="str">
        <f>IFERROR(__xludf.DUMMYFUNCTION("IF(OR(E5427="""",K5427=""""),"""",IFERROR(IF(K5427="""","""",query('tbl user'!$A$2:$D10975,""SELECT A WHERE D = '""&amp;K5427&amp;""'"")),""USER TIDAK DIKETAHUI""))"),"")</f>
        <v/>
      </c>
    </row>
    <row r="5428">
      <c r="A5428" s="21">
        <f t="shared" si="1"/>
        <v>45481.41388</v>
      </c>
      <c r="B5428" s="40" t="s">
        <v>2379</v>
      </c>
      <c r="C5428" s="23" t="s">
        <v>1835</v>
      </c>
      <c r="D5428" s="23" t="s">
        <v>21</v>
      </c>
      <c r="E5428" s="24">
        <v>45479.0</v>
      </c>
      <c r="F5428" s="25">
        <v>0.3451388888888889</v>
      </c>
      <c r="G5428" s="25">
        <v>0.7361111111111112</v>
      </c>
      <c r="H5428" s="27">
        <f t="shared" si="2"/>
        <v>0.3909722222</v>
      </c>
      <c r="I5428" s="28">
        <v>3.0</v>
      </c>
      <c r="J5428" s="39" t="s">
        <v>2674</v>
      </c>
      <c r="K5428" s="41"/>
      <c r="L5428" s="31" t="str">
        <f>IFERROR(__xludf.DUMMYFUNCTION("IF(OR(E5428="""",K5428=""""),"""",IFERROR(IF(K5428="""","""",query('tbl user'!$A$2:$D10975,""SELECT A WHERE D = '""&amp;K5428&amp;""'"")),""USER TIDAK DIKETAHUI""))"),"")</f>
        <v/>
      </c>
    </row>
    <row r="5429">
      <c r="A5429" s="21">
        <f t="shared" si="1"/>
        <v>45481.41392</v>
      </c>
      <c r="B5429" s="40" t="s">
        <v>2396</v>
      </c>
      <c r="C5429" s="23" t="s">
        <v>2049</v>
      </c>
      <c r="D5429" s="23" t="s">
        <v>21</v>
      </c>
      <c r="E5429" s="24">
        <v>45479.0</v>
      </c>
      <c r="F5429" s="25">
        <v>0.26180555555555557</v>
      </c>
      <c r="G5429" s="25">
        <v>0.6493055555555556</v>
      </c>
      <c r="H5429" s="27">
        <f t="shared" si="2"/>
        <v>0.3875</v>
      </c>
      <c r="I5429" s="28">
        <v>3.0</v>
      </c>
      <c r="J5429" s="39" t="s">
        <v>2675</v>
      </c>
      <c r="K5429" s="41"/>
      <c r="L5429" s="31" t="str">
        <f>IFERROR(__xludf.DUMMYFUNCTION("IF(OR(E5429="""",K5429=""""),"""",IFERROR(IF(K5429="""","""",query('tbl user'!$A$2:$D10975,""SELECT A WHERE D = '""&amp;K5429&amp;""'"")),""USER TIDAK DIKETAHUI""))"),"")</f>
        <v/>
      </c>
    </row>
    <row r="5430">
      <c r="A5430" s="21">
        <f t="shared" si="1"/>
        <v>45481.41399</v>
      </c>
      <c r="B5430" s="40" t="s">
        <v>2462</v>
      </c>
      <c r="C5430" s="23" t="s">
        <v>1928</v>
      </c>
      <c r="D5430" s="23" t="s">
        <v>21</v>
      </c>
      <c r="E5430" s="24">
        <v>45479.0</v>
      </c>
      <c r="F5430" s="25">
        <v>0.2777777777777778</v>
      </c>
      <c r="G5430" s="25">
        <v>0.65</v>
      </c>
      <c r="H5430" s="27">
        <f t="shared" si="2"/>
        <v>0.3722222222</v>
      </c>
      <c r="I5430" s="28">
        <v>3.0</v>
      </c>
      <c r="J5430" s="39" t="s">
        <v>2676</v>
      </c>
      <c r="K5430" s="41"/>
      <c r="L5430" s="31" t="str">
        <f>IFERROR(__xludf.DUMMYFUNCTION("IF(OR(E5430="""",K5430=""""),"""",IFERROR(IF(K5430="""","""",query('tbl user'!$A$2:$D10975,""SELECT A WHERE D = '""&amp;K5430&amp;""'"")),""USER TIDAK DIKETAHUI""))"),"")</f>
        <v/>
      </c>
    </row>
    <row r="5431">
      <c r="A5431" s="21">
        <f t="shared" si="1"/>
        <v>45481.41405</v>
      </c>
      <c r="B5431" s="40" t="s">
        <v>2390</v>
      </c>
      <c r="C5431" s="23" t="s">
        <v>2136</v>
      </c>
      <c r="D5431" s="23" t="s">
        <v>21</v>
      </c>
      <c r="E5431" s="24">
        <v>45479.0</v>
      </c>
      <c r="F5431" s="25">
        <v>0.25416666666666665</v>
      </c>
      <c r="G5431" s="25">
        <v>0.6819444444444445</v>
      </c>
      <c r="H5431" s="27">
        <f t="shared" si="2"/>
        <v>0.4277777778</v>
      </c>
      <c r="I5431" s="28">
        <v>4.0</v>
      </c>
      <c r="J5431" s="39" t="s">
        <v>2674</v>
      </c>
      <c r="K5431" s="41"/>
      <c r="L5431" s="31" t="str">
        <f>IFERROR(__xludf.DUMMYFUNCTION("IF(OR(E5431="""",K5431=""""),"""",IFERROR(IF(K5431="""","""",query('tbl user'!$A$2:$D10975,""SELECT A WHERE D = '""&amp;K5431&amp;""'"")),""USER TIDAK DIKETAHUI""))"),"")</f>
        <v/>
      </c>
    </row>
    <row r="5432">
      <c r="A5432" s="21">
        <f t="shared" si="1"/>
        <v>45481.4141</v>
      </c>
      <c r="B5432" s="40" t="s">
        <v>2387</v>
      </c>
      <c r="C5432" s="23" t="s">
        <v>1857</v>
      </c>
      <c r="D5432" s="23" t="s">
        <v>21</v>
      </c>
      <c r="E5432" s="24">
        <v>45479.0</v>
      </c>
      <c r="F5432" s="25">
        <v>0.2701388888888889</v>
      </c>
      <c r="G5432" s="25">
        <v>0.7</v>
      </c>
      <c r="H5432" s="27">
        <f t="shared" si="2"/>
        <v>0.4298611111</v>
      </c>
      <c r="I5432" s="28">
        <v>4.0</v>
      </c>
      <c r="J5432" s="39" t="s">
        <v>2677</v>
      </c>
      <c r="K5432" s="41"/>
      <c r="L5432" s="31" t="str">
        <f>IFERROR(__xludf.DUMMYFUNCTION("IF(OR(E5432="""",K5432=""""),"""",IFERROR(IF(K5432="""","""",query('tbl user'!$A$2:$D10975,""SELECT A WHERE D = '""&amp;K5432&amp;""'"")),""USER TIDAK DIKETAHUI""))"),"")</f>
        <v/>
      </c>
    </row>
    <row r="5433">
      <c r="A5433" s="21">
        <f t="shared" si="1"/>
        <v>45481.41415</v>
      </c>
      <c r="B5433" s="40" t="s">
        <v>2382</v>
      </c>
      <c r="C5433" s="23" t="s">
        <v>1858</v>
      </c>
      <c r="D5433" s="23" t="s">
        <v>21</v>
      </c>
      <c r="E5433" s="24">
        <v>45479.0</v>
      </c>
      <c r="F5433" s="25">
        <v>0.24513888888888888</v>
      </c>
      <c r="G5433" s="25">
        <v>0.6569444444444444</v>
      </c>
      <c r="H5433" s="27">
        <f t="shared" si="2"/>
        <v>0.4118055556</v>
      </c>
      <c r="I5433" s="28">
        <v>4.0</v>
      </c>
      <c r="J5433" s="39" t="s">
        <v>245</v>
      </c>
      <c r="K5433" s="41"/>
      <c r="L5433" s="31" t="str">
        <f>IFERROR(__xludf.DUMMYFUNCTION("IF(OR(E5433="""",K5433=""""),"""",IFERROR(IF(K5433="""","""",query('tbl user'!$A$2:$D10975,""SELECT A WHERE D = '""&amp;K5433&amp;""'"")),""USER TIDAK DIKETAHUI""))"),"")</f>
        <v/>
      </c>
    </row>
    <row r="5434">
      <c r="A5434" s="21">
        <f t="shared" si="1"/>
        <v>45481.41421</v>
      </c>
      <c r="B5434" s="40" t="s">
        <v>2560</v>
      </c>
      <c r="C5434" s="23" t="s">
        <v>1849</v>
      </c>
      <c r="D5434" s="23" t="s">
        <v>21</v>
      </c>
      <c r="E5434" s="24">
        <v>45479.0</v>
      </c>
      <c r="F5434" s="25">
        <v>0.26458333333333334</v>
      </c>
      <c r="G5434" s="25">
        <v>0.7152777777777778</v>
      </c>
      <c r="H5434" s="27">
        <f t="shared" si="2"/>
        <v>0.4506944444</v>
      </c>
      <c r="I5434" s="28">
        <v>4.0</v>
      </c>
      <c r="J5434" s="39" t="s">
        <v>309</v>
      </c>
      <c r="K5434" s="41"/>
      <c r="L5434" s="31" t="str">
        <f>IFERROR(__xludf.DUMMYFUNCTION("IF(OR(E5434="""",K5434=""""),"""",IFERROR(IF(K5434="""","""",query('tbl user'!$A$2:$D10975,""SELECT A WHERE D = '""&amp;K5434&amp;""'"")),""USER TIDAK DIKETAHUI""))"),"")</f>
        <v/>
      </c>
    </row>
    <row r="5435">
      <c r="A5435" s="21">
        <f t="shared" si="1"/>
        <v>45481.41426</v>
      </c>
      <c r="B5435" s="40" t="s">
        <v>2457</v>
      </c>
      <c r="C5435" s="23" t="s">
        <v>2005</v>
      </c>
      <c r="D5435" s="23" t="s">
        <v>21</v>
      </c>
      <c r="E5435" s="24">
        <v>45479.0</v>
      </c>
      <c r="F5435" s="25">
        <v>0.2298611111111111</v>
      </c>
      <c r="G5435" s="25">
        <v>0.6673611111111111</v>
      </c>
      <c r="H5435" s="27">
        <f t="shared" si="2"/>
        <v>0.4375</v>
      </c>
      <c r="I5435" s="28">
        <v>4.0</v>
      </c>
      <c r="J5435" s="39" t="s">
        <v>2674</v>
      </c>
      <c r="K5435" s="41"/>
      <c r="L5435" s="31" t="str">
        <f>IFERROR(__xludf.DUMMYFUNCTION("IF(OR(E5435="""",K5435=""""),"""",IFERROR(IF(K5435="""","""",query('tbl user'!$A$2:$D10975,""SELECT A WHERE D = '""&amp;K5435&amp;""'"")),""USER TIDAK DIKETAHUI""))"),"")</f>
        <v/>
      </c>
    </row>
    <row r="5436">
      <c r="A5436" s="21">
        <f t="shared" si="1"/>
        <v>45481.41449</v>
      </c>
      <c r="B5436" s="40" t="s">
        <v>2400</v>
      </c>
      <c r="C5436" s="23" t="s">
        <v>1917</v>
      </c>
      <c r="D5436" s="23" t="s">
        <v>21</v>
      </c>
      <c r="E5436" s="24">
        <v>45479.0</v>
      </c>
      <c r="F5436" s="25">
        <v>0.26180555555555557</v>
      </c>
      <c r="G5436" s="25">
        <v>0.4965277777777778</v>
      </c>
      <c r="H5436" s="27">
        <f t="shared" si="2"/>
        <v>0.2347222222</v>
      </c>
      <c r="I5436" s="28">
        <v>2.0</v>
      </c>
      <c r="J5436" s="39" t="s">
        <v>2678</v>
      </c>
      <c r="K5436" s="41"/>
      <c r="L5436" s="31" t="str">
        <f>IFERROR(__xludf.DUMMYFUNCTION("IF(OR(E5436="""",K5436=""""),"""",IFERROR(IF(K5436="""","""",query('tbl user'!$A$2:$D10975,""SELECT A WHERE D = '""&amp;K5436&amp;""'"")),""USER TIDAK DIKETAHUI""))"),"")</f>
        <v/>
      </c>
    </row>
    <row r="5437">
      <c r="A5437" s="21">
        <f t="shared" si="1"/>
        <v>45481.41459</v>
      </c>
      <c r="B5437" s="40" t="s">
        <v>2397</v>
      </c>
      <c r="C5437" s="23" t="s">
        <v>1852</v>
      </c>
      <c r="D5437" s="23" t="s">
        <v>21</v>
      </c>
      <c r="E5437" s="24">
        <v>45479.0</v>
      </c>
      <c r="F5437" s="25">
        <v>0.3125</v>
      </c>
      <c r="G5437" s="25">
        <v>0.7090277777777778</v>
      </c>
      <c r="H5437" s="27">
        <f t="shared" si="2"/>
        <v>0.3965277778</v>
      </c>
      <c r="I5437" s="28">
        <v>4.0</v>
      </c>
      <c r="J5437" s="39" t="s">
        <v>2639</v>
      </c>
      <c r="K5437" s="41"/>
      <c r="L5437" s="31" t="str">
        <f>IFERROR(__xludf.DUMMYFUNCTION("IF(OR(E5437="""",K5437=""""),"""",IFERROR(IF(K5437="""","""",query('tbl user'!$A$2:$D10975,""SELECT A WHERE D = '""&amp;K5437&amp;""'"")),""USER TIDAK DIKETAHUI""))"),"")</f>
        <v/>
      </c>
    </row>
    <row r="5438">
      <c r="A5438" s="21">
        <f t="shared" si="1"/>
        <v>45481.41468</v>
      </c>
      <c r="B5438" s="40" t="s">
        <v>2401</v>
      </c>
      <c r="C5438" s="23" t="s">
        <v>1841</v>
      </c>
      <c r="D5438" s="23" t="s">
        <v>21</v>
      </c>
      <c r="E5438" s="24">
        <v>45479.0</v>
      </c>
      <c r="F5438" s="25">
        <v>0.30416666666666664</v>
      </c>
      <c r="G5438" s="25">
        <v>0.7145833333333333</v>
      </c>
      <c r="H5438" s="27">
        <f t="shared" si="2"/>
        <v>0.4104166667</v>
      </c>
      <c r="I5438" s="28">
        <v>4.0</v>
      </c>
      <c r="J5438" s="39" t="s">
        <v>2607</v>
      </c>
      <c r="K5438" s="41"/>
      <c r="L5438" s="31" t="str">
        <f>IFERROR(__xludf.DUMMYFUNCTION("IF(OR(E5438="""",K5438=""""),"""",IFERROR(IF(K5438="""","""",query('tbl user'!$A$2:$D10975,""SELECT A WHERE D = '""&amp;K5438&amp;""'"")),""USER TIDAK DIKETAHUI""))"),"")</f>
        <v/>
      </c>
    </row>
    <row r="5439">
      <c r="A5439" s="21">
        <f t="shared" si="1"/>
        <v>45481.41082</v>
      </c>
      <c r="B5439" s="40" t="s">
        <v>2361</v>
      </c>
      <c r="C5439" s="23" t="s">
        <v>1875</v>
      </c>
      <c r="D5439" s="23" t="s">
        <v>58</v>
      </c>
      <c r="E5439" s="24">
        <v>45479.0</v>
      </c>
      <c r="F5439" s="25">
        <v>0.3125</v>
      </c>
      <c r="G5439" s="28" t="s">
        <v>1817</v>
      </c>
      <c r="H5439" s="27" t="str">
        <f t="shared" si="2"/>
        <v/>
      </c>
      <c r="I5439" s="28">
        <v>0.0</v>
      </c>
      <c r="J5439" s="39" t="s">
        <v>2679</v>
      </c>
      <c r="K5439" s="41"/>
      <c r="L5439" s="31" t="str">
        <f>IFERROR(__xludf.DUMMYFUNCTION("IF(OR(E5439="""",K5439=""""),"""",IFERROR(IF(K5439="""","""",query('tbl user'!$A$2:$D10975,""SELECT A WHERE D = '""&amp;K5439&amp;""'"")),""USER TIDAK DIKETAHUI""))"),"")</f>
        <v/>
      </c>
    </row>
    <row r="5440">
      <c r="A5440" s="21">
        <f t="shared" si="1"/>
        <v>45481.41087</v>
      </c>
      <c r="B5440" s="40" t="s">
        <v>2428</v>
      </c>
      <c r="C5440" s="23" t="s">
        <v>1877</v>
      </c>
      <c r="D5440" s="23" t="s">
        <v>58</v>
      </c>
      <c r="E5440" s="24">
        <v>45479.0</v>
      </c>
      <c r="F5440" s="25">
        <v>0.24513888888888888</v>
      </c>
      <c r="G5440" s="28" t="s">
        <v>1817</v>
      </c>
      <c r="H5440" s="27" t="str">
        <f t="shared" si="2"/>
        <v/>
      </c>
      <c r="I5440" s="28">
        <v>0.0</v>
      </c>
      <c r="J5440" s="39" t="s">
        <v>2680</v>
      </c>
      <c r="K5440" s="41"/>
      <c r="L5440" s="31" t="str">
        <f>IFERROR(__xludf.DUMMYFUNCTION("IF(OR(E5440="""",K5440=""""),"""",IFERROR(IF(K5440="""","""",query('tbl user'!$A$2:$D10975,""SELECT A WHERE D = '""&amp;K5440&amp;""'"")),""USER TIDAK DIKETAHUI""))"),"")</f>
        <v/>
      </c>
    </row>
    <row r="5441">
      <c r="A5441" s="21">
        <f t="shared" si="1"/>
        <v>45481.41092</v>
      </c>
      <c r="B5441" s="40" t="s">
        <v>2363</v>
      </c>
      <c r="C5441" s="23" t="s">
        <v>1874</v>
      </c>
      <c r="D5441" s="23" t="s">
        <v>58</v>
      </c>
      <c r="E5441" s="24">
        <v>45479.0</v>
      </c>
      <c r="F5441" s="25">
        <v>0.28888888888888886</v>
      </c>
      <c r="G5441" s="25">
        <v>0.41597222222222224</v>
      </c>
      <c r="H5441" s="27">
        <f t="shared" si="2"/>
        <v>0.1270833333</v>
      </c>
      <c r="I5441" s="28">
        <v>1.0</v>
      </c>
      <c r="J5441" s="39" t="s">
        <v>2681</v>
      </c>
      <c r="K5441" s="41"/>
      <c r="L5441" s="31" t="str">
        <f>IFERROR(__xludf.DUMMYFUNCTION("IF(OR(E5441="""",K5441=""""),"""",IFERROR(IF(K5441="""","""",query('tbl user'!$A$2:$D10975,""SELECT A WHERE D = '""&amp;K5441&amp;""'"")),""USER TIDAK DIKETAHUI""))"),"")</f>
        <v/>
      </c>
    </row>
    <row r="5442">
      <c r="A5442" s="21">
        <f t="shared" si="1"/>
        <v>45481.41097</v>
      </c>
      <c r="B5442" s="40" t="s">
        <v>2414</v>
      </c>
      <c r="C5442" s="23" t="s">
        <v>1865</v>
      </c>
      <c r="D5442" s="23" t="s">
        <v>58</v>
      </c>
      <c r="E5442" s="24">
        <v>45479.0</v>
      </c>
      <c r="F5442" s="25">
        <v>0.29930555555555555</v>
      </c>
      <c r="G5442" s="25">
        <v>0.4173611111111111</v>
      </c>
      <c r="H5442" s="27">
        <f t="shared" si="2"/>
        <v>0.1180555556</v>
      </c>
      <c r="I5442" s="28">
        <v>1.0</v>
      </c>
      <c r="J5442" s="39" t="s">
        <v>2682</v>
      </c>
      <c r="K5442" s="41"/>
      <c r="L5442" s="31" t="str">
        <f>IFERROR(__xludf.DUMMYFUNCTION("IF(OR(E5442="""",K5442=""""),"""",IFERROR(IF(K5442="""","""",query('tbl user'!$A$2:$D10975,""SELECT A WHERE D = '""&amp;K5442&amp;""'"")),""USER TIDAK DIKETAHUI""))"),"")</f>
        <v/>
      </c>
    </row>
    <row r="5443">
      <c r="A5443" s="21">
        <f t="shared" si="1"/>
        <v>45481.41125</v>
      </c>
      <c r="B5443" s="40" t="s">
        <v>2431</v>
      </c>
      <c r="C5443" s="23" t="s">
        <v>1879</v>
      </c>
      <c r="D5443" s="23" t="s">
        <v>58</v>
      </c>
      <c r="E5443" s="24">
        <v>45479.0</v>
      </c>
      <c r="F5443" s="25">
        <v>0.23055555555555557</v>
      </c>
      <c r="G5443" s="25">
        <v>0.37222222222222223</v>
      </c>
      <c r="H5443" s="27">
        <f t="shared" si="2"/>
        <v>0.1416666667</v>
      </c>
      <c r="I5443" s="28">
        <v>1.0</v>
      </c>
      <c r="J5443" s="39" t="s">
        <v>2683</v>
      </c>
      <c r="K5443" s="41"/>
      <c r="L5443" s="31" t="str">
        <f>IFERROR(__xludf.DUMMYFUNCTION("IF(OR(E5443="""",K5443=""""),"""",IFERROR(IF(K5443="""","""",query('tbl user'!$A$2:$D10975,""SELECT A WHERE D = '""&amp;K5443&amp;""'"")),""USER TIDAK DIKETAHUI""))"),"")</f>
        <v/>
      </c>
    </row>
    <row r="5444">
      <c r="A5444" s="21">
        <f t="shared" si="1"/>
        <v>45481.41131</v>
      </c>
      <c r="B5444" s="40" t="s">
        <v>2406</v>
      </c>
      <c r="C5444" s="23" t="s">
        <v>1871</v>
      </c>
      <c r="D5444" s="23" t="s">
        <v>58</v>
      </c>
      <c r="E5444" s="24">
        <v>45479.0</v>
      </c>
      <c r="F5444" s="25">
        <v>0.24166666666666667</v>
      </c>
      <c r="G5444" s="25">
        <v>0.41944444444444445</v>
      </c>
      <c r="H5444" s="27">
        <f t="shared" si="2"/>
        <v>0.1777777778</v>
      </c>
      <c r="I5444" s="28">
        <v>1.0</v>
      </c>
      <c r="J5444" s="39" t="s">
        <v>2684</v>
      </c>
      <c r="K5444" s="41"/>
      <c r="L5444" s="31" t="str">
        <f>IFERROR(__xludf.DUMMYFUNCTION("IF(OR(E5444="""",K5444=""""),"""",IFERROR(IF(K5444="""","""",query('tbl user'!$A$2:$D10975,""SELECT A WHERE D = '""&amp;K5444&amp;""'"")),""USER TIDAK DIKETAHUI""))"),"")</f>
        <v/>
      </c>
    </row>
    <row r="5445">
      <c r="A5445" s="21">
        <f t="shared" si="1"/>
        <v>45481.41137</v>
      </c>
      <c r="B5445" s="40" t="s">
        <v>2415</v>
      </c>
      <c r="C5445" s="23" t="s">
        <v>1867</v>
      </c>
      <c r="D5445" s="23" t="s">
        <v>58</v>
      </c>
      <c r="E5445" s="24">
        <v>45479.0</v>
      </c>
      <c r="F5445" s="25">
        <v>0.27152777777777776</v>
      </c>
      <c r="G5445" s="25">
        <v>0.575</v>
      </c>
      <c r="H5445" s="27">
        <f t="shared" si="2"/>
        <v>0.3034722222</v>
      </c>
      <c r="I5445" s="28">
        <v>2.0</v>
      </c>
      <c r="J5445" s="39" t="s">
        <v>2685</v>
      </c>
      <c r="K5445" s="41"/>
      <c r="L5445" s="31" t="str">
        <f>IFERROR(__xludf.DUMMYFUNCTION("IF(OR(E5445="""",K5445=""""),"""",IFERROR(IF(K5445="""","""",query('tbl user'!$A$2:$D10975,""SELECT A WHERE D = '""&amp;K5445&amp;""'"")),""USER TIDAK DIKETAHUI""))"),"")</f>
        <v/>
      </c>
    </row>
    <row r="5446">
      <c r="A5446" s="21">
        <f t="shared" si="1"/>
        <v>45481.41142</v>
      </c>
      <c r="B5446" s="40" t="s">
        <v>2386</v>
      </c>
      <c r="C5446" s="23" t="s">
        <v>1872</v>
      </c>
      <c r="D5446" s="23" t="s">
        <v>58</v>
      </c>
      <c r="E5446" s="24">
        <v>45479.0</v>
      </c>
      <c r="F5446" s="25">
        <v>0.20694444444444443</v>
      </c>
      <c r="G5446" s="25">
        <v>0.55625</v>
      </c>
      <c r="H5446" s="27">
        <f t="shared" si="2"/>
        <v>0.3493055556</v>
      </c>
      <c r="I5446" s="28">
        <v>2.0</v>
      </c>
      <c r="J5446" s="39" t="s">
        <v>2686</v>
      </c>
      <c r="K5446" s="41"/>
      <c r="L5446" s="31" t="str">
        <f>IFERROR(__xludf.DUMMYFUNCTION("IF(OR(E5446="""",K5446=""""),"""",IFERROR(IF(K5446="""","""",query('tbl user'!$A$2:$D10975,""SELECT A WHERE D = '""&amp;K5446&amp;""'"")),""USER TIDAK DIKETAHUI""))"),"")</f>
        <v/>
      </c>
    </row>
    <row r="5447">
      <c r="A5447" s="21">
        <f t="shared" si="1"/>
        <v>45481.41153</v>
      </c>
      <c r="B5447" s="40" t="s">
        <v>2416</v>
      </c>
      <c r="C5447" s="23" t="s">
        <v>1941</v>
      </c>
      <c r="D5447" s="23" t="s">
        <v>58</v>
      </c>
      <c r="E5447" s="24">
        <v>45479.0</v>
      </c>
      <c r="F5447" s="25">
        <v>0.29097222222222224</v>
      </c>
      <c r="G5447" s="25">
        <v>0.6861111111111111</v>
      </c>
      <c r="H5447" s="27">
        <f t="shared" si="2"/>
        <v>0.3951388889</v>
      </c>
      <c r="I5447" s="28">
        <v>3.0</v>
      </c>
      <c r="J5447" s="39" t="s">
        <v>2687</v>
      </c>
      <c r="K5447" s="41"/>
      <c r="L5447" s="31" t="str">
        <f>IFERROR(__xludf.DUMMYFUNCTION("IF(OR(E5447="""",K5447=""""),"""",IFERROR(IF(K5447="""","""",query('tbl user'!$A$2:$D10975,""SELECT A WHERE D = '""&amp;K5447&amp;""'"")),""USER TIDAK DIKETAHUI""))"),"")</f>
        <v/>
      </c>
    </row>
    <row r="5448">
      <c r="A5448" s="21">
        <f t="shared" si="1"/>
        <v>45481.4116</v>
      </c>
      <c r="B5448" s="40" t="s">
        <v>2404</v>
      </c>
      <c r="C5448" s="23" t="s">
        <v>1869</v>
      </c>
      <c r="D5448" s="23" t="s">
        <v>58</v>
      </c>
      <c r="E5448" s="24">
        <v>45479.0</v>
      </c>
      <c r="F5448" s="25">
        <v>0.2861111111111111</v>
      </c>
      <c r="G5448" s="25">
        <v>0.6951388888888889</v>
      </c>
      <c r="H5448" s="27">
        <f t="shared" si="2"/>
        <v>0.4090277778</v>
      </c>
      <c r="I5448" s="28">
        <v>3.0</v>
      </c>
      <c r="J5448" s="39" t="s">
        <v>2687</v>
      </c>
      <c r="K5448" s="41"/>
      <c r="L5448" s="31" t="str">
        <f>IFERROR(__xludf.DUMMYFUNCTION("IF(OR(E5448="""",K5448=""""),"""",IFERROR(IF(K5448="""","""",query('tbl user'!$A$2:$D10975,""SELECT A WHERE D = '""&amp;K5448&amp;""'"")),""USER TIDAK DIKETAHUI""))"),"")</f>
        <v/>
      </c>
    </row>
    <row r="5449">
      <c r="A5449" s="21">
        <f t="shared" si="1"/>
        <v>45481.41167</v>
      </c>
      <c r="B5449" s="40" t="s">
        <v>2402</v>
      </c>
      <c r="C5449" s="23" t="s">
        <v>1881</v>
      </c>
      <c r="D5449" s="23" t="s">
        <v>58</v>
      </c>
      <c r="E5449" s="24">
        <v>45479.0</v>
      </c>
      <c r="F5449" s="25">
        <v>0.26875</v>
      </c>
      <c r="G5449" s="25">
        <v>0.6493055555555556</v>
      </c>
      <c r="H5449" s="27">
        <f t="shared" si="2"/>
        <v>0.3805555556</v>
      </c>
      <c r="I5449" s="28">
        <v>3.0</v>
      </c>
      <c r="J5449" s="39" t="s">
        <v>2688</v>
      </c>
      <c r="K5449" s="41"/>
      <c r="L5449" s="31" t="str">
        <f>IFERROR(__xludf.DUMMYFUNCTION("IF(OR(E5449="""",K5449=""""),"""",IFERROR(IF(K5449="""","""",query('tbl user'!$A$2:$D10975,""SELECT A WHERE D = '""&amp;K5449&amp;""'"")),""USER TIDAK DIKETAHUI""))"),"")</f>
        <v/>
      </c>
    </row>
    <row r="5450">
      <c r="A5450" s="21">
        <f t="shared" si="1"/>
        <v>45481.41173</v>
      </c>
      <c r="B5450" s="40" t="s">
        <v>2419</v>
      </c>
      <c r="C5450" s="23" t="s">
        <v>1882</v>
      </c>
      <c r="D5450" s="23" t="s">
        <v>58</v>
      </c>
      <c r="E5450" s="24">
        <v>45479.0</v>
      </c>
      <c r="F5450" s="25">
        <v>0.27291666666666664</v>
      </c>
      <c r="G5450" s="25">
        <v>0.6513888888888889</v>
      </c>
      <c r="H5450" s="27">
        <f t="shared" si="2"/>
        <v>0.3784722222</v>
      </c>
      <c r="I5450" s="28">
        <v>3.0</v>
      </c>
      <c r="J5450" s="39" t="s">
        <v>2687</v>
      </c>
      <c r="K5450" s="41"/>
      <c r="L5450" s="31" t="str">
        <f>IFERROR(__xludf.DUMMYFUNCTION("IF(OR(E5450="""",K5450=""""),"""",IFERROR(IF(K5450="""","""",query('tbl user'!$A$2:$D10975,""SELECT A WHERE D = '""&amp;K5450&amp;""'"")),""USER TIDAK DIKETAHUI""))"),"")</f>
        <v/>
      </c>
    </row>
    <row r="5451">
      <c r="A5451" s="21">
        <f t="shared" si="1"/>
        <v>45481.41179</v>
      </c>
      <c r="B5451" s="40" t="s">
        <v>2422</v>
      </c>
      <c r="C5451" s="23" t="s">
        <v>1860</v>
      </c>
      <c r="D5451" s="23" t="s">
        <v>58</v>
      </c>
      <c r="E5451" s="24">
        <v>45479.0</v>
      </c>
      <c r="F5451" s="25">
        <v>0.28680555555555554</v>
      </c>
      <c r="G5451" s="25">
        <v>0.7090277777777778</v>
      </c>
      <c r="H5451" s="27">
        <f t="shared" si="2"/>
        <v>0.4222222222</v>
      </c>
      <c r="I5451" s="28">
        <v>3.0</v>
      </c>
      <c r="J5451" s="39" t="s">
        <v>2689</v>
      </c>
      <c r="K5451" s="41"/>
      <c r="L5451" s="31" t="str">
        <f>IFERROR(__xludf.DUMMYFUNCTION("IF(OR(E5451="""",K5451=""""),"""",IFERROR(IF(K5451="""","""",query('tbl user'!$A$2:$D10975,""SELECT A WHERE D = '""&amp;K5451&amp;""'"")),""USER TIDAK DIKETAHUI""))"),"")</f>
        <v/>
      </c>
    </row>
    <row r="5452">
      <c r="A5452" s="21">
        <f t="shared" si="1"/>
        <v>45481.41183</v>
      </c>
      <c r="B5452" s="40" t="s">
        <v>2423</v>
      </c>
      <c r="C5452" s="23" t="s">
        <v>1863</v>
      </c>
      <c r="D5452" s="23" t="s">
        <v>58</v>
      </c>
      <c r="E5452" s="24">
        <v>45479.0</v>
      </c>
      <c r="F5452" s="25">
        <v>0.2604166666666667</v>
      </c>
      <c r="G5452" s="25">
        <v>0.6479166666666667</v>
      </c>
      <c r="H5452" s="27">
        <f t="shared" si="2"/>
        <v>0.3875</v>
      </c>
      <c r="I5452" s="28">
        <v>3.0</v>
      </c>
      <c r="J5452" s="39" t="s">
        <v>2687</v>
      </c>
      <c r="K5452" s="41"/>
      <c r="L5452" s="31" t="str">
        <f>IFERROR(__xludf.DUMMYFUNCTION("IF(OR(E5452="""",K5452=""""),"""",IFERROR(IF(K5452="""","""",query('tbl user'!$A$2:$D10975,""SELECT A WHERE D = '""&amp;K5452&amp;""'"")),""USER TIDAK DIKETAHUI""))"),"")</f>
        <v/>
      </c>
    </row>
    <row r="5453">
      <c r="A5453" s="21">
        <f t="shared" si="1"/>
        <v>45481.41197</v>
      </c>
      <c r="B5453" s="40" t="s">
        <v>2424</v>
      </c>
      <c r="C5453" s="23" t="s">
        <v>1886</v>
      </c>
      <c r="D5453" s="23" t="s">
        <v>58</v>
      </c>
      <c r="E5453" s="24">
        <v>45479.0</v>
      </c>
      <c r="F5453" s="25">
        <v>0.2423611111111111</v>
      </c>
      <c r="G5453" s="25">
        <v>0.6680555555555555</v>
      </c>
      <c r="H5453" s="27">
        <f t="shared" si="2"/>
        <v>0.4256944444</v>
      </c>
      <c r="I5453" s="28">
        <v>3.0</v>
      </c>
      <c r="J5453" s="39" t="s">
        <v>2687</v>
      </c>
      <c r="K5453" s="41"/>
      <c r="L5453" s="31" t="str">
        <f>IFERROR(__xludf.DUMMYFUNCTION("IF(OR(E5453="""",K5453=""""),"""",IFERROR(IF(K5453="""","""",query('tbl user'!$A$2:$D10975,""SELECT A WHERE D = '""&amp;K5453&amp;""'"")),""USER TIDAK DIKETAHUI""))"),"")</f>
        <v/>
      </c>
    </row>
    <row r="5454">
      <c r="A5454" s="21">
        <f t="shared" si="1"/>
        <v>45481.412</v>
      </c>
      <c r="B5454" s="40" t="s">
        <v>2460</v>
      </c>
      <c r="C5454" s="23" t="s">
        <v>1893</v>
      </c>
      <c r="D5454" s="23" t="s">
        <v>58</v>
      </c>
      <c r="E5454" s="24">
        <v>45479.0</v>
      </c>
      <c r="F5454" s="25">
        <v>0.24930555555555556</v>
      </c>
      <c r="G5454" s="25">
        <v>0.6041666666666666</v>
      </c>
      <c r="H5454" s="27">
        <f t="shared" si="2"/>
        <v>0.3548611111</v>
      </c>
      <c r="I5454" s="28">
        <v>3.0</v>
      </c>
      <c r="J5454" s="39" t="s">
        <v>2690</v>
      </c>
      <c r="K5454" s="41"/>
      <c r="L5454" s="31" t="str">
        <f>IFERROR(__xludf.DUMMYFUNCTION("IF(OR(E5454="""",K5454=""""),"""",IFERROR(IF(K5454="""","""",query('tbl user'!$A$2:$D10975,""SELECT A WHERE D = '""&amp;K5454&amp;""'"")),""USER TIDAK DIKETAHUI""))"),"")</f>
        <v/>
      </c>
    </row>
    <row r="5455">
      <c r="A5455" s="21">
        <f t="shared" si="1"/>
        <v>45481.41207</v>
      </c>
      <c r="B5455" s="40" t="s">
        <v>2412</v>
      </c>
      <c r="C5455" s="23" t="s">
        <v>1890</v>
      </c>
      <c r="D5455" s="23" t="s">
        <v>58</v>
      </c>
      <c r="E5455" s="24">
        <v>45479.0</v>
      </c>
      <c r="F5455" s="25">
        <v>0.27847222222222223</v>
      </c>
      <c r="G5455" s="25">
        <v>0.6736111111111112</v>
      </c>
      <c r="H5455" s="27">
        <f t="shared" si="2"/>
        <v>0.3951388889</v>
      </c>
      <c r="I5455" s="28">
        <v>3.0</v>
      </c>
      <c r="J5455" s="39" t="s">
        <v>2687</v>
      </c>
      <c r="K5455" s="41"/>
      <c r="L5455" s="31" t="str">
        <f>IFERROR(__xludf.DUMMYFUNCTION("IF(OR(E5455="""",K5455=""""),"""",IFERROR(IF(K5455="""","""",query('tbl user'!$A$2:$D10975,""SELECT A WHERE D = '""&amp;K5455&amp;""'"")),""USER TIDAK DIKETAHUI""))"),"")</f>
        <v/>
      </c>
    </row>
    <row r="5456">
      <c r="A5456" s="21">
        <f t="shared" si="1"/>
        <v>45481.41211</v>
      </c>
      <c r="B5456" s="40" t="s">
        <v>2351</v>
      </c>
      <c r="C5456" s="23" t="s">
        <v>1891</v>
      </c>
      <c r="D5456" s="23" t="s">
        <v>58</v>
      </c>
      <c r="E5456" s="24">
        <v>45479.0</v>
      </c>
      <c r="F5456" s="25">
        <v>0.23541666666666666</v>
      </c>
      <c r="G5456" s="25">
        <v>0.69375</v>
      </c>
      <c r="H5456" s="27">
        <f t="shared" si="2"/>
        <v>0.4583333333</v>
      </c>
      <c r="I5456" s="28">
        <v>3.0</v>
      </c>
      <c r="J5456" s="39" t="s">
        <v>2687</v>
      </c>
      <c r="K5456" s="41"/>
      <c r="L5456" s="31" t="str">
        <f>IFERROR(__xludf.DUMMYFUNCTION("IF(OR(E5456="""",K5456=""""),"""",IFERROR(IF(K5456="""","""",query('tbl user'!$A$2:$D10975,""SELECT A WHERE D = '""&amp;K5456&amp;""'"")),""USER TIDAK DIKETAHUI""))"),"")</f>
        <v/>
      </c>
    </row>
    <row r="5457">
      <c r="A5457" s="21">
        <f t="shared" si="1"/>
        <v>45481.41214</v>
      </c>
      <c r="B5457" s="40" t="s">
        <v>2432</v>
      </c>
      <c r="C5457" s="23" t="s">
        <v>1884</v>
      </c>
      <c r="D5457" s="23" t="s">
        <v>58</v>
      </c>
      <c r="E5457" s="24">
        <v>45479.0</v>
      </c>
      <c r="F5457" s="25">
        <v>0.23472222222222222</v>
      </c>
      <c r="G5457" s="25">
        <v>0.7104166666666667</v>
      </c>
      <c r="H5457" s="27">
        <f t="shared" si="2"/>
        <v>0.4756944444</v>
      </c>
      <c r="I5457" s="28">
        <v>4.0</v>
      </c>
      <c r="J5457" s="39" t="s">
        <v>55</v>
      </c>
      <c r="K5457" s="41"/>
      <c r="L5457" s="31" t="str">
        <f>IFERROR(__xludf.DUMMYFUNCTION("IF(OR(E5457="""",K5457=""""),"""",IFERROR(IF(K5457="""","""",query('tbl user'!$A$2:$D10975,""SELECT A WHERE D = '""&amp;K5457&amp;""'"")),""USER TIDAK DIKETAHUI""))"),"")</f>
        <v/>
      </c>
    </row>
    <row r="5458">
      <c r="A5458" s="21">
        <f t="shared" si="1"/>
        <v>45481.4122</v>
      </c>
      <c r="B5458" s="40" t="s">
        <v>2433</v>
      </c>
      <c r="C5458" s="23" t="s">
        <v>1950</v>
      </c>
      <c r="D5458" s="23" t="s">
        <v>58</v>
      </c>
      <c r="E5458" s="24">
        <v>45479.0</v>
      </c>
      <c r="F5458" s="25">
        <v>0.22777777777777777</v>
      </c>
      <c r="G5458" s="25">
        <v>0.6506944444444445</v>
      </c>
      <c r="H5458" s="27">
        <f t="shared" si="2"/>
        <v>0.4229166667</v>
      </c>
      <c r="I5458" s="28">
        <v>4.0</v>
      </c>
      <c r="J5458" s="39" t="s">
        <v>55</v>
      </c>
      <c r="K5458" s="41"/>
      <c r="L5458" s="31" t="str">
        <f>IFERROR(__xludf.DUMMYFUNCTION("IF(OR(E5458="""",K5458=""""),"""",IFERROR(IF(K5458="""","""",query('tbl user'!$A$2:$D10975,""SELECT A WHERE D = '""&amp;K5458&amp;""'"")),""USER TIDAK DIKETAHUI""))"),"")</f>
        <v/>
      </c>
    </row>
    <row r="5459">
      <c r="A5459" s="21">
        <f t="shared" si="1"/>
        <v>45481.41225</v>
      </c>
      <c r="B5459" s="40" t="s">
        <v>2418</v>
      </c>
      <c r="C5459" s="23" t="s">
        <v>1889</v>
      </c>
      <c r="D5459" s="23" t="s">
        <v>58</v>
      </c>
      <c r="E5459" s="24">
        <v>45479.0</v>
      </c>
      <c r="F5459" s="25">
        <v>0.2625</v>
      </c>
      <c r="G5459" s="25">
        <v>0.6881944444444444</v>
      </c>
      <c r="H5459" s="27">
        <f t="shared" si="2"/>
        <v>0.4256944444</v>
      </c>
      <c r="I5459" s="28">
        <v>4.0</v>
      </c>
      <c r="J5459" s="39" t="s">
        <v>55</v>
      </c>
      <c r="K5459" s="41"/>
      <c r="L5459" s="31" t="str">
        <f>IFERROR(__xludf.DUMMYFUNCTION("IF(OR(E5459="""",K5459=""""),"""",IFERROR(IF(K5459="""","""",query('tbl user'!$A$2:$D10975,""SELECT A WHERE D = '""&amp;K5459&amp;""'"")),""USER TIDAK DIKETAHUI""))"),"")</f>
        <v/>
      </c>
    </row>
    <row r="5460">
      <c r="A5460" s="21">
        <f t="shared" si="1"/>
        <v>45481.41229</v>
      </c>
      <c r="B5460" s="40" t="s">
        <v>2434</v>
      </c>
      <c r="C5460" s="23" t="s">
        <v>1892</v>
      </c>
      <c r="D5460" s="23" t="s">
        <v>58</v>
      </c>
      <c r="E5460" s="24">
        <v>45479.0</v>
      </c>
      <c r="F5460" s="25">
        <v>0.20555555555555555</v>
      </c>
      <c r="G5460" s="25">
        <v>0.6534722222222222</v>
      </c>
      <c r="H5460" s="27">
        <f t="shared" si="2"/>
        <v>0.4479166667</v>
      </c>
      <c r="I5460" s="28">
        <v>4.0</v>
      </c>
      <c r="J5460" s="39" t="s">
        <v>55</v>
      </c>
      <c r="K5460" s="41"/>
      <c r="L5460" s="31" t="str">
        <f>IFERROR(__xludf.DUMMYFUNCTION("IF(OR(E5460="""",K5460=""""),"""",IFERROR(IF(K5460="""","""",query('tbl user'!$A$2:$D10975,""SELECT A WHERE D = '""&amp;K5460&amp;""'"")),""USER TIDAK DIKETAHUI""))"),"")</f>
        <v/>
      </c>
    </row>
    <row r="5461">
      <c r="A5461" s="21">
        <f t="shared" si="1"/>
        <v>45481.41248</v>
      </c>
      <c r="B5461" s="40" t="s">
        <v>2482</v>
      </c>
      <c r="C5461" s="23" t="s">
        <v>1910</v>
      </c>
      <c r="D5461" s="23" t="s">
        <v>32</v>
      </c>
      <c r="E5461" s="24">
        <v>45479.0</v>
      </c>
      <c r="F5461" s="25">
        <v>0.28958333333333336</v>
      </c>
      <c r="G5461" s="25">
        <v>0.4201388888888889</v>
      </c>
      <c r="H5461" s="27">
        <f t="shared" si="2"/>
        <v>0.1305555556</v>
      </c>
      <c r="I5461" s="28">
        <v>1.0</v>
      </c>
      <c r="J5461" s="39" t="s">
        <v>934</v>
      </c>
      <c r="K5461" s="41"/>
      <c r="L5461" s="31" t="str">
        <f>IFERROR(__xludf.DUMMYFUNCTION("IF(OR(E5461="""",K5461=""""),"""",IFERROR(IF(K5461="""","""",query('tbl user'!$A$2:$D10975,""SELECT A WHERE D = '""&amp;K5461&amp;""'"")),""USER TIDAK DIKETAHUI""))"),"")</f>
        <v/>
      </c>
    </row>
    <row r="5462">
      <c r="A5462" s="21">
        <f t="shared" si="1"/>
        <v>45481.40902</v>
      </c>
      <c r="B5462" s="40" t="s">
        <v>2441</v>
      </c>
      <c r="C5462" s="23" t="s">
        <v>1901</v>
      </c>
      <c r="D5462" s="23" t="s">
        <v>32</v>
      </c>
      <c r="E5462" s="24">
        <v>45479.0</v>
      </c>
      <c r="F5462" s="25">
        <v>0.4423611111111111</v>
      </c>
      <c r="G5462" s="25">
        <v>0.7277777777777777</v>
      </c>
      <c r="H5462" s="27">
        <f t="shared" si="2"/>
        <v>0.2854166667</v>
      </c>
      <c r="I5462" s="28">
        <v>2.0</v>
      </c>
      <c r="J5462" s="39" t="s">
        <v>389</v>
      </c>
      <c r="K5462" s="41"/>
      <c r="L5462" s="31" t="str">
        <f>IFERROR(__xludf.DUMMYFUNCTION("IF(OR(E5462="""",K5462=""""),"""",IFERROR(IF(K5462="""","""",query('tbl user'!$A$2:$D10975,""SELECT A WHERE D = '""&amp;K5462&amp;""'"")),""USER TIDAK DIKETAHUI""))"),"")</f>
        <v/>
      </c>
    </row>
    <row r="5463">
      <c r="A5463" s="21">
        <f t="shared" si="1"/>
        <v>45481.40922</v>
      </c>
      <c r="B5463" s="40" t="s">
        <v>2439</v>
      </c>
      <c r="C5463" s="23" t="s">
        <v>1990</v>
      </c>
      <c r="D5463" s="23" t="s">
        <v>32</v>
      </c>
      <c r="E5463" s="24">
        <v>45479.0</v>
      </c>
      <c r="F5463" s="25">
        <v>0.2638888888888889</v>
      </c>
      <c r="G5463" s="25">
        <v>0.4951388888888889</v>
      </c>
      <c r="H5463" s="27">
        <f t="shared" si="2"/>
        <v>0.23125</v>
      </c>
      <c r="I5463" s="28">
        <v>2.0</v>
      </c>
      <c r="J5463" s="39" t="s">
        <v>2691</v>
      </c>
      <c r="K5463" s="41"/>
      <c r="L5463" s="31" t="str">
        <f>IFERROR(__xludf.DUMMYFUNCTION("IF(OR(E5463="""",K5463=""""),"""",IFERROR(IF(K5463="""","""",query('tbl user'!$A$2:$D10975,""SELECT A WHERE D = '""&amp;K5463&amp;""'"")),""USER TIDAK DIKETAHUI""))"),"")</f>
        <v/>
      </c>
    </row>
    <row r="5464">
      <c r="A5464" s="21">
        <f t="shared" si="1"/>
        <v>45481.40928</v>
      </c>
      <c r="B5464" s="40" t="s">
        <v>2438</v>
      </c>
      <c r="C5464" s="23" t="s">
        <v>2153</v>
      </c>
      <c r="D5464" s="23" t="s">
        <v>32</v>
      </c>
      <c r="E5464" s="24">
        <v>45479.0</v>
      </c>
      <c r="F5464" s="25">
        <v>0.3402777777777778</v>
      </c>
      <c r="G5464" s="25">
        <v>0.6805555555555556</v>
      </c>
      <c r="H5464" s="27">
        <f t="shared" si="2"/>
        <v>0.3402777778</v>
      </c>
      <c r="I5464" s="28">
        <v>3.0</v>
      </c>
      <c r="J5464" s="39" t="s">
        <v>2692</v>
      </c>
      <c r="K5464" s="41"/>
      <c r="L5464" s="31" t="str">
        <f>IFERROR(__xludf.DUMMYFUNCTION("IF(OR(E5464="""",K5464=""""),"""",IFERROR(IF(K5464="""","""",query('tbl user'!$A$2:$D10975,""SELECT A WHERE D = '""&amp;K5464&amp;""'"")),""USER TIDAK DIKETAHUI""))"),"")</f>
        <v/>
      </c>
    </row>
    <row r="5465">
      <c r="A5465" s="21">
        <f t="shared" si="1"/>
        <v>45481.40932</v>
      </c>
      <c r="B5465" s="40" t="s">
        <v>2452</v>
      </c>
      <c r="C5465" s="23" t="s">
        <v>2190</v>
      </c>
      <c r="D5465" s="23" t="s">
        <v>32</v>
      </c>
      <c r="E5465" s="24">
        <v>45479.0</v>
      </c>
      <c r="F5465" s="25">
        <v>0.28541666666666665</v>
      </c>
      <c r="G5465" s="25">
        <v>0.6430555555555556</v>
      </c>
      <c r="H5465" s="27">
        <f t="shared" si="2"/>
        <v>0.3576388889</v>
      </c>
      <c r="I5465" s="28">
        <v>3.0</v>
      </c>
      <c r="J5465" s="39" t="s">
        <v>2674</v>
      </c>
      <c r="K5465" s="41"/>
      <c r="L5465" s="31" t="str">
        <f>IFERROR(__xludf.DUMMYFUNCTION("IF(OR(E5465="""",K5465=""""),"""",IFERROR(IF(K5465="""","""",query('tbl user'!$A$2:$D10975,""SELECT A WHERE D = '""&amp;K5465&amp;""'"")),""USER TIDAK DIKETAHUI""))"),"")</f>
        <v/>
      </c>
    </row>
    <row r="5466">
      <c r="A5466" s="21">
        <f t="shared" si="1"/>
        <v>45481.40935</v>
      </c>
      <c r="B5466" s="40" t="s">
        <v>2453</v>
      </c>
      <c r="C5466" s="23" t="s">
        <v>1907</v>
      </c>
      <c r="D5466" s="23" t="s">
        <v>32</v>
      </c>
      <c r="E5466" s="24">
        <v>45479.0</v>
      </c>
      <c r="F5466" s="25">
        <v>0.3527777777777778</v>
      </c>
      <c r="G5466" s="25">
        <v>0.7381944444444445</v>
      </c>
      <c r="H5466" s="27">
        <f t="shared" si="2"/>
        <v>0.3854166667</v>
      </c>
      <c r="I5466" s="28">
        <v>3.0</v>
      </c>
      <c r="J5466" s="39" t="s">
        <v>2693</v>
      </c>
      <c r="K5466" s="41"/>
      <c r="L5466" s="31" t="str">
        <f>IFERROR(__xludf.DUMMYFUNCTION("IF(OR(E5466="""",K5466=""""),"""",IFERROR(IF(K5466="""","""",query('tbl user'!$A$2:$D10975,""SELECT A WHERE D = '""&amp;K5466&amp;""'"")),""USER TIDAK DIKETAHUI""))"),"")</f>
        <v/>
      </c>
    </row>
    <row r="5467">
      <c r="A5467" s="21">
        <f t="shared" si="1"/>
        <v>45481.40962</v>
      </c>
      <c r="B5467" s="40" t="s">
        <v>2449</v>
      </c>
      <c r="C5467" s="23" t="s">
        <v>1908</v>
      </c>
      <c r="D5467" s="23" t="s">
        <v>32</v>
      </c>
      <c r="E5467" s="24">
        <v>45479.0</v>
      </c>
      <c r="F5467" s="25">
        <v>0.25555555555555554</v>
      </c>
      <c r="G5467" s="25">
        <v>0.6041666666666666</v>
      </c>
      <c r="H5467" s="27">
        <f t="shared" si="2"/>
        <v>0.3486111111</v>
      </c>
      <c r="I5467" s="28">
        <v>3.0</v>
      </c>
      <c r="J5467" s="39" t="s">
        <v>1974</v>
      </c>
      <c r="K5467" s="41"/>
      <c r="L5467" s="31" t="str">
        <f>IFERROR(__xludf.DUMMYFUNCTION("IF(OR(E5467="""",K5467=""""),"""",IFERROR(IF(K5467="""","""",query('tbl user'!$A$2:$D10975,""SELECT A WHERE D = '""&amp;K5467&amp;""'"")),""USER TIDAK DIKETAHUI""))"),"")</f>
        <v/>
      </c>
    </row>
    <row r="5468">
      <c r="A5468" s="21">
        <f t="shared" si="1"/>
        <v>45481.40966</v>
      </c>
      <c r="B5468" s="40" t="s">
        <v>2694</v>
      </c>
      <c r="C5468" s="23" t="s">
        <v>1961</v>
      </c>
      <c r="D5468" s="23" t="s">
        <v>32</v>
      </c>
      <c r="E5468" s="24">
        <v>45479.0</v>
      </c>
      <c r="F5468" s="25">
        <v>0.2875</v>
      </c>
      <c r="G5468" s="25">
        <v>0.7375</v>
      </c>
      <c r="H5468" s="27">
        <f t="shared" si="2"/>
        <v>0.45</v>
      </c>
      <c r="I5468" s="28">
        <v>4.0</v>
      </c>
      <c r="J5468" s="39" t="s">
        <v>55</v>
      </c>
      <c r="K5468" s="41"/>
      <c r="L5468" s="31" t="str">
        <f>IFERROR(__xludf.DUMMYFUNCTION("IF(OR(E5468="""",K5468=""""),"""",IFERROR(IF(K5468="""","""",query('tbl user'!$A$2:$D10975,""SELECT A WHERE D = '""&amp;K5468&amp;""'"")),""USER TIDAK DIKETAHUI""))"),"")</f>
        <v/>
      </c>
    </row>
    <row r="5469">
      <c r="A5469" s="21">
        <f t="shared" si="1"/>
        <v>45481.40987</v>
      </c>
      <c r="B5469" s="40" t="s">
        <v>2488</v>
      </c>
      <c r="C5469" s="23" t="s">
        <v>1898</v>
      </c>
      <c r="D5469" s="23" t="s">
        <v>32</v>
      </c>
      <c r="E5469" s="24">
        <v>45479.0</v>
      </c>
      <c r="F5469" s="25">
        <v>0.2513888888888889</v>
      </c>
      <c r="G5469" s="25">
        <v>0.7138888888888889</v>
      </c>
      <c r="H5469" s="27">
        <f t="shared" si="2"/>
        <v>0.4625</v>
      </c>
      <c r="I5469" s="28">
        <v>4.0</v>
      </c>
      <c r="J5469" s="39" t="s">
        <v>55</v>
      </c>
      <c r="K5469" s="41"/>
      <c r="L5469" s="31" t="str">
        <f>IFERROR(__xludf.DUMMYFUNCTION("IF(OR(E5469="""",K5469=""""),"""",IFERROR(IF(K5469="""","""",query('tbl user'!$A$2:$D10975,""SELECT A WHERE D = '""&amp;K5469&amp;""'"")),""USER TIDAK DIKETAHUI""))"),"")</f>
        <v/>
      </c>
    </row>
    <row r="5470">
      <c r="A5470" s="21">
        <f t="shared" si="1"/>
        <v>45481.4098</v>
      </c>
      <c r="B5470" s="40" t="s">
        <v>2450</v>
      </c>
      <c r="C5470" s="23" t="s">
        <v>1894</v>
      </c>
      <c r="D5470" s="23" t="s">
        <v>32</v>
      </c>
      <c r="E5470" s="24">
        <v>45479.0</v>
      </c>
      <c r="F5470" s="25">
        <v>0.2423611111111111</v>
      </c>
      <c r="G5470" s="25">
        <v>0.7118055555555556</v>
      </c>
      <c r="H5470" s="27">
        <f t="shared" si="2"/>
        <v>0.4694444444</v>
      </c>
      <c r="I5470" s="28">
        <v>4.0</v>
      </c>
      <c r="J5470" s="39" t="s">
        <v>55</v>
      </c>
      <c r="K5470" s="41"/>
      <c r="L5470" s="31" t="str">
        <f>IFERROR(__xludf.DUMMYFUNCTION("IF(OR(E5470="""",K5470=""""),"""",IFERROR(IF(K5470="""","""",query('tbl user'!$A$2:$D10975,""SELECT A WHERE D = '""&amp;K5470&amp;""'"")),""USER TIDAK DIKETAHUI""))"),"")</f>
        <v/>
      </c>
    </row>
    <row r="5471">
      <c r="A5471" s="21">
        <f t="shared" si="1"/>
        <v>45481.40993</v>
      </c>
      <c r="B5471" s="40" t="s">
        <v>2386</v>
      </c>
      <c r="C5471" s="23" t="s">
        <v>2252</v>
      </c>
      <c r="D5471" s="23" t="s">
        <v>32</v>
      </c>
      <c r="E5471" s="24">
        <v>45479.0</v>
      </c>
      <c r="F5471" s="25">
        <v>0.2722222222222222</v>
      </c>
      <c r="G5471" s="25">
        <v>0.7527777777777778</v>
      </c>
      <c r="H5471" s="27">
        <f t="shared" si="2"/>
        <v>0.4805555556</v>
      </c>
      <c r="I5471" s="28">
        <v>4.0</v>
      </c>
      <c r="J5471" s="39" t="s">
        <v>55</v>
      </c>
      <c r="K5471" s="41"/>
      <c r="L5471" s="31" t="str">
        <f>IFERROR(__xludf.DUMMYFUNCTION("IF(OR(E5471="""",K5471=""""),"""",IFERROR(IF(K5471="""","""",query('tbl user'!$A$2:$D10975,""SELECT A WHERE D = '""&amp;K5471&amp;""'"")),""USER TIDAK DIKETAHUI""))"),"")</f>
        <v/>
      </c>
    </row>
    <row r="5472">
      <c r="A5472" s="21">
        <f t="shared" si="1"/>
        <v>45481.41021</v>
      </c>
      <c r="B5472" s="40" t="s">
        <v>2451</v>
      </c>
      <c r="C5472" s="23" t="s">
        <v>1967</v>
      </c>
      <c r="D5472" s="23" t="s">
        <v>32</v>
      </c>
      <c r="E5472" s="24">
        <v>45479.0</v>
      </c>
      <c r="F5472" s="25">
        <v>0.23958333333333334</v>
      </c>
      <c r="G5472" s="25">
        <v>0.7368055555555556</v>
      </c>
      <c r="H5472" s="27">
        <f t="shared" si="2"/>
        <v>0.4972222222</v>
      </c>
      <c r="I5472" s="28">
        <v>4.0</v>
      </c>
      <c r="J5472" s="39" t="s">
        <v>55</v>
      </c>
      <c r="K5472" s="41"/>
      <c r="L5472" s="31" t="str">
        <f>IFERROR(__xludf.DUMMYFUNCTION("IF(OR(E5472="""",K5472=""""),"""",IFERROR(IF(K5472="""","""",query('tbl user'!$A$2:$D10975,""SELECT A WHERE D = '""&amp;K5472&amp;""'"")),""USER TIDAK DIKETAHUI""))"),"")</f>
        <v/>
      </c>
    </row>
    <row r="5473">
      <c r="A5473" s="21">
        <f t="shared" si="1"/>
        <v>45481.41027</v>
      </c>
      <c r="B5473" s="40" t="s">
        <v>2452</v>
      </c>
      <c r="C5473" s="23" t="s">
        <v>1912</v>
      </c>
      <c r="D5473" s="23" t="s">
        <v>32</v>
      </c>
      <c r="E5473" s="24">
        <v>45479.0</v>
      </c>
      <c r="F5473" s="25">
        <v>0.22430555555555556</v>
      </c>
      <c r="G5473" s="25">
        <v>0.6958333333333333</v>
      </c>
      <c r="H5473" s="27">
        <f t="shared" si="2"/>
        <v>0.4715277778</v>
      </c>
      <c r="I5473" s="28">
        <v>4.0</v>
      </c>
      <c r="J5473" s="39" t="s">
        <v>55</v>
      </c>
      <c r="K5473" s="41"/>
      <c r="L5473" s="31" t="str">
        <f>IFERROR(__xludf.DUMMYFUNCTION("IF(OR(E5473="""",K5473=""""),"""",IFERROR(IF(K5473="""","""",query('tbl user'!$A$2:$D10975,""SELECT A WHERE D = '""&amp;K5473&amp;""'"")),""USER TIDAK DIKETAHUI""))"),"")</f>
        <v/>
      </c>
    </row>
    <row r="5474">
      <c r="A5474" s="21">
        <f t="shared" si="1"/>
        <v>45481.41036</v>
      </c>
      <c r="B5474" s="40" t="s">
        <v>2484</v>
      </c>
      <c r="C5474" s="23" t="s">
        <v>1896</v>
      </c>
      <c r="D5474" s="23" t="s">
        <v>32</v>
      </c>
      <c r="E5474" s="24">
        <v>45479.0</v>
      </c>
      <c r="F5474" s="25">
        <v>0.2652777777777778</v>
      </c>
      <c r="G5474" s="25">
        <v>0.7305555555555555</v>
      </c>
      <c r="H5474" s="27">
        <f t="shared" si="2"/>
        <v>0.4652777778</v>
      </c>
      <c r="I5474" s="28">
        <v>4.0</v>
      </c>
      <c r="J5474" s="39" t="s">
        <v>55</v>
      </c>
      <c r="K5474" s="41"/>
      <c r="L5474" s="31" t="str">
        <f>IFERROR(__xludf.DUMMYFUNCTION("IF(OR(E5474="""",K5474=""""),"""",IFERROR(IF(K5474="""","""",query('tbl user'!$A$2:$D10975,""SELECT A WHERE D = '""&amp;K5474&amp;""'"")),""USER TIDAK DIKETAHUI""))"),"")</f>
        <v/>
      </c>
    </row>
    <row r="5475">
      <c r="A5475" s="21">
        <f t="shared" si="1"/>
        <v>45481.41046</v>
      </c>
      <c r="B5475" s="40" t="s">
        <v>2444</v>
      </c>
      <c r="C5475" s="23" t="s">
        <v>1903</v>
      </c>
      <c r="D5475" s="23" t="s">
        <v>32</v>
      </c>
      <c r="E5475" s="24">
        <v>45479.0</v>
      </c>
      <c r="F5475" s="25">
        <v>0.2361111111111111</v>
      </c>
      <c r="G5475" s="25">
        <v>0.7055555555555556</v>
      </c>
      <c r="H5475" s="27">
        <f t="shared" si="2"/>
        <v>0.4694444444</v>
      </c>
      <c r="I5475" s="28">
        <v>4.0</v>
      </c>
      <c r="J5475" s="39" t="s">
        <v>55</v>
      </c>
      <c r="K5475" s="41"/>
      <c r="L5475" s="31" t="str">
        <f>IFERROR(__xludf.DUMMYFUNCTION("IF(OR(E5475="""",K5475=""""),"""",IFERROR(IF(K5475="""","""",query('tbl user'!$A$2:$D10975,""SELECT A WHERE D = '""&amp;K5475&amp;""'"")),""USER TIDAK DIKETAHUI""))"),"")</f>
        <v/>
      </c>
    </row>
    <row r="5476">
      <c r="A5476" s="21">
        <f t="shared" si="1"/>
        <v>45481.40162</v>
      </c>
      <c r="B5476" s="40" t="s">
        <v>2365</v>
      </c>
      <c r="C5476" s="23" t="s">
        <v>1830</v>
      </c>
      <c r="D5476" s="23" t="s">
        <v>21</v>
      </c>
      <c r="E5476" s="24">
        <v>45480.0</v>
      </c>
      <c r="F5476" s="25">
        <v>0.2881944444444444</v>
      </c>
      <c r="G5476" s="25">
        <v>0.7069444444444445</v>
      </c>
      <c r="H5476" s="27">
        <f t="shared" si="2"/>
        <v>0.41875</v>
      </c>
      <c r="I5476" s="28">
        <v>1.0</v>
      </c>
      <c r="J5476" s="39" t="s">
        <v>2695</v>
      </c>
      <c r="K5476" s="41"/>
      <c r="L5476" s="31" t="str">
        <f>IFERROR(__xludf.DUMMYFUNCTION("IF(OR(E5476="""",K5476=""""),"""",IFERROR(IF(K5476="""","""",query('tbl user'!$A$2:$D10975,""SELECT A WHERE D = '""&amp;K5476&amp;""'"")),""USER TIDAK DIKETAHUI""))"),"")</f>
        <v/>
      </c>
    </row>
    <row r="5477">
      <c r="A5477" s="21">
        <f t="shared" si="1"/>
        <v>45481.4017</v>
      </c>
      <c r="B5477" s="40" t="s">
        <v>2394</v>
      </c>
      <c r="C5477" s="23" t="s">
        <v>1837</v>
      </c>
      <c r="D5477" s="23" t="s">
        <v>21</v>
      </c>
      <c r="E5477" s="24">
        <v>45480.0</v>
      </c>
      <c r="F5477" s="25">
        <v>0.29097222222222224</v>
      </c>
      <c r="G5477" s="25">
        <v>0.5611111111111111</v>
      </c>
      <c r="H5477" s="27">
        <f t="shared" si="2"/>
        <v>0.2701388889</v>
      </c>
      <c r="I5477" s="28">
        <v>1.0</v>
      </c>
      <c r="J5477" s="39" t="s">
        <v>2696</v>
      </c>
      <c r="K5477" s="41"/>
      <c r="L5477" s="31" t="str">
        <f>IFERROR(__xludf.DUMMYFUNCTION("IF(OR(E5477="""",K5477=""""),"""",IFERROR(IF(K5477="""","""",query('tbl user'!$A$2:$D10975,""SELECT A WHERE D = '""&amp;K5477&amp;""'"")),""USER TIDAK DIKETAHUI""))"),"")</f>
        <v/>
      </c>
    </row>
    <row r="5478">
      <c r="A5478" s="21">
        <f t="shared" si="1"/>
        <v>45481.40175</v>
      </c>
      <c r="B5478" s="40" t="s">
        <v>2395</v>
      </c>
      <c r="C5478" s="23" t="s">
        <v>1847</v>
      </c>
      <c r="D5478" s="23" t="s">
        <v>21</v>
      </c>
      <c r="E5478" s="24">
        <v>45480.0</v>
      </c>
      <c r="F5478" s="25">
        <v>0.26458333333333334</v>
      </c>
      <c r="G5478" s="25">
        <v>0.5798611111111112</v>
      </c>
      <c r="H5478" s="27">
        <f t="shared" si="2"/>
        <v>0.3152777778</v>
      </c>
      <c r="I5478" s="28">
        <v>2.0</v>
      </c>
      <c r="J5478" s="39" t="s">
        <v>2697</v>
      </c>
      <c r="K5478" s="41"/>
      <c r="L5478" s="31" t="str">
        <f>IFERROR(__xludf.DUMMYFUNCTION("IF(OR(E5478="""",K5478=""""),"""",IFERROR(IF(K5478="""","""",query('tbl user'!$A$2:$D10975,""SELECT A WHERE D = '""&amp;K5478&amp;""'"")),""USER TIDAK DIKETAHUI""))"),"")</f>
        <v/>
      </c>
    </row>
    <row r="5479">
      <c r="A5479" s="21">
        <f t="shared" si="1"/>
        <v>45481.40178</v>
      </c>
      <c r="B5479" s="40" t="s">
        <v>2392</v>
      </c>
      <c r="C5479" s="23" t="s">
        <v>1851</v>
      </c>
      <c r="D5479" s="23" t="s">
        <v>21</v>
      </c>
      <c r="E5479" s="24">
        <v>45480.0</v>
      </c>
      <c r="F5479" s="25">
        <v>0.25277777777777777</v>
      </c>
      <c r="G5479" s="25">
        <v>0.6444444444444445</v>
      </c>
      <c r="H5479" s="27">
        <f t="shared" si="2"/>
        <v>0.3916666667</v>
      </c>
      <c r="I5479" s="28">
        <v>3.0</v>
      </c>
      <c r="J5479" s="39" t="s">
        <v>2698</v>
      </c>
      <c r="K5479" s="41"/>
      <c r="L5479" s="31" t="str">
        <f>IFERROR(__xludf.DUMMYFUNCTION("IF(OR(E5479="""",K5479=""""),"""",IFERROR(IF(K5479="""","""",query('tbl user'!$A$2:$D10975,""SELECT A WHERE D = '""&amp;K5479&amp;""'"")),""USER TIDAK DIKETAHUI""))"),"")</f>
        <v/>
      </c>
    </row>
    <row r="5480">
      <c r="A5480" s="21">
        <f t="shared" si="1"/>
        <v>45481.40182</v>
      </c>
      <c r="B5480" s="40" t="s">
        <v>2376</v>
      </c>
      <c r="C5480" s="23" t="s">
        <v>1853</v>
      </c>
      <c r="D5480" s="23" t="s">
        <v>21</v>
      </c>
      <c r="E5480" s="24">
        <v>45480.0</v>
      </c>
      <c r="F5480" s="25">
        <v>0.2847222222222222</v>
      </c>
      <c r="G5480" s="25">
        <v>0.6791666666666667</v>
      </c>
      <c r="H5480" s="27">
        <f t="shared" si="2"/>
        <v>0.3944444444</v>
      </c>
      <c r="I5480" s="28">
        <v>3.0</v>
      </c>
      <c r="J5480" s="39" t="s">
        <v>2699</v>
      </c>
      <c r="K5480" s="41"/>
      <c r="L5480" s="31" t="str">
        <f>IFERROR(__xludf.DUMMYFUNCTION("IF(OR(E5480="""",K5480=""""),"""",IFERROR(IF(K5480="""","""",query('tbl user'!$A$2:$D10975,""SELECT A WHERE D = '""&amp;K5480&amp;""'"")),""USER TIDAK DIKETAHUI""))"),"")</f>
        <v/>
      </c>
    </row>
    <row r="5481">
      <c r="A5481" s="21">
        <f t="shared" si="1"/>
        <v>45481.40187</v>
      </c>
      <c r="B5481" s="40" t="s">
        <v>2384</v>
      </c>
      <c r="C5481" s="23" t="s">
        <v>1922</v>
      </c>
      <c r="D5481" s="23" t="s">
        <v>21</v>
      </c>
      <c r="E5481" s="24">
        <v>45480.0</v>
      </c>
      <c r="F5481" s="25">
        <v>0.28680555555555554</v>
      </c>
      <c r="G5481" s="25">
        <v>0.6847222222222222</v>
      </c>
      <c r="H5481" s="27">
        <f t="shared" si="2"/>
        <v>0.3979166667</v>
      </c>
      <c r="I5481" s="28">
        <v>3.0</v>
      </c>
      <c r="J5481" s="39" t="s">
        <v>2700</v>
      </c>
      <c r="K5481" s="41"/>
      <c r="L5481" s="31" t="str">
        <f>IFERROR(__xludf.DUMMYFUNCTION("IF(OR(E5481="""",K5481=""""),"""",IFERROR(IF(K5481="""","""",query('tbl user'!$A$2:$D10975,""SELECT A WHERE D = '""&amp;K5481&amp;""'"")),""USER TIDAK DIKETAHUI""))"),"")</f>
        <v/>
      </c>
    </row>
    <row r="5482">
      <c r="A5482" s="21">
        <f t="shared" si="1"/>
        <v>45481.40191</v>
      </c>
      <c r="B5482" s="40" t="s">
        <v>2378</v>
      </c>
      <c r="C5482" s="23" t="s">
        <v>1844</v>
      </c>
      <c r="D5482" s="23" t="s">
        <v>21</v>
      </c>
      <c r="E5482" s="24">
        <v>45480.0</v>
      </c>
      <c r="F5482" s="25">
        <v>0.28194444444444444</v>
      </c>
      <c r="G5482" s="25">
        <v>0.70625</v>
      </c>
      <c r="H5482" s="27">
        <f t="shared" si="2"/>
        <v>0.4243055556</v>
      </c>
      <c r="I5482" s="28">
        <v>3.0</v>
      </c>
      <c r="J5482" s="39" t="s">
        <v>2698</v>
      </c>
      <c r="K5482" s="41"/>
      <c r="L5482" s="31" t="str">
        <f>IFERROR(__xludf.DUMMYFUNCTION("IF(OR(E5482="""",K5482=""""),"""",IFERROR(IF(K5482="""","""",query('tbl user'!$A$2:$D10975,""SELECT A WHERE D = '""&amp;K5482&amp;""'"")),""USER TIDAK DIKETAHUI""))"),"")</f>
        <v/>
      </c>
    </row>
    <row r="5483">
      <c r="A5483" s="21">
        <f t="shared" si="1"/>
        <v>45481.40196</v>
      </c>
      <c r="B5483" s="40" t="s">
        <v>2387</v>
      </c>
      <c r="C5483" s="23" t="s">
        <v>1925</v>
      </c>
      <c r="D5483" s="23" t="s">
        <v>21</v>
      </c>
      <c r="E5483" s="24">
        <v>45480.0</v>
      </c>
      <c r="F5483" s="25">
        <v>0.2916666666666667</v>
      </c>
      <c r="G5483" s="25">
        <v>0.7166666666666667</v>
      </c>
      <c r="H5483" s="27">
        <f t="shared" si="2"/>
        <v>0.425</v>
      </c>
      <c r="I5483" s="28">
        <v>3.0</v>
      </c>
      <c r="J5483" s="39" t="s">
        <v>2698</v>
      </c>
      <c r="K5483" s="41"/>
      <c r="L5483" s="31" t="str">
        <f>IFERROR(__xludf.DUMMYFUNCTION("IF(OR(E5483="""",K5483=""""),"""",IFERROR(IF(K5483="""","""",query('tbl user'!$A$2:$D10975,""SELECT A WHERE D = '""&amp;K5483&amp;""'"")),""USER TIDAK DIKETAHUI""))"),"")</f>
        <v/>
      </c>
    </row>
    <row r="5484">
      <c r="A5484" s="21">
        <f t="shared" si="1"/>
        <v>45481.40201</v>
      </c>
      <c r="B5484" s="40" t="s">
        <v>2385</v>
      </c>
      <c r="C5484" s="23" t="s">
        <v>2049</v>
      </c>
      <c r="D5484" s="23" t="s">
        <v>21</v>
      </c>
      <c r="E5484" s="24">
        <v>45480.0</v>
      </c>
      <c r="F5484" s="25">
        <v>0.2902777777777778</v>
      </c>
      <c r="G5484" s="25">
        <v>0.6986111111111111</v>
      </c>
      <c r="H5484" s="27">
        <f t="shared" si="2"/>
        <v>0.4083333333</v>
      </c>
      <c r="I5484" s="28">
        <v>3.0</v>
      </c>
      <c r="J5484" s="39" t="s">
        <v>2698</v>
      </c>
      <c r="K5484" s="41"/>
      <c r="L5484" s="31" t="str">
        <f>IFERROR(__xludf.DUMMYFUNCTION("IF(OR(E5484="""",K5484=""""),"""",IFERROR(IF(K5484="""","""",query('tbl user'!$A$2:$D10975,""SELECT A WHERE D = '""&amp;K5484&amp;""'"")),""USER TIDAK DIKETAHUI""))"),"")</f>
        <v/>
      </c>
    </row>
    <row r="5485">
      <c r="A5485" s="21">
        <f t="shared" si="1"/>
        <v>45481.40205</v>
      </c>
      <c r="B5485" s="40" t="s">
        <v>2382</v>
      </c>
      <c r="C5485" s="23" t="s">
        <v>1858</v>
      </c>
      <c r="D5485" s="23" t="s">
        <v>21</v>
      </c>
      <c r="E5485" s="24">
        <v>45480.0</v>
      </c>
      <c r="F5485" s="25">
        <v>0.24097222222222223</v>
      </c>
      <c r="G5485" s="25">
        <v>0.6465277777777778</v>
      </c>
      <c r="H5485" s="27">
        <f t="shared" si="2"/>
        <v>0.4055555556</v>
      </c>
      <c r="I5485" s="28">
        <v>3.0</v>
      </c>
      <c r="J5485" s="39" t="s">
        <v>2701</v>
      </c>
      <c r="K5485" s="41"/>
      <c r="L5485" s="31" t="str">
        <f>IFERROR(__xludf.DUMMYFUNCTION("IF(OR(E5485="""",K5485=""""),"""",IFERROR(IF(K5485="""","""",query('tbl user'!$A$2:$D10975,""SELECT A WHERE D = '""&amp;K5485&amp;""'"")),""USER TIDAK DIKETAHUI""))"),"")</f>
        <v/>
      </c>
    </row>
    <row r="5486">
      <c r="A5486" s="21">
        <f t="shared" si="1"/>
        <v>45481.4021</v>
      </c>
      <c r="B5486" s="40" t="s">
        <v>2560</v>
      </c>
      <c r="C5486" s="23" t="s">
        <v>1849</v>
      </c>
      <c r="D5486" s="23" t="s">
        <v>21</v>
      </c>
      <c r="E5486" s="24">
        <v>45480.0</v>
      </c>
      <c r="F5486" s="25">
        <v>0.25972222222222224</v>
      </c>
      <c r="G5486" s="25">
        <v>0.6597222222222222</v>
      </c>
      <c r="H5486" s="27">
        <f t="shared" si="2"/>
        <v>0.4</v>
      </c>
      <c r="I5486" s="28">
        <v>3.0</v>
      </c>
      <c r="J5486" s="39" t="s">
        <v>2702</v>
      </c>
      <c r="K5486" s="41"/>
      <c r="L5486" s="31" t="str">
        <f>IFERROR(__xludf.DUMMYFUNCTION("IF(OR(E5486="""",K5486=""""),"""",IFERROR(IF(K5486="""","""",query('tbl user'!$A$2:$D10975,""SELECT A WHERE D = '""&amp;K5486&amp;""'"")),""USER TIDAK DIKETAHUI""))"),"")</f>
        <v/>
      </c>
    </row>
    <row r="5487">
      <c r="A5487" s="21">
        <f t="shared" si="1"/>
        <v>45481.40215</v>
      </c>
      <c r="B5487" s="40" t="s">
        <v>2457</v>
      </c>
      <c r="C5487" s="23" t="s">
        <v>2005</v>
      </c>
      <c r="D5487" s="23" t="s">
        <v>21</v>
      </c>
      <c r="E5487" s="24">
        <v>45480.0</v>
      </c>
      <c r="F5487" s="25">
        <v>0.23680555555555555</v>
      </c>
      <c r="G5487" s="25">
        <v>0.7493055555555556</v>
      </c>
      <c r="H5487" s="27">
        <f t="shared" si="2"/>
        <v>0.5125</v>
      </c>
      <c r="I5487" s="28">
        <v>3.0</v>
      </c>
      <c r="J5487" s="39" t="s">
        <v>2703</v>
      </c>
      <c r="K5487" s="41"/>
      <c r="L5487" s="31" t="str">
        <f>IFERROR(__xludf.DUMMYFUNCTION("IF(OR(E5487="""",K5487=""""),"""",IFERROR(IF(K5487="""","""",query('tbl user'!$A$2:$D10975,""SELECT A WHERE D = '""&amp;K5487&amp;""'"")),""USER TIDAK DIKETAHUI""))"),"")</f>
        <v/>
      </c>
    </row>
    <row r="5488">
      <c r="A5488" s="21">
        <f t="shared" si="1"/>
        <v>45481.40222</v>
      </c>
      <c r="B5488" s="40" t="s">
        <v>2374</v>
      </c>
      <c r="C5488" s="23" t="s">
        <v>1850</v>
      </c>
      <c r="D5488" s="23" t="s">
        <v>21</v>
      </c>
      <c r="E5488" s="24">
        <v>45480.0</v>
      </c>
      <c r="F5488" s="25">
        <v>0.29097222222222224</v>
      </c>
      <c r="G5488" s="25">
        <v>0.6993055555555555</v>
      </c>
      <c r="H5488" s="27">
        <f t="shared" si="2"/>
        <v>0.4083333333</v>
      </c>
      <c r="I5488" s="28">
        <v>3.0</v>
      </c>
      <c r="J5488" s="39" t="s">
        <v>2704</v>
      </c>
      <c r="K5488" s="41"/>
      <c r="L5488" s="31" t="str">
        <f>IFERROR(__xludf.DUMMYFUNCTION("IF(OR(E5488="""",K5488=""""),"""",IFERROR(IF(K5488="""","""",query('tbl user'!$A$2:$D10975,""SELECT A WHERE D = '""&amp;K5488&amp;""'"")),""USER TIDAK DIKETAHUI""))"),"")</f>
        <v/>
      </c>
    </row>
    <row r="5489">
      <c r="A5489" s="21">
        <f t="shared" si="1"/>
        <v>45481.40231</v>
      </c>
      <c r="B5489" s="40" t="s">
        <v>2390</v>
      </c>
      <c r="C5489" s="23" t="s">
        <v>2136</v>
      </c>
      <c r="D5489" s="23" t="s">
        <v>21</v>
      </c>
      <c r="E5489" s="24">
        <v>45480.0</v>
      </c>
      <c r="F5489" s="25">
        <v>0.2861111111111111</v>
      </c>
      <c r="G5489" s="25">
        <v>0.7513888888888889</v>
      </c>
      <c r="H5489" s="27">
        <f t="shared" si="2"/>
        <v>0.4652777778</v>
      </c>
      <c r="I5489" s="28">
        <v>4.0</v>
      </c>
      <c r="J5489" s="39" t="s">
        <v>2698</v>
      </c>
      <c r="K5489" s="41"/>
      <c r="L5489" s="31" t="str">
        <f>IFERROR(__xludf.DUMMYFUNCTION("IF(OR(E5489="""",K5489=""""),"""",IFERROR(IF(K5489="""","""",query('tbl user'!$A$2:$D10975,""SELECT A WHERE D = '""&amp;K5489&amp;""'"")),""USER TIDAK DIKETAHUI""))"),"")</f>
        <v/>
      </c>
    </row>
    <row r="5490">
      <c r="A5490" s="21">
        <f t="shared" si="1"/>
        <v>45481.40236</v>
      </c>
      <c r="B5490" s="40" t="s">
        <v>2379</v>
      </c>
      <c r="C5490" s="23" t="s">
        <v>1835</v>
      </c>
      <c r="D5490" s="23" t="s">
        <v>21</v>
      </c>
      <c r="E5490" s="24">
        <v>45480.0</v>
      </c>
      <c r="F5490" s="25">
        <v>0.22847222222222222</v>
      </c>
      <c r="G5490" s="25">
        <v>0.6979166666666666</v>
      </c>
      <c r="H5490" s="27">
        <f t="shared" si="2"/>
        <v>0.4694444444</v>
      </c>
      <c r="I5490" s="28">
        <v>4.0</v>
      </c>
      <c r="J5490" s="39" t="s">
        <v>2705</v>
      </c>
      <c r="K5490" s="41"/>
      <c r="L5490" s="31" t="str">
        <f>IFERROR(__xludf.DUMMYFUNCTION("IF(OR(E5490="""",K5490=""""),"""",IFERROR(IF(K5490="""","""",query('tbl user'!$A$2:$D10975,""SELECT A WHERE D = '""&amp;K5490&amp;""'"")),""USER TIDAK DIKETAHUI""))"),"")</f>
        <v/>
      </c>
    </row>
    <row r="5491">
      <c r="A5491" s="21">
        <f t="shared" si="1"/>
        <v>45481.4024</v>
      </c>
      <c r="B5491" s="40" t="s">
        <v>2397</v>
      </c>
      <c r="C5491" s="23" t="s">
        <v>1852</v>
      </c>
      <c r="D5491" s="23" t="s">
        <v>21</v>
      </c>
      <c r="E5491" s="24">
        <v>45480.0</v>
      </c>
      <c r="F5491" s="25">
        <v>0.23819444444444443</v>
      </c>
      <c r="G5491" s="25">
        <v>0.6111111111111112</v>
      </c>
      <c r="H5491" s="27">
        <f t="shared" si="2"/>
        <v>0.3729166667</v>
      </c>
      <c r="I5491" s="28">
        <v>2.0</v>
      </c>
      <c r="J5491" s="39" t="s">
        <v>2706</v>
      </c>
      <c r="K5491" s="41"/>
      <c r="L5491" s="31" t="str">
        <f>IFERROR(__xludf.DUMMYFUNCTION("IF(OR(E5491="""",K5491=""""),"""",IFERROR(IF(K5491="""","""",query('tbl user'!$A$2:$D10975,""SELECT A WHERE D = '""&amp;K5491&amp;""'"")),""USER TIDAK DIKETAHUI""))"),"")</f>
        <v/>
      </c>
    </row>
    <row r="5492">
      <c r="A5492" s="21">
        <f t="shared" si="1"/>
        <v>45481.40247</v>
      </c>
      <c r="B5492" s="40" t="s">
        <v>2401</v>
      </c>
      <c r="C5492" s="23" t="s">
        <v>1841</v>
      </c>
      <c r="D5492" s="23" t="s">
        <v>21</v>
      </c>
      <c r="E5492" s="24">
        <v>45480.0</v>
      </c>
      <c r="F5492" s="25">
        <v>0.29097222222222224</v>
      </c>
      <c r="G5492" s="25">
        <v>0.68125</v>
      </c>
      <c r="H5492" s="27">
        <f t="shared" si="2"/>
        <v>0.3902777778</v>
      </c>
      <c r="I5492" s="28">
        <v>2.0</v>
      </c>
      <c r="J5492" s="39" t="s">
        <v>2707</v>
      </c>
      <c r="K5492" s="41"/>
      <c r="L5492" s="31" t="str">
        <f>IFERROR(__xludf.DUMMYFUNCTION("IF(OR(E5492="""",K5492=""""),"""",IFERROR(IF(K5492="""","""",query('tbl user'!$A$2:$D10975,""SELECT A WHERE D = '""&amp;K5492&amp;""'"")),""USER TIDAK DIKETAHUI""))"),"")</f>
        <v/>
      </c>
    </row>
    <row r="5493">
      <c r="A5493" s="21">
        <f t="shared" si="1"/>
        <v>45481.40251</v>
      </c>
      <c r="B5493" s="40" t="s">
        <v>2400</v>
      </c>
      <c r="C5493" s="23" t="s">
        <v>1917</v>
      </c>
      <c r="D5493" s="23" t="s">
        <v>21</v>
      </c>
      <c r="E5493" s="24">
        <v>45480.0</v>
      </c>
      <c r="F5493" s="25">
        <v>0.26944444444444443</v>
      </c>
      <c r="G5493" s="25">
        <v>0.6659722222222222</v>
      </c>
      <c r="H5493" s="27">
        <f t="shared" si="2"/>
        <v>0.3965277778</v>
      </c>
      <c r="I5493" s="28">
        <v>3.0</v>
      </c>
      <c r="J5493" s="39" t="s">
        <v>2607</v>
      </c>
      <c r="K5493" s="41"/>
      <c r="L5493" s="31" t="str">
        <f>IFERROR(__xludf.DUMMYFUNCTION("IF(OR(E5493="""",K5493=""""),"""",IFERROR(IF(K5493="""","""",query('tbl user'!$A$2:$D10975,""SELECT A WHERE D = '""&amp;K5493&amp;""'"")),""USER TIDAK DIKETAHUI""))"),"")</f>
        <v/>
      </c>
    </row>
    <row r="5494">
      <c r="A5494" s="21">
        <f t="shared" si="1"/>
        <v>45481.40276</v>
      </c>
      <c r="B5494" s="40" t="s">
        <v>2415</v>
      </c>
      <c r="C5494" s="23" t="s">
        <v>1867</v>
      </c>
      <c r="D5494" s="23" t="s">
        <v>58</v>
      </c>
      <c r="E5494" s="24">
        <v>45480.0</v>
      </c>
      <c r="F5494" s="25">
        <v>0.32430555555555557</v>
      </c>
      <c r="G5494" s="28" t="s">
        <v>1817</v>
      </c>
      <c r="H5494" s="27" t="str">
        <f t="shared" si="2"/>
        <v/>
      </c>
      <c r="I5494" s="28">
        <v>0.0</v>
      </c>
      <c r="J5494" s="39" t="s">
        <v>2708</v>
      </c>
      <c r="K5494" s="41"/>
      <c r="L5494" s="31" t="str">
        <f>IFERROR(__xludf.DUMMYFUNCTION("IF(OR(E5494="""",K5494=""""),"""",IFERROR(IF(K5494="""","""",query('tbl user'!$A$2:$D10975,""SELECT A WHERE D = '""&amp;K5494&amp;""'"")),""USER TIDAK DIKETAHUI""))"),"")</f>
        <v/>
      </c>
    </row>
    <row r="5495">
      <c r="A5495" s="21">
        <f t="shared" si="1"/>
        <v>45481.40287</v>
      </c>
      <c r="B5495" s="40" t="s">
        <v>2406</v>
      </c>
      <c r="C5495" s="23" t="s">
        <v>1871</v>
      </c>
      <c r="D5495" s="23" t="s">
        <v>58</v>
      </c>
      <c r="E5495" s="24">
        <v>45480.0</v>
      </c>
      <c r="F5495" s="25">
        <v>0.2513888888888889</v>
      </c>
      <c r="G5495" s="25">
        <v>0.29791666666666666</v>
      </c>
      <c r="H5495" s="27">
        <f t="shared" si="2"/>
        <v>0.04652777778</v>
      </c>
      <c r="I5495" s="28">
        <v>0.0</v>
      </c>
      <c r="J5495" s="39" t="s">
        <v>1362</v>
      </c>
      <c r="K5495" s="41"/>
      <c r="L5495" s="31" t="str">
        <f>IFERROR(__xludf.DUMMYFUNCTION("IF(OR(E5495="""",K5495=""""),"""",IFERROR(IF(K5495="""","""",query('tbl user'!$A$2:$D10975,""SELECT A WHERE D = '""&amp;K5495&amp;""'"")),""USER TIDAK DIKETAHUI""))"),"")</f>
        <v/>
      </c>
    </row>
    <row r="5496">
      <c r="A5496" s="21">
        <f t="shared" si="1"/>
        <v>45481.40293</v>
      </c>
      <c r="B5496" s="40" t="s">
        <v>2361</v>
      </c>
      <c r="C5496" s="23" t="s">
        <v>1875</v>
      </c>
      <c r="D5496" s="23" t="s">
        <v>58</v>
      </c>
      <c r="E5496" s="24">
        <v>45480.0</v>
      </c>
      <c r="F5496" s="25">
        <v>0.4048611111111111</v>
      </c>
      <c r="G5496" s="25">
        <v>0.4930555555555556</v>
      </c>
      <c r="H5496" s="27">
        <f t="shared" si="2"/>
        <v>0.08819444444</v>
      </c>
      <c r="I5496" s="28">
        <v>1.0</v>
      </c>
      <c r="J5496" s="39" t="s">
        <v>2709</v>
      </c>
      <c r="K5496" s="41"/>
      <c r="L5496" s="31" t="str">
        <f>IFERROR(__xludf.DUMMYFUNCTION("IF(OR(E5496="""",K5496=""""),"""",IFERROR(IF(K5496="""","""",query('tbl user'!$A$2:$D10975,""SELECT A WHERE D = '""&amp;K5496&amp;""'"")),""USER TIDAK DIKETAHUI""))"),"")</f>
        <v/>
      </c>
    </row>
    <row r="5497">
      <c r="A5497" s="21">
        <f t="shared" si="1"/>
        <v>45481.40298</v>
      </c>
      <c r="B5497" s="40" t="s">
        <v>2410</v>
      </c>
      <c r="C5497" s="23" t="s">
        <v>2090</v>
      </c>
      <c r="D5497" s="23" t="s">
        <v>58</v>
      </c>
      <c r="E5497" s="24">
        <v>45480.0</v>
      </c>
      <c r="F5497" s="25">
        <v>0.29375</v>
      </c>
      <c r="G5497" s="25">
        <v>0.6194444444444445</v>
      </c>
      <c r="H5497" s="27">
        <f t="shared" si="2"/>
        <v>0.3256944444</v>
      </c>
      <c r="I5497" s="28">
        <v>1.0</v>
      </c>
      <c r="J5497" s="39" t="s">
        <v>934</v>
      </c>
      <c r="K5497" s="41"/>
      <c r="L5497" s="31" t="str">
        <f>IFERROR(__xludf.DUMMYFUNCTION("IF(OR(E5497="""",K5497=""""),"""",IFERROR(IF(K5497="""","""",query('tbl user'!$A$2:$D10975,""SELECT A WHERE D = '""&amp;K5497&amp;""'"")),""USER TIDAK DIKETAHUI""))"),"")</f>
        <v/>
      </c>
    </row>
    <row r="5498">
      <c r="A5498" s="21">
        <f t="shared" si="1"/>
        <v>45481.40304</v>
      </c>
      <c r="B5498" s="40" t="s">
        <v>2432</v>
      </c>
      <c r="C5498" s="23" t="s">
        <v>1860</v>
      </c>
      <c r="D5498" s="23" t="s">
        <v>58</v>
      </c>
      <c r="E5498" s="24">
        <v>45480.0</v>
      </c>
      <c r="F5498" s="25">
        <v>0.2916666666666667</v>
      </c>
      <c r="G5498" s="25">
        <v>0.5805555555555556</v>
      </c>
      <c r="H5498" s="27">
        <f t="shared" si="2"/>
        <v>0.2888888889</v>
      </c>
      <c r="I5498" s="28">
        <v>2.0</v>
      </c>
      <c r="J5498" s="39" t="s">
        <v>2710</v>
      </c>
      <c r="K5498" s="41"/>
      <c r="L5498" s="31" t="str">
        <f>IFERROR(__xludf.DUMMYFUNCTION("IF(OR(E5498="""",K5498=""""),"""",IFERROR(IF(K5498="""","""",query('tbl user'!$A$2:$D10975,""SELECT A WHERE D = '""&amp;K5498&amp;""'"")),""USER TIDAK DIKETAHUI""))"),"")</f>
        <v/>
      </c>
    </row>
    <row r="5499">
      <c r="A5499" s="21">
        <f t="shared" si="1"/>
        <v>45481.40308</v>
      </c>
      <c r="B5499" s="40" t="s">
        <v>2351</v>
      </c>
      <c r="C5499" s="23" t="s">
        <v>1891</v>
      </c>
      <c r="D5499" s="23" t="s">
        <v>58</v>
      </c>
      <c r="E5499" s="24">
        <v>45480.0</v>
      </c>
      <c r="F5499" s="25">
        <v>0.2423611111111111</v>
      </c>
      <c r="G5499" s="25">
        <v>0.5840277777777778</v>
      </c>
      <c r="H5499" s="27">
        <f t="shared" si="2"/>
        <v>0.3416666667</v>
      </c>
      <c r="I5499" s="28">
        <v>2.0</v>
      </c>
      <c r="J5499" s="39" t="s">
        <v>2711</v>
      </c>
      <c r="K5499" s="41"/>
      <c r="L5499" s="31" t="str">
        <f>IFERROR(__xludf.DUMMYFUNCTION("IF(OR(E5499="""",K5499=""""),"""",IFERROR(IF(K5499="""","""",query('tbl user'!$A$2:$D10975,""SELECT A WHERE D = '""&amp;K5499&amp;""'"")),""USER TIDAK DIKETAHUI""))"),"")</f>
        <v/>
      </c>
    </row>
    <row r="5500">
      <c r="A5500" s="21">
        <f t="shared" si="1"/>
        <v>45481.40313</v>
      </c>
      <c r="B5500" s="40" t="s">
        <v>2363</v>
      </c>
      <c r="C5500" s="23" t="s">
        <v>1874</v>
      </c>
      <c r="D5500" s="23" t="s">
        <v>58</v>
      </c>
      <c r="E5500" s="24">
        <v>45480.0</v>
      </c>
      <c r="F5500" s="25">
        <v>0.2902777777777778</v>
      </c>
      <c r="G5500" s="25">
        <v>0.6888888888888889</v>
      </c>
      <c r="H5500" s="27">
        <f t="shared" si="2"/>
        <v>0.3986111111</v>
      </c>
      <c r="I5500" s="28">
        <v>3.0</v>
      </c>
      <c r="J5500" s="39" t="s">
        <v>2712</v>
      </c>
      <c r="K5500" s="41"/>
      <c r="L5500" s="31" t="str">
        <f>IFERROR(__xludf.DUMMYFUNCTION("IF(OR(E5500="""",K5500=""""),"""",IFERROR(IF(K5500="""","""",query('tbl user'!$A$2:$D10975,""SELECT A WHERE D = '""&amp;K5500&amp;""'"")),""USER TIDAK DIKETAHUI""))"),"")</f>
        <v/>
      </c>
    </row>
    <row r="5501">
      <c r="A5501" s="21">
        <f t="shared" si="1"/>
        <v>45481.40328</v>
      </c>
      <c r="B5501" s="40" t="s">
        <v>2417</v>
      </c>
      <c r="C5501" s="23" t="s">
        <v>1941</v>
      </c>
      <c r="D5501" s="23" t="s">
        <v>58</v>
      </c>
      <c r="E5501" s="24">
        <v>45480.0</v>
      </c>
      <c r="F5501" s="25">
        <v>0.29097222222222224</v>
      </c>
      <c r="G5501" s="25">
        <v>0.6840277777777778</v>
      </c>
      <c r="H5501" s="27">
        <f t="shared" si="2"/>
        <v>0.3930555556</v>
      </c>
      <c r="I5501" s="28">
        <v>3.0</v>
      </c>
      <c r="J5501" s="39" t="s">
        <v>171</v>
      </c>
      <c r="K5501" s="41"/>
      <c r="L5501" s="31" t="str">
        <f>IFERROR(__xludf.DUMMYFUNCTION("IF(OR(E5501="""",K5501=""""),"""",IFERROR(IF(K5501="""","""",query('tbl user'!$A$2:$D10975,""SELECT A WHERE D = '""&amp;K5501&amp;""'"")),""USER TIDAK DIKETAHUI""))"),"")</f>
        <v/>
      </c>
    </row>
    <row r="5502">
      <c r="A5502" s="21">
        <f t="shared" si="1"/>
        <v>45481.40351</v>
      </c>
      <c r="B5502" s="40" t="s">
        <v>2419</v>
      </c>
      <c r="C5502" s="23" t="s">
        <v>1882</v>
      </c>
      <c r="D5502" s="23" t="s">
        <v>58</v>
      </c>
      <c r="E5502" s="24">
        <v>45480.0</v>
      </c>
      <c r="F5502" s="25">
        <v>0.2881944444444444</v>
      </c>
      <c r="G5502" s="25">
        <v>0.7215277777777778</v>
      </c>
      <c r="H5502" s="27">
        <f t="shared" si="2"/>
        <v>0.4333333333</v>
      </c>
      <c r="I5502" s="28">
        <v>3.0</v>
      </c>
      <c r="J5502" s="39" t="s">
        <v>2713</v>
      </c>
      <c r="K5502" s="41"/>
      <c r="L5502" s="31" t="str">
        <f>IFERROR(__xludf.DUMMYFUNCTION("IF(OR(E5502="""",K5502=""""),"""",IFERROR(IF(K5502="""","""",query('tbl user'!$A$2:$D10975,""SELECT A WHERE D = '""&amp;K5502&amp;""'"")),""USER TIDAK DIKETAHUI""))"),"")</f>
        <v/>
      </c>
    </row>
    <row r="5503">
      <c r="A5503" s="21">
        <f t="shared" si="1"/>
        <v>45481.40356</v>
      </c>
      <c r="B5503" s="40" t="s">
        <v>2421</v>
      </c>
      <c r="C5503" s="23" t="s">
        <v>1883</v>
      </c>
      <c r="D5503" s="23" t="s">
        <v>58</v>
      </c>
      <c r="E5503" s="24">
        <v>45480.0</v>
      </c>
      <c r="F5503" s="25">
        <v>0.28888888888888886</v>
      </c>
      <c r="G5503" s="25">
        <v>0.6666666666666666</v>
      </c>
      <c r="H5503" s="27">
        <f t="shared" si="2"/>
        <v>0.3777777778</v>
      </c>
      <c r="I5503" s="28">
        <v>3.0</v>
      </c>
      <c r="J5503" s="39" t="s">
        <v>171</v>
      </c>
      <c r="K5503" s="41"/>
      <c r="L5503" s="31" t="str">
        <f>IFERROR(__xludf.DUMMYFUNCTION("IF(OR(E5503="""",K5503=""""),"""",IFERROR(IF(K5503="""","""",query('tbl user'!$A$2:$D10975,""SELECT A WHERE D = '""&amp;K5503&amp;""'"")),""USER TIDAK DIKETAHUI""))"),"")</f>
        <v/>
      </c>
    </row>
    <row r="5504">
      <c r="A5504" s="21">
        <f t="shared" si="1"/>
        <v>45481.40361</v>
      </c>
      <c r="B5504" s="40" t="s">
        <v>2386</v>
      </c>
      <c r="C5504" s="23" t="s">
        <v>1872</v>
      </c>
      <c r="D5504" s="23" t="s">
        <v>58</v>
      </c>
      <c r="E5504" s="24">
        <v>45480.0</v>
      </c>
      <c r="F5504" s="25">
        <v>0.2923611111111111</v>
      </c>
      <c r="G5504" s="25">
        <v>0.7055555555555556</v>
      </c>
      <c r="H5504" s="27">
        <f t="shared" si="2"/>
        <v>0.4131944444</v>
      </c>
      <c r="I5504" s="28">
        <v>3.0</v>
      </c>
      <c r="J5504" s="39" t="s">
        <v>2714</v>
      </c>
      <c r="K5504" s="41"/>
      <c r="L5504" s="31" t="str">
        <f>IFERROR(__xludf.DUMMYFUNCTION("IF(OR(E5504="""",K5504=""""),"""",IFERROR(IF(K5504="""","""",query('tbl user'!$A$2:$D10975,""SELECT A WHERE D = '""&amp;K5504&amp;""'"")),""USER TIDAK DIKETAHUI""))"),"")</f>
        <v/>
      </c>
    </row>
    <row r="5505">
      <c r="A5505" s="21">
        <f t="shared" si="1"/>
        <v>45481.40366</v>
      </c>
      <c r="B5505" s="40" t="s">
        <v>2412</v>
      </c>
      <c r="C5505" s="23" t="s">
        <v>1890</v>
      </c>
      <c r="D5505" s="23" t="s">
        <v>58</v>
      </c>
      <c r="E5505" s="24">
        <v>45480.0</v>
      </c>
      <c r="F5505" s="25">
        <v>0.2833333333333333</v>
      </c>
      <c r="G5505" s="28" t="s">
        <v>1817</v>
      </c>
      <c r="H5505" s="27" t="str">
        <f t="shared" si="2"/>
        <v/>
      </c>
      <c r="I5505" s="28">
        <v>3.0</v>
      </c>
      <c r="J5505" s="39" t="s">
        <v>2715</v>
      </c>
      <c r="K5505" s="41"/>
      <c r="L5505" s="31" t="str">
        <f>IFERROR(__xludf.DUMMYFUNCTION("IF(OR(E5505="""",K5505=""""),"""",IFERROR(IF(K5505="""","""",query('tbl user'!$A$2:$D10975,""SELECT A WHERE D = '""&amp;K5505&amp;""'"")),""USER TIDAK DIKETAHUI""))"),"")</f>
        <v/>
      </c>
    </row>
    <row r="5506">
      <c r="A5506" s="21">
        <f t="shared" si="1"/>
        <v>45481.4037</v>
      </c>
      <c r="B5506" s="40" t="s">
        <v>2414</v>
      </c>
      <c r="C5506" s="23" t="s">
        <v>1865</v>
      </c>
      <c r="D5506" s="23" t="s">
        <v>58</v>
      </c>
      <c r="E5506" s="24">
        <v>45480.0</v>
      </c>
      <c r="F5506" s="25">
        <v>0.28888888888888886</v>
      </c>
      <c r="G5506" s="25">
        <v>0.7083333333333334</v>
      </c>
      <c r="H5506" s="27">
        <f t="shared" si="2"/>
        <v>0.4194444444</v>
      </c>
      <c r="I5506" s="28">
        <v>4.0</v>
      </c>
      <c r="J5506" s="39" t="s">
        <v>55</v>
      </c>
      <c r="K5506" s="41"/>
      <c r="L5506" s="31" t="str">
        <f>IFERROR(__xludf.DUMMYFUNCTION("IF(OR(E5506="""",K5506=""""),"""",IFERROR(IF(K5506="""","""",query('tbl user'!$A$2:$D10975,""SELECT A WHERE D = '""&amp;K5506&amp;""'"")),""USER TIDAK DIKETAHUI""))"),"")</f>
        <v/>
      </c>
    </row>
    <row r="5507">
      <c r="A5507" s="21">
        <f t="shared" si="1"/>
        <v>45481.40376</v>
      </c>
      <c r="B5507" s="40" t="s">
        <v>2431</v>
      </c>
      <c r="C5507" s="23" t="s">
        <v>1879</v>
      </c>
      <c r="D5507" s="23" t="s">
        <v>58</v>
      </c>
      <c r="E5507" s="24">
        <v>45480.0</v>
      </c>
      <c r="F5507" s="25">
        <v>0.26944444444444443</v>
      </c>
      <c r="G5507" s="25">
        <v>0.7138888888888889</v>
      </c>
      <c r="H5507" s="27">
        <f t="shared" si="2"/>
        <v>0.4444444444</v>
      </c>
      <c r="I5507" s="28">
        <v>4.0</v>
      </c>
      <c r="J5507" s="39" t="s">
        <v>55</v>
      </c>
      <c r="K5507" s="41"/>
      <c r="L5507" s="31" t="str">
        <f>IFERROR(__xludf.DUMMYFUNCTION("IF(OR(E5507="""",K5507=""""),"""",IFERROR(IF(K5507="""","""",query('tbl user'!$A$2:$D10975,""SELECT A WHERE D = '""&amp;K5507&amp;""'"")),""USER TIDAK DIKETAHUI""))"),"")</f>
        <v/>
      </c>
    </row>
    <row r="5508">
      <c r="A5508" s="21">
        <f t="shared" si="1"/>
        <v>45481.40385</v>
      </c>
      <c r="B5508" s="40" t="s">
        <v>2402</v>
      </c>
      <c r="C5508" s="23" t="s">
        <v>1881</v>
      </c>
      <c r="D5508" s="23" t="s">
        <v>58</v>
      </c>
      <c r="E5508" s="24">
        <v>45480.0</v>
      </c>
      <c r="F5508" s="25">
        <v>0.20972222222222223</v>
      </c>
      <c r="G5508" s="25">
        <v>0.6854166666666667</v>
      </c>
      <c r="H5508" s="27">
        <f t="shared" si="2"/>
        <v>0.4756944444</v>
      </c>
      <c r="I5508" s="28">
        <v>4.0</v>
      </c>
      <c r="J5508" s="39" t="s">
        <v>55</v>
      </c>
      <c r="K5508" s="41"/>
      <c r="L5508" s="31" t="str">
        <f>IFERROR(__xludf.DUMMYFUNCTION("IF(OR(E5508="""",K5508=""""),"""",IFERROR(IF(K5508="""","""",query('tbl user'!$A$2:$D10975,""SELECT A WHERE D = '""&amp;K5508&amp;""'"")),""USER TIDAK DIKETAHUI""))"),"")</f>
        <v/>
      </c>
    </row>
    <row r="5509">
      <c r="A5509" s="21">
        <f t="shared" si="1"/>
        <v>45481.40391</v>
      </c>
      <c r="B5509" s="40" t="s">
        <v>2432</v>
      </c>
      <c r="C5509" s="23" t="s">
        <v>1884</v>
      </c>
      <c r="D5509" s="23" t="s">
        <v>58</v>
      </c>
      <c r="E5509" s="24">
        <v>45480.0</v>
      </c>
      <c r="F5509" s="25">
        <v>0.22430555555555556</v>
      </c>
      <c r="G5509" s="25">
        <v>0.6798611111111111</v>
      </c>
      <c r="H5509" s="27">
        <f t="shared" si="2"/>
        <v>0.4555555556</v>
      </c>
      <c r="I5509" s="28">
        <v>4.0</v>
      </c>
      <c r="J5509" s="39" t="s">
        <v>55</v>
      </c>
      <c r="K5509" s="41"/>
      <c r="L5509" s="31" t="str">
        <f>IFERROR(__xludf.DUMMYFUNCTION("IF(OR(E5509="""",K5509=""""),"""",IFERROR(IF(K5509="""","""",query('tbl user'!$A$2:$D10975,""SELECT A WHERE D = '""&amp;K5509&amp;""'"")),""USER TIDAK DIKETAHUI""))"),"")</f>
        <v/>
      </c>
    </row>
    <row r="5510">
      <c r="A5510" s="21">
        <f t="shared" si="1"/>
        <v>45481.40396</v>
      </c>
      <c r="B5510" s="40" t="s">
        <v>2433</v>
      </c>
      <c r="C5510" s="23" t="s">
        <v>1950</v>
      </c>
      <c r="D5510" s="23" t="s">
        <v>58</v>
      </c>
      <c r="E5510" s="24">
        <v>45480.0</v>
      </c>
      <c r="F5510" s="25">
        <v>0.23541666666666666</v>
      </c>
      <c r="G5510" s="25">
        <v>0.6493055555555556</v>
      </c>
      <c r="H5510" s="27">
        <f t="shared" si="2"/>
        <v>0.4138888889</v>
      </c>
      <c r="I5510" s="28">
        <v>4.0</v>
      </c>
      <c r="J5510" s="39" t="s">
        <v>55</v>
      </c>
      <c r="K5510" s="41"/>
      <c r="L5510" s="31" t="str">
        <f>IFERROR(__xludf.DUMMYFUNCTION("IF(OR(E5510="""",K5510=""""),"""",IFERROR(IF(K5510="""","""",query('tbl user'!$A$2:$D10975,""SELECT A WHERE D = '""&amp;K5510&amp;""'"")),""USER TIDAK DIKETAHUI""))"),"")</f>
        <v/>
      </c>
    </row>
    <row r="5511">
      <c r="A5511" s="21">
        <f t="shared" si="1"/>
        <v>45481.404</v>
      </c>
      <c r="B5511" s="40" t="s">
        <v>2423</v>
      </c>
      <c r="C5511" s="23" t="s">
        <v>1863</v>
      </c>
      <c r="D5511" s="23" t="s">
        <v>58</v>
      </c>
      <c r="E5511" s="24">
        <v>45480.0</v>
      </c>
      <c r="F5511" s="25">
        <v>0.24930555555555556</v>
      </c>
      <c r="G5511" s="25">
        <v>0.7069444444444445</v>
      </c>
      <c r="H5511" s="27">
        <f t="shared" si="2"/>
        <v>0.4576388889</v>
      </c>
      <c r="I5511" s="28">
        <v>4.0</v>
      </c>
      <c r="J5511" s="39" t="s">
        <v>55</v>
      </c>
      <c r="K5511" s="41"/>
      <c r="L5511" s="31" t="str">
        <f>IFERROR(__xludf.DUMMYFUNCTION("IF(OR(E5511="""",K5511=""""),"""",IFERROR(IF(K5511="""","""",query('tbl user'!$A$2:$D10975,""SELECT A WHERE D = '""&amp;K5511&amp;""'"")),""USER TIDAK DIKETAHUI""))"),"")</f>
        <v/>
      </c>
    </row>
    <row r="5512">
      <c r="A5512" s="21">
        <f t="shared" si="1"/>
        <v>45481.40404</v>
      </c>
      <c r="B5512" s="40" t="s">
        <v>2424</v>
      </c>
      <c r="C5512" s="23" t="s">
        <v>1886</v>
      </c>
      <c r="D5512" s="23" t="s">
        <v>58</v>
      </c>
      <c r="E5512" s="24">
        <v>45480.0</v>
      </c>
      <c r="F5512" s="25">
        <v>0.2520833333333333</v>
      </c>
      <c r="G5512" s="25">
        <v>0.6888888888888889</v>
      </c>
      <c r="H5512" s="27">
        <f t="shared" si="2"/>
        <v>0.4368055556</v>
      </c>
      <c r="I5512" s="28">
        <v>4.0</v>
      </c>
      <c r="J5512" s="39" t="s">
        <v>55</v>
      </c>
      <c r="K5512" s="41"/>
      <c r="L5512" s="31" t="str">
        <f>IFERROR(__xludf.DUMMYFUNCTION("IF(OR(E5512="""",K5512=""""),"""",IFERROR(IF(K5512="""","""",query('tbl user'!$A$2:$D10975,""SELECT A WHERE D = '""&amp;K5512&amp;""'"")),""USER TIDAK DIKETAHUI""))"),"")</f>
        <v/>
      </c>
    </row>
    <row r="5513">
      <c r="A5513" s="21">
        <f t="shared" si="1"/>
        <v>45481.40408</v>
      </c>
      <c r="B5513" s="40" t="s">
        <v>2716</v>
      </c>
      <c r="C5513" s="23" t="s">
        <v>1888</v>
      </c>
      <c r="D5513" s="23" t="s">
        <v>58</v>
      </c>
      <c r="E5513" s="24">
        <v>45480.0</v>
      </c>
      <c r="F5513" s="25">
        <v>0.28958333333333336</v>
      </c>
      <c r="G5513" s="25">
        <v>0.71875</v>
      </c>
      <c r="H5513" s="27">
        <f t="shared" si="2"/>
        <v>0.4291666667</v>
      </c>
      <c r="I5513" s="28">
        <v>4.0</v>
      </c>
      <c r="J5513" s="39" t="s">
        <v>55</v>
      </c>
      <c r="K5513" s="41"/>
      <c r="L5513" s="31" t="str">
        <f>IFERROR(__xludf.DUMMYFUNCTION("IF(OR(E5513="""",K5513=""""),"""",IFERROR(IF(K5513="""","""",query('tbl user'!$A$2:$D10975,""SELECT A WHERE D = '""&amp;K5513&amp;""'"")),""USER TIDAK DIKETAHUI""))"),"")</f>
        <v/>
      </c>
    </row>
    <row r="5514">
      <c r="A5514" s="21">
        <f t="shared" si="1"/>
        <v>45481.40412</v>
      </c>
      <c r="B5514" s="40" t="s">
        <v>2418</v>
      </c>
      <c r="C5514" s="23" t="s">
        <v>1889</v>
      </c>
      <c r="D5514" s="23" t="s">
        <v>58</v>
      </c>
      <c r="E5514" s="24">
        <v>45480.0</v>
      </c>
      <c r="F5514" s="25">
        <v>0.2652777777777778</v>
      </c>
      <c r="G5514" s="25">
        <v>0.7097222222222223</v>
      </c>
      <c r="H5514" s="27">
        <f t="shared" si="2"/>
        <v>0.4444444444</v>
      </c>
      <c r="I5514" s="28">
        <v>4.0</v>
      </c>
      <c r="J5514" s="39" t="s">
        <v>55</v>
      </c>
      <c r="K5514" s="41"/>
      <c r="L5514" s="31" t="str">
        <f>IFERROR(__xludf.DUMMYFUNCTION("IF(OR(E5514="""",K5514=""""),"""",IFERROR(IF(K5514="""","""",query('tbl user'!$A$2:$D10975,""SELECT A WHERE D = '""&amp;K5514&amp;""'"")),""USER TIDAK DIKETAHUI""))"),"")</f>
        <v/>
      </c>
    </row>
    <row r="5515">
      <c r="A5515" s="21">
        <f t="shared" si="1"/>
        <v>45481.40417</v>
      </c>
      <c r="B5515" s="40" t="s">
        <v>2434</v>
      </c>
      <c r="C5515" s="23" t="s">
        <v>1892</v>
      </c>
      <c r="D5515" s="23" t="s">
        <v>58</v>
      </c>
      <c r="E5515" s="24">
        <v>45480.0</v>
      </c>
      <c r="F5515" s="25">
        <v>0.2111111111111111</v>
      </c>
      <c r="G5515" s="25">
        <v>0.6458333333333334</v>
      </c>
      <c r="H5515" s="27">
        <f t="shared" si="2"/>
        <v>0.4347222222</v>
      </c>
      <c r="I5515" s="28">
        <v>4.0</v>
      </c>
      <c r="J5515" s="39" t="s">
        <v>55</v>
      </c>
      <c r="K5515" s="41"/>
      <c r="L5515" s="31" t="str">
        <f>IFERROR(__xludf.DUMMYFUNCTION("IF(OR(E5515="""",K5515=""""),"""",IFERROR(IF(K5515="""","""",query('tbl user'!$A$2:$D10975,""SELECT A WHERE D = '""&amp;K5515&amp;""'"")),""USER TIDAK DIKETAHUI""))"),"")</f>
        <v/>
      </c>
    </row>
    <row r="5516">
      <c r="A5516" s="21">
        <f t="shared" si="1"/>
        <v>45481.40422</v>
      </c>
      <c r="B5516" s="40" t="s">
        <v>2460</v>
      </c>
      <c r="C5516" s="23" t="s">
        <v>1893</v>
      </c>
      <c r="D5516" s="23" t="s">
        <v>58</v>
      </c>
      <c r="E5516" s="24">
        <v>45480.0</v>
      </c>
      <c r="F5516" s="25">
        <v>0.23958333333333334</v>
      </c>
      <c r="G5516" s="25">
        <v>0.6826388888888889</v>
      </c>
      <c r="H5516" s="27">
        <f t="shared" si="2"/>
        <v>0.4430555556</v>
      </c>
      <c r="I5516" s="28">
        <v>4.0</v>
      </c>
      <c r="J5516" s="39" t="s">
        <v>55</v>
      </c>
      <c r="K5516" s="41"/>
      <c r="L5516" s="31" t="str">
        <f>IFERROR(__xludf.DUMMYFUNCTION("IF(OR(E5516="""",K5516=""""),"""",IFERROR(IF(K5516="""","""",query('tbl user'!$A$2:$D10975,""SELECT A WHERE D = '""&amp;K5516&amp;""'"")),""USER TIDAK DIKETAHUI""))"),"")</f>
        <v/>
      </c>
    </row>
    <row r="5517">
      <c r="A5517" s="21">
        <f t="shared" si="1"/>
        <v>45481.40437</v>
      </c>
      <c r="B5517" s="40" t="s">
        <v>2445</v>
      </c>
      <c r="C5517" s="23" t="s">
        <v>1904</v>
      </c>
      <c r="D5517" s="23" t="s">
        <v>32</v>
      </c>
      <c r="E5517" s="24">
        <v>45480.0</v>
      </c>
      <c r="F5517" s="25">
        <v>0.2826388888888889</v>
      </c>
      <c r="G5517" s="25">
        <v>0.6076388888888888</v>
      </c>
      <c r="H5517" s="27">
        <f t="shared" si="2"/>
        <v>0.325</v>
      </c>
      <c r="I5517" s="28">
        <v>1.0</v>
      </c>
      <c r="J5517" s="39" t="s">
        <v>2717</v>
      </c>
      <c r="K5517" s="41"/>
      <c r="L5517" s="31" t="str">
        <f>IFERROR(__xludf.DUMMYFUNCTION("IF(OR(E5517="""",K5517=""""),"""",IFERROR(IF(K5517="""","""",query('tbl user'!$A$2:$D10975,""SELECT A WHERE D = '""&amp;K5517&amp;""'"")),""USER TIDAK DIKETAHUI""))"),"")</f>
        <v/>
      </c>
    </row>
    <row r="5518">
      <c r="A5518" s="21">
        <f t="shared" si="1"/>
        <v>45481.40464</v>
      </c>
      <c r="B5518" s="40" t="s">
        <v>2492</v>
      </c>
      <c r="C5518" s="23" t="s">
        <v>1913</v>
      </c>
      <c r="D5518" s="23" t="s">
        <v>32</v>
      </c>
      <c r="E5518" s="24">
        <v>45480.0</v>
      </c>
      <c r="F5518" s="25">
        <v>0.25277777777777777</v>
      </c>
      <c r="G5518" s="25">
        <v>0.7256944444444444</v>
      </c>
      <c r="H5518" s="27">
        <f t="shared" si="2"/>
        <v>0.4729166667</v>
      </c>
      <c r="I5518" s="28">
        <v>1.0</v>
      </c>
      <c r="J5518" s="39" t="s">
        <v>2718</v>
      </c>
      <c r="K5518" s="41"/>
      <c r="L5518" s="31" t="str">
        <f>IFERROR(__xludf.DUMMYFUNCTION("IF(OR(E5518="""",K5518=""""),"""",IFERROR(IF(K5518="""","""",query('tbl user'!$A$2:$D10975,""SELECT A WHERE D = '""&amp;K5518&amp;""'"")),""USER TIDAK DIKETAHUI""))"),"")</f>
        <v/>
      </c>
    </row>
    <row r="5519">
      <c r="A5519" s="21">
        <f t="shared" si="1"/>
        <v>45481.40468</v>
      </c>
      <c r="B5519" s="40" t="s">
        <v>2488</v>
      </c>
      <c r="C5519" s="23" t="s">
        <v>1898</v>
      </c>
      <c r="D5519" s="23" t="s">
        <v>32</v>
      </c>
      <c r="E5519" s="24">
        <v>45480.0</v>
      </c>
      <c r="F5519" s="25">
        <v>0.28125</v>
      </c>
      <c r="G5519" s="25">
        <v>0.5833333333333334</v>
      </c>
      <c r="H5519" s="27">
        <f t="shared" si="2"/>
        <v>0.3020833333</v>
      </c>
      <c r="I5519" s="28">
        <v>2.0</v>
      </c>
      <c r="J5519" s="39" t="s">
        <v>2719</v>
      </c>
      <c r="K5519" s="41"/>
      <c r="L5519" s="31" t="str">
        <f>IFERROR(__xludf.DUMMYFUNCTION("IF(OR(E5519="""",K5519=""""),"""",IFERROR(IF(K5519="""","""",query('tbl user'!$A$2:$D10975,""SELECT A WHERE D = '""&amp;K5519&amp;""'"")),""USER TIDAK DIKETAHUI""))"),"")</f>
        <v/>
      </c>
    </row>
    <row r="5520">
      <c r="A5520" s="21">
        <f t="shared" si="1"/>
        <v>45481.40473</v>
      </c>
      <c r="B5520" s="40" t="s">
        <v>2436</v>
      </c>
      <c r="C5520" s="23" t="s">
        <v>1966</v>
      </c>
      <c r="D5520" s="23" t="s">
        <v>32</v>
      </c>
      <c r="E5520" s="24">
        <v>45480.0</v>
      </c>
      <c r="F5520" s="25">
        <v>0.2861111111111111</v>
      </c>
      <c r="G5520" s="25">
        <v>0.7458333333333333</v>
      </c>
      <c r="H5520" s="27">
        <f t="shared" si="2"/>
        <v>0.4597222222</v>
      </c>
      <c r="I5520" s="28">
        <v>2.0</v>
      </c>
      <c r="J5520" s="39" t="s">
        <v>2720</v>
      </c>
      <c r="K5520" s="41"/>
      <c r="L5520" s="31" t="str">
        <f>IFERROR(__xludf.DUMMYFUNCTION("IF(OR(E5520="""",K5520=""""),"""",IFERROR(IF(K5520="""","""",query('tbl user'!$A$2:$D10975,""SELECT A WHERE D = '""&amp;K5520&amp;""'"")),""USER TIDAK DIKETAHUI""))"),"")</f>
        <v/>
      </c>
    </row>
    <row r="5521">
      <c r="A5521" s="21">
        <f t="shared" si="1"/>
        <v>45481.40477</v>
      </c>
      <c r="B5521" s="40" t="s">
        <v>2694</v>
      </c>
      <c r="C5521" s="23" t="s">
        <v>1961</v>
      </c>
      <c r="D5521" s="23" t="s">
        <v>32</v>
      </c>
      <c r="E5521" s="24">
        <v>45480.0</v>
      </c>
      <c r="F5521" s="25">
        <v>0.2902777777777778</v>
      </c>
      <c r="G5521" s="25">
        <v>0.6729166666666667</v>
      </c>
      <c r="H5521" s="27">
        <f t="shared" si="2"/>
        <v>0.3826388889</v>
      </c>
      <c r="I5521" s="28">
        <v>3.0</v>
      </c>
      <c r="J5521" s="39" t="s">
        <v>171</v>
      </c>
      <c r="K5521" s="41"/>
      <c r="L5521" s="31" t="str">
        <f>IFERROR(__xludf.DUMMYFUNCTION("IF(OR(E5521="""",K5521=""""),"""",IFERROR(IF(K5521="""","""",query('tbl user'!$A$2:$D10975,""SELECT A WHERE D = '""&amp;K5521&amp;""'"")),""USER TIDAK DIKETAHUI""))"),"")</f>
        <v/>
      </c>
    </row>
    <row r="5522">
      <c r="A5522" s="21">
        <f t="shared" si="1"/>
        <v>45481.40482</v>
      </c>
      <c r="B5522" s="40" t="s">
        <v>2657</v>
      </c>
      <c r="C5522" s="23" t="s">
        <v>1957</v>
      </c>
      <c r="D5522" s="23" t="s">
        <v>32</v>
      </c>
      <c r="E5522" s="24">
        <v>45480.0</v>
      </c>
      <c r="F5522" s="25">
        <v>0.28055555555555556</v>
      </c>
      <c r="G5522" s="25">
        <v>0.6472222222222223</v>
      </c>
      <c r="H5522" s="27">
        <f t="shared" si="2"/>
        <v>0.3666666667</v>
      </c>
      <c r="I5522" s="28">
        <v>3.0</v>
      </c>
      <c r="J5522" s="39" t="s">
        <v>171</v>
      </c>
      <c r="K5522" s="41"/>
      <c r="L5522" s="31" t="str">
        <f>IFERROR(__xludf.DUMMYFUNCTION("IF(OR(E5522="""",K5522=""""),"""",IFERROR(IF(K5522="""","""",query('tbl user'!$A$2:$D10975,""SELECT A WHERE D = '""&amp;K5522&amp;""'"")),""USER TIDAK DIKETAHUI""))"),"")</f>
        <v/>
      </c>
    </row>
    <row r="5523">
      <c r="A5523" s="21">
        <f t="shared" si="1"/>
        <v>45481.40486</v>
      </c>
      <c r="B5523" s="40" t="s">
        <v>2441</v>
      </c>
      <c r="C5523" s="23" t="s">
        <v>1901</v>
      </c>
      <c r="D5523" s="23" t="s">
        <v>32</v>
      </c>
      <c r="E5523" s="24">
        <v>45480.0</v>
      </c>
      <c r="F5523" s="25">
        <v>0.2875</v>
      </c>
      <c r="G5523" s="25">
        <v>0.6868055555555556</v>
      </c>
      <c r="H5523" s="27">
        <f t="shared" si="2"/>
        <v>0.3993055556</v>
      </c>
      <c r="I5523" s="28">
        <v>3.0</v>
      </c>
      <c r="J5523" s="39" t="s">
        <v>2721</v>
      </c>
      <c r="K5523" s="41"/>
      <c r="L5523" s="31" t="str">
        <f>IFERROR(__xludf.DUMMYFUNCTION("IF(OR(E5523="""",K5523=""""),"""",IFERROR(IF(K5523="""","""",query('tbl user'!$A$2:$D10975,""SELECT A WHERE D = '""&amp;K5523&amp;""'"")),""USER TIDAK DIKETAHUI""))"),"")</f>
        <v/>
      </c>
    </row>
    <row r="5524">
      <c r="A5524" s="21">
        <f t="shared" si="1"/>
        <v>45481.40493</v>
      </c>
      <c r="B5524" s="40" t="s">
        <v>2495</v>
      </c>
      <c r="C5524" s="23" t="s">
        <v>1965</v>
      </c>
      <c r="D5524" s="23" t="s">
        <v>32</v>
      </c>
      <c r="E5524" s="24">
        <v>45480.0</v>
      </c>
      <c r="F5524" s="25">
        <v>0.2826388888888889</v>
      </c>
      <c r="G5524" s="25">
        <v>0.6361111111111111</v>
      </c>
      <c r="H5524" s="27">
        <f t="shared" si="2"/>
        <v>0.3534722222</v>
      </c>
      <c r="I5524" s="28">
        <v>3.0</v>
      </c>
      <c r="J5524" s="39" t="s">
        <v>171</v>
      </c>
      <c r="K5524" s="41"/>
      <c r="L5524" s="31" t="str">
        <f>IFERROR(__xludf.DUMMYFUNCTION("IF(OR(E5524="""",K5524=""""),"""",IFERROR(IF(K5524="""","""",query('tbl user'!$A$2:$D10975,""SELECT A WHERE D = '""&amp;K5524&amp;""'"")),""USER TIDAK DIKETAHUI""))"),"")</f>
        <v/>
      </c>
    </row>
    <row r="5525">
      <c r="A5525" s="21">
        <f t="shared" si="1"/>
        <v>45481.40502</v>
      </c>
      <c r="B5525" s="40" t="s">
        <v>2442</v>
      </c>
      <c r="C5525" s="23" t="s">
        <v>2066</v>
      </c>
      <c r="D5525" s="23" t="s">
        <v>32</v>
      </c>
      <c r="E5525" s="24">
        <v>45480.0</v>
      </c>
      <c r="F5525" s="25">
        <v>0.28194444444444444</v>
      </c>
      <c r="G5525" s="25">
        <v>0.6451388888888889</v>
      </c>
      <c r="H5525" s="27">
        <f t="shared" si="2"/>
        <v>0.3631944444</v>
      </c>
      <c r="I5525" s="28">
        <v>3.0</v>
      </c>
      <c r="J5525" s="39" t="s">
        <v>2722</v>
      </c>
      <c r="K5525" s="41"/>
      <c r="L5525" s="31" t="str">
        <f>IFERROR(__xludf.DUMMYFUNCTION("IF(OR(E5525="""",K5525=""""),"""",IFERROR(IF(K5525="""","""",query('tbl user'!$A$2:$D10975,""SELECT A WHERE D = '""&amp;K5525&amp;""'"")),""USER TIDAK DIKETAHUI""))"),"")</f>
        <v/>
      </c>
    </row>
    <row r="5526">
      <c r="A5526" s="21">
        <f t="shared" si="1"/>
        <v>45481.40508</v>
      </c>
      <c r="B5526" s="40" t="s">
        <v>2452</v>
      </c>
      <c r="C5526" s="23" t="s">
        <v>1912</v>
      </c>
      <c r="D5526" s="23" t="s">
        <v>32</v>
      </c>
      <c r="E5526" s="24">
        <v>45480.0</v>
      </c>
      <c r="F5526" s="25">
        <v>0.38333333333333336</v>
      </c>
      <c r="G5526" s="25">
        <v>0.7347222222222223</v>
      </c>
      <c r="H5526" s="27">
        <f t="shared" si="2"/>
        <v>0.3513888889</v>
      </c>
      <c r="I5526" s="28">
        <v>3.0</v>
      </c>
      <c r="J5526" s="39" t="s">
        <v>2723</v>
      </c>
      <c r="K5526" s="41"/>
      <c r="L5526" s="31" t="str">
        <f>IFERROR(__xludf.DUMMYFUNCTION("IF(OR(E5526="""",K5526=""""),"""",IFERROR(IF(K5526="""","""",query('tbl user'!$A$2:$D10975,""SELECT A WHERE D = '""&amp;K5526&amp;""'"")),""USER TIDAK DIKETAHUI""))"),"")</f>
        <v/>
      </c>
    </row>
    <row r="5527">
      <c r="A5527" s="21">
        <f t="shared" si="1"/>
        <v>45481.40514</v>
      </c>
      <c r="B5527" s="40" t="s">
        <v>2484</v>
      </c>
      <c r="C5527" s="23" t="s">
        <v>1896</v>
      </c>
      <c r="D5527" s="23" t="s">
        <v>32</v>
      </c>
      <c r="E5527" s="24">
        <v>45480.0</v>
      </c>
      <c r="F5527" s="25">
        <v>0.2875</v>
      </c>
      <c r="G5527" s="25">
        <v>0.6840277777777778</v>
      </c>
      <c r="H5527" s="27">
        <f t="shared" si="2"/>
        <v>0.3965277778</v>
      </c>
      <c r="I5527" s="28">
        <v>3.0</v>
      </c>
      <c r="J5527" s="39" t="s">
        <v>171</v>
      </c>
      <c r="K5527" s="41"/>
      <c r="L5527" s="31" t="str">
        <f>IFERROR(__xludf.DUMMYFUNCTION("IF(OR(E5527="""",K5527=""""),"""",IFERROR(IF(K5527="""","""",query('tbl user'!$A$2:$D10975,""SELECT A WHERE D = '""&amp;K5527&amp;""'"")),""USER TIDAK DIKETAHUI""))"),"")</f>
        <v/>
      </c>
    </row>
    <row r="5528">
      <c r="A5528" s="21">
        <f t="shared" si="1"/>
        <v>45481.40519</v>
      </c>
      <c r="B5528" s="40" t="s">
        <v>2446</v>
      </c>
      <c r="C5528" s="23" t="s">
        <v>1954</v>
      </c>
      <c r="D5528" s="23" t="s">
        <v>32</v>
      </c>
      <c r="E5528" s="24">
        <v>45480.0</v>
      </c>
      <c r="F5528" s="25">
        <v>0.2881944444444444</v>
      </c>
      <c r="G5528" s="25">
        <v>0.6527777777777778</v>
      </c>
      <c r="H5528" s="27">
        <f t="shared" si="2"/>
        <v>0.3645833333</v>
      </c>
      <c r="I5528" s="28">
        <v>3.0</v>
      </c>
      <c r="J5528" s="39" t="s">
        <v>171</v>
      </c>
      <c r="K5528" s="41"/>
      <c r="L5528" s="31" t="str">
        <f>IFERROR(__xludf.DUMMYFUNCTION("IF(OR(E5528="""",K5528=""""),"""",IFERROR(IF(K5528="""","""",query('tbl user'!$A$2:$D10975,""SELECT A WHERE D = '""&amp;K5528&amp;""'"")),""USER TIDAK DIKETAHUI""))"),"")</f>
        <v/>
      </c>
    </row>
    <row r="5529">
      <c r="A5529" s="21">
        <f t="shared" si="1"/>
        <v>45481.40522</v>
      </c>
      <c r="B5529" s="40" t="s">
        <v>2453</v>
      </c>
      <c r="C5529" s="23" t="s">
        <v>1907</v>
      </c>
      <c r="D5529" s="23" t="s">
        <v>32</v>
      </c>
      <c r="E5529" s="24">
        <v>45480.0</v>
      </c>
      <c r="F5529" s="25">
        <v>0.28541666666666665</v>
      </c>
      <c r="G5529" s="25">
        <v>0.6604166666666667</v>
      </c>
      <c r="H5529" s="27">
        <f t="shared" si="2"/>
        <v>0.375</v>
      </c>
      <c r="I5529" s="28">
        <v>3.0</v>
      </c>
      <c r="J5529" s="39" t="s">
        <v>2724</v>
      </c>
      <c r="K5529" s="41"/>
      <c r="L5529" s="31" t="str">
        <f>IFERROR(__xludf.DUMMYFUNCTION("IF(OR(E5529="""",K5529=""""),"""",IFERROR(IF(K5529="""","""",query('tbl user'!$A$2:$D10975,""SELECT A WHERE D = '""&amp;K5529&amp;""'"")),""USER TIDAK DIKETAHUI""))"),"")</f>
        <v/>
      </c>
    </row>
    <row r="5530">
      <c r="A5530" s="21">
        <f t="shared" si="1"/>
        <v>45481.40527</v>
      </c>
      <c r="B5530" s="40" t="s">
        <v>2447</v>
      </c>
      <c r="C5530" s="23" t="s">
        <v>1909</v>
      </c>
      <c r="D5530" s="23" t="s">
        <v>32</v>
      </c>
      <c r="E5530" s="24">
        <v>45480.0</v>
      </c>
      <c r="F5530" s="25">
        <v>0.28958333333333336</v>
      </c>
      <c r="G5530" s="25">
        <v>0.6854166666666667</v>
      </c>
      <c r="H5530" s="27">
        <f t="shared" si="2"/>
        <v>0.3958333333</v>
      </c>
      <c r="I5530" s="28">
        <v>3.0</v>
      </c>
      <c r="J5530" s="39" t="s">
        <v>171</v>
      </c>
      <c r="K5530" s="41"/>
      <c r="L5530" s="31" t="str">
        <f>IFERROR(__xludf.DUMMYFUNCTION("IF(OR(E5530="""",K5530=""""),"""",IFERROR(IF(K5530="""","""",query('tbl user'!$A$2:$D10975,""SELECT A WHERE D = '""&amp;K5530&amp;""'"")),""USER TIDAK DIKETAHUI""))"),"")</f>
        <v/>
      </c>
    </row>
    <row r="5531">
      <c r="A5531" s="21">
        <f t="shared" si="1"/>
        <v>45481.40531</v>
      </c>
      <c r="B5531" s="40" t="s">
        <v>2494</v>
      </c>
      <c r="C5531" s="23" t="s">
        <v>1962</v>
      </c>
      <c r="D5531" s="23" t="s">
        <v>32</v>
      </c>
      <c r="E5531" s="24">
        <v>45480.0</v>
      </c>
      <c r="F5531" s="25">
        <v>0.2652777777777778</v>
      </c>
      <c r="G5531" s="25">
        <v>0.6881944444444444</v>
      </c>
      <c r="H5531" s="27">
        <f t="shared" si="2"/>
        <v>0.4229166667</v>
      </c>
      <c r="I5531" s="28">
        <v>4.0</v>
      </c>
      <c r="J5531" s="39" t="s">
        <v>55</v>
      </c>
      <c r="K5531" s="41"/>
      <c r="L5531" s="31" t="str">
        <f>IFERROR(__xludf.DUMMYFUNCTION("IF(OR(E5531="""",K5531=""""),"""",IFERROR(IF(K5531="""","""",query('tbl user'!$A$2:$D10975,""SELECT A WHERE D = '""&amp;K5531&amp;""'"")),""USER TIDAK DIKETAHUI""))"),"")</f>
        <v/>
      </c>
    </row>
    <row r="5532">
      <c r="A5532" s="21">
        <f t="shared" si="1"/>
        <v>45482.46297</v>
      </c>
      <c r="B5532" s="40" t="s">
        <v>2385</v>
      </c>
      <c r="C5532" s="23" t="s">
        <v>2002</v>
      </c>
      <c r="D5532" s="23" t="s">
        <v>21</v>
      </c>
      <c r="E5532" s="24">
        <v>45481.0</v>
      </c>
      <c r="F5532" s="25">
        <v>0.2902777777777778</v>
      </c>
      <c r="G5532" s="25">
        <v>0.5076388888888889</v>
      </c>
      <c r="H5532" s="27">
        <f t="shared" si="2"/>
        <v>0.2173611111</v>
      </c>
      <c r="I5532" s="28">
        <v>1.0</v>
      </c>
      <c r="J5532" s="39" t="s">
        <v>2725</v>
      </c>
      <c r="K5532" s="41"/>
      <c r="L5532" s="31" t="str">
        <f>IFERROR(__xludf.DUMMYFUNCTION("IF(OR(E5532="""",K5532=""""),"""",IFERROR(IF(K5532="""","""",query('tbl user'!$A$2:$D10975,""SELECT A WHERE D = '""&amp;K5532&amp;""'"")),""USER TIDAK DIKETAHUI""))"),"")</f>
        <v/>
      </c>
    </row>
    <row r="5533">
      <c r="A5533" s="21">
        <f t="shared" si="1"/>
        <v>45482.46302</v>
      </c>
      <c r="B5533" s="40" t="s">
        <v>2462</v>
      </c>
      <c r="C5533" s="23" t="s">
        <v>1920</v>
      </c>
      <c r="D5533" s="23" t="s">
        <v>21</v>
      </c>
      <c r="E5533" s="24">
        <v>45481.0</v>
      </c>
      <c r="F5533" s="25">
        <v>0.28958333333333336</v>
      </c>
      <c r="G5533" s="25">
        <v>0.4875</v>
      </c>
      <c r="H5533" s="27">
        <f t="shared" si="2"/>
        <v>0.1979166667</v>
      </c>
      <c r="I5533" s="28">
        <v>1.0</v>
      </c>
      <c r="J5533" s="39" t="s">
        <v>299</v>
      </c>
      <c r="K5533" s="41"/>
      <c r="L5533" s="31" t="str">
        <f>IFERROR(__xludf.DUMMYFUNCTION("IF(OR(E5533="""",K5533=""""),"""",IFERROR(IF(K5533="""","""",query('tbl user'!$A$2:$D10975,""SELECT A WHERE D = '""&amp;K5533&amp;""'"")),""USER TIDAK DIKETAHUI""))"),"")</f>
        <v/>
      </c>
    </row>
    <row r="5534">
      <c r="A5534" s="21">
        <f t="shared" si="1"/>
        <v>45482.46309</v>
      </c>
      <c r="B5534" s="40" t="s">
        <v>2365</v>
      </c>
      <c r="C5534" s="23" t="s">
        <v>1830</v>
      </c>
      <c r="D5534" s="23" t="s">
        <v>21</v>
      </c>
      <c r="E5534" s="24">
        <v>45481.0</v>
      </c>
      <c r="F5534" s="25">
        <v>0.2916666666666667</v>
      </c>
      <c r="G5534" s="25">
        <v>0.5083333333333333</v>
      </c>
      <c r="H5534" s="27">
        <f t="shared" si="2"/>
        <v>0.2166666667</v>
      </c>
      <c r="I5534" s="28">
        <v>1.0</v>
      </c>
      <c r="J5534" s="39" t="s">
        <v>2726</v>
      </c>
      <c r="K5534" s="41"/>
      <c r="L5534" s="31" t="str">
        <f>IFERROR(__xludf.DUMMYFUNCTION("IF(OR(E5534="""",K5534=""""),"""",IFERROR(IF(K5534="""","""",query('tbl user'!$A$2:$D10975,""SELECT A WHERE D = '""&amp;K5534&amp;""'"")),""USER TIDAK DIKETAHUI""))"),"")</f>
        <v/>
      </c>
    </row>
    <row r="5535">
      <c r="A5535" s="21">
        <f t="shared" si="1"/>
        <v>45482.46313</v>
      </c>
      <c r="B5535" s="40" t="s">
        <v>2384</v>
      </c>
      <c r="C5535" s="23" t="s">
        <v>1922</v>
      </c>
      <c r="D5535" s="23" t="s">
        <v>21</v>
      </c>
      <c r="E5535" s="24">
        <v>45481.0</v>
      </c>
      <c r="F5535" s="25">
        <v>0.2722222222222222</v>
      </c>
      <c r="G5535" s="25">
        <v>0.4479166666666667</v>
      </c>
      <c r="H5535" s="27">
        <f t="shared" si="2"/>
        <v>0.1756944444</v>
      </c>
      <c r="I5535" s="28">
        <v>1.0</v>
      </c>
      <c r="J5535" s="39" t="s">
        <v>2727</v>
      </c>
      <c r="K5535" s="41"/>
      <c r="L5535" s="31" t="str">
        <f>IFERROR(__xludf.DUMMYFUNCTION("IF(OR(E5535="""",K5535=""""),"""",IFERROR(IF(K5535="""","""",query('tbl user'!$A$2:$D10975,""SELECT A WHERE D = '""&amp;K5535&amp;""'"")),""USER TIDAK DIKETAHUI""))"),"")</f>
        <v/>
      </c>
    </row>
    <row r="5536">
      <c r="A5536" s="21">
        <f t="shared" si="1"/>
        <v>45482.4632</v>
      </c>
      <c r="B5536" s="40" t="s">
        <v>2359</v>
      </c>
      <c r="C5536" s="23" t="s">
        <v>2628</v>
      </c>
      <c r="D5536" s="23" t="s">
        <v>21</v>
      </c>
      <c r="E5536" s="24">
        <v>45481.0</v>
      </c>
      <c r="F5536" s="25">
        <v>0.25763888888888886</v>
      </c>
      <c r="G5536" s="25">
        <v>0.4048611111111111</v>
      </c>
      <c r="H5536" s="27">
        <f t="shared" si="2"/>
        <v>0.1472222222</v>
      </c>
      <c r="I5536" s="28">
        <v>1.0</v>
      </c>
      <c r="J5536" s="39" t="s">
        <v>2728</v>
      </c>
      <c r="K5536" s="41"/>
      <c r="L5536" s="31" t="str">
        <f>IFERROR(__xludf.DUMMYFUNCTION("IF(OR(E5536="""",K5536=""""),"""",IFERROR(IF(K5536="""","""",query('tbl user'!$A$2:$D10975,""SELECT A WHERE D = '""&amp;K5536&amp;""'"")),""USER TIDAK DIKETAHUI""))"),"")</f>
        <v/>
      </c>
    </row>
    <row r="5537">
      <c r="A5537" s="21">
        <f t="shared" si="1"/>
        <v>45482.46325</v>
      </c>
      <c r="B5537" s="40" t="s">
        <v>2387</v>
      </c>
      <c r="C5537" s="23" t="s">
        <v>1857</v>
      </c>
      <c r="D5537" s="23" t="s">
        <v>21</v>
      </c>
      <c r="E5537" s="24">
        <v>45481.0</v>
      </c>
      <c r="F5537" s="25">
        <v>0.2923611111111111</v>
      </c>
      <c r="G5537" s="25">
        <v>0.6173611111111111</v>
      </c>
      <c r="H5537" s="27">
        <f t="shared" si="2"/>
        <v>0.325</v>
      </c>
      <c r="I5537" s="28">
        <v>2.0</v>
      </c>
      <c r="J5537" s="39" t="s">
        <v>1591</v>
      </c>
      <c r="K5537" s="41"/>
      <c r="L5537" s="31" t="str">
        <f>IFERROR(__xludf.DUMMYFUNCTION("IF(OR(E5537="""",K5537=""""),"""",IFERROR(IF(K5537="""","""",query('tbl user'!$A$2:$D10975,""SELECT A WHERE D = '""&amp;K5537&amp;""'"")),""USER TIDAK DIKETAHUI""))"),"")</f>
        <v/>
      </c>
    </row>
    <row r="5538">
      <c r="A5538" s="21">
        <f t="shared" si="1"/>
        <v>45482.46329</v>
      </c>
      <c r="B5538" s="40" t="s">
        <v>2395</v>
      </c>
      <c r="C5538" s="23" t="s">
        <v>1845</v>
      </c>
      <c r="D5538" s="23" t="s">
        <v>21</v>
      </c>
      <c r="E5538" s="24">
        <v>45481.0</v>
      </c>
      <c r="F5538" s="25">
        <v>0.2791666666666667</v>
      </c>
      <c r="G5538" s="25">
        <v>0.5743055555555555</v>
      </c>
      <c r="H5538" s="27">
        <f t="shared" si="2"/>
        <v>0.2951388889</v>
      </c>
      <c r="I5538" s="28">
        <v>2.0</v>
      </c>
      <c r="J5538" s="39" t="s">
        <v>2729</v>
      </c>
      <c r="K5538" s="41"/>
      <c r="L5538" s="31" t="str">
        <f>IFERROR(__xludf.DUMMYFUNCTION("IF(OR(E5538="""",K5538=""""),"""",IFERROR(IF(K5538="""","""",query('tbl user'!$A$2:$D10975,""SELECT A WHERE D = '""&amp;K5538&amp;""'"")),""USER TIDAK DIKETAHUI""))"),"")</f>
        <v/>
      </c>
    </row>
    <row r="5539">
      <c r="A5539" s="21">
        <f t="shared" si="1"/>
        <v>45482.46333</v>
      </c>
      <c r="B5539" s="40" t="s">
        <v>2396</v>
      </c>
      <c r="C5539" s="23" t="s">
        <v>2049</v>
      </c>
      <c r="D5539" s="23" t="s">
        <v>21</v>
      </c>
      <c r="E5539" s="24">
        <v>45481.0</v>
      </c>
      <c r="F5539" s="25">
        <v>0.25069444444444444</v>
      </c>
      <c r="G5539" s="25">
        <v>0.5006944444444444</v>
      </c>
      <c r="H5539" s="27">
        <f t="shared" si="2"/>
        <v>0.25</v>
      </c>
      <c r="I5539" s="28">
        <v>2.0</v>
      </c>
      <c r="J5539" s="39" t="s">
        <v>2730</v>
      </c>
      <c r="K5539" s="41"/>
      <c r="L5539" s="31" t="str">
        <f>IFERROR(__xludf.DUMMYFUNCTION("IF(OR(E5539="""",K5539=""""),"""",IFERROR(IF(K5539="""","""",query('tbl user'!$A$2:$D10975,""SELECT A WHERE D = '""&amp;K5539&amp;""'"")),""USER TIDAK DIKETAHUI""))"),"")</f>
        <v/>
      </c>
    </row>
    <row r="5540">
      <c r="A5540" s="21">
        <f t="shared" si="1"/>
        <v>45482.46338</v>
      </c>
      <c r="B5540" s="40" t="s">
        <v>2731</v>
      </c>
      <c r="C5540" s="23" t="s">
        <v>1928</v>
      </c>
      <c r="D5540" s="23" t="s">
        <v>21</v>
      </c>
      <c r="E5540" s="24">
        <v>45481.0</v>
      </c>
      <c r="F5540" s="25">
        <v>0.28541666666666665</v>
      </c>
      <c r="G5540" s="25">
        <v>0.59375</v>
      </c>
      <c r="H5540" s="27">
        <f t="shared" si="2"/>
        <v>0.3083333333</v>
      </c>
      <c r="I5540" s="28">
        <v>2.0</v>
      </c>
      <c r="J5540" s="39" t="s">
        <v>2732</v>
      </c>
      <c r="K5540" s="41"/>
      <c r="L5540" s="31" t="str">
        <f>IFERROR(__xludf.DUMMYFUNCTION("IF(OR(E5540="""",K5540=""""),"""",IFERROR(IF(K5540="""","""",query('tbl user'!$A$2:$D10975,""SELECT A WHERE D = '""&amp;K5540&amp;""'"")),""USER TIDAK DIKETAHUI""))"),"")</f>
        <v/>
      </c>
    </row>
    <row r="5541">
      <c r="A5541" s="21">
        <f t="shared" si="1"/>
        <v>45482.46344</v>
      </c>
      <c r="B5541" s="40" t="s">
        <v>2376</v>
      </c>
      <c r="C5541" s="23" t="s">
        <v>1853</v>
      </c>
      <c r="D5541" s="23" t="s">
        <v>21</v>
      </c>
      <c r="E5541" s="24">
        <v>45481.0</v>
      </c>
      <c r="F5541" s="25">
        <v>0.29305555555555557</v>
      </c>
      <c r="G5541" s="25">
        <v>0.6798611111111111</v>
      </c>
      <c r="H5541" s="27">
        <f t="shared" si="2"/>
        <v>0.3868055556</v>
      </c>
      <c r="I5541" s="28">
        <v>3.0</v>
      </c>
      <c r="J5541" s="39" t="s">
        <v>1048</v>
      </c>
      <c r="K5541" s="41"/>
      <c r="L5541" s="31" t="str">
        <f>IFERROR(__xludf.DUMMYFUNCTION("IF(OR(E5541="""",K5541=""""),"""",IFERROR(IF(K5541="""","""",query('tbl user'!$A$2:$D10975,""SELECT A WHERE D = '""&amp;K5541&amp;""'"")),""USER TIDAK DIKETAHUI""))"),"")</f>
        <v/>
      </c>
    </row>
    <row r="5542">
      <c r="A5542" s="21">
        <f t="shared" si="1"/>
        <v>45482.46348</v>
      </c>
      <c r="B5542" s="40" t="s">
        <v>2378</v>
      </c>
      <c r="C5542" s="23" t="s">
        <v>1844</v>
      </c>
      <c r="D5542" s="23" t="s">
        <v>21</v>
      </c>
      <c r="E5542" s="24">
        <v>45481.0</v>
      </c>
      <c r="F5542" s="25">
        <v>0.24791666666666667</v>
      </c>
      <c r="G5542" s="25">
        <v>0.6347222222222222</v>
      </c>
      <c r="H5542" s="27">
        <f t="shared" si="2"/>
        <v>0.3868055556</v>
      </c>
      <c r="I5542" s="28">
        <v>3.0</v>
      </c>
      <c r="J5542" s="39" t="s">
        <v>1365</v>
      </c>
      <c r="K5542" s="41"/>
      <c r="L5542" s="31" t="str">
        <f>IFERROR(__xludf.DUMMYFUNCTION("IF(OR(E5542="""",K5542=""""),"""",IFERROR(IF(K5542="""","""",query('tbl user'!$A$2:$D10975,""SELECT A WHERE D = '""&amp;K5542&amp;""'"")),""USER TIDAK DIKETAHUI""))"),"")</f>
        <v/>
      </c>
    </row>
    <row r="5543">
      <c r="A5543" s="21">
        <f t="shared" si="1"/>
        <v>45482.46351</v>
      </c>
      <c r="B5543" s="40" t="s">
        <v>2393</v>
      </c>
      <c r="C5543" s="23" t="s">
        <v>1925</v>
      </c>
      <c r="D5543" s="23" t="s">
        <v>21</v>
      </c>
      <c r="E5543" s="24">
        <v>45481.0</v>
      </c>
      <c r="F5543" s="25">
        <v>0.2763888888888889</v>
      </c>
      <c r="G5543" s="25">
        <v>0.6618055555555555</v>
      </c>
      <c r="H5543" s="27">
        <f t="shared" si="2"/>
        <v>0.3854166667</v>
      </c>
      <c r="I5543" s="28">
        <v>3.0</v>
      </c>
      <c r="J5543" s="39" t="s">
        <v>2733</v>
      </c>
      <c r="K5543" s="41"/>
      <c r="L5543" s="31" t="str">
        <f>IFERROR(__xludf.DUMMYFUNCTION("IF(OR(E5543="""",K5543=""""),"""",IFERROR(IF(K5543="""","""",query('tbl user'!$A$2:$D10975,""SELECT A WHERE D = '""&amp;K5543&amp;""'"")),""USER TIDAK DIKETAHUI""))"),"")</f>
        <v/>
      </c>
    </row>
    <row r="5544">
      <c r="A5544" s="21" t="str">
        <f t="shared" si="1"/>
        <v/>
      </c>
      <c r="B5544" s="38"/>
      <c r="C5544" s="23" t="s">
        <v>2005</v>
      </c>
      <c r="D5544" s="23" t="s">
        <v>21</v>
      </c>
      <c r="E5544" s="24">
        <v>45481.0</v>
      </c>
      <c r="F5544" s="25">
        <v>0.2777777777777778</v>
      </c>
      <c r="G5544" s="25">
        <v>0.6861111111111111</v>
      </c>
      <c r="H5544" s="27">
        <f t="shared" si="2"/>
        <v>0.4083333333</v>
      </c>
      <c r="I5544" s="28">
        <v>3.0</v>
      </c>
      <c r="J5544" s="39" t="s">
        <v>2734</v>
      </c>
      <c r="K5544" s="41"/>
      <c r="L5544" s="31" t="str">
        <f>IFERROR(__xludf.DUMMYFUNCTION("IF(OR(E5544="""",K5544=""""),"""",IFERROR(IF(K5544="""","""",query('tbl user'!$A$2:$D10975,""SELECT A WHERE D = '""&amp;K5544&amp;""'"")),""USER TIDAK DIKETAHUI""))"),"")</f>
        <v/>
      </c>
    </row>
    <row r="5545">
      <c r="A5545" s="21">
        <f t="shared" si="1"/>
        <v>45482.46367</v>
      </c>
      <c r="B5545" s="40" t="s">
        <v>2457</v>
      </c>
      <c r="C5545" s="23" t="s">
        <v>1850</v>
      </c>
      <c r="D5545" s="23" t="s">
        <v>21</v>
      </c>
      <c r="E5545" s="24">
        <v>45481.0</v>
      </c>
      <c r="F5545" s="25">
        <v>0.29097222222222224</v>
      </c>
      <c r="G5545" s="25">
        <v>0.7097222222222223</v>
      </c>
      <c r="H5545" s="27">
        <f t="shared" si="2"/>
        <v>0.41875</v>
      </c>
      <c r="I5545" s="28">
        <v>3.0</v>
      </c>
      <c r="J5545" s="39" t="s">
        <v>1048</v>
      </c>
      <c r="K5545" s="41"/>
      <c r="L5545" s="31" t="str">
        <f>IFERROR(__xludf.DUMMYFUNCTION("IF(OR(E5545="""",K5545=""""),"""",IFERROR(IF(K5545="""","""",query('tbl user'!$A$2:$D10975,""SELECT A WHERE D = '""&amp;K5545&amp;""'"")),""USER TIDAK DIKETAHUI""))"),"")</f>
        <v/>
      </c>
    </row>
    <row r="5546">
      <c r="A5546" s="21">
        <f t="shared" si="1"/>
        <v>45482.46371</v>
      </c>
      <c r="B5546" s="40" t="s">
        <v>2392</v>
      </c>
      <c r="C5546" s="23" t="s">
        <v>1851</v>
      </c>
      <c r="D5546" s="23" t="s">
        <v>21</v>
      </c>
      <c r="E5546" s="24">
        <v>45481.0</v>
      </c>
      <c r="F5546" s="25">
        <v>0.2604166666666667</v>
      </c>
      <c r="G5546" s="25">
        <v>0.6701388888888888</v>
      </c>
      <c r="H5546" s="27">
        <f t="shared" si="2"/>
        <v>0.4097222222</v>
      </c>
      <c r="I5546" s="28">
        <v>4.0</v>
      </c>
      <c r="J5546" s="39" t="s">
        <v>2735</v>
      </c>
      <c r="K5546" s="41"/>
      <c r="L5546" s="31" t="str">
        <f>IFERROR(__xludf.DUMMYFUNCTION("IF(OR(E5546="""",K5546=""""),"""",IFERROR(IF(K5546="""","""",query('tbl user'!$A$2:$D10975,""SELECT A WHERE D = '""&amp;K5546&amp;""'"")),""USER TIDAK DIKETAHUI""))"),"")</f>
        <v/>
      </c>
    </row>
    <row r="5547">
      <c r="A5547" s="21">
        <f t="shared" si="1"/>
        <v>45482.46376</v>
      </c>
      <c r="B5547" s="40" t="s">
        <v>2390</v>
      </c>
      <c r="C5547" s="23" t="s">
        <v>2136</v>
      </c>
      <c r="D5547" s="23" t="s">
        <v>21</v>
      </c>
      <c r="E5547" s="24">
        <v>45481.0</v>
      </c>
      <c r="F5547" s="25">
        <v>0.2513888888888889</v>
      </c>
      <c r="G5547" s="25">
        <v>0.7402777777777778</v>
      </c>
      <c r="H5547" s="27">
        <f t="shared" si="2"/>
        <v>0.4888888889</v>
      </c>
      <c r="I5547" s="28">
        <v>4.0</v>
      </c>
      <c r="J5547" s="39" t="s">
        <v>2736</v>
      </c>
      <c r="K5547" s="41"/>
      <c r="L5547" s="31" t="str">
        <f>IFERROR(__xludf.DUMMYFUNCTION("IF(OR(E5547="""",K5547=""""),"""",IFERROR(IF(K5547="""","""",query('tbl user'!$A$2:$D10975,""SELECT A WHERE D = '""&amp;K5547&amp;""'"")),""USER TIDAK DIKETAHUI""))"),"")</f>
        <v/>
      </c>
    </row>
    <row r="5548">
      <c r="A5548" s="21">
        <f t="shared" si="1"/>
        <v>45482.46381</v>
      </c>
      <c r="B5548" s="40" t="s">
        <v>2394</v>
      </c>
      <c r="C5548" s="23" t="s">
        <v>1837</v>
      </c>
      <c r="D5548" s="23" t="s">
        <v>21</v>
      </c>
      <c r="E5548" s="24">
        <v>45481.0</v>
      </c>
      <c r="F5548" s="25">
        <v>0.275</v>
      </c>
      <c r="G5548" s="25">
        <v>0.7395833333333334</v>
      </c>
      <c r="H5548" s="27">
        <f t="shared" si="2"/>
        <v>0.4645833333</v>
      </c>
      <c r="I5548" s="28">
        <v>4.0</v>
      </c>
      <c r="J5548" s="39" t="s">
        <v>1048</v>
      </c>
      <c r="K5548" s="41"/>
      <c r="L5548" s="31" t="str">
        <f>IFERROR(__xludf.DUMMYFUNCTION("IF(OR(E5548="""",K5548=""""),"""",IFERROR(IF(K5548="""","""",query('tbl user'!$A$2:$D10975,""SELECT A WHERE D = '""&amp;K5548&amp;""'"")),""USER TIDAK DIKETAHUI""))"),"")</f>
        <v/>
      </c>
    </row>
    <row r="5549">
      <c r="A5549" s="21">
        <f t="shared" si="1"/>
        <v>45482.46385</v>
      </c>
      <c r="B5549" s="40" t="s">
        <v>2382</v>
      </c>
      <c r="C5549" s="23" t="s">
        <v>1858</v>
      </c>
      <c r="D5549" s="23" t="s">
        <v>21</v>
      </c>
      <c r="E5549" s="24">
        <v>45481.0</v>
      </c>
      <c r="F5549" s="25">
        <v>0.25</v>
      </c>
      <c r="G5549" s="25">
        <v>0.7090277777777778</v>
      </c>
      <c r="H5549" s="27">
        <f t="shared" si="2"/>
        <v>0.4590277778</v>
      </c>
      <c r="I5549" s="28">
        <v>4.0</v>
      </c>
      <c r="J5549" s="39" t="s">
        <v>1048</v>
      </c>
      <c r="K5549" s="41"/>
      <c r="L5549" s="31" t="str">
        <f>IFERROR(__xludf.DUMMYFUNCTION("IF(OR(E5549="""",K5549=""""),"""",IFERROR(IF(K5549="""","""",query('tbl user'!$A$2:$D10975,""SELECT A WHERE D = '""&amp;K5549&amp;""'"")),""USER TIDAK DIKETAHUI""))"),"")</f>
        <v/>
      </c>
    </row>
    <row r="5550">
      <c r="A5550" s="21">
        <f t="shared" si="1"/>
        <v>45482.46392</v>
      </c>
      <c r="B5550" s="40" t="s">
        <v>2373</v>
      </c>
      <c r="C5550" s="23" t="s">
        <v>1847</v>
      </c>
      <c r="D5550" s="23" t="s">
        <v>21</v>
      </c>
      <c r="E5550" s="24">
        <v>45481.0</v>
      </c>
      <c r="F5550" s="25">
        <v>0.27569444444444446</v>
      </c>
      <c r="G5550" s="25">
        <v>0.7236111111111111</v>
      </c>
      <c r="H5550" s="27">
        <f t="shared" si="2"/>
        <v>0.4479166667</v>
      </c>
      <c r="I5550" s="28">
        <v>4.0</v>
      </c>
      <c r="J5550" s="39" t="s">
        <v>1048</v>
      </c>
      <c r="K5550" s="41"/>
      <c r="L5550" s="31" t="str">
        <f>IFERROR(__xludf.DUMMYFUNCTION("IF(OR(E5550="""",K5550=""""),"""",IFERROR(IF(K5550="""","""",query('tbl user'!$A$2:$D10975,""SELECT A WHERE D = '""&amp;K5550&amp;""'"")),""USER TIDAK DIKETAHUI""))"),"")</f>
        <v/>
      </c>
    </row>
    <row r="5551">
      <c r="A5551" s="21">
        <f t="shared" si="1"/>
        <v>45482.46395</v>
      </c>
      <c r="B5551" s="40" t="s">
        <v>2560</v>
      </c>
      <c r="C5551" s="23" t="s">
        <v>1849</v>
      </c>
      <c r="D5551" s="23" t="s">
        <v>21</v>
      </c>
      <c r="E5551" s="24">
        <v>45481.0</v>
      </c>
      <c r="F5551" s="25">
        <v>0.2659722222222222</v>
      </c>
      <c r="G5551" s="25">
        <v>0.7430555555555556</v>
      </c>
      <c r="H5551" s="27">
        <f t="shared" si="2"/>
        <v>0.4770833333</v>
      </c>
      <c r="I5551" s="28">
        <v>4.0</v>
      </c>
      <c r="J5551" s="39" t="s">
        <v>1048</v>
      </c>
      <c r="K5551" s="41"/>
      <c r="L5551" s="31" t="str">
        <f>IFERROR(__xludf.DUMMYFUNCTION("IF(OR(E5551="""",K5551=""""),"""",IFERROR(IF(K5551="""","""",query('tbl user'!$A$2:$D10975,""SELECT A WHERE D = '""&amp;K5551&amp;""'"")),""USER TIDAK DIKETAHUI""))"),"")</f>
        <v/>
      </c>
    </row>
    <row r="5552">
      <c r="A5552" s="21">
        <f t="shared" si="1"/>
        <v>45482.46406</v>
      </c>
      <c r="B5552" s="40" t="s">
        <v>2400</v>
      </c>
      <c r="C5552" s="23" t="s">
        <v>1917</v>
      </c>
      <c r="D5552" s="23" t="s">
        <v>21</v>
      </c>
      <c r="E5552" s="24">
        <v>45481.0</v>
      </c>
      <c r="F5552" s="25">
        <v>0.25972222222222224</v>
      </c>
      <c r="G5552" s="25">
        <v>0.3909722222222222</v>
      </c>
      <c r="H5552" s="27">
        <f t="shared" si="2"/>
        <v>0.13125</v>
      </c>
      <c r="I5552" s="28">
        <v>1.0</v>
      </c>
      <c r="J5552" s="39" t="s">
        <v>2737</v>
      </c>
      <c r="K5552" s="41"/>
      <c r="L5552" s="31" t="str">
        <f>IFERROR(__xludf.DUMMYFUNCTION("IF(OR(E5552="""",K5552=""""),"""",IFERROR(IF(K5552="""","""",query('tbl user'!$A$2:$D10975,""SELECT A WHERE D = '""&amp;K5552&amp;""'"")),""USER TIDAK DIKETAHUI""))"),"")</f>
        <v/>
      </c>
    </row>
    <row r="5553">
      <c r="A5553" s="21">
        <f t="shared" si="1"/>
        <v>45482.46409</v>
      </c>
      <c r="B5553" s="40" t="s">
        <v>2738</v>
      </c>
      <c r="C5553" s="23" t="s">
        <v>1841</v>
      </c>
      <c r="D5553" s="23" t="s">
        <v>21</v>
      </c>
      <c r="E5553" s="24">
        <v>45481.0</v>
      </c>
      <c r="F5553" s="25">
        <v>0.30625</v>
      </c>
      <c r="G5553" s="25">
        <v>0.6791666666666667</v>
      </c>
      <c r="H5553" s="27">
        <f t="shared" si="2"/>
        <v>0.3729166667</v>
      </c>
      <c r="I5553" s="28">
        <v>2.0</v>
      </c>
      <c r="J5553" s="39" t="s">
        <v>2607</v>
      </c>
      <c r="K5553" s="41"/>
      <c r="L5553" s="31" t="str">
        <f>IFERROR(__xludf.DUMMYFUNCTION("IF(OR(E5553="""",K5553=""""),"""",IFERROR(IF(K5553="""","""",query('tbl user'!$A$2:$D10975,""SELECT A WHERE D = '""&amp;K5553&amp;""'"")),""USER TIDAK DIKETAHUI""))"),"")</f>
        <v/>
      </c>
    </row>
    <row r="5554">
      <c r="A5554" s="21">
        <f t="shared" si="1"/>
        <v>45482.46411</v>
      </c>
      <c r="B5554" s="40" t="s">
        <v>2397</v>
      </c>
      <c r="C5554" s="23" t="s">
        <v>1852</v>
      </c>
      <c r="D5554" s="23" t="s">
        <v>21</v>
      </c>
      <c r="E5554" s="24">
        <v>45481.0</v>
      </c>
      <c r="F5554" s="25">
        <v>0.28888888888888886</v>
      </c>
      <c r="G5554" s="25">
        <v>0.6805555555555556</v>
      </c>
      <c r="H5554" s="27">
        <f t="shared" si="2"/>
        <v>0.3916666667</v>
      </c>
      <c r="I5554" s="28">
        <v>3.0</v>
      </c>
      <c r="J5554" s="39" t="s">
        <v>2607</v>
      </c>
      <c r="K5554" s="41"/>
      <c r="L5554" s="31" t="str">
        <f>IFERROR(__xludf.DUMMYFUNCTION("IF(OR(E5554="""",K5554=""""),"""",IFERROR(IF(K5554="""","""",query('tbl user'!$A$2:$D10975,""SELECT A WHERE D = '""&amp;K5554&amp;""'"")),""USER TIDAK DIKETAHUI""))"),"")</f>
        <v/>
      </c>
    </row>
    <row r="5555">
      <c r="A5555" s="21">
        <f t="shared" si="1"/>
        <v>45482.46423</v>
      </c>
      <c r="B5555" s="40" t="s">
        <v>2406</v>
      </c>
      <c r="C5555" s="23" t="s">
        <v>1871</v>
      </c>
      <c r="D5555" s="23" t="s">
        <v>58</v>
      </c>
      <c r="E5555" s="24">
        <v>45481.0</v>
      </c>
      <c r="F5555" s="25">
        <v>0.25416666666666665</v>
      </c>
      <c r="G5555" s="25">
        <v>0.36180555555555555</v>
      </c>
      <c r="H5555" s="27">
        <f t="shared" si="2"/>
        <v>0.1076388889</v>
      </c>
      <c r="I5555" s="28">
        <v>0.0</v>
      </c>
      <c r="J5555" s="39" t="s">
        <v>2739</v>
      </c>
      <c r="K5555" s="41"/>
      <c r="L5555" s="31" t="str">
        <f>IFERROR(__xludf.DUMMYFUNCTION("IF(OR(E5555="""",K5555=""""),"""",IFERROR(IF(K5555="""","""",query('tbl user'!$A$2:$D10975,""SELECT A WHERE D = '""&amp;K5555&amp;""'"")),""USER TIDAK DIKETAHUI""))"),"")</f>
        <v/>
      </c>
    </row>
    <row r="5556">
      <c r="A5556" s="21">
        <f t="shared" si="1"/>
        <v>45482.46426</v>
      </c>
      <c r="B5556" s="40" t="s">
        <v>2414</v>
      </c>
      <c r="C5556" s="23" t="s">
        <v>1865</v>
      </c>
      <c r="D5556" s="23" t="s">
        <v>58</v>
      </c>
      <c r="E5556" s="24">
        <v>45481.0</v>
      </c>
      <c r="F5556" s="25">
        <v>0.24861111111111112</v>
      </c>
      <c r="G5556" s="25">
        <v>0.4701388888888889</v>
      </c>
      <c r="H5556" s="27">
        <f t="shared" si="2"/>
        <v>0.2215277778</v>
      </c>
      <c r="I5556" s="28">
        <v>2.0</v>
      </c>
      <c r="J5556" s="39" t="s">
        <v>2740</v>
      </c>
      <c r="K5556" s="41"/>
      <c r="L5556" s="31" t="str">
        <f>IFERROR(__xludf.DUMMYFUNCTION("IF(OR(E5556="""",K5556=""""),"""",IFERROR(IF(K5556="""","""",query('tbl user'!$A$2:$D10975,""SELECT A WHERE D = '""&amp;K5556&amp;""'"")),""USER TIDAK DIKETAHUI""))"),"")</f>
        <v/>
      </c>
    </row>
    <row r="5557">
      <c r="A5557" s="21">
        <f t="shared" si="1"/>
        <v>45482.46434</v>
      </c>
      <c r="B5557" s="40" t="s">
        <v>2379</v>
      </c>
      <c r="C5557" s="23" t="s">
        <v>1869</v>
      </c>
      <c r="D5557" s="23" t="s">
        <v>58</v>
      </c>
      <c r="E5557" s="24">
        <v>45481.0</v>
      </c>
      <c r="F5557" s="25">
        <v>0.2861111111111111</v>
      </c>
      <c r="G5557" s="25">
        <v>0.6611111111111111</v>
      </c>
      <c r="H5557" s="27">
        <f t="shared" si="2"/>
        <v>0.375</v>
      </c>
      <c r="I5557" s="28">
        <v>2.0</v>
      </c>
      <c r="J5557" s="39" t="s">
        <v>2741</v>
      </c>
      <c r="K5557" s="41"/>
      <c r="L5557" s="31" t="str">
        <f>IFERROR(__xludf.DUMMYFUNCTION("IF(OR(E5557="""",K5557=""""),"""",IFERROR(IF(K5557="""","""",query('tbl user'!$A$2:$D10975,""SELECT A WHERE D = '""&amp;K5557&amp;""'"")),""USER TIDAK DIKETAHUI""))"),"")</f>
        <v/>
      </c>
    </row>
    <row r="5558">
      <c r="A5558" s="21">
        <f t="shared" si="1"/>
        <v>45482.46442</v>
      </c>
      <c r="B5558" s="40" t="s">
        <v>2415</v>
      </c>
      <c r="C5558" s="23" t="s">
        <v>1879</v>
      </c>
      <c r="D5558" s="23" t="s">
        <v>58</v>
      </c>
      <c r="E5558" s="24">
        <v>45481.0</v>
      </c>
      <c r="F5558" s="25">
        <v>0.3416666666666667</v>
      </c>
      <c r="G5558" s="25">
        <v>0.6659722222222222</v>
      </c>
      <c r="H5558" s="27">
        <f t="shared" si="2"/>
        <v>0.3243055556</v>
      </c>
      <c r="I5558" s="28">
        <v>2.0</v>
      </c>
      <c r="J5558" s="39" t="s">
        <v>2196</v>
      </c>
      <c r="K5558" s="41"/>
      <c r="L5558" s="31" t="str">
        <f>IFERROR(__xludf.DUMMYFUNCTION("IF(OR(E5558="""",K5558=""""),"""",IFERROR(IF(K5558="""","""",query('tbl user'!$A$2:$D10975,""SELECT A WHERE D = '""&amp;K5558&amp;""'"")),""USER TIDAK DIKETAHUI""))"),"")</f>
        <v/>
      </c>
    </row>
    <row r="5559">
      <c r="A5559" s="21">
        <f t="shared" si="1"/>
        <v>45482.46446</v>
      </c>
      <c r="B5559" s="40" t="s">
        <v>2423</v>
      </c>
      <c r="C5559" s="23" t="s">
        <v>1863</v>
      </c>
      <c r="D5559" s="23" t="s">
        <v>58</v>
      </c>
      <c r="E5559" s="24">
        <v>45481.0</v>
      </c>
      <c r="F5559" s="25">
        <v>0.25833333333333336</v>
      </c>
      <c r="G5559" s="25">
        <v>0.4791666666666667</v>
      </c>
      <c r="H5559" s="27">
        <f t="shared" si="2"/>
        <v>0.2208333333</v>
      </c>
      <c r="I5559" s="28">
        <v>2.0</v>
      </c>
      <c r="J5559" s="39" t="s">
        <v>2742</v>
      </c>
      <c r="K5559" s="41"/>
      <c r="L5559" s="31" t="str">
        <f>IFERROR(__xludf.DUMMYFUNCTION("IF(OR(E5559="""",K5559=""""),"""",IFERROR(IF(K5559="""","""",query('tbl user'!$A$2:$D10975,""SELECT A WHERE D = '""&amp;K5559&amp;""'"")),""USER TIDAK DIKETAHUI""))"),"")</f>
        <v/>
      </c>
    </row>
    <row r="5560">
      <c r="A5560" s="21">
        <f t="shared" si="1"/>
        <v>45482.46449</v>
      </c>
      <c r="B5560" s="40" t="s">
        <v>2434</v>
      </c>
      <c r="C5560" s="23" t="s">
        <v>1892</v>
      </c>
      <c r="D5560" s="23" t="s">
        <v>58</v>
      </c>
      <c r="E5560" s="24">
        <v>45481.0</v>
      </c>
      <c r="F5560" s="25">
        <v>0.20555555555555555</v>
      </c>
      <c r="G5560" s="25">
        <v>0.4548611111111111</v>
      </c>
      <c r="H5560" s="27">
        <f t="shared" si="2"/>
        <v>0.2493055556</v>
      </c>
      <c r="I5560" s="28">
        <v>2.0</v>
      </c>
      <c r="J5560" s="39" t="s">
        <v>2743</v>
      </c>
      <c r="K5560" s="41"/>
      <c r="L5560" s="31" t="str">
        <f>IFERROR(__xludf.DUMMYFUNCTION("IF(OR(E5560="""",K5560=""""),"""",IFERROR(IF(K5560="""","""",query('tbl user'!$A$2:$D10975,""SELECT A WHERE D = '""&amp;K5560&amp;""'"")),""USER TIDAK DIKETAHUI""))"),"")</f>
        <v/>
      </c>
    </row>
    <row r="5561">
      <c r="A5561" s="21">
        <f t="shared" si="1"/>
        <v>45482.46454</v>
      </c>
      <c r="B5561" s="40" t="s">
        <v>2386</v>
      </c>
      <c r="C5561" s="23" t="s">
        <v>1872</v>
      </c>
      <c r="D5561" s="23" t="s">
        <v>58</v>
      </c>
      <c r="E5561" s="24">
        <v>45481.0</v>
      </c>
      <c r="F5561" s="25">
        <v>0.22777777777777777</v>
      </c>
      <c r="G5561" s="25">
        <v>0.4215277777777778</v>
      </c>
      <c r="H5561" s="27">
        <f t="shared" si="2"/>
        <v>0.19375</v>
      </c>
      <c r="I5561" s="28">
        <v>2.0</v>
      </c>
      <c r="J5561" s="39" t="s">
        <v>2744</v>
      </c>
      <c r="K5561" s="41"/>
      <c r="L5561" s="31" t="str">
        <f>IFERROR(__xludf.DUMMYFUNCTION("IF(OR(E5561="""",K5561=""""),"""",IFERROR(IF(K5561="""","""",query('tbl user'!$A$2:$D10975,""SELECT A WHERE D = '""&amp;K5561&amp;""'"")),""USER TIDAK DIKETAHUI""))"),"")</f>
        <v/>
      </c>
    </row>
    <row r="5562">
      <c r="A5562" s="21">
        <f t="shared" si="1"/>
        <v>45482.46458</v>
      </c>
      <c r="B5562" s="40" t="s">
        <v>2412</v>
      </c>
      <c r="C5562" s="23" t="s">
        <v>1890</v>
      </c>
      <c r="D5562" s="23" t="s">
        <v>58</v>
      </c>
      <c r="E5562" s="24">
        <v>45481.0</v>
      </c>
      <c r="F5562" s="25">
        <v>0.325</v>
      </c>
      <c r="G5562" s="25">
        <v>0.5722222222222222</v>
      </c>
      <c r="H5562" s="27">
        <f t="shared" si="2"/>
        <v>0.2472222222</v>
      </c>
      <c r="I5562" s="28">
        <v>2.0</v>
      </c>
      <c r="J5562" s="39" t="s">
        <v>2745</v>
      </c>
      <c r="K5562" s="41"/>
      <c r="L5562" s="31" t="str">
        <f>IFERROR(__xludf.DUMMYFUNCTION("IF(OR(E5562="""",K5562=""""),"""",IFERROR(IF(K5562="""","""",query('tbl user'!$A$2:$D10975,""SELECT A WHERE D = '""&amp;K5562&amp;""'"")),""USER TIDAK DIKETAHUI""))"),"")</f>
        <v/>
      </c>
    </row>
    <row r="5563">
      <c r="A5563" s="21">
        <f t="shared" si="1"/>
        <v>45482.46461</v>
      </c>
      <c r="B5563" s="40" t="s">
        <v>2417</v>
      </c>
      <c r="C5563" s="23" t="s">
        <v>1941</v>
      </c>
      <c r="D5563" s="23" t="s">
        <v>58</v>
      </c>
      <c r="E5563" s="24">
        <v>45481.0</v>
      </c>
      <c r="F5563" s="25">
        <v>0.27708333333333335</v>
      </c>
      <c r="G5563" s="25">
        <v>0.6076388888888888</v>
      </c>
      <c r="H5563" s="27">
        <f t="shared" si="2"/>
        <v>0.3305555556</v>
      </c>
      <c r="I5563" s="28">
        <v>3.0</v>
      </c>
      <c r="J5563" s="39" t="s">
        <v>2746</v>
      </c>
      <c r="K5563" s="41"/>
      <c r="L5563" s="31" t="str">
        <f>IFERROR(__xludf.DUMMYFUNCTION("IF(OR(E5563="""",K5563=""""),"""",IFERROR(IF(K5563="""","""",query('tbl user'!$A$2:$D10975,""SELECT A WHERE D = '""&amp;K5563&amp;""'"")),""USER TIDAK DIKETAHUI""))"),"")</f>
        <v/>
      </c>
    </row>
    <row r="5564">
      <c r="A5564" s="21">
        <f t="shared" si="1"/>
        <v>45482.46469</v>
      </c>
      <c r="B5564" s="40" t="s">
        <v>2402</v>
      </c>
      <c r="C5564" s="23" t="s">
        <v>1881</v>
      </c>
      <c r="D5564" s="23" t="s">
        <v>58</v>
      </c>
      <c r="E5564" s="24">
        <v>45481.0</v>
      </c>
      <c r="F5564" s="25">
        <v>0.22083333333333333</v>
      </c>
      <c r="G5564" s="25">
        <v>0.5659722222222222</v>
      </c>
      <c r="H5564" s="27">
        <f t="shared" si="2"/>
        <v>0.3451388889</v>
      </c>
      <c r="I5564" s="28">
        <v>3.0</v>
      </c>
      <c r="J5564" s="39" t="s">
        <v>171</v>
      </c>
      <c r="K5564" s="41"/>
      <c r="L5564" s="31" t="str">
        <f>IFERROR(__xludf.DUMMYFUNCTION("IF(OR(E5564="""",K5564=""""),"""",IFERROR(IF(K5564="""","""",query('tbl user'!$A$2:$D10975,""SELECT A WHERE D = '""&amp;K5564&amp;""'"")),""USER TIDAK DIKETAHUI""))"),"")</f>
        <v/>
      </c>
    </row>
    <row r="5565">
      <c r="A5565" s="21">
        <f t="shared" si="1"/>
        <v>45482.46474</v>
      </c>
      <c r="B5565" s="40" t="s">
        <v>2421</v>
      </c>
      <c r="C5565" s="23" t="s">
        <v>1883</v>
      </c>
      <c r="D5565" s="23" t="s">
        <v>58</v>
      </c>
      <c r="E5565" s="24">
        <v>45481.0</v>
      </c>
      <c r="F5565" s="25">
        <v>0.28958333333333336</v>
      </c>
      <c r="G5565" s="25">
        <v>0.6569444444444444</v>
      </c>
      <c r="H5565" s="27">
        <f t="shared" si="2"/>
        <v>0.3673611111</v>
      </c>
      <c r="I5565" s="28">
        <v>3.0</v>
      </c>
      <c r="J5565" s="39" t="s">
        <v>171</v>
      </c>
      <c r="K5565" s="41"/>
      <c r="L5565" s="31" t="str">
        <f>IFERROR(__xludf.DUMMYFUNCTION("IF(OR(E5565="""",K5565=""""),"""",IFERROR(IF(K5565="""","""",query('tbl user'!$A$2:$D10975,""SELECT A WHERE D = '""&amp;K5565&amp;""'"")),""USER TIDAK DIKETAHUI""))"),"")</f>
        <v/>
      </c>
    </row>
    <row r="5566">
      <c r="A5566" s="21">
        <f t="shared" si="1"/>
        <v>45482.46476</v>
      </c>
      <c r="B5566" s="40" t="s">
        <v>2424</v>
      </c>
      <c r="C5566" s="23" t="s">
        <v>1886</v>
      </c>
      <c r="D5566" s="23" t="s">
        <v>58</v>
      </c>
      <c r="E5566" s="24">
        <v>45481.0</v>
      </c>
      <c r="F5566" s="25">
        <v>0.2465277777777778</v>
      </c>
      <c r="G5566" s="25">
        <v>0.7076388888888889</v>
      </c>
      <c r="H5566" s="27">
        <f t="shared" si="2"/>
        <v>0.4611111111</v>
      </c>
      <c r="I5566" s="28">
        <v>3.0</v>
      </c>
      <c r="J5566" s="39" t="s">
        <v>171</v>
      </c>
      <c r="K5566" s="41"/>
      <c r="L5566" s="31" t="str">
        <f>IFERROR(__xludf.DUMMYFUNCTION("IF(OR(E5566="""",K5566=""""),"""",IFERROR(IF(K5566="""","""",query('tbl user'!$A$2:$D10975,""SELECT A WHERE D = '""&amp;K5566&amp;""'"")),""USER TIDAK DIKETAHUI""))"),"")</f>
        <v/>
      </c>
    </row>
    <row r="5567">
      <c r="A5567" s="21">
        <f t="shared" si="1"/>
        <v>45482.4648</v>
      </c>
      <c r="B5567" s="40" t="s">
        <v>2427</v>
      </c>
      <c r="C5567" s="23" t="s">
        <v>1888</v>
      </c>
      <c r="D5567" s="23" t="s">
        <v>58</v>
      </c>
      <c r="E5567" s="24">
        <v>45481.0</v>
      </c>
      <c r="F5567" s="25">
        <v>0.27291666666666664</v>
      </c>
      <c r="G5567" s="25">
        <v>0.5965277777777778</v>
      </c>
      <c r="H5567" s="27">
        <f t="shared" si="2"/>
        <v>0.3236111111</v>
      </c>
      <c r="I5567" s="28">
        <v>3.0</v>
      </c>
      <c r="J5567" s="39" t="s">
        <v>1735</v>
      </c>
      <c r="K5567" s="41"/>
      <c r="L5567" s="31" t="str">
        <f>IFERROR(__xludf.DUMMYFUNCTION("IF(OR(E5567="""",K5567=""""),"""",IFERROR(IF(K5567="""","""",query('tbl user'!$A$2:$D10975,""SELECT A WHERE D = '""&amp;K5567&amp;""'"")),""USER TIDAK DIKETAHUI""))"),"")</f>
        <v/>
      </c>
    </row>
    <row r="5568">
      <c r="A5568" s="21">
        <f t="shared" si="1"/>
        <v>45482.46487</v>
      </c>
      <c r="B5568" s="40" t="s">
        <v>2418</v>
      </c>
      <c r="C5568" s="23" t="s">
        <v>1889</v>
      </c>
      <c r="D5568" s="23" t="s">
        <v>58</v>
      </c>
      <c r="E5568" s="24">
        <v>45481.0</v>
      </c>
      <c r="F5568" s="25">
        <v>0.2875</v>
      </c>
      <c r="G5568" s="25">
        <v>0.6604166666666667</v>
      </c>
      <c r="H5568" s="27">
        <f t="shared" si="2"/>
        <v>0.3729166667</v>
      </c>
      <c r="I5568" s="28">
        <v>3.0</v>
      </c>
      <c r="J5568" s="39" t="s">
        <v>171</v>
      </c>
      <c r="K5568" s="41"/>
      <c r="L5568" s="31" t="str">
        <f>IFERROR(__xludf.DUMMYFUNCTION("IF(OR(E5568="""",K5568=""""),"""",IFERROR(IF(K5568="""","""",query('tbl user'!$A$2:$D10975,""SELECT A WHERE D = '""&amp;K5568&amp;""'"")),""USER TIDAK DIKETAHUI""))"),"")</f>
        <v/>
      </c>
    </row>
    <row r="5569">
      <c r="A5569" s="21">
        <f t="shared" si="1"/>
        <v>45482.46494</v>
      </c>
      <c r="B5569" s="40" t="s">
        <v>2410</v>
      </c>
      <c r="C5569" s="23" t="s">
        <v>2090</v>
      </c>
      <c r="D5569" s="23" t="s">
        <v>58</v>
      </c>
      <c r="E5569" s="24">
        <v>45481.0</v>
      </c>
      <c r="F5569" s="25">
        <v>0.2590277777777778</v>
      </c>
      <c r="G5569" s="25">
        <v>0.6256944444444444</v>
      </c>
      <c r="H5569" s="27">
        <f t="shared" si="2"/>
        <v>0.3666666667</v>
      </c>
      <c r="I5569" s="28">
        <v>3.0</v>
      </c>
      <c r="J5569" s="39" t="s">
        <v>171</v>
      </c>
      <c r="K5569" s="41"/>
      <c r="L5569" s="31" t="str">
        <f>IFERROR(__xludf.DUMMYFUNCTION("IF(OR(E5569="""",K5569=""""),"""",IFERROR(IF(K5569="""","""",query('tbl user'!$A$2:$D10975,""SELECT A WHERE D = '""&amp;K5569&amp;""'"")),""USER TIDAK DIKETAHUI""))"),"")</f>
        <v/>
      </c>
    </row>
    <row r="5570">
      <c r="A5570" s="21">
        <f t="shared" si="1"/>
        <v>45482.465</v>
      </c>
      <c r="B5570" s="40" t="s">
        <v>2430</v>
      </c>
      <c r="C5570" s="23" t="s">
        <v>1861</v>
      </c>
      <c r="D5570" s="23" t="s">
        <v>58</v>
      </c>
      <c r="E5570" s="24">
        <v>45481.0</v>
      </c>
      <c r="F5570" s="25">
        <v>0.28888888888888886</v>
      </c>
      <c r="G5570" s="25">
        <v>0.6479166666666667</v>
      </c>
      <c r="H5570" s="27">
        <f t="shared" si="2"/>
        <v>0.3590277778</v>
      </c>
      <c r="I5570" s="28">
        <v>3.0</v>
      </c>
      <c r="J5570" s="39" t="s">
        <v>2747</v>
      </c>
      <c r="K5570" s="41"/>
      <c r="L5570" s="31" t="str">
        <f>IFERROR(__xludf.DUMMYFUNCTION("IF(OR(E5570="""",K5570=""""),"""",IFERROR(IF(K5570="""","""",query('tbl user'!$A$2:$D10975,""SELECT A WHERE D = '""&amp;K5570&amp;""'"")),""USER TIDAK DIKETAHUI""))"),"")</f>
        <v/>
      </c>
    </row>
    <row r="5571">
      <c r="A5571" s="21">
        <f t="shared" si="1"/>
        <v>45482.46505</v>
      </c>
      <c r="B5571" s="40" t="s">
        <v>2351</v>
      </c>
      <c r="C5571" s="23" t="s">
        <v>1891</v>
      </c>
      <c r="D5571" s="23" t="s">
        <v>58</v>
      </c>
      <c r="E5571" s="24">
        <v>45481.0</v>
      </c>
      <c r="F5571" s="25">
        <v>0.29097222222222224</v>
      </c>
      <c r="G5571" s="25">
        <v>0.6673611111111111</v>
      </c>
      <c r="H5571" s="27">
        <f t="shared" si="2"/>
        <v>0.3763888889</v>
      </c>
      <c r="I5571" s="28">
        <v>3.0</v>
      </c>
      <c r="J5571" s="39" t="s">
        <v>2748</v>
      </c>
      <c r="K5571" s="41"/>
      <c r="L5571" s="31" t="str">
        <f>IFERROR(__xludf.DUMMYFUNCTION("IF(OR(E5571="""",K5571=""""),"""",IFERROR(IF(K5571="""","""",query('tbl user'!$A$2:$D10975,""SELECT A WHERE D = '""&amp;K5571&amp;""'"")),""USER TIDAK DIKETAHUI""))"),"")</f>
        <v/>
      </c>
    </row>
    <row r="5572">
      <c r="A5572" s="21">
        <f t="shared" si="1"/>
        <v>45482.46512</v>
      </c>
      <c r="B5572" s="40" t="s">
        <v>2422</v>
      </c>
      <c r="C5572" s="23" t="s">
        <v>1860</v>
      </c>
      <c r="D5572" s="23" t="s">
        <v>58</v>
      </c>
      <c r="E5572" s="24">
        <v>45481.0</v>
      </c>
      <c r="F5572" s="25">
        <v>0.27569444444444446</v>
      </c>
      <c r="G5572" s="25">
        <v>0.7048611111111112</v>
      </c>
      <c r="H5572" s="27">
        <f t="shared" si="2"/>
        <v>0.4291666667</v>
      </c>
      <c r="I5572" s="28">
        <v>4.0</v>
      </c>
      <c r="J5572" s="39" t="s">
        <v>55</v>
      </c>
      <c r="K5572" s="41"/>
      <c r="L5572" s="31" t="str">
        <f>IFERROR(__xludf.DUMMYFUNCTION("IF(OR(E5572="""",K5572=""""),"""",IFERROR(IF(K5572="""","""",query('tbl user'!$A$2:$D10975,""SELECT A WHERE D = '""&amp;K5572&amp;""'"")),""USER TIDAK DIKETAHUI""))"),"")</f>
        <v/>
      </c>
    </row>
    <row r="5573">
      <c r="A5573" s="21">
        <f t="shared" si="1"/>
        <v>45482.46517</v>
      </c>
      <c r="B5573" s="40" t="s">
        <v>2433</v>
      </c>
      <c r="C5573" s="23" t="s">
        <v>1950</v>
      </c>
      <c r="D5573" s="23" t="s">
        <v>58</v>
      </c>
      <c r="E5573" s="24">
        <v>45481.0</v>
      </c>
      <c r="F5573" s="25">
        <v>0.2861111111111111</v>
      </c>
      <c r="G5573" s="25">
        <v>0.6930555555555555</v>
      </c>
      <c r="H5573" s="27">
        <f t="shared" si="2"/>
        <v>0.4069444444</v>
      </c>
      <c r="I5573" s="28">
        <v>4.0</v>
      </c>
      <c r="J5573" s="39" t="s">
        <v>55</v>
      </c>
      <c r="K5573" s="41"/>
      <c r="L5573" s="31" t="str">
        <f>IFERROR(__xludf.DUMMYFUNCTION("IF(OR(E5573="""",K5573=""""),"""",IFERROR(IF(K5573="""","""",query('tbl user'!$A$2:$D10975,""SELECT A WHERE D = '""&amp;K5573&amp;""'"")),""USER TIDAK DIKETAHUI""))"),"")</f>
        <v/>
      </c>
    </row>
    <row r="5574">
      <c r="A5574" s="21">
        <f t="shared" si="1"/>
        <v>45482.46522</v>
      </c>
      <c r="B5574" s="40" t="s">
        <v>2460</v>
      </c>
      <c r="C5574" s="23" t="s">
        <v>1893</v>
      </c>
      <c r="D5574" s="23" t="s">
        <v>58</v>
      </c>
      <c r="E5574" s="24">
        <v>45481.0</v>
      </c>
      <c r="F5574" s="25">
        <v>0.24791666666666667</v>
      </c>
      <c r="G5574" s="25">
        <v>0.6736111111111112</v>
      </c>
      <c r="H5574" s="27">
        <f t="shared" si="2"/>
        <v>0.4256944444</v>
      </c>
      <c r="I5574" s="28">
        <v>4.0</v>
      </c>
      <c r="J5574" s="39" t="s">
        <v>55</v>
      </c>
      <c r="K5574" s="41"/>
      <c r="L5574" s="31" t="str">
        <f>IFERROR(__xludf.DUMMYFUNCTION("IF(OR(E5574="""",K5574=""""),"""",IFERROR(IF(K5574="""","""",query('tbl user'!$A$2:$D10975,""SELECT A WHERE D = '""&amp;K5574&amp;""'"")),""USER TIDAK DIKETAHUI""))"),"")</f>
        <v/>
      </c>
    </row>
    <row r="5575">
      <c r="A5575" s="21">
        <f t="shared" si="1"/>
        <v>45482.46545</v>
      </c>
      <c r="B5575" s="40" t="s">
        <v>2556</v>
      </c>
      <c r="C5575" s="23" t="s">
        <v>1909</v>
      </c>
      <c r="D5575" s="23" t="s">
        <v>32</v>
      </c>
      <c r="E5575" s="24">
        <v>45481.0</v>
      </c>
      <c r="F5575" s="25">
        <v>0.28125</v>
      </c>
      <c r="G5575" s="25">
        <v>0.41805555555555557</v>
      </c>
      <c r="H5575" s="27">
        <f t="shared" si="2"/>
        <v>0.1368055556</v>
      </c>
      <c r="I5575" s="28">
        <v>1.0</v>
      </c>
      <c r="J5575" s="39" t="s">
        <v>2749</v>
      </c>
      <c r="K5575" s="41"/>
      <c r="L5575" s="31" t="str">
        <f>IFERROR(__xludf.DUMMYFUNCTION("IF(OR(E5575="""",K5575=""""),"""",IFERROR(IF(K5575="""","""",query('tbl user'!$A$2:$D10975,""SELECT A WHERE D = '""&amp;K5575&amp;""'"")),""USER TIDAK DIKETAHUI""))"),"")</f>
        <v/>
      </c>
    </row>
    <row r="5576">
      <c r="A5576" s="21">
        <f t="shared" si="1"/>
        <v>45482.46555</v>
      </c>
      <c r="B5576" s="40" t="s">
        <v>2451</v>
      </c>
      <c r="C5576" s="23" t="s">
        <v>1967</v>
      </c>
      <c r="D5576" s="23" t="s">
        <v>32</v>
      </c>
      <c r="E5576" s="24">
        <v>45481.0</v>
      </c>
      <c r="F5576" s="25">
        <v>0.26180555555555557</v>
      </c>
      <c r="G5576" s="25">
        <v>0.48680555555555555</v>
      </c>
      <c r="H5576" s="27">
        <f t="shared" si="2"/>
        <v>0.225</v>
      </c>
      <c r="I5576" s="28">
        <v>2.0</v>
      </c>
      <c r="J5576" s="39" t="s">
        <v>2750</v>
      </c>
      <c r="K5576" s="41"/>
      <c r="L5576" s="31" t="str">
        <f>IFERROR(__xludf.DUMMYFUNCTION("IF(OR(E5576="""",K5576=""""),"""",IFERROR(IF(K5576="""","""",query('tbl user'!$A$2:$D10975,""SELECT A WHERE D = '""&amp;K5576&amp;""'"")),""USER TIDAK DIKETAHUI""))"),"")</f>
        <v/>
      </c>
    </row>
    <row r="5577">
      <c r="A5577" s="21">
        <f t="shared" si="1"/>
        <v>45482.46555</v>
      </c>
      <c r="B5577" s="40" t="s">
        <v>2452</v>
      </c>
      <c r="C5577" s="23" t="s">
        <v>1912</v>
      </c>
      <c r="D5577" s="23" t="s">
        <v>32</v>
      </c>
      <c r="E5577" s="24">
        <v>45481.0</v>
      </c>
      <c r="F5577" s="25">
        <v>0.29097222222222224</v>
      </c>
      <c r="G5577" s="25">
        <v>0.7506944444444444</v>
      </c>
      <c r="H5577" s="27">
        <f t="shared" si="2"/>
        <v>0.4597222222</v>
      </c>
      <c r="I5577" s="28">
        <v>2.0</v>
      </c>
      <c r="J5577" s="39" t="s">
        <v>2751</v>
      </c>
      <c r="K5577" s="41"/>
      <c r="L5577" s="31" t="str">
        <f>IFERROR(__xludf.DUMMYFUNCTION("IF(OR(E5577="""",K5577=""""),"""",IFERROR(IF(K5577="""","""",query('tbl user'!$A$2:$D10975,""SELECT A WHERE D = '""&amp;K5577&amp;""'"")),""USER TIDAK DIKETAHUI""))"),"")</f>
        <v/>
      </c>
    </row>
    <row r="5578">
      <c r="A5578" s="21">
        <f t="shared" si="1"/>
        <v>45482.46555</v>
      </c>
      <c r="B5578" s="40" t="s">
        <v>2444</v>
      </c>
      <c r="C5578" s="23" t="s">
        <v>1903</v>
      </c>
      <c r="D5578" s="23" t="s">
        <v>32</v>
      </c>
      <c r="E5578" s="24">
        <v>45481.0</v>
      </c>
      <c r="F5578" s="25">
        <v>0.2847222222222222</v>
      </c>
      <c r="G5578" s="25">
        <v>0.5701388888888889</v>
      </c>
      <c r="H5578" s="27">
        <f t="shared" si="2"/>
        <v>0.2854166667</v>
      </c>
      <c r="I5578" s="28">
        <v>2.0</v>
      </c>
      <c r="J5578" s="39" t="s">
        <v>2752</v>
      </c>
      <c r="K5578" s="41"/>
      <c r="L5578" s="31" t="str">
        <f>IFERROR(__xludf.DUMMYFUNCTION("IF(OR(E5578="""",K5578=""""),"""",IFERROR(IF(K5578="""","""",query('tbl user'!$A$2:$D10975,""SELECT A WHERE D = '""&amp;K5578&amp;""'"")),""USER TIDAK DIKETAHUI""))"),"")</f>
        <v/>
      </c>
    </row>
    <row r="5579">
      <c r="A5579" s="21">
        <f t="shared" si="1"/>
        <v>45482.46565</v>
      </c>
      <c r="B5579" s="40" t="s">
        <v>2484</v>
      </c>
      <c r="C5579" s="23" t="s">
        <v>1964</v>
      </c>
      <c r="D5579" s="23" t="s">
        <v>32</v>
      </c>
      <c r="E5579" s="24">
        <v>45481.0</v>
      </c>
      <c r="F5579" s="25">
        <v>0.28888888888888886</v>
      </c>
      <c r="G5579" s="25">
        <v>0.6652777777777777</v>
      </c>
      <c r="H5579" s="27">
        <f t="shared" si="2"/>
        <v>0.3763888889</v>
      </c>
      <c r="I5579" s="28">
        <v>3.0</v>
      </c>
      <c r="J5579" s="39" t="s">
        <v>2753</v>
      </c>
      <c r="K5579" s="41"/>
      <c r="L5579" s="31" t="str">
        <f>IFERROR(__xludf.DUMMYFUNCTION("IF(OR(E5579="""",K5579=""""),"""",IFERROR(IF(K5579="""","""",query('tbl user'!$A$2:$D10975,""SELECT A WHERE D = '""&amp;K5579&amp;""'"")),""USER TIDAK DIKETAHUI""))"),"")</f>
        <v/>
      </c>
    </row>
    <row r="5580">
      <c r="A5580" s="21">
        <f t="shared" si="1"/>
        <v>45482.46565</v>
      </c>
      <c r="B5580" s="40" t="s">
        <v>2436</v>
      </c>
      <c r="C5580" s="23" t="s">
        <v>1966</v>
      </c>
      <c r="D5580" s="23" t="s">
        <v>32</v>
      </c>
      <c r="E5580" s="24">
        <v>45481.0</v>
      </c>
      <c r="F5580" s="25">
        <v>0.2875</v>
      </c>
      <c r="G5580" s="25">
        <v>0.6972222222222222</v>
      </c>
      <c r="H5580" s="27">
        <f t="shared" si="2"/>
        <v>0.4097222222</v>
      </c>
      <c r="I5580" s="28">
        <v>3.0</v>
      </c>
      <c r="J5580" s="39" t="s">
        <v>2596</v>
      </c>
      <c r="K5580" s="41"/>
      <c r="L5580" s="31" t="str">
        <f>IFERROR(__xludf.DUMMYFUNCTION("IF(OR(E5580="""",K5580=""""),"""",IFERROR(IF(K5580="""","""",query('tbl user'!$A$2:$D10975,""SELECT A WHERE D = '""&amp;K5580&amp;""'"")),""USER TIDAK DIKETAHUI""))"),"")</f>
        <v/>
      </c>
    </row>
    <row r="5581">
      <c r="A5581" s="21">
        <f t="shared" si="1"/>
        <v>45482.46572</v>
      </c>
      <c r="B5581" s="40" t="s">
        <v>2529</v>
      </c>
      <c r="C5581" s="23" t="s">
        <v>2252</v>
      </c>
      <c r="D5581" s="23" t="s">
        <v>32</v>
      </c>
      <c r="E5581" s="24">
        <v>45481.0</v>
      </c>
      <c r="F5581" s="25">
        <v>0.2861111111111111</v>
      </c>
      <c r="G5581" s="25">
        <v>0.6201388888888889</v>
      </c>
      <c r="H5581" s="27">
        <f t="shared" si="2"/>
        <v>0.3340277778</v>
      </c>
      <c r="I5581" s="28">
        <v>3.0</v>
      </c>
      <c r="J5581" s="39" t="s">
        <v>2754</v>
      </c>
      <c r="K5581" s="41"/>
      <c r="L5581" s="31" t="str">
        <f>IFERROR(__xludf.DUMMYFUNCTION("IF(OR(E5581="""",K5581=""""),"""",IFERROR(IF(K5581="""","""",query('tbl user'!$A$2:$D10975,""SELECT A WHERE D = '""&amp;K5581&amp;""'"")),""USER TIDAK DIKETAHUI""))"),"")</f>
        <v/>
      </c>
    </row>
    <row r="5582">
      <c r="A5582" s="21">
        <f t="shared" si="1"/>
        <v>45482.46577</v>
      </c>
      <c r="B5582" s="40" t="s">
        <v>2443</v>
      </c>
      <c r="C5582" s="23" t="s">
        <v>2190</v>
      </c>
      <c r="D5582" s="23" t="s">
        <v>32</v>
      </c>
      <c r="E5582" s="24">
        <v>45481.0</v>
      </c>
      <c r="F5582" s="25">
        <v>0.28680555555555554</v>
      </c>
      <c r="G5582" s="25">
        <v>0.6854166666666667</v>
      </c>
      <c r="H5582" s="27">
        <f t="shared" si="2"/>
        <v>0.3986111111</v>
      </c>
      <c r="I5582" s="28">
        <v>3.0</v>
      </c>
      <c r="J5582" s="39" t="s">
        <v>2753</v>
      </c>
      <c r="K5582" s="41"/>
      <c r="L5582" s="31" t="str">
        <f>IFERROR(__xludf.DUMMYFUNCTION("IF(OR(E5582="""",K5582=""""),"""",IFERROR(IF(K5582="""","""",query('tbl user'!$A$2:$D10975,""SELECT A WHERE D = '""&amp;K5582&amp;""'"")),""USER TIDAK DIKETAHUI""))"),"")</f>
        <v/>
      </c>
    </row>
    <row r="5583">
      <c r="A5583" s="21">
        <f t="shared" si="1"/>
        <v>45482.46585</v>
      </c>
      <c r="B5583" s="40" t="s">
        <v>2526</v>
      </c>
      <c r="C5583" s="23" t="s">
        <v>1902</v>
      </c>
      <c r="D5583" s="23" t="s">
        <v>32</v>
      </c>
      <c r="E5583" s="24">
        <v>45481.0</v>
      </c>
      <c r="F5583" s="25">
        <v>0.28958333333333336</v>
      </c>
      <c r="G5583" s="25">
        <v>0.7215277777777778</v>
      </c>
      <c r="H5583" s="27">
        <f t="shared" si="2"/>
        <v>0.4319444444</v>
      </c>
      <c r="I5583" s="28">
        <v>3.0</v>
      </c>
      <c r="J5583" s="39" t="s">
        <v>2755</v>
      </c>
      <c r="K5583" s="41"/>
      <c r="L5583" s="31" t="str">
        <f>IFERROR(__xludf.DUMMYFUNCTION("IF(OR(E5583="""",K5583=""""),"""",IFERROR(IF(K5583="""","""",query('tbl user'!$A$2:$D10975,""SELECT A WHERE D = '""&amp;K5583&amp;""'"")),""USER TIDAK DIKETAHUI""))"),"")</f>
        <v/>
      </c>
    </row>
    <row r="5584">
      <c r="A5584" s="21">
        <f t="shared" si="1"/>
        <v>45482.4659</v>
      </c>
      <c r="B5584" s="40" t="s">
        <v>2439</v>
      </c>
      <c r="C5584" s="23" t="s">
        <v>1990</v>
      </c>
      <c r="D5584" s="23" t="s">
        <v>32</v>
      </c>
      <c r="E5584" s="24">
        <v>45481.0</v>
      </c>
      <c r="F5584" s="25">
        <v>0.3236111111111111</v>
      </c>
      <c r="G5584" s="25">
        <v>0.7326388888888888</v>
      </c>
      <c r="H5584" s="27">
        <f t="shared" si="2"/>
        <v>0.4090277778</v>
      </c>
      <c r="I5584" s="28">
        <v>3.0</v>
      </c>
      <c r="J5584" s="39" t="s">
        <v>2756</v>
      </c>
      <c r="K5584" s="41"/>
      <c r="L5584" s="31" t="str">
        <f>IFERROR(__xludf.DUMMYFUNCTION("IF(OR(E5584="""",K5584=""""),"""",IFERROR(IF(K5584="""","""",query('tbl user'!$A$2:$D10975,""SELECT A WHERE D = '""&amp;K5584&amp;""'"")),""USER TIDAK DIKETAHUI""))"),"")</f>
        <v/>
      </c>
    </row>
    <row r="5585">
      <c r="A5585" s="21">
        <f t="shared" si="1"/>
        <v>45482.46595</v>
      </c>
      <c r="B5585" s="40" t="s">
        <v>2447</v>
      </c>
      <c r="C5585" s="23" t="s">
        <v>1905</v>
      </c>
      <c r="D5585" s="23" t="s">
        <v>32</v>
      </c>
      <c r="E5585" s="24">
        <v>45481.0</v>
      </c>
      <c r="F5585" s="25">
        <v>0.27291666666666664</v>
      </c>
      <c r="G5585" s="25">
        <v>0.6472222222222223</v>
      </c>
      <c r="H5585" s="27">
        <f t="shared" si="2"/>
        <v>0.3743055556</v>
      </c>
      <c r="I5585" s="28">
        <v>3.0</v>
      </c>
      <c r="J5585" s="39" t="s">
        <v>2755</v>
      </c>
      <c r="K5585" s="41"/>
      <c r="L5585" s="31" t="str">
        <f>IFERROR(__xludf.DUMMYFUNCTION("IF(OR(E5585="""",K5585=""""),"""",IFERROR(IF(K5585="""","""",query('tbl user'!$A$2:$D10975,""SELECT A WHERE D = '""&amp;K5585&amp;""'"")),""USER TIDAK DIKETAHUI""))"),"")</f>
        <v/>
      </c>
    </row>
    <row r="5586">
      <c r="A5586" s="21">
        <f t="shared" si="1"/>
        <v>45482.46599</v>
      </c>
      <c r="B5586" s="40" t="s">
        <v>2453</v>
      </c>
      <c r="C5586" s="23" t="s">
        <v>1907</v>
      </c>
      <c r="D5586" s="23" t="s">
        <v>32</v>
      </c>
      <c r="E5586" s="24">
        <v>45481.0</v>
      </c>
      <c r="F5586" s="25">
        <v>0.28958333333333336</v>
      </c>
      <c r="G5586" s="25">
        <v>0.7333333333333333</v>
      </c>
      <c r="H5586" s="27">
        <f t="shared" si="2"/>
        <v>0.44375</v>
      </c>
      <c r="I5586" s="28">
        <v>3.0</v>
      </c>
      <c r="J5586" s="39" t="s">
        <v>2757</v>
      </c>
      <c r="K5586" s="41"/>
      <c r="L5586" s="31" t="str">
        <f>IFERROR(__xludf.DUMMYFUNCTION("IF(OR(E5586="""",K5586=""""),"""",IFERROR(IF(K5586="""","""",query('tbl user'!$A$2:$D10975,""SELECT A WHERE D = '""&amp;K5586&amp;""'"")),""USER TIDAK DIKETAHUI""))"),"")</f>
        <v/>
      </c>
    </row>
    <row r="5587">
      <c r="A5587" s="21">
        <f t="shared" si="1"/>
        <v>45482.46604</v>
      </c>
      <c r="B5587" s="40" t="s">
        <v>2492</v>
      </c>
      <c r="C5587" s="23" t="s">
        <v>1913</v>
      </c>
      <c r="D5587" s="23" t="s">
        <v>32</v>
      </c>
      <c r="E5587" s="24">
        <v>45481.0</v>
      </c>
      <c r="F5587" s="25">
        <v>0.24166666666666667</v>
      </c>
      <c r="G5587" s="25">
        <v>0.6486111111111111</v>
      </c>
      <c r="H5587" s="27">
        <f t="shared" si="2"/>
        <v>0.4069444444</v>
      </c>
      <c r="I5587" s="28">
        <v>3.0</v>
      </c>
      <c r="J5587" s="39" t="s">
        <v>2758</v>
      </c>
      <c r="K5587" s="41"/>
      <c r="L5587" s="31" t="str">
        <f>IFERROR(__xludf.DUMMYFUNCTION("IF(OR(E5587="""",K5587=""""),"""",IFERROR(IF(K5587="""","""",query('tbl user'!$A$2:$D10975,""SELECT A WHERE D = '""&amp;K5587&amp;""'"")),""USER TIDAK DIKETAHUI""))"),"")</f>
        <v/>
      </c>
    </row>
    <row r="5588">
      <c r="A5588" s="21">
        <f t="shared" si="1"/>
        <v>45482.46609</v>
      </c>
      <c r="B5588" s="40" t="s">
        <v>2450</v>
      </c>
      <c r="C5588" s="23" t="s">
        <v>1894</v>
      </c>
      <c r="D5588" s="23" t="s">
        <v>32</v>
      </c>
      <c r="E5588" s="24">
        <v>45481.0</v>
      </c>
      <c r="F5588" s="25">
        <v>0.23958333333333334</v>
      </c>
      <c r="G5588" s="25">
        <v>0.7104166666666667</v>
      </c>
      <c r="H5588" s="27">
        <f t="shared" si="2"/>
        <v>0.4708333333</v>
      </c>
      <c r="I5588" s="28">
        <v>4.0</v>
      </c>
      <c r="J5588" s="39" t="s">
        <v>55</v>
      </c>
      <c r="K5588" s="41"/>
      <c r="L5588" s="31" t="str">
        <f>IFERROR(__xludf.DUMMYFUNCTION("IF(OR(E5588="""",K5588=""""),"""",IFERROR(IF(K5588="""","""",query('tbl user'!$A$2:$D10975,""SELECT A WHERE D = '""&amp;K5588&amp;""'"")),""USER TIDAK DIKETAHUI""))"),"")</f>
        <v/>
      </c>
    </row>
    <row r="5589">
      <c r="A5589" s="21">
        <f t="shared" si="1"/>
        <v>45482.46614</v>
      </c>
      <c r="B5589" s="40" t="s">
        <v>2449</v>
      </c>
      <c r="C5589" s="23" t="s">
        <v>1908</v>
      </c>
      <c r="D5589" s="23" t="s">
        <v>32</v>
      </c>
      <c r="E5589" s="24">
        <v>45481.0</v>
      </c>
      <c r="F5589" s="25">
        <v>0.27847222222222223</v>
      </c>
      <c r="G5589" s="25">
        <v>0.7472222222222222</v>
      </c>
      <c r="H5589" s="27">
        <f t="shared" si="2"/>
        <v>0.46875</v>
      </c>
      <c r="I5589" s="28">
        <v>4.0</v>
      </c>
      <c r="J5589" s="39" t="s">
        <v>55</v>
      </c>
      <c r="K5589" s="41"/>
      <c r="L5589" s="31" t="str">
        <f>IFERROR(__xludf.DUMMYFUNCTION("IF(OR(E5589="""",K5589=""""),"""",IFERROR(IF(K5589="""","""",query('tbl user'!$A$2:$D10975,""SELECT A WHERE D = '""&amp;K5589&amp;""'"")),""USER TIDAK DIKETAHUI""))"),"")</f>
        <v/>
      </c>
    </row>
    <row r="5590">
      <c r="A5590" s="21">
        <f t="shared" si="1"/>
        <v>45483.64916</v>
      </c>
      <c r="B5590" s="40" t="s">
        <v>2392</v>
      </c>
      <c r="C5590" s="23" t="s">
        <v>1851</v>
      </c>
      <c r="D5590" s="23" t="s">
        <v>21</v>
      </c>
      <c r="E5590" s="24">
        <v>45482.0</v>
      </c>
      <c r="F5590" s="25">
        <v>0.2611111111111111</v>
      </c>
      <c r="G5590" s="25">
        <v>0.43333333333333335</v>
      </c>
      <c r="H5590" s="27">
        <f t="shared" si="2"/>
        <v>0.1722222222</v>
      </c>
      <c r="I5590" s="28">
        <v>1.0</v>
      </c>
      <c r="J5590" s="39" t="s">
        <v>2759</v>
      </c>
      <c r="K5590" s="41"/>
      <c r="L5590" s="31" t="str">
        <f>IFERROR(__xludf.DUMMYFUNCTION("IF(OR(E5590="""",K5590=""""),"""",IFERROR(IF(K5590="""","""",query('tbl user'!$A$2:$D10975,""SELECT A WHERE D = '""&amp;K5590&amp;""'"")),""USER TIDAK DIKETAHUI""))"),"")</f>
        <v/>
      </c>
    </row>
    <row r="5591">
      <c r="A5591" s="21">
        <f t="shared" si="1"/>
        <v>45483.64924</v>
      </c>
      <c r="B5591" s="40" t="s">
        <v>2359</v>
      </c>
      <c r="C5591" s="23" t="s">
        <v>2628</v>
      </c>
      <c r="D5591" s="23" t="s">
        <v>21</v>
      </c>
      <c r="E5591" s="24">
        <v>45482.0</v>
      </c>
      <c r="F5591" s="25">
        <v>0.29305555555555557</v>
      </c>
      <c r="G5591" s="25">
        <v>0.4756944444444444</v>
      </c>
      <c r="H5591" s="27">
        <f t="shared" si="2"/>
        <v>0.1826388889</v>
      </c>
      <c r="I5591" s="28">
        <v>1.0</v>
      </c>
      <c r="J5591" s="39" t="s">
        <v>2760</v>
      </c>
      <c r="K5591" s="41"/>
      <c r="L5591" s="31" t="str">
        <f>IFERROR(__xludf.DUMMYFUNCTION("IF(OR(E5591="""",K5591=""""),"""",IFERROR(IF(K5591="""","""",query('tbl user'!$A$2:$D10975,""SELECT A WHERE D = '""&amp;K5591&amp;""'"")),""USER TIDAK DIKETAHUI""))"),"")</f>
        <v/>
      </c>
    </row>
    <row r="5592">
      <c r="A5592" s="21">
        <f t="shared" si="1"/>
        <v>45483.64928</v>
      </c>
      <c r="B5592" s="40" t="s">
        <v>2378</v>
      </c>
      <c r="C5592" s="23" t="s">
        <v>1844</v>
      </c>
      <c r="D5592" s="23" t="s">
        <v>21</v>
      </c>
      <c r="E5592" s="24">
        <v>45482.0</v>
      </c>
      <c r="F5592" s="25">
        <v>0.22083333333333333</v>
      </c>
      <c r="G5592" s="25">
        <v>0.43125</v>
      </c>
      <c r="H5592" s="27">
        <f t="shared" si="2"/>
        <v>0.2104166667</v>
      </c>
      <c r="I5592" s="28">
        <v>1.0</v>
      </c>
      <c r="J5592" s="39" t="s">
        <v>2761</v>
      </c>
      <c r="K5592" s="41"/>
      <c r="L5592" s="31" t="str">
        <f>IFERROR(__xludf.DUMMYFUNCTION("IF(OR(E5592="""",K5592=""""),"""",IFERROR(IF(K5592="""","""",query('tbl user'!$A$2:$D10975,""SELECT A WHERE D = '""&amp;K5592&amp;""'"")),""USER TIDAK DIKETAHUI""))"),"")</f>
        <v/>
      </c>
    </row>
    <row r="5593">
      <c r="A5593" s="21">
        <f t="shared" si="1"/>
        <v>45483.64932</v>
      </c>
      <c r="B5593" s="40" t="s">
        <v>2396</v>
      </c>
      <c r="C5593" s="23" t="s">
        <v>2049</v>
      </c>
      <c r="D5593" s="23" t="s">
        <v>21</v>
      </c>
      <c r="E5593" s="24">
        <v>45482.0</v>
      </c>
      <c r="F5593" s="25">
        <v>0.27708333333333335</v>
      </c>
      <c r="G5593" s="28" t="s">
        <v>1817</v>
      </c>
      <c r="H5593" s="27" t="str">
        <f t="shared" si="2"/>
        <v/>
      </c>
      <c r="I5593" s="28">
        <v>1.0</v>
      </c>
      <c r="J5593" s="39" t="s">
        <v>2762</v>
      </c>
      <c r="K5593" s="41"/>
      <c r="L5593" s="31" t="str">
        <f>IFERROR(__xludf.DUMMYFUNCTION("IF(OR(E5593="""",K5593=""""),"""",IFERROR(IF(K5593="""","""",query('tbl user'!$A$2:$D10975,""SELECT A WHERE D = '""&amp;K5593&amp;""'"")),""USER TIDAK DIKETAHUI""))"),"")</f>
        <v/>
      </c>
    </row>
    <row r="5594">
      <c r="A5594" s="21">
        <f t="shared" si="1"/>
        <v>45483.64942</v>
      </c>
      <c r="B5594" s="40" t="s">
        <v>2457</v>
      </c>
      <c r="C5594" s="23" t="s">
        <v>2005</v>
      </c>
      <c r="D5594" s="23" t="s">
        <v>21</v>
      </c>
      <c r="E5594" s="24">
        <v>45482.0</v>
      </c>
      <c r="F5594" s="25">
        <v>0.2465277777777778</v>
      </c>
      <c r="G5594" s="25">
        <v>0.42291666666666666</v>
      </c>
      <c r="H5594" s="27">
        <f t="shared" si="2"/>
        <v>0.1763888889</v>
      </c>
      <c r="I5594" s="28">
        <v>1.0</v>
      </c>
      <c r="J5594" s="39" t="s">
        <v>2763</v>
      </c>
      <c r="K5594" s="41"/>
      <c r="L5594" s="31" t="str">
        <f>IFERROR(__xludf.DUMMYFUNCTION("IF(OR(E5594="""",K5594=""""),"""",IFERROR(IF(K5594="""","""",query('tbl user'!$A$2:$D10975,""SELECT A WHERE D = '""&amp;K5594&amp;""'"")),""USER TIDAK DIKETAHUI""))"),"")</f>
        <v/>
      </c>
    </row>
    <row r="5595">
      <c r="A5595" s="21">
        <f t="shared" si="1"/>
        <v>45483.64946</v>
      </c>
      <c r="B5595" s="40" t="s">
        <v>2376</v>
      </c>
      <c r="C5595" s="23" t="s">
        <v>1853</v>
      </c>
      <c r="D5595" s="23" t="s">
        <v>21</v>
      </c>
      <c r="E5595" s="24">
        <v>45482.0</v>
      </c>
      <c r="F5595" s="25">
        <v>0.2923611111111111</v>
      </c>
      <c r="G5595" s="25">
        <v>0.5777777777777777</v>
      </c>
      <c r="H5595" s="27">
        <f t="shared" si="2"/>
        <v>0.2854166667</v>
      </c>
      <c r="I5595" s="28">
        <v>2.0</v>
      </c>
      <c r="J5595" s="39" t="s">
        <v>2764</v>
      </c>
      <c r="K5595" s="41"/>
      <c r="L5595" s="31" t="str">
        <f>IFERROR(__xludf.DUMMYFUNCTION("IF(OR(E5595="""",K5595=""""),"""",IFERROR(IF(K5595="""","""",query('tbl user'!$A$2:$D10975,""SELECT A WHERE D = '""&amp;K5595&amp;""'"")),""USER TIDAK DIKETAHUI""))"),"")</f>
        <v/>
      </c>
    </row>
    <row r="5596">
      <c r="A5596" s="21">
        <f t="shared" si="1"/>
        <v>45483.64951</v>
      </c>
      <c r="B5596" s="40" t="s">
        <v>2379</v>
      </c>
      <c r="C5596" s="23" t="s">
        <v>1835</v>
      </c>
      <c r="D5596" s="23" t="s">
        <v>21</v>
      </c>
      <c r="E5596" s="24">
        <v>45482.0</v>
      </c>
      <c r="F5596" s="25">
        <v>0.29097222222222224</v>
      </c>
      <c r="G5596" s="25">
        <v>0.5805555555555556</v>
      </c>
      <c r="H5596" s="27">
        <f t="shared" si="2"/>
        <v>0.2895833333</v>
      </c>
      <c r="I5596" s="28">
        <v>2.0</v>
      </c>
      <c r="J5596" s="39" t="s">
        <v>2765</v>
      </c>
      <c r="K5596" s="41"/>
      <c r="L5596" s="31" t="str">
        <f>IFERROR(__xludf.DUMMYFUNCTION("IF(OR(E5596="""",K5596=""""),"""",IFERROR(IF(K5596="""","""",query('tbl user'!$A$2:$D10975,""SELECT A WHERE D = '""&amp;K5596&amp;""'"")),""USER TIDAK DIKETAHUI""))"),"")</f>
        <v/>
      </c>
    </row>
    <row r="5597">
      <c r="A5597" s="21">
        <f t="shared" si="1"/>
        <v>45483.64959</v>
      </c>
      <c r="B5597" s="40" t="s">
        <v>2394</v>
      </c>
      <c r="C5597" s="23" t="s">
        <v>1837</v>
      </c>
      <c r="D5597" s="23" t="s">
        <v>21</v>
      </c>
      <c r="E5597" s="24">
        <v>45482.0</v>
      </c>
      <c r="F5597" s="25">
        <v>0.26805555555555555</v>
      </c>
      <c r="G5597" s="25">
        <v>0.55625</v>
      </c>
      <c r="H5597" s="27">
        <f t="shared" si="2"/>
        <v>0.2881944444</v>
      </c>
      <c r="I5597" s="28">
        <v>2.0</v>
      </c>
      <c r="J5597" s="39" t="s">
        <v>2766</v>
      </c>
      <c r="K5597" s="41"/>
      <c r="L5597" s="31" t="str">
        <f>IFERROR(__xludf.DUMMYFUNCTION("IF(OR(E5597="""",K5597=""""),"""",IFERROR(IF(K5597="""","""",query('tbl user'!$A$2:$D10975,""SELECT A WHERE D = '""&amp;K5597&amp;""'"")),""USER TIDAK DIKETAHUI""))"),"")</f>
        <v/>
      </c>
    </row>
    <row r="5598">
      <c r="A5598" s="21">
        <f t="shared" si="1"/>
        <v>45483.64964</v>
      </c>
      <c r="B5598" s="40" t="s">
        <v>2385</v>
      </c>
      <c r="C5598" s="23" t="s">
        <v>2002</v>
      </c>
      <c r="D5598" s="23" t="s">
        <v>21</v>
      </c>
      <c r="E5598" s="24">
        <v>45482.0</v>
      </c>
      <c r="F5598" s="25">
        <v>0.3854166666666667</v>
      </c>
      <c r="G5598" s="25">
        <v>0.7034722222222223</v>
      </c>
      <c r="H5598" s="27">
        <f t="shared" si="2"/>
        <v>0.3180555556</v>
      </c>
      <c r="I5598" s="28">
        <v>3.0</v>
      </c>
      <c r="J5598" s="39" t="s">
        <v>2767</v>
      </c>
      <c r="K5598" s="41"/>
      <c r="L5598" s="31" t="str">
        <f>IFERROR(__xludf.DUMMYFUNCTION("IF(OR(E5598="""",K5598=""""),"""",IFERROR(IF(K5598="""","""",query('tbl user'!$A$2:$D10975,""SELECT A WHERE D = '""&amp;K5598&amp;""'"")),""USER TIDAK DIKETAHUI""))"),"")</f>
        <v/>
      </c>
    </row>
    <row r="5599">
      <c r="A5599" s="21">
        <f t="shared" si="1"/>
        <v>45483.6497</v>
      </c>
      <c r="B5599" s="40" t="s">
        <v>2393</v>
      </c>
      <c r="C5599" s="23" t="s">
        <v>1925</v>
      </c>
      <c r="D5599" s="23" t="s">
        <v>21</v>
      </c>
      <c r="E5599" s="24">
        <v>45482.0</v>
      </c>
      <c r="F5599" s="25">
        <v>0.26875</v>
      </c>
      <c r="G5599" s="25">
        <v>0.6777777777777778</v>
      </c>
      <c r="H5599" s="27">
        <f t="shared" si="2"/>
        <v>0.4090277778</v>
      </c>
      <c r="I5599" s="28">
        <v>3.0</v>
      </c>
      <c r="J5599" s="39" t="s">
        <v>2768</v>
      </c>
      <c r="K5599" s="41"/>
      <c r="L5599" s="31" t="str">
        <f>IFERROR(__xludf.DUMMYFUNCTION("IF(OR(E5599="""",K5599=""""),"""",IFERROR(IF(K5599="""","""",query('tbl user'!$A$2:$D10975,""SELECT A WHERE D = '""&amp;K5599&amp;""'"")),""USER TIDAK DIKETAHUI""))"),"")</f>
        <v/>
      </c>
    </row>
    <row r="5600">
      <c r="A5600" s="21">
        <f t="shared" si="1"/>
        <v>45483.64975</v>
      </c>
      <c r="B5600" s="40" t="s">
        <v>2371</v>
      </c>
      <c r="C5600" s="23" t="s">
        <v>1845</v>
      </c>
      <c r="D5600" s="23" t="s">
        <v>21</v>
      </c>
      <c r="E5600" s="24">
        <v>45482.0</v>
      </c>
      <c r="F5600" s="25">
        <v>0.2916666666666667</v>
      </c>
      <c r="G5600" s="25">
        <v>0.6458333333333334</v>
      </c>
      <c r="H5600" s="27">
        <f t="shared" si="2"/>
        <v>0.3541666667</v>
      </c>
      <c r="I5600" s="28">
        <v>3.0</v>
      </c>
      <c r="J5600" s="39" t="s">
        <v>2768</v>
      </c>
      <c r="K5600" s="41"/>
      <c r="L5600" s="31" t="str">
        <f>IFERROR(__xludf.DUMMYFUNCTION("IF(OR(E5600="""",K5600=""""),"""",IFERROR(IF(K5600="""","""",query('tbl user'!$A$2:$D10975,""SELECT A WHERE D = '""&amp;K5600&amp;""'"")),""USER TIDAK DIKETAHUI""))"),"")</f>
        <v/>
      </c>
    </row>
    <row r="5601">
      <c r="A5601" s="21">
        <f t="shared" si="1"/>
        <v>45483.64983</v>
      </c>
      <c r="B5601" s="40" t="s">
        <v>2373</v>
      </c>
      <c r="C5601" s="23" t="s">
        <v>1847</v>
      </c>
      <c r="D5601" s="23" t="s">
        <v>21</v>
      </c>
      <c r="E5601" s="24">
        <v>45482.0</v>
      </c>
      <c r="F5601" s="25">
        <v>0.2777777777777778</v>
      </c>
      <c r="G5601" s="25">
        <v>0.6784722222222223</v>
      </c>
      <c r="H5601" s="27">
        <f t="shared" si="2"/>
        <v>0.4006944444</v>
      </c>
      <c r="I5601" s="28">
        <v>3.0</v>
      </c>
      <c r="J5601" s="39" t="s">
        <v>2768</v>
      </c>
      <c r="K5601" s="41"/>
      <c r="L5601" s="31" t="str">
        <f>IFERROR(__xludf.DUMMYFUNCTION("IF(OR(E5601="""",K5601=""""),"""",IFERROR(IF(K5601="""","""",query('tbl user'!$A$2:$D10975,""SELECT A WHERE D = '""&amp;K5601&amp;""'"")),""USER TIDAK DIKETAHUI""))"),"")</f>
        <v/>
      </c>
    </row>
    <row r="5602">
      <c r="A5602" s="21">
        <f t="shared" si="1"/>
        <v>45483.64991</v>
      </c>
      <c r="B5602" s="40" t="s">
        <v>2560</v>
      </c>
      <c r="C5602" s="23" t="s">
        <v>1849</v>
      </c>
      <c r="D5602" s="23" t="s">
        <v>21</v>
      </c>
      <c r="E5602" s="24">
        <v>45482.0</v>
      </c>
      <c r="F5602" s="25">
        <v>0.2604166666666667</v>
      </c>
      <c r="G5602" s="25">
        <v>0.6326388888888889</v>
      </c>
      <c r="H5602" s="27">
        <f t="shared" si="2"/>
        <v>0.3722222222</v>
      </c>
      <c r="I5602" s="28">
        <v>3.0</v>
      </c>
      <c r="J5602" s="39" t="s">
        <v>2769</v>
      </c>
      <c r="K5602" s="41"/>
      <c r="L5602" s="31" t="str">
        <f>IFERROR(__xludf.DUMMYFUNCTION("IF(OR(E5602="""",K5602=""""),"""",IFERROR(IF(K5602="""","""",query('tbl user'!$A$2:$D10975,""SELECT A WHERE D = '""&amp;K5602&amp;""'"")),""USER TIDAK DIKETAHUI""))"),"")</f>
        <v/>
      </c>
    </row>
    <row r="5603">
      <c r="A5603" s="21">
        <f t="shared" si="1"/>
        <v>45483.64997</v>
      </c>
      <c r="B5603" s="40" t="s">
        <v>2731</v>
      </c>
      <c r="C5603" s="23" t="s">
        <v>1928</v>
      </c>
      <c r="D5603" s="23" t="s">
        <v>21</v>
      </c>
      <c r="E5603" s="24">
        <v>45482.0</v>
      </c>
      <c r="F5603" s="25">
        <v>0.2652777777777778</v>
      </c>
      <c r="G5603" s="25">
        <v>0.6715277777777777</v>
      </c>
      <c r="H5603" s="27">
        <f t="shared" si="2"/>
        <v>0.40625</v>
      </c>
      <c r="I5603" s="28">
        <v>3.0</v>
      </c>
      <c r="J5603" s="39" t="s">
        <v>245</v>
      </c>
      <c r="K5603" s="41"/>
      <c r="L5603" s="31" t="str">
        <f>IFERROR(__xludf.DUMMYFUNCTION("IF(OR(E5603="""",K5603=""""),"""",IFERROR(IF(K5603="""","""",query('tbl user'!$A$2:$D10975,""SELECT A WHERE D = '""&amp;K5603&amp;""'"")),""USER TIDAK DIKETAHUI""))"),"")</f>
        <v/>
      </c>
    </row>
    <row r="5604">
      <c r="A5604" s="21">
        <f t="shared" si="1"/>
        <v>45483.65003</v>
      </c>
      <c r="B5604" s="40" t="s">
        <v>2374</v>
      </c>
      <c r="C5604" s="23" t="s">
        <v>1850</v>
      </c>
      <c r="D5604" s="23" t="s">
        <v>21</v>
      </c>
      <c r="E5604" s="24">
        <v>45482.0</v>
      </c>
      <c r="F5604" s="25">
        <v>0.25833333333333336</v>
      </c>
      <c r="G5604" s="25">
        <v>0.7361111111111112</v>
      </c>
      <c r="H5604" s="27">
        <f t="shared" si="2"/>
        <v>0.4777777778</v>
      </c>
      <c r="I5604" s="28">
        <v>3.0</v>
      </c>
      <c r="J5604" s="39" t="s">
        <v>218</v>
      </c>
      <c r="K5604" s="41"/>
      <c r="L5604" s="31" t="str">
        <f>IFERROR(__xludf.DUMMYFUNCTION("IF(OR(E5604="""",K5604=""""),"""",IFERROR(IF(K5604="""","""",query('tbl user'!$A$2:$D10975,""SELECT A WHERE D = '""&amp;K5604&amp;""'"")),""USER TIDAK DIKETAHUI""))"),"")</f>
        <v/>
      </c>
    </row>
    <row r="5605">
      <c r="A5605" s="21">
        <f t="shared" si="1"/>
        <v>45483.6502</v>
      </c>
      <c r="B5605" s="40" t="s">
        <v>2387</v>
      </c>
      <c r="C5605" s="23" t="s">
        <v>1857</v>
      </c>
      <c r="D5605" s="23" t="s">
        <v>21</v>
      </c>
      <c r="E5605" s="24">
        <v>45482.0</v>
      </c>
      <c r="F5605" s="25">
        <v>0.25</v>
      </c>
      <c r="G5605" s="25">
        <v>0.7159722222222222</v>
      </c>
      <c r="H5605" s="27">
        <f t="shared" si="2"/>
        <v>0.4659722222</v>
      </c>
      <c r="I5605" s="28">
        <v>4.0</v>
      </c>
      <c r="J5605" s="39" t="s">
        <v>2768</v>
      </c>
      <c r="K5605" s="41"/>
      <c r="L5605" s="31" t="str">
        <f>IFERROR(__xludf.DUMMYFUNCTION("IF(OR(E5605="""",K5605=""""),"""",IFERROR(IF(K5605="""","""",query('tbl user'!$A$2:$D10975,""SELECT A WHERE D = '""&amp;K5605&amp;""'"")),""USER TIDAK DIKETAHUI""))"),"")</f>
        <v/>
      </c>
    </row>
    <row r="5606">
      <c r="A5606" s="21">
        <f t="shared" si="1"/>
        <v>45483.65023</v>
      </c>
      <c r="B5606" s="40" t="s">
        <v>2382</v>
      </c>
      <c r="C5606" s="23" t="s">
        <v>1858</v>
      </c>
      <c r="D5606" s="23" t="s">
        <v>21</v>
      </c>
      <c r="E5606" s="24">
        <v>45482.0</v>
      </c>
      <c r="F5606" s="25">
        <v>0.26805555555555555</v>
      </c>
      <c r="G5606" s="25">
        <v>0.71875</v>
      </c>
      <c r="H5606" s="27">
        <f t="shared" si="2"/>
        <v>0.4506944444</v>
      </c>
      <c r="I5606" s="28">
        <v>4.0</v>
      </c>
      <c r="J5606" s="39" t="s">
        <v>2770</v>
      </c>
      <c r="K5606" s="41"/>
      <c r="L5606" s="31" t="str">
        <f>IFERROR(__xludf.DUMMYFUNCTION("IF(OR(E5606="""",K5606=""""),"""",IFERROR(IF(K5606="""","""",query('tbl user'!$A$2:$D10975,""SELECT A WHERE D = '""&amp;K5606&amp;""'"")),""USER TIDAK DIKETAHUI""))"),"")</f>
        <v/>
      </c>
    </row>
    <row r="5607">
      <c r="A5607" s="21">
        <f t="shared" si="1"/>
        <v>45483.65025</v>
      </c>
      <c r="B5607" s="40" t="s">
        <v>2400</v>
      </c>
      <c r="C5607" s="23" t="s">
        <v>1917</v>
      </c>
      <c r="D5607" s="23" t="s">
        <v>21</v>
      </c>
      <c r="E5607" s="24">
        <v>45482.0</v>
      </c>
      <c r="F5607" s="25">
        <v>0.2708333333333333</v>
      </c>
      <c r="G5607" s="25">
        <v>0.4166666666666667</v>
      </c>
      <c r="H5607" s="27">
        <f t="shared" si="2"/>
        <v>0.1458333333</v>
      </c>
      <c r="I5607" s="28">
        <v>1.0</v>
      </c>
      <c r="J5607" s="39" t="s">
        <v>2771</v>
      </c>
      <c r="K5607" s="41"/>
      <c r="L5607" s="31" t="str">
        <f>IFERROR(__xludf.DUMMYFUNCTION("IF(OR(E5607="""",K5607=""""),"""",IFERROR(IF(K5607="""","""",query('tbl user'!$A$2:$D10975,""SELECT A WHERE D = '""&amp;K5607&amp;""'"")),""USER TIDAK DIKETAHUI""))"),"")</f>
        <v/>
      </c>
    </row>
    <row r="5608">
      <c r="A5608" s="21">
        <f t="shared" si="1"/>
        <v>45483.65029</v>
      </c>
      <c r="B5608" s="40" t="s">
        <v>2397</v>
      </c>
      <c r="C5608" s="23" t="s">
        <v>1852</v>
      </c>
      <c r="D5608" s="23" t="s">
        <v>21</v>
      </c>
      <c r="E5608" s="24">
        <v>45482.0</v>
      </c>
      <c r="F5608" s="25">
        <v>0.25416666666666665</v>
      </c>
      <c r="G5608" s="25">
        <v>0.65625</v>
      </c>
      <c r="H5608" s="27">
        <f t="shared" si="2"/>
        <v>0.4020833333</v>
      </c>
      <c r="I5608" s="28">
        <v>3.0</v>
      </c>
      <c r="J5608" s="39" t="s">
        <v>2607</v>
      </c>
      <c r="K5608" s="41"/>
      <c r="L5608" s="31" t="str">
        <f>IFERROR(__xludf.DUMMYFUNCTION("IF(OR(E5608="""",K5608=""""),"""",IFERROR(IF(K5608="""","""",query('tbl user'!$A$2:$D10975,""SELECT A WHERE D = '""&amp;K5608&amp;""'"")),""USER TIDAK DIKETAHUI""))"),"")</f>
        <v/>
      </c>
    </row>
    <row r="5609">
      <c r="A5609" s="21">
        <f t="shared" si="1"/>
        <v>45483.65034</v>
      </c>
      <c r="B5609" s="40" t="s">
        <v>2401</v>
      </c>
      <c r="C5609" s="23" t="s">
        <v>1841</v>
      </c>
      <c r="D5609" s="23" t="s">
        <v>21</v>
      </c>
      <c r="E5609" s="24">
        <v>45482.0</v>
      </c>
      <c r="F5609" s="25">
        <v>0.2923611111111111</v>
      </c>
      <c r="G5609" s="25">
        <v>0.7006944444444444</v>
      </c>
      <c r="H5609" s="27">
        <f t="shared" si="2"/>
        <v>0.4083333333</v>
      </c>
      <c r="I5609" s="28">
        <v>3.0</v>
      </c>
      <c r="J5609" s="39" t="s">
        <v>2772</v>
      </c>
      <c r="K5609" s="41"/>
      <c r="L5609" s="31" t="str">
        <f>IFERROR(__xludf.DUMMYFUNCTION("IF(OR(E5609="""",K5609=""""),"""",IFERROR(IF(K5609="""","""",query('tbl user'!$A$2:$D10975,""SELECT A WHERE D = '""&amp;K5609&amp;""'"")),""USER TIDAK DIKETAHUI""))"),"")</f>
        <v/>
      </c>
    </row>
    <row r="5610">
      <c r="A5610" s="21">
        <f t="shared" si="1"/>
        <v>45483.65053</v>
      </c>
      <c r="B5610" s="40" t="s">
        <v>2416</v>
      </c>
      <c r="C5610" s="23" t="s">
        <v>1948</v>
      </c>
      <c r="D5610" s="23" t="s">
        <v>58</v>
      </c>
      <c r="E5610" s="24">
        <v>45482.0</v>
      </c>
      <c r="F5610" s="25">
        <v>0.31527777777777777</v>
      </c>
      <c r="G5610" s="25">
        <v>0.4930555555555556</v>
      </c>
      <c r="H5610" s="27">
        <f t="shared" si="2"/>
        <v>0.1777777778</v>
      </c>
      <c r="I5610" s="28">
        <v>0.0</v>
      </c>
      <c r="J5610" s="39" t="s">
        <v>2773</v>
      </c>
      <c r="K5610" s="41"/>
      <c r="L5610" s="31" t="str">
        <f>IFERROR(__xludf.DUMMYFUNCTION("IF(OR(E5610="""",K5610=""""),"""",IFERROR(IF(K5610="""","""",query('tbl user'!$A$2:$D10975,""SELECT A WHERE D = '""&amp;K5610&amp;""'"")),""USER TIDAK DIKETAHUI""))"),"")</f>
        <v/>
      </c>
    </row>
    <row r="5611">
      <c r="A5611" s="21">
        <f t="shared" si="1"/>
        <v>45483.65059</v>
      </c>
      <c r="B5611" s="40" t="s">
        <v>2421</v>
      </c>
      <c r="C5611" s="23" t="s">
        <v>1883</v>
      </c>
      <c r="D5611" s="23" t="s">
        <v>58</v>
      </c>
      <c r="E5611" s="24">
        <v>45482.0</v>
      </c>
      <c r="F5611" s="25">
        <v>0.29097222222222224</v>
      </c>
      <c r="G5611" s="25">
        <v>0.3173611111111111</v>
      </c>
      <c r="H5611" s="27">
        <f t="shared" si="2"/>
        <v>0.02638888889</v>
      </c>
      <c r="I5611" s="28">
        <v>0.0</v>
      </c>
      <c r="J5611" s="39" t="s">
        <v>2774</v>
      </c>
      <c r="K5611" s="41"/>
      <c r="L5611" s="31" t="str">
        <f>IFERROR(__xludf.DUMMYFUNCTION("IF(OR(E5611="""",K5611=""""),"""",IFERROR(IF(K5611="""","""",query('tbl user'!$A$2:$D10975,""SELECT A WHERE D = '""&amp;K5611&amp;""'"")),""USER TIDAK DIKETAHUI""))"),"")</f>
        <v/>
      </c>
    </row>
    <row r="5612">
      <c r="A5612" s="21">
        <f t="shared" si="1"/>
        <v>45483.6507</v>
      </c>
      <c r="B5612" s="40" t="s">
        <v>2386</v>
      </c>
      <c r="C5612" s="23" t="s">
        <v>1865</v>
      </c>
      <c r="D5612" s="23" t="s">
        <v>58</v>
      </c>
      <c r="E5612" s="24">
        <v>45482.0</v>
      </c>
      <c r="F5612" s="25">
        <v>0.29375</v>
      </c>
      <c r="G5612" s="25">
        <v>0.45902777777777776</v>
      </c>
      <c r="H5612" s="27">
        <f t="shared" si="2"/>
        <v>0.1652777778</v>
      </c>
      <c r="I5612" s="28">
        <v>1.0</v>
      </c>
      <c r="J5612" s="39" t="s">
        <v>218</v>
      </c>
      <c r="K5612" s="41"/>
      <c r="L5612" s="31" t="str">
        <f>IFERROR(__xludf.DUMMYFUNCTION("IF(OR(E5612="""",K5612=""""),"""",IFERROR(IF(K5612="""","""",query('tbl user'!$A$2:$D10975,""SELECT A WHERE D = '""&amp;K5612&amp;""'"")),""USER TIDAK DIKETAHUI""))"),"")</f>
        <v/>
      </c>
    </row>
    <row r="5613">
      <c r="A5613" s="21">
        <f t="shared" si="1"/>
        <v>45483.65077</v>
      </c>
      <c r="B5613" s="40" t="s">
        <v>2419</v>
      </c>
      <c r="C5613" s="23" t="s">
        <v>1882</v>
      </c>
      <c r="D5613" s="23" t="s">
        <v>58</v>
      </c>
      <c r="E5613" s="24">
        <v>45482.0</v>
      </c>
      <c r="F5613" s="25">
        <v>0.2881944444444444</v>
      </c>
      <c r="G5613" s="25">
        <v>0.41180555555555554</v>
      </c>
      <c r="H5613" s="27">
        <f t="shared" si="2"/>
        <v>0.1236111111</v>
      </c>
      <c r="I5613" s="28">
        <v>1.0</v>
      </c>
      <c r="J5613" s="39" t="s">
        <v>2775</v>
      </c>
      <c r="K5613" s="41"/>
      <c r="L5613" s="31" t="str">
        <f>IFERROR(__xludf.DUMMYFUNCTION("IF(OR(E5613="""",K5613=""""),"""",IFERROR(IF(K5613="""","""",query('tbl user'!$A$2:$D10975,""SELECT A WHERE D = '""&amp;K5613&amp;""'"")),""USER TIDAK DIKETAHUI""))"),"")</f>
        <v/>
      </c>
    </row>
    <row r="5614">
      <c r="A5614" s="21">
        <f t="shared" si="1"/>
        <v>45483.65082</v>
      </c>
      <c r="B5614" s="40" t="s">
        <v>2427</v>
      </c>
      <c r="C5614" s="23" t="s">
        <v>1888</v>
      </c>
      <c r="D5614" s="23" t="s">
        <v>58</v>
      </c>
      <c r="E5614" s="24">
        <v>45482.0</v>
      </c>
      <c r="F5614" s="25">
        <v>0.28680555555555554</v>
      </c>
      <c r="G5614" s="25">
        <v>0.4263888888888889</v>
      </c>
      <c r="H5614" s="27">
        <f t="shared" si="2"/>
        <v>0.1395833333</v>
      </c>
      <c r="I5614" s="28">
        <v>1.0</v>
      </c>
      <c r="J5614" s="39" t="s">
        <v>2776</v>
      </c>
      <c r="K5614" s="41"/>
      <c r="L5614" s="31" t="str">
        <f>IFERROR(__xludf.DUMMYFUNCTION("IF(OR(E5614="""",K5614=""""),"""",IFERROR(IF(K5614="""","""",query('tbl user'!$A$2:$D10975,""SELECT A WHERE D = '""&amp;K5614&amp;""'"")),""USER TIDAK DIKETAHUI""))"),"")</f>
        <v/>
      </c>
    </row>
    <row r="5615">
      <c r="A5615" s="21">
        <f t="shared" si="1"/>
        <v>45483.65087</v>
      </c>
      <c r="B5615" s="40" t="s">
        <v>2410</v>
      </c>
      <c r="C5615" s="23" t="s">
        <v>2090</v>
      </c>
      <c r="D5615" s="23" t="s">
        <v>58</v>
      </c>
      <c r="E5615" s="24">
        <v>45482.0</v>
      </c>
      <c r="F5615" s="25">
        <v>0.2611111111111111</v>
      </c>
      <c r="G5615" s="25">
        <v>0.3736111111111111</v>
      </c>
      <c r="H5615" s="27">
        <f t="shared" si="2"/>
        <v>0.1125</v>
      </c>
      <c r="I5615" s="28">
        <v>1.0</v>
      </c>
      <c r="J5615" s="39" t="s">
        <v>2777</v>
      </c>
      <c r="K5615" s="41"/>
      <c r="L5615" s="31" t="str">
        <f>IFERROR(__xludf.DUMMYFUNCTION("IF(OR(E5615="""",K5615=""""),"""",IFERROR(IF(K5615="""","""",query('tbl user'!$A$2:$D10975,""SELECT A WHERE D = '""&amp;K5615&amp;""'"")),""USER TIDAK DIKETAHUI""))"),"")</f>
        <v/>
      </c>
    </row>
    <row r="5616">
      <c r="A5616" s="21">
        <f t="shared" si="1"/>
        <v>45483.65093</v>
      </c>
      <c r="B5616" s="40" t="s">
        <v>2412</v>
      </c>
      <c r="C5616" s="23" t="s">
        <v>1890</v>
      </c>
      <c r="D5616" s="23" t="s">
        <v>58</v>
      </c>
      <c r="E5616" s="24">
        <v>45482.0</v>
      </c>
      <c r="F5616" s="25">
        <v>0.25763888888888886</v>
      </c>
      <c r="G5616" s="28" t="s">
        <v>1817</v>
      </c>
      <c r="H5616" s="27" t="str">
        <f t="shared" si="2"/>
        <v/>
      </c>
      <c r="I5616" s="28">
        <v>1.0</v>
      </c>
      <c r="J5616" s="39" t="s">
        <v>1838</v>
      </c>
      <c r="K5616" s="41"/>
      <c r="L5616" s="31" t="str">
        <f>IFERROR(__xludf.DUMMYFUNCTION("IF(OR(E5616="""",K5616=""""),"""",IFERROR(IF(K5616="""","""",query('tbl user'!$A$2:$D10975,""SELECT A WHERE D = '""&amp;K5616&amp;""'"")),""USER TIDAK DIKETAHUI""))"),"")</f>
        <v/>
      </c>
    </row>
    <row r="5617">
      <c r="A5617" s="21">
        <f t="shared" si="1"/>
        <v>45483.65099</v>
      </c>
      <c r="B5617" s="40" t="s">
        <v>2361</v>
      </c>
      <c r="C5617" s="23" t="s">
        <v>1875</v>
      </c>
      <c r="D5617" s="23" t="s">
        <v>58</v>
      </c>
      <c r="E5617" s="24">
        <v>45482.0</v>
      </c>
      <c r="F5617" s="25">
        <v>0.2569444444444444</v>
      </c>
      <c r="G5617" s="25">
        <v>0.5791666666666667</v>
      </c>
      <c r="H5617" s="27">
        <f t="shared" si="2"/>
        <v>0.3222222222</v>
      </c>
      <c r="I5617" s="28">
        <v>2.0</v>
      </c>
      <c r="J5617" s="39" t="s">
        <v>2778</v>
      </c>
      <c r="K5617" s="41"/>
      <c r="L5617" s="31" t="str">
        <f>IFERROR(__xludf.DUMMYFUNCTION("IF(OR(E5617="""",K5617=""""),"""",IFERROR(IF(K5617="""","""",query('tbl user'!$A$2:$D10975,""SELECT A WHERE D = '""&amp;K5617&amp;""'"")),""USER TIDAK DIKETAHUI""))"),"")</f>
        <v/>
      </c>
    </row>
    <row r="5618">
      <c r="A5618" s="21">
        <f t="shared" si="1"/>
        <v>45483.65102</v>
      </c>
      <c r="B5618" s="40" t="s">
        <v>2423</v>
      </c>
      <c r="C5618" s="23" t="s">
        <v>1863</v>
      </c>
      <c r="D5618" s="23" t="s">
        <v>58</v>
      </c>
      <c r="E5618" s="24">
        <v>45482.0</v>
      </c>
      <c r="F5618" s="25">
        <v>0.2701388888888889</v>
      </c>
      <c r="G5618" s="25">
        <v>0.6965277777777777</v>
      </c>
      <c r="H5618" s="27">
        <f t="shared" si="2"/>
        <v>0.4263888889</v>
      </c>
      <c r="I5618" s="28">
        <v>2.0</v>
      </c>
      <c r="J5618" s="39" t="s">
        <v>2779</v>
      </c>
      <c r="K5618" s="41"/>
      <c r="L5618" s="31" t="str">
        <f>IFERROR(__xludf.DUMMYFUNCTION("IF(OR(E5618="""",K5618=""""),"""",IFERROR(IF(K5618="""","""",query('tbl user'!$A$2:$D10975,""SELECT A WHERE D = '""&amp;K5618&amp;""'"")),""USER TIDAK DIKETAHUI""))"),"")</f>
        <v/>
      </c>
    </row>
    <row r="5619">
      <c r="A5619" s="21">
        <f t="shared" si="1"/>
        <v>45483.65106</v>
      </c>
      <c r="B5619" s="40" t="s">
        <v>2424</v>
      </c>
      <c r="C5619" s="23" t="s">
        <v>1886</v>
      </c>
      <c r="D5619" s="23" t="s">
        <v>58</v>
      </c>
      <c r="E5619" s="24">
        <v>45482.0</v>
      </c>
      <c r="F5619" s="25">
        <v>0.24027777777777778</v>
      </c>
      <c r="G5619" s="25">
        <v>0.47708333333333336</v>
      </c>
      <c r="H5619" s="27">
        <f t="shared" si="2"/>
        <v>0.2368055556</v>
      </c>
      <c r="I5619" s="28">
        <v>2.0</v>
      </c>
      <c r="J5619" s="39" t="s">
        <v>2780</v>
      </c>
      <c r="K5619" s="41"/>
      <c r="L5619" s="31" t="str">
        <f>IFERROR(__xludf.DUMMYFUNCTION("IF(OR(E5619="""",K5619=""""),"""",IFERROR(IF(K5619="""","""",query('tbl user'!$A$2:$D10975,""SELECT A WHERE D = '""&amp;K5619&amp;""'"")),""USER TIDAK DIKETAHUI""))"),"")</f>
        <v/>
      </c>
    </row>
    <row r="5620">
      <c r="A5620" s="21">
        <f t="shared" si="1"/>
        <v>45483.65115</v>
      </c>
      <c r="B5620" s="40" t="s">
        <v>2418</v>
      </c>
      <c r="C5620" s="23" t="s">
        <v>1889</v>
      </c>
      <c r="D5620" s="23" t="s">
        <v>58</v>
      </c>
      <c r="E5620" s="24">
        <v>45482.0</v>
      </c>
      <c r="F5620" s="25">
        <v>0.28958333333333336</v>
      </c>
      <c r="G5620" s="25">
        <v>0.6826388888888889</v>
      </c>
      <c r="H5620" s="27">
        <f t="shared" si="2"/>
        <v>0.3930555556</v>
      </c>
      <c r="I5620" s="28">
        <v>2.0</v>
      </c>
      <c r="J5620" s="39" t="s">
        <v>2781</v>
      </c>
      <c r="K5620" s="41"/>
      <c r="L5620" s="31" t="str">
        <f>IFERROR(__xludf.DUMMYFUNCTION("IF(OR(E5620="""",K5620=""""),"""",IFERROR(IF(K5620="""","""",query('tbl user'!$A$2:$D10975,""SELECT A WHERE D = '""&amp;K5620&amp;""'"")),""USER TIDAK DIKETAHUI""))"),"")</f>
        <v/>
      </c>
    </row>
    <row r="5621">
      <c r="A5621" s="21">
        <f t="shared" si="1"/>
        <v>45483.6512</v>
      </c>
      <c r="B5621" s="40" t="s">
        <v>2430</v>
      </c>
      <c r="C5621" s="23" t="s">
        <v>1861</v>
      </c>
      <c r="D5621" s="23" t="s">
        <v>58</v>
      </c>
      <c r="E5621" s="24">
        <v>45482.0</v>
      </c>
      <c r="F5621" s="25">
        <v>0.2659722222222222</v>
      </c>
      <c r="G5621" s="25">
        <v>0.6423611111111112</v>
      </c>
      <c r="H5621" s="27">
        <f t="shared" si="2"/>
        <v>0.3763888889</v>
      </c>
      <c r="I5621" s="28">
        <v>2.0</v>
      </c>
      <c r="J5621" s="39" t="s">
        <v>2782</v>
      </c>
      <c r="K5621" s="41"/>
      <c r="L5621" s="31" t="str">
        <f>IFERROR(__xludf.DUMMYFUNCTION("IF(OR(E5621="""",K5621=""""),"""",IFERROR(IF(K5621="""","""",query('tbl user'!$A$2:$D10975,""SELECT A WHERE D = '""&amp;K5621&amp;""'"")),""USER TIDAK DIKETAHUI""))"),"")</f>
        <v/>
      </c>
    </row>
    <row r="5622">
      <c r="A5622" s="21">
        <f t="shared" si="1"/>
        <v>45483.6513</v>
      </c>
      <c r="B5622" s="40" t="s">
        <v>2351</v>
      </c>
      <c r="C5622" s="23" t="s">
        <v>1891</v>
      </c>
      <c r="D5622" s="23" t="s">
        <v>58</v>
      </c>
      <c r="E5622" s="24">
        <v>45482.0</v>
      </c>
      <c r="F5622" s="25">
        <v>0.28194444444444444</v>
      </c>
      <c r="G5622" s="25">
        <v>0.6861111111111111</v>
      </c>
      <c r="H5622" s="27">
        <f t="shared" si="2"/>
        <v>0.4041666667</v>
      </c>
      <c r="I5622" s="28">
        <v>2.0</v>
      </c>
      <c r="J5622" s="39" t="s">
        <v>2783</v>
      </c>
      <c r="K5622" s="41"/>
      <c r="L5622" s="31" t="str">
        <f>IFERROR(__xludf.DUMMYFUNCTION("IF(OR(E5622="""",K5622=""""),"""",IFERROR(IF(K5622="""","""",query('tbl user'!$A$2:$D10975,""SELECT A WHERE D = '""&amp;K5622&amp;""'"")),""USER TIDAK DIKETAHUI""))"),"")</f>
        <v/>
      </c>
    </row>
    <row r="5623">
      <c r="A5623" s="21">
        <f t="shared" si="1"/>
        <v>45483.65133</v>
      </c>
      <c r="B5623" s="40" t="s">
        <v>2404</v>
      </c>
      <c r="C5623" s="23" t="s">
        <v>1869</v>
      </c>
      <c r="D5623" s="23" t="s">
        <v>58</v>
      </c>
      <c r="E5623" s="24">
        <v>45482.0</v>
      </c>
      <c r="F5623" s="25">
        <v>0.2916666666666667</v>
      </c>
      <c r="G5623" s="25">
        <v>0.6597222222222222</v>
      </c>
      <c r="H5623" s="27">
        <f t="shared" si="2"/>
        <v>0.3680555556</v>
      </c>
      <c r="I5623" s="28">
        <v>3.0</v>
      </c>
      <c r="J5623" s="39" t="s">
        <v>171</v>
      </c>
      <c r="K5623" s="41"/>
      <c r="L5623" s="31" t="str">
        <f>IFERROR(__xludf.DUMMYFUNCTION("IF(OR(E5623="""",K5623=""""),"""",IFERROR(IF(K5623="""","""",query('tbl user'!$A$2:$D10975,""SELECT A WHERE D = '""&amp;K5623&amp;""'"")),""USER TIDAK DIKETAHUI""))"),"")</f>
        <v/>
      </c>
    </row>
    <row r="5624">
      <c r="A5624" s="21">
        <f t="shared" si="1"/>
        <v>45483.65148</v>
      </c>
      <c r="B5624" s="40" t="s">
        <v>2402</v>
      </c>
      <c r="C5624" s="23" t="s">
        <v>1881</v>
      </c>
      <c r="D5624" s="23" t="s">
        <v>58</v>
      </c>
      <c r="E5624" s="24">
        <v>45482.0</v>
      </c>
      <c r="F5624" s="25">
        <v>0.20694444444444443</v>
      </c>
      <c r="G5624" s="25">
        <v>0.6958333333333333</v>
      </c>
      <c r="H5624" s="27">
        <f t="shared" si="2"/>
        <v>0.4888888889</v>
      </c>
      <c r="I5624" s="28">
        <v>3.0</v>
      </c>
      <c r="J5624" s="39" t="s">
        <v>2784</v>
      </c>
      <c r="K5624" s="41"/>
      <c r="L5624" s="31" t="str">
        <f>IFERROR(__xludf.DUMMYFUNCTION("IF(OR(E5624="""",K5624=""""),"""",IFERROR(IF(K5624="""","""",query('tbl user'!$A$2:$D10975,""SELECT A WHERE D = '""&amp;K5624&amp;""'"")),""USER TIDAK DIKETAHUI""))"),"")</f>
        <v/>
      </c>
    </row>
    <row r="5625">
      <c r="A5625" s="21">
        <f t="shared" si="1"/>
        <v>45483.65155</v>
      </c>
      <c r="B5625" s="40" t="s">
        <v>2422</v>
      </c>
      <c r="C5625" s="23" t="s">
        <v>1860</v>
      </c>
      <c r="D5625" s="23" t="s">
        <v>58</v>
      </c>
      <c r="E5625" s="24">
        <v>45482.0</v>
      </c>
      <c r="F5625" s="25">
        <v>0.2923611111111111</v>
      </c>
      <c r="G5625" s="25">
        <v>0.6569444444444444</v>
      </c>
      <c r="H5625" s="27">
        <f t="shared" si="2"/>
        <v>0.3645833333</v>
      </c>
      <c r="I5625" s="28">
        <v>3.0</v>
      </c>
      <c r="J5625" s="39" t="s">
        <v>171</v>
      </c>
      <c r="K5625" s="41"/>
      <c r="L5625" s="31" t="str">
        <f>IFERROR(__xludf.DUMMYFUNCTION("IF(OR(E5625="""",K5625=""""),"""",IFERROR(IF(K5625="""","""",query('tbl user'!$A$2:$D10975,""SELECT A WHERE D = '""&amp;K5625&amp;""'"")),""USER TIDAK DIKETAHUI""))"),"")</f>
        <v/>
      </c>
    </row>
    <row r="5626">
      <c r="A5626" s="21">
        <f t="shared" si="1"/>
        <v>45483.65159</v>
      </c>
      <c r="B5626" s="40" t="s">
        <v>2434</v>
      </c>
      <c r="C5626" s="23" t="s">
        <v>1892</v>
      </c>
      <c r="D5626" s="23" t="s">
        <v>58</v>
      </c>
      <c r="E5626" s="24">
        <v>45482.0</v>
      </c>
      <c r="F5626" s="25">
        <v>0.20555555555555555</v>
      </c>
      <c r="G5626" s="25">
        <v>0.7513888888888889</v>
      </c>
      <c r="H5626" s="27">
        <f t="shared" si="2"/>
        <v>0.5458333333</v>
      </c>
      <c r="I5626" s="28">
        <v>3.0</v>
      </c>
      <c r="J5626" s="39" t="s">
        <v>2785</v>
      </c>
      <c r="K5626" s="41"/>
      <c r="L5626" s="31" t="str">
        <f>IFERROR(__xludf.DUMMYFUNCTION("IF(OR(E5626="""",K5626=""""),"""",IFERROR(IF(K5626="""","""",query('tbl user'!$A$2:$D10975,""SELECT A WHERE D = '""&amp;K5626&amp;""'"")),""USER TIDAK DIKETAHUI""))"),"")</f>
        <v/>
      </c>
    </row>
    <row r="5627">
      <c r="A5627" s="21">
        <f t="shared" si="1"/>
        <v>45483.65162</v>
      </c>
      <c r="B5627" s="40" t="s">
        <v>2460</v>
      </c>
      <c r="C5627" s="23" t="s">
        <v>1893</v>
      </c>
      <c r="D5627" s="23" t="s">
        <v>58</v>
      </c>
      <c r="E5627" s="24">
        <v>45482.0</v>
      </c>
      <c r="F5627" s="25">
        <v>0.25972222222222224</v>
      </c>
      <c r="G5627" s="25">
        <v>0.6118055555555556</v>
      </c>
      <c r="H5627" s="27">
        <f t="shared" si="2"/>
        <v>0.3520833333</v>
      </c>
      <c r="I5627" s="28">
        <v>3.0</v>
      </c>
      <c r="J5627" s="39" t="s">
        <v>2786</v>
      </c>
      <c r="K5627" s="41"/>
      <c r="L5627" s="31" t="str">
        <f>IFERROR(__xludf.DUMMYFUNCTION("IF(OR(E5627="""",K5627=""""),"""",IFERROR(IF(K5627="""","""",query('tbl user'!$A$2:$D10975,""SELECT A WHERE D = '""&amp;K5627&amp;""'"")),""USER TIDAK DIKETAHUI""))"),"")</f>
        <v/>
      </c>
    </row>
    <row r="5628">
      <c r="A5628" s="21">
        <f t="shared" si="1"/>
        <v>45483.65167</v>
      </c>
      <c r="B5628" s="40" t="s">
        <v>2787</v>
      </c>
      <c r="C5628" s="23" t="s">
        <v>1872</v>
      </c>
      <c r="D5628" s="23" t="s">
        <v>58</v>
      </c>
      <c r="E5628" s="24">
        <v>45482.0</v>
      </c>
      <c r="F5628" s="25">
        <v>0.26180555555555557</v>
      </c>
      <c r="G5628" s="25">
        <v>0.6652777777777777</v>
      </c>
      <c r="H5628" s="27">
        <f t="shared" si="2"/>
        <v>0.4034722222</v>
      </c>
      <c r="I5628" s="28">
        <v>3.0</v>
      </c>
      <c r="J5628" s="39" t="s">
        <v>2788</v>
      </c>
      <c r="K5628" s="41"/>
      <c r="L5628" s="31" t="str">
        <f>IFERROR(__xludf.DUMMYFUNCTION("IF(OR(E5628="""",K5628=""""),"""",IFERROR(IF(K5628="""","""",query('tbl user'!$A$2:$D10975,""SELECT A WHERE D = '""&amp;K5628&amp;""'"")),""USER TIDAK DIKETAHUI""))"),"")</f>
        <v/>
      </c>
    </row>
    <row r="5629">
      <c r="A5629" s="21">
        <f t="shared" si="1"/>
        <v>45483.65177</v>
      </c>
      <c r="B5629" s="40" t="s">
        <v>2432</v>
      </c>
      <c r="C5629" s="23" t="s">
        <v>1884</v>
      </c>
      <c r="D5629" s="23" t="s">
        <v>58</v>
      </c>
      <c r="E5629" s="24">
        <v>45482.0</v>
      </c>
      <c r="F5629" s="25">
        <v>0.23680555555555555</v>
      </c>
      <c r="G5629" s="25">
        <v>0.6958333333333333</v>
      </c>
      <c r="H5629" s="27">
        <f t="shared" si="2"/>
        <v>0.4590277778</v>
      </c>
      <c r="I5629" s="28">
        <v>4.0</v>
      </c>
      <c r="J5629" s="39" t="s">
        <v>55</v>
      </c>
      <c r="K5629" s="41"/>
      <c r="L5629" s="31" t="str">
        <f>IFERROR(__xludf.DUMMYFUNCTION("IF(OR(E5629="""",K5629=""""),"""",IFERROR(IF(K5629="""","""",query('tbl user'!$A$2:$D10975,""SELECT A WHERE D = '""&amp;K5629&amp;""'"")),""USER TIDAK DIKETAHUI""))"),"")</f>
        <v/>
      </c>
    </row>
    <row r="5630">
      <c r="A5630" s="21">
        <f t="shared" si="1"/>
        <v>45483.65182</v>
      </c>
      <c r="B5630" s="40" t="s">
        <v>2433</v>
      </c>
      <c r="C5630" s="23" t="s">
        <v>1950</v>
      </c>
      <c r="D5630" s="23" t="s">
        <v>58</v>
      </c>
      <c r="E5630" s="24">
        <v>45482.0</v>
      </c>
      <c r="F5630" s="25">
        <v>0.26805555555555555</v>
      </c>
      <c r="G5630" s="25">
        <v>0.6930555555555555</v>
      </c>
      <c r="H5630" s="27">
        <f t="shared" si="2"/>
        <v>0.425</v>
      </c>
      <c r="I5630" s="28">
        <v>4.0</v>
      </c>
      <c r="J5630" s="39" t="s">
        <v>55</v>
      </c>
      <c r="K5630" s="41"/>
      <c r="L5630" s="31" t="str">
        <f>IFERROR(__xludf.DUMMYFUNCTION("IF(OR(E5630="""",K5630=""""),"""",IFERROR(IF(K5630="""","""",query('tbl user'!$A$2:$D10975,""SELECT A WHERE D = '""&amp;K5630&amp;""'"")),""USER TIDAK DIKETAHUI""))"),"")</f>
        <v/>
      </c>
    </row>
    <row r="5631">
      <c r="A5631" s="21">
        <f t="shared" si="1"/>
        <v>45483.64753</v>
      </c>
      <c r="B5631" s="40" t="s">
        <v>2484</v>
      </c>
      <c r="C5631" s="23" t="s">
        <v>1964</v>
      </c>
      <c r="D5631" s="23" t="s">
        <v>32</v>
      </c>
      <c r="E5631" s="24">
        <v>45482.0</v>
      </c>
      <c r="F5631" s="25">
        <v>0.26458333333333334</v>
      </c>
      <c r="G5631" s="25">
        <v>0.7465277777777778</v>
      </c>
      <c r="H5631" s="27">
        <f t="shared" si="2"/>
        <v>0.4819444444</v>
      </c>
      <c r="I5631" s="28">
        <v>2.0</v>
      </c>
      <c r="J5631" s="39" t="s">
        <v>2789</v>
      </c>
      <c r="K5631" s="41"/>
      <c r="L5631" s="31" t="str">
        <f>IFERROR(__xludf.DUMMYFUNCTION("IF(OR(E5631="""",K5631=""""),"""",IFERROR(IF(K5631="""","""",query('tbl user'!$A$2:$D10975,""SELECT A WHERE D = '""&amp;K5631&amp;""'"")),""USER TIDAK DIKETAHUI""))"),"")</f>
        <v/>
      </c>
    </row>
    <row r="5632">
      <c r="A5632" s="21">
        <f t="shared" si="1"/>
        <v>45483.64758</v>
      </c>
      <c r="B5632" s="40" t="s">
        <v>2495</v>
      </c>
      <c r="C5632" s="23" t="s">
        <v>1965</v>
      </c>
      <c r="D5632" s="23" t="s">
        <v>32</v>
      </c>
      <c r="E5632" s="24">
        <v>45482.0</v>
      </c>
      <c r="F5632" s="25">
        <v>0.2881944444444444</v>
      </c>
      <c r="G5632" s="25">
        <v>0.6631944444444444</v>
      </c>
      <c r="H5632" s="27">
        <f t="shared" si="2"/>
        <v>0.375</v>
      </c>
      <c r="I5632" s="28">
        <v>3.0</v>
      </c>
      <c r="J5632" s="39" t="s">
        <v>709</v>
      </c>
      <c r="K5632" s="41"/>
      <c r="L5632" s="31" t="str">
        <f>IFERROR(__xludf.DUMMYFUNCTION("IF(OR(E5632="""",K5632=""""),"""",IFERROR(IF(K5632="""","""",query('tbl user'!$A$2:$D10975,""SELECT A WHERE D = '""&amp;K5632&amp;""'"")),""USER TIDAK DIKETAHUI""))"),"")</f>
        <v/>
      </c>
    </row>
    <row r="5633">
      <c r="A5633" s="21">
        <f t="shared" si="1"/>
        <v>45483.64763</v>
      </c>
      <c r="B5633" s="40" t="s">
        <v>2442</v>
      </c>
      <c r="C5633" s="23" t="s">
        <v>2066</v>
      </c>
      <c r="D5633" s="23" t="s">
        <v>32</v>
      </c>
      <c r="E5633" s="24">
        <v>45482.0</v>
      </c>
      <c r="F5633" s="25">
        <v>0.28680555555555554</v>
      </c>
      <c r="G5633" s="25">
        <v>0.6763888888888889</v>
      </c>
      <c r="H5633" s="27">
        <f t="shared" si="2"/>
        <v>0.3895833333</v>
      </c>
      <c r="I5633" s="28">
        <v>3.0</v>
      </c>
      <c r="J5633" s="39" t="s">
        <v>709</v>
      </c>
      <c r="K5633" s="41"/>
      <c r="L5633" s="31" t="str">
        <f>IFERROR(__xludf.DUMMYFUNCTION("IF(OR(E5633="""",K5633=""""),"""",IFERROR(IF(K5633="""","""",query('tbl user'!$A$2:$D10975,""SELECT A WHERE D = '""&amp;K5633&amp;""'"")),""USER TIDAK DIKETAHUI""))"),"")</f>
        <v/>
      </c>
    </row>
    <row r="5634">
      <c r="A5634" s="21">
        <f t="shared" si="1"/>
        <v>45483.64768</v>
      </c>
      <c r="B5634" s="40" t="s">
        <v>2438</v>
      </c>
      <c r="C5634" s="23" t="s">
        <v>2153</v>
      </c>
      <c r="D5634" s="23" t="s">
        <v>32</v>
      </c>
      <c r="E5634" s="24">
        <v>45482.0</v>
      </c>
      <c r="F5634" s="25">
        <v>0.29097222222222224</v>
      </c>
      <c r="G5634" s="25">
        <v>0.7611111111111111</v>
      </c>
      <c r="H5634" s="27">
        <f t="shared" si="2"/>
        <v>0.4701388889</v>
      </c>
      <c r="I5634" s="28">
        <v>3.0</v>
      </c>
      <c r="J5634" s="39" t="s">
        <v>2790</v>
      </c>
      <c r="K5634" s="41"/>
      <c r="L5634" s="31" t="str">
        <f>IFERROR(__xludf.DUMMYFUNCTION("IF(OR(E5634="""",K5634=""""),"""",IFERROR(IF(K5634="""","""",query('tbl user'!$A$2:$D10975,""SELECT A WHERE D = '""&amp;K5634&amp;""'"")),""USER TIDAK DIKETAHUI""))"),"")</f>
        <v/>
      </c>
    </row>
    <row r="5635">
      <c r="A5635" s="21">
        <f t="shared" si="1"/>
        <v>45483.64779</v>
      </c>
      <c r="B5635" s="40" t="s">
        <v>2494</v>
      </c>
      <c r="C5635" s="23" t="s">
        <v>1959</v>
      </c>
      <c r="D5635" s="23" t="s">
        <v>32</v>
      </c>
      <c r="E5635" s="24">
        <v>45482.0</v>
      </c>
      <c r="F5635" s="25">
        <v>0.2638888888888889</v>
      </c>
      <c r="G5635" s="25">
        <v>0.7881944444444444</v>
      </c>
      <c r="H5635" s="27">
        <f t="shared" si="2"/>
        <v>0.5243055556</v>
      </c>
      <c r="I5635" s="28">
        <v>3.0</v>
      </c>
      <c r="J5635" s="39" t="s">
        <v>2791</v>
      </c>
      <c r="K5635" s="41"/>
      <c r="L5635" s="31" t="str">
        <f>IFERROR(__xludf.DUMMYFUNCTION("IF(OR(E5635="""",K5635=""""),"""",IFERROR(IF(K5635="""","""",query('tbl user'!$A$2:$D10975,""SELECT A WHERE D = '""&amp;K5635&amp;""'"")),""USER TIDAK DIKETAHUI""))"),"")</f>
        <v/>
      </c>
    </row>
    <row r="5636">
      <c r="A5636" s="21">
        <f t="shared" si="1"/>
        <v>45483.64785</v>
      </c>
      <c r="B5636" s="40" t="s">
        <v>2452</v>
      </c>
      <c r="C5636" s="23" t="s">
        <v>1912</v>
      </c>
      <c r="D5636" s="23" t="s">
        <v>32</v>
      </c>
      <c r="E5636" s="24">
        <v>45482.0</v>
      </c>
      <c r="F5636" s="25">
        <v>0.2875</v>
      </c>
      <c r="G5636" s="25">
        <v>0.6923611111111111</v>
      </c>
      <c r="H5636" s="27">
        <f t="shared" si="2"/>
        <v>0.4048611111</v>
      </c>
      <c r="I5636" s="28">
        <v>3.0</v>
      </c>
      <c r="J5636" s="39" t="s">
        <v>1509</v>
      </c>
      <c r="K5636" s="41"/>
      <c r="L5636" s="31" t="str">
        <f>IFERROR(__xludf.DUMMYFUNCTION("IF(OR(E5636="""",K5636=""""),"""",IFERROR(IF(K5636="""","""",query('tbl user'!$A$2:$D10975,""SELECT A WHERE D = '""&amp;K5636&amp;""'"")),""USER TIDAK DIKETAHUI""))"),"")</f>
        <v/>
      </c>
    </row>
    <row r="5637">
      <c r="A5637" s="21">
        <f t="shared" si="1"/>
        <v>45483.6479</v>
      </c>
      <c r="B5637" s="40" t="s">
        <v>2445</v>
      </c>
      <c r="C5637" s="23" t="s">
        <v>1904</v>
      </c>
      <c r="D5637" s="23" t="s">
        <v>32</v>
      </c>
      <c r="E5637" s="24">
        <v>45482.0</v>
      </c>
      <c r="F5637" s="25">
        <v>0.2673611111111111</v>
      </c>
      <c r="G5637" s="25">
        <v>0.6131944444444445</v>
      </c>
      <c r="H5637" s="27">
        <f t="shared" si="2"/>
        <v>0.3458333333</v>
      </c>
      <c r="I5637" s="28">
        <v>3.0</v>
      </c>
      <c r="J5637" s="39" t="s">
        <v>424</v>
      </c>
      <c r="K5637" s="41"/>
      <c r="L5637" s="31" t="str">
        <f>IFERROR(__xludf.DUMMYFUNCTION("IF(OR(E5637="""",K5637=""""),"""",IFERROR(IF(K5637="""","""",query('tbl user'!$A$2:$D10975,""SELECT A WHERE D = '""&amp;K5637&amp;""'"")),""USER TIDAK DIKETAHUI""))"),"")</f>
        <v/>
      </c>
    </row>
    <row r="5638">
      <c r="A5638" s="21">
        <f t="shared" si="1"/>
        <v>45483.64794</v>
      </c>
      <c r="B5638" s="40" t="s">
        <v>2446</v>
      </c>
      <c r="C5638" s="23" t="s">
        <v>1954</v>
      </c>
      <c r="D5638" s="23" t="s">
        <v>32</v>
      </c>
      <c r="E5638" s="24">
        <v>45482.0</v>
      </c>
      <c r="F5638" s="25">
        <v>0.28541666666666665</v>
      </c>
      <c r="G5638" s="25">
        <v>0.6222222222222222</v>
      </c>
      <c r="H5638" s="27">
        <f t="shared" si="2"/>
        <v>0.3368055556</v>
      </c>
      <c r="I5638" s="28">
        <v>3.0</v>
      </c>
      <c r="J5638" s="39" t="s">
        <v>709</v>
      </c>
      <c r="K5638" s="41"/>
      <c r="L5638" s="31" t="str">
        <f>IFERROR(__xludf.DUMMYFUNCTION("IF(OR(E5638="""",K5638=""""),"""",IFERROR(IF(K5638="""","""",query('tbl user'!$A$2:$D10975,""SELECT A WHERE D = '""&amp;K5638&amp;""'"")),""USER TIDAK DIKETAHUI""))"),"")</f>
        <v/>
      </c>
    </row>
    <row r="5639">
      <c r="A5639" s="21">
        <f t="shared" si="1"/>
        <v>45483.64798</v>
      </c>
      <c r="B5639" s="40" t="s">
        <v>2447</v>
      </c>
      <c r="C5639" s="23" t="s">
        <v>1905</v>
      </c>
      <c r="D5639" s="23" t="s">
        <v>32</v>
      </c>
      <c r="E5639" s="24">
        <v>45482.0</v>
      </c>
      <c r="F5639" s="25">
        <v>0.28888888888888886</v>
      </c>
      <c r="G5639" s="25">
        <v>0.6868055555555556</v>
      </c>
      <c r="H5639" s="27">
        <f t="shared" si="2"/>
        <v>0.3979166667</v>
      </c>
      <c r="I5639" s="28">
        <v>3.0</v>
      </c>
      <c r="J5639" s="39" t="s">
        <v>709</v>
      </c>
      <c r="K5639" s="41"/>
      <c r="L5639" s="31" t="str">
        <f>IFERROR(__xludf.DUMMYFUNCTION("IF(OR(E5639="""",K5639=""""),"""",IFERROR(IF(K5639="""","""",query('tbl user'!$A$2:$D10975,""SELECT A WHERE D = '""&amp;K5639&amp;""'"")),""USER TIDAK DIKETAHUI""))"),"")</f>
        <v/>
      </c>
    </row>
    <row r="5640">
      <c r="A5640" s="21">
        <f t="shared" si="1"/>
        <v>45483.64803</v>
      </c>
      <c r="B5640" s="40" t="s">
        <v>2453</v>
      </c>
      <c r="C5640" s="23" t="s">
        <v>1907</v>
      </c>
      <c r="D5640" s="23" t="s">
        <v>32</v>
      </c>
      <c r="E5640" s="24">
        <v>45482.0</v>
      </c>
      <c r="F5640" s="25">
        <v>0.2875</v>
      </c>
      <c r="G5640" s="25">
        <v>0.6694444444444444</v>
      </c>
      <c r="H5640" s="27">
        <f t="shared" si="2"/>
        <v>0.3819444444</v>
      </c>
      <c r="I5640" s="28">
        <v>3.0</v>
      </c>
      <c r="J5640" s="39" t="s">
        <v>709</v>
      </c>
      <c r="K5640" s="41"/>
      <c r="L5640" s="31" t="str">
        <f>IFERROR(__xludf.DUMMYFUNCTION("IF(OR(E5640="""",K5640=""""),"""",IFERROR(IF(K5640="""","""",query('tbl user'!$A$2:$D10975,""SELECT A WHERE D = '""&amp;K5640&amp;""'"")),""USER TIDAK DIKETAHUI""))"),"")</f>
        <v/>
      </c>
    </row>
    <row r="5641">
      <c r="A5641" s="21">
        <f t="shared" si="1"/>
        <v>45483.64852</v>
      </c>
      <c r="B5641" s="40" t="s">
        <v>2657</v>
      </c>
      <c r="C5641" s="23" t="s">
        <v>1957</v>
      </c>
      <c r="D5641" s="23" t="s">
        <v>32</v>
      </c>
      <c r="E5641" s="24">
        <v>45482.0</v>
      </c>
      <c r="F5641" s="25">
        <v>0.26944444444444443</v>
      </c>
      <c r="G5641" s="25">
        <v>0.7083333333333334</v>
      </c>
      <c r="H5641" s="27">
        <f t="shared" si="2"/>
        <v>0.4388888889</v>
      </c>
      <c r="I5641" s="28">
        <v>4.0</v>
      </c>
      <c r="J5641" s="39" t="s">
        <v>55</v>
      </c>
      <c r="K5641" s="41"/>
      <c r="L5641" s="31" t="str">
        <f>IFERROR(__xludf.DUMMYFUNCTION("IF(OR(E5641="""",K5641=""""),"""",IFERROR(IF(K5641="""","""",query('tbl user'!$A$2:$D10975,""SELECT A WHERE D = '""&amp;K5641&amp;""'"")),""USER TIDAK DIKETAHUI""))"),"")</f>
        <v/>
      </c>
    </row>
    <row r="5642">
      <c r="A5642" s="21">
        <f t="shared" si="1"/>
        <v>45483.64859</v>
      </c>
      <c r="B5642" s="40" t="s">
        <v>2591</v>
      </c>
      <c r="C5642" s="23" t="s">
        <v>1963</v>
      </c>
      <c r="D5642" s="23" t="s">
        <v>32</v>
      </c>
      <c r="E5642" s="24">
        <v>45482.0</v>
      </c>
      <c r="F5642" s="25">
        <v>0.2701388888888889</v>
      </c>
      <c r="G5642" s="25">
        <v>0.7215277777777778</v>
      </c>
      <c r="H5642" s="27">
        <f t="shared" si="2"/>
        <v>0.4513888889</v>
      </c>
      <c r="I5642" s="28">
        <v>4.0</v>
      </c>
      <c r="J5642" s="39" t="s">
        <v>55</v>
      </c>
      <c r="K5642" s="41"/>
      <c r="L5642" s="31" t="str">
        <f>IFERROR(__xludf.DUMMYFUNCTION("IF(OR(E5642="""",K5642=""""),"""",IFERROR(IF(K5642="""","""",query('tbl user'!$A$2:$D10975,""SELECT A WHERE D = '""&amp;K5642&amp;""'"")),""USER TIDAK DIKETAHUI""))"),"")</f>
        <v/>
      </c>
    </row>
    <row r="5643">
      <c r="A5643" s="21">
        <f t="shared" si="1"/>
        <v>45483.64865</v>
      </c>
      <c r="B5643" s="40" t="s">
        <v>2441</v>
      </c>
      <c r="C5643" s="23" t="s">
        <v>2092</v>
      </c>
      <c r="D5643" s="23" t="s">
        <v>32</v>
      </c>
      <c r="E5643" s="24">
        <v>45482.0</v>
      </c>
      <c r="F5643" s="25">
        <v>0.2611111111111111</v>
      </c>
      <c r="G5643" s="25">
        <v>0.6958333333333333</v>
      </c>
      <c r="H5643" s="27">
        <f t="shared" si="2"/>
        <v>0.4347222222</v>
      </c>
      <c r="I5643" s="28">
        <v>4.0</v>
      </c>
      <c r="J5643" s="39" t="s">
        <v>55</v>
      </c>
      <c r="K5643" s="41"/>
      <c r="L5643" s="31" t="str">
        <f>IFERROR(__xludf.DUMMYFUNCTION("IF(OR(E5643="""",K5643=""""),"""",IFERROR(IF(K5643="""","""",query('tbl user'!$A$2:$D10975,""SELECT A WHERE D = '""&amp;K5643&amp;""'"")),""USER TIDAK DIKETAHUI""))"),"")</f>
        <v/>
      </c>
    </row>
    <row r="5644">
      <c r="A5644" s="21">
        <f t="shared" si="1"/>
        <v>45483.64871</v>
      </c>
      <c r="B5644" s="40" t="s">
        <v>2436</v>
      </c>
      <c r="C5644" s="23" t="s">
        <v>1966</v>
      </c>
      <c r="D5644" s="23" t="s">
        <v>32</v>
      </c>
      <c r="E5644" s="24">
        <v>45482.0</v>
      </c>
      <c r="F5644" s="25">
        <v>0.2625</v>
      </c>
      <c r="G5644" s="25">
        <v>0.7020833333333333</v>
      </c>
      <c r="H5644" s="27">
        <f t="shared" si="2"/>
        <v>0.4395833333</v>
      </c>
      <c r="I5644" s="28">
        <v>4.0</v>
      </c>
      <c r="J5644" s="39" t="s">
        <v>55</v>
      </c>
      <c r="K5644" s="41"/>
      <c r="L5644" s="31" t="str">
        <f>IFERROR(__xludf.DUMMYFUNCTION("IF(OR(E5644="""",K5644=""""),"""",IFERROR(IF(K5644="""","""",query('tbl user'!$A$2:$D10975,""SELECT A WHERE D = '""&amp;K5644&amp;""'"")),""USER TIDAK DIKETAHUI""))"),"")</f>
        <v/>
      </c>
    </row>
    <row r="5645">
      <c r="A5645" s="21">
        <f t="shared" si="1"/>
        <v>45483.64875</v>
      </c>
      <c r="B5645" s="40" t="s">
        <v>2450</v>
      </c>
      <c r="C5645" s="23" t="s">
        <v>1894</v>
      </c>
      <c r="D5645" s="23" t="s">
        <v>32</v>
      </c>
      <c r="E5645" s="24">
        <v>45482.0</v>
      </c>
      <c r="F5645" s="25">
        <v>0.25069444444444444</v>
      </c>
      <c r="G5645" s="25">
        <v>0.7208333333333333</v>
      </c>
      <c r="H5645" s="27">
        <f t="shared" si="2"/>
        <v>0.4701388889</v>
      </c>
      <c r="I5645" s="28">
        <v>4.0</v>
      </c>
      <c r="J5645" s="39" t="s">
        <v>55</v>
      </c>
      <c r="K5645" s="41"/>
      <c r="L5645" s="31" t="str">
        <f>IFERROR(__xludf.DUMMYFUNCTION("IF(OR(E5645="""",K5645=""""),"""",IFERROR(IF(K5645="""","""",query('tbl user'!$A$2:$D10975,""SELECT A WHERE D = '""&amp;K5645&amp;""'"")),""USER TIDAK DIKETAHUI""))"),"")</f>
        <v/>
      </c>
    </row>
    <row r="5646">
      <c r="A5646" s="21">
        <f t="shared" si="1"/>
        <v>45485.57518</v>
      </c>
      <c r="B5646" s="40" t="s">
        <v>2792</v>
      </c>
      <c r="C5646" s="23" t="s">
        <v>1851</v>
      </c>
      <c r="D5646" s="23" t="s">
        <v>21</v>
      </c>
      <c r="E5646" s="24">
        <v>45483.0</v>
      </c>
      <c r="F5646" s="25">
        <v>0.28680555555555554</v>
      </c>
      <c r="G5646" s="25">
        <v>0.55625</v>
      </c>
      <c r="H5646" s="27">
        <f t="shared" si="2"/>
        <v>0.2694444444</v>
      </c>
      <c r="I5646" s="28">
        <v>1.0</v>
      </c>
      <c r="J5646" s="39" t="s">
        <v>1591</v>
      </c>
      <c r="K5646" s="41"/>
      <c r="L5646" s="31" t="str">
        <f>IFERROR(__xludf.DUMMYFUNCTION("IF(OR(E5646="""",K5646=""""),"""",IFERROR(IF(K5646="""","""",query('tbl user'!$A$2:$D10975,""SELECT A WHERE D = '""&amp;K5646&amp;""'"")),""USER TIDAK DIKETAHUI""))"),"")</f>
        <v/>
      </c>
    </row>
    <row r="5647">
      <c r="A5647" s="21">
        <f t="shared" si="1"/>
        <v>45485.57525</v>
      </c>
      <c r="B5647" s="40" t="s">
        <v>2385</v>
      </c>
      <c r="C5647" s="23" t="s">
        <v>2002</v>
      </c>
      <c r="D5647" s="23" t="s">
        <v>21</v>
      </c>
      <c r="E5647" s="24">
        <v>45483.0</v>
      </c>
      <c r="F5647" s="25">
        <v>0.31875</v>
      </c>
      <c r="G5647" s="25">
        <v>0.5763888888888888</v>
      </c>
      <c r="H5647" s="27">
        <f t="shared" si="2"/>
        <v>0.2576388889</v>
      </c>
      <c r="I5647" s="28">
        <v>1.0</v>
      </c>
      <c r="J5647" s="39" t="s">
        <v>2793</v>
      </c>
      <c r="K5647" s="41"/>
      <c r="L5647" s="31" t="str">
        <f>IFERROR(__xludf.DUMMYFUNCTION("IF(OR(E5647="""",K5647=""""),"""",IFERROR(IF(K5647="""","""",query('tbl user'!$A$2:$D10975,""SELECT A WHERE D = '""&amp;K5647&amp;""'"")),""USER TIDAK DIKETAHUI""))"),"")</f>
        <v/>
      </c>
    </row>
    <row r="5648">
      <c r="A5648" s="21">
        <f t="shared" si="1"/>
        <v>45485.5753</v>
      </c>
      <c r="B5648" s="40" t="s">
        <v>2376</v>
      </c>
      <c r="C5648" s="23" t="s">
        <v>1853</v>
      </c>
      <c r="D5648" s="23" t="s">
        <v>21</v>
      </c>
      <c r="E5648" s="24">
        <v>45483.0</v>
      </c>
      <c r="F5648" s="25">
        <v>0.29097222222222224</v>
      </c>
      <c r="G5648" s="25">
        <v>0.5777777777777777</v>
      </c>
      <c r="H5648" s="27">
        <f t="shared" si="2"/>
        <v>0.2868055556</v>
      </c>
      <c r="I5648" s="28">
        <v>1.0</v>
      </c>
      <c r="J5648" s="39" t="s">
        <v>2794</v>
      </c>
      <c r="K5648" s="41"/>
      <c r="L5648" s="31" t="str">
        <f>IFERROR(__xludf.DUMMYFUNCTION("IF(OR(E5648="""",K5648=""""),"""",IFERROR(IF(K5648="""","""",query('tbl user'!$A$2:$D10975,""SELECT A WHERE D = '""&amp;K5648&amp;""'"")),""USER TIDAK DIKETAHUI""))"),"")</f>
        <v/>
      </c>
    </row>
    <row r="5649">
      <c r="A5649" s="21">
        <f t="shared" si="1"/>
        <v>45485.57535</v>
      </c>
      <c r="B5649" s="40" t="s">
        <v>2359</v>
      </c>
      <c r="C5649" s="23" t="s">
        <v>2628</v>
      </c>
      <c r="D5649" s="23" t="s">
        <v>21</v>
      </c>
      <c r="E5649" s="24">
        <v>45483.0</v>
      </c>
      <c r="F5649" s="25">
        <v>0.2708333333333333</v>
      </c>
      <c r="G5649" s="25">
        <v>0.46041666666666664</v>
      </c>
      <c r="H5649" s="27">
        <f t="shared" si="2"/>
        <v>0.1895833333</v>
      </c>
      <c r="I5649" s="28">
        <v>1.0</v>
      </c>
      <c r="J5649" s="39" t="s">
        <v>301</v>
      </c>
      <c r="K5649" s="41"/>
      <c r="L5649" s="31" t="str">
        <f>IFERROR(__xludf.DUMMYFUNCTION("IF(OR(E5649="""",K5649=""""),"""",IFERROR(IF(K5649="""","""",query('tbl user'!$A$2:$D10975,""SELECT A WHERE D = '""&amp;K5649&amp;""'"")),""USER TIDAK DIKETAHUI""))"),"")</f>
        <v/>
      </c>
    </row>
    <row r="5650">
      <c r="A5650" s="21">
        <f t="shared" si="1"/>
        <v>45485.5754</v>
      </c>
      <c r="B5650" s="40" t="s">
        <v>2378</v>
      </c>
      <c r="C5650" s="23" t="s">
        <v>1844</v>
      </c>
      <c r="D5650" s="23" t="s">
        <v>21</v>
      </c>
      <c r="E5650" s="24">
        <v>45483.0</v>
      </c>
      <c r="F5650" s="25">
        <v>0.24791666666666667</v>
      </c>
      <c r="G5650" s="25">
        <v>0.5534722222222223</v>
      </c>
      <c r="H5650" s="27">
        <f t="shared" si="2"/>
        <v>0.3055555556</v>
      </c>
      <c r="I5650" s="28">
        <v>1.0</v>
      </c>
      <c r="J5650" s="39" t="s">
        <v>2795</v>
      </c>
      <c r="K5650" s="41"/>
      <c r="L5650" s="31" t="str">
        <f>IFERROR(__xludf.DUMMYFUNCTION("IF(OR(E5650="""",K5650=""""),"""",IFERROR(IF(K5650="""","""",query('tbl user'!$A$2:$D10975,""SELECT A WHERE D = '""&amp;K5650&amp;""'"")),""USER TIDAK DIKETAHUI""))"),"")</f>
        <v/>
      </c>
    </row>
    <row r="5651">
      <c r="A5651" s="21">
        <f t="shared" si="1"/>
        <v>45485.57547</v>
      </c>
      <c r="B5651" s="40" t="s">
        <v>2396</v>
      </c>
      <c r="C5651" s="23" t="s">
        <v>2049</v>
      </c>
      <c r="D5651" s="23" t="s">
        <v>21</v>
      </c>
      <c r="E5651" s="24">
        <v>45483.0</v>
      </c>
      <c r="F5651" s="25">
        <v>0.2951388888888889</v>
      </c>
      <c r="G5651" s="25">
        <v>0.5736111111111111</v>
      </c>
      <c r="H5651" s="27">
        <f t="shared" si="2"/>
        <v>0.2784722222</v>
      </c>
      <c r="I5651" s="28">
        <v>1.0</v>
      </c>
      <c r="J5651" s="39" t="s">
        <v>2796</v>
      </c>
      <c r="K5651" s="41"/>
      <c r="L5651" s="31" t="str">
        <f>IFERROR(__xludf.DUMMYFUNCTION("IF(OR(E5651="""",K5651=""""),"""",IFERROR(IF(K5651="""","""",query('tbl user'!$A$2:$D10975,""SELECT A WHERE D = '""&amp;K5651&amp;""'"")),""USER TIDAK DIKETAHUI""))"),"")</f>
        <v/>
      </c>
    </row>
    <row r="5652">
      <c r="A5652" s="21">
        <f t="shared" si="1"/>
        <v>45485.57552</v>
      </c>
      <c r="B5652" s="40" t="s">
        <v>2382</v>
      </c>
      <c r="C5652" s="23" t="s">
        <v>1858</v>
      </c>
      <c r="D5652" s="23" t="s">
        <v>21</v>
      </c>
      <c r="E5652" s="24">
        <v>45483.0</v>
      </c>
      <c r="F5652" s="25">
        <v>0.275</v>
      </c>
      <c r="G5652" s="25">
        <v>0.49027777777777776</v>
      </c>
      <c r="H5652" s="27">
        <f t="shared" si="2"/>
        <v>0.2152777778</v>
      </c>
      <c r="I5652" s="28">
        <v>1.0</v>
      </c>
      <c r="J5652" s="39" t="s">
        <v>2797</v>
      </c>
      <c r="K5652" s="41"/>
      <c r="L5652" s="31" t="str">
        <f>IFERROR(__xludf.DUMMYFUNCTION("IF(OR(E5652="""",K5652=""""),"""",IFERROR(IF(K5652="""","""",query('tbl user'!$A$2:$D10975,""SELECT A WHERE D = '""&amp;K5652&amp;""'"")),""USER TIDAK DIKETAHUI""))"),"")</f>
        <v/>
      </c>
    </row>
    <row r="5653">
      <c r="A5653" s="21">
        <f t="shared" si="1"/>
        <v>45485.57558</v>
      </c>
      <c r="B5653" s="40" t="s">
        <v>2457</v>
      </c>
      <c r="C5653" s="23" t="s">
        <v>2005</v>
      </c>
      <c r="D5653" s="23" t="s">
        <v>21</v>
      </c>
      <c r="E5653" s="24">
        <v>45483.0</v>
      </c>
      <c r="F5653" s="25">
        <v>0.28055555555555556</v>
      </c>
      <c r="G5653" s="25">
        <v>0.4465277777777778</v>
      </c>
      <c r="H5653" s="27">
        <f t="shared" si="2"/>
        <v>0.1659722222</v>
      </c>
      <c r="I5653" s="28">
        <v>1.0</v>
      </c>
      <c r="J5653" s="39" t="s">
        <v>2798</v>
      </c>
      <c r="K5653" s="41"/>
      <c r="L5653" s="31" t="str">
        <f>IFERROR(__xludf.DUMMYFUNCTION("IF(OR(E5653="""",K5653=""""),"""",IFERROR(IF(K5653="""","""",query('tbl user'!$A$2:$D10975,""SELECT A WHERE D = '""&amp;K5653&amp;""'"")),""USER TIDAK DIKETAHUI""))"),"")</f>
        <v/>
      </c>
    </row>
    <row r="5654">
      <c r="A5654" s="21">
        <f t="shared" si="1"/>
        <v>45485.57563</v>
      </c>
      <c r="B5654" s="40" t="s">
        <v>2631</v>
      </c>
      <c r="C5654" s="23" t="s">
        <v>1920</v>
      </c>
      <c r="D5654" s="23" t="s">
        <v>21</v>
      </c>
      <c r="E5654" s="24">
        <v>45483.0</v>
      </c>
      <c r="F5654" s="25">
        <v>0.3125</v>
      </c>
      <c r="G5654" s="25">
        <v>0.6430555555555556</v>
      </c>
      <c r="H5654" s="27">
        <f t="shared" si="2"/>
        <v>0.3305555556</v>
      </c>
      <c r="I5654" s="28">
        <v>2.0</v>
      </c>
      <c r="J5654" s="39" t="s">
        <v>2075</v>
      </c>
      <c r="K5654" s="41"/>
      <c r="L5654" s="31" t="str">
        <f>IFERROR(__xludf.DUMMYFUNCTION("IF(OR(E5654="""",K5654=""""),"""",IFERROR(IF(K5654="""","""",query('tbl user'!$A$2:$D10975,""SELECT A WHERE D = '""&amp;K5654&amp;""'"")),""USER TIDAK DIKETAHUI""))"),"")</f>
        <v/>
      </c>
    </row>
    <row r="5655">
      <c r="A5655" s="21">
        <f t="shared" si="1"/>
        <v>45485.57569</v>
      </c>
      <c r="B5655" s="40" t="s">
        <v>2365</v>
      </c>
      <c r="C5655" s="23" t="s">
        <v>1830</v>
      </c>
      <c r="D5655" s="23" t="s">
        <v>21</v>
      </c>
      <c r="E5655" s="24">
        <v>45483.0</v>
      </c>
      <c r="F5655" s="25">
        <v>0.29375</v>
      </c>
      <c r="G5655" s="25">
        <v>0.6951388888888889</v>
      </c>
      <c r="H5655" s="27">
        <f t="shared" si="2"/>
        <v>0.4013888889</v>
      </c>
      <c r="I5655" s="28">
        <v>2.0</v>
      </c>
      <c r="J5655" s="39" t="s">
        <v>1048</v>
      </c>
      <c r="K5655" s="41"/>
      <c r="L5655" s="31" t="str">
        <f>IFERROR(__xludf.DUMMYFUNCTION("IF(OR(E5655="""",K5655=""""),"""",IFERROR(IF(K5655="""","""",query('tbl user'!$A$2:$D10975,""SELECT A WHERE D = '""&amp;K5655&amp;""'"")),""USER TIDAK DIKETAHUI""))"),"")</f>
        <v/>
      </c>
    </row>
    <row r="5656">
      <c r="A5656" s="21">
        <f t="shared" si="1"/>
        <v>45485.57575</v>
      </c>
      <c r="B5656" s="40" t="s">
        <v>2393</v>
      </c>
      <c r="C5656" s="23" t="s">
        <v>1925</v>
      </c>
      <c r="D5656" s="23" t="s">
        <v>21</v>
      </c>
      <c r="E5656" s="24">
        <v>45483.0</v>
      </c>
      <c r="F5656" s="25">
        <v>0.26944444444444443</v>
      </c>
      <c r="G5656" s="25">
        <v>0.4861111111111111</v>
      </c>
      <c r="H5656" s="27">
        <f t="shared" si="2"/>
        <v>0.2166666667</v>
      </c>
      <c r="I5656" s="28">
        <v>2.0</v>
      </c>
      <c r="J5656" s="39" t="s">
        <v>2799</v>
      </c>
      <c r="K5656" s="41"/>
      <c r="L5656" s="31" t="str">
        <f>IFERROR(__xludf.DUMMYFUNCTION("IF(OR(E5656="""",K5656=""""),"""",IFERROR(IF(K5656="""","""",query('tbl user'!$A$2:$D10975,""SELECT A WHERE D = '""&amp;K5656&amp;""'"")),""USER TIDAK DIKETAHUI""))"),"")</f>
        <v/>
      </c>
    </row>
    <row r="5657">
      <c r="A5657" s="21">
        <f t="shared" si="1"/>
        <v>45485.57581</v>
      </c>
      <c r="B5657" s="40" t="s">
        <v>2387</v>
      </c>
      <c r="C5657" s="23" t="s">
        <v>1857</v>
      </c>
      <c r="D5657" s="23" t="s">
        <v>21</v>
      </c>
      <c r="E5657" s="24">
        <v>45483.0</v>
      </c>
      <c r="F5657" s="25">
        <v>0.28125</v>
      </c>
      <c r="G5657" s="25">
        <v>0.6555555555555556</v>
      </c>
      <c r="H5657" s="27">
        <f t="shared" si="2"/>
        <v>0.3743055556</v>
      </c>
      <c r="I5657" s="28">
        <v>2.0</v>
      </c>
      <c r="J5657" s="39" t="s">
        <v>1048</v>
      </c>
      <c r="K5657" s="41"/>
      <c r="L5657" s="31" t="str">
        <f>IFERROR(__xludf.DUMMYFUNCTION("IF(OR(E5657="""",K5657=""""),"""",IFERROR(IF(K5657="""","""",query('tbl user'!$A$2:$D10975,""SELECT A WHERE D = '""&amp;K5657&amp;""'"")),""USER TIDAK DIKETAHUI""))"),"")</f>
        <v/>
      </c>
    </row>
    <row r="5658">
      <c r="A5658" s="21">
        <f t="shared" si="1"/>
        <v>45485.57589</v>
      </c>
      <c r="B5658" s="40" t="s">
        <v>2373</v>
      </c>
      <c r="C5658" s="23" t="s">
        <v>1847</v>
      </c>
      <c r="D5658" s="23" t="s">
        <v>21</v>
      </c>
      <c r="E5658" s="24">
        <v>45483.0</v>
      </c>
      <c r="F5658" s="25">
        <v>0.27847222222222223</v>
      </c>
      <c r="G5658" s="25">
        <v>0.7236111111111111</v>
      </c>
      <c r="H5658" s="27">
        <f t="shared" si="2"/>
        <v>0.4451388889</v>
      </c>
      <c r="I5658" s="28">
        <v>2.0</v>
      </c>
      <c r="J5658" s="39" t="s">
        <v>2800</v>
      </c>
      <c r="K5658" s="41"/>
      <c r="L5658" s="31" t="str">
        <f>IFERROR(__xludf.DUMMYFUNCTION("IF(OR(E5658="""",K5658=""""),"""",IFERROR(IF(K5658="""","""",query('tbl user'!$A$2:$D10975,""SELECT A WHERE D = '""&amp;K5658&amp;""'"")),""USER TIDAK DIKETAHUI""))"),"")</f>
        <v/>
      </c>
    </row>
    <row r="5659">
      <c r="A5659" s="21">
        <f t="shared" si="1"/>
        <v>45485.57594</v>
      </c>
      <c r="B5659" s="40" t="s">
        <v>2731</v>
      </c>
      <c r="C5659" s="23" t="s">
        <v>1928</v>
      </c>
      <c r="D5659" s="23" t="s">
        <v>21</v>
      </c>
      <c r="E5659" s="24">
        <v>45483.0</v>
      </c>
      <c r="F5659" s="25">
        <v>0.2743055555555556</v>
      </c>
      <c r="G5659" s="25">
        <v>0.6826388888888889</v>
      </c>
      <c r="H5659" s="27">
        <f t="shared" si="2"/>
        <v>0.4083333333</v>
      </c>
      <c r="I5659" s="28">
        <v>2.0</v>
      </c>
      <c r="J5659" s="39" t="s">
        <v>1048</v>
      </c>
      <c r="K5659" s="41"/>
      <c r="L5659" s="31" t="str">
        <f>IFERROR(__xludf.DUMMYFUNCTION("IF(OR(E5659="""",K5659=""""),"""",IFERROR(IF(K5659="""","""",query('tbl user'!$A$2:$D10975,""SELECT A WHERE D = '""&amp;K5659&amp;""'"")),""USER TIDAK DIKETAHUI""))"),"")</f>
        <v/>
      </c>
    </row>
    <row r="5660">
      <c r="A5660" s="21">
        <f t="shared" si="1"/>
        <v>45485.57598</v>
      </c>
      <c r="B5660" s="40" t="s">
        <v>2374</v>
      </c>
      <c r="C5660" s="23" t="s">
        <v>1850</v>
      </c>
      <c r="D5660" s="23" t="s">
        <v>21</v>
      </c>
      <c r="E5660" s="24">
        <v>45483.0</v>
      </c>
      <c r="F5660" s="25">
        <v>0.27708333333333335</v>
      </c>
      <c r="G5660" s="25">
        <v>0.7361111111111112</v>
      </c>
      <c r="H5660" s="27">
        <f t="shared" si="2"/>
        <v>0.4590277778</v>
      </c>
      <c r="I5660" s="28">
        <v>2.0</v>
      </c>
      <c r="J5660" s="39" t="s">
        <v>2801</v>
      </c>
      <c r="K5660" s="41"/>
      <c r="L5660" s="31" t="str">
        <f>IFERROR(__xludf.DUMMYFUNCTION("IF(OR(E5660="""",K5660=""""),"""",IFERROR(IF(K5660="""","""",query('tbl user'!$A$2:$D10975,""SELECT A WHERE D = '""&amp;K5660&amp;""'"")),""USER TIDAK DIKETAHUI""))"),"")</f>
        <v/>
      </c>
    </row>
    <row r="5661">
      <c r="A5661" s="21">
        <f t="shared" si="1"/>
        <v>45485.57607</v>
      </c>
      <c r="B5661" s="40" t="s">
        <v>2390</v>
      </c>
      <c r="C5661" s="23" t="s">
        <v>2136</v>
      </c>
      <c r="D5661" s="23" t="s">
        <v>21</v>
      </c>
      <c r="E5661" s="24">
        <v>45483.0</v>
      </c>
      <c r="F5661" s="25">
        <v>0.27152777777777776</v>
      </c>
      <c r="G5661" s="25">
        <v>0.6965277777777777</v>
      </c>
      <c r="H5661" s="27">
        <f t="shared" si="2"/>
        <v>0.425</v>
      </c>
      <c r="I5661" s="28">
        <v>3.0</v>
      </c>
      <c r="J5661" s="39" t="s">
        <v>1048</v>
      </c>
      <c r="K5661" s="41"/>
      <c r="L5661" s="31" t="str">
        <f>IFERROR(__xludf.DUMMYFUNCTION("IF(OR(E5661="""",K5661=""""),"""",IFERROR(IF(K5661="""","""",query('tbl user'!$A$2:$D10975,""SELECT A WHERE D = '""&amp;K5661&amp;""'"")),""USER TIDAK DIKETAHUI""))"),"")</f>
        <v/>
      </c>
    </row>
    <row r="5662">
      <c r="A5662" s="21">
        <f t="shared" si="1"/>
        <v>45485.57611</v>
      </c>
      <c r="B5662" s="40" t="s">
        <v>2379</v>
      </c>
      <c r="C5662" s="23" t="s">
        <v>1835</v>
      </c>
      <c r="D5662" s="23" t="s">
        <v>21</v>
      </c>
      <c r="E5662" s="24">
        <v>45483.0</v>
      </c>
      <c r="F5662" s="25">
        <v>0.27361111111111114</v>
      </c>
      <c r="G5662" s="25">
        <v>0.71875</v>
      </c>
      <c r="H5662" s="27">
        <f t="shared" si="2"/>
        <v>0.4451388889</v>
      </c>
      <c r="I5662" s="28">
        <v>3.0</v>
      </c>
      <c r="J5662" s="39" t="s">
        <v>2802</v>
      </c>
      <c r="K5662" s="41"/>
      <c r="L5662" s="31" t="str">
        <f>IFERROR(__xludf.DUMMYFUNCTION("IF(OR(E5662="""",K5662=""""),"""",IFERROR(IF(K5662="""","""",query('tbl user'!$A$2:$D10975,""SELECT A WHERE D = '""&amp;K5662&amp;""'"")),""USER TIDAK DIKETAHUI""))"),"")</f>
        <v/>
      </c>
    </row>
    <row r="5663">
      <c r="A5663" s="21">
        <f t="shared" si="1"/>
        <v>45485.57618</v>
      </c>
      <c r="B5663" s="40" t="s">
        <v>2371</v>
      </c>
      <c r="C5663" s="23" t="s">
        <v>1845</v>
      </c>
      <c r="D5663" s="23" t="s">
        <v>21</v>
      </c>
      <c r="E5663" s="24">
        <v>45483.0</v>
      </c>
      <c r="F5663" s="25">
        <v>0.28194444444444444</v>
      </c>
      <c r="G5663" s="25">
        <v>0.6770833333333334</v>
      </c>
      <c r="H5663" s="27">
        <f t="shared" si="2"/>
        <v>0.3951388889</v>
      </c>
      <c r="I5663" s="28">
        <v>3.0</v>
      </c>
      <c r="J5663" s="39" t="s">
        <v>1048</v>
      </c>
      <c r="K5663" s="41"/>
      <c r="L5663" s="31" t="str">
        <f>IFERROR(__xludf.DUMMYFUNCTION("IF(OR(E5663="""",K5663=""""),"""",IFERROR(IF(K5663="""","""",query('tbl user'!$A$2:$D10975,""SELECT A WHERE D = '""&amp;K5663&amp;""'"")),""USER TIDAK DIKETAHUI""))"),"")</f>
        <v/>
      </c>
    </row>
    <row r="5664">
      <c r="A5664" s="21">
        <f t="shared" si="1"/>
        <v>45485.57625</v>
      </c>
      <c r="B5664" s="40" t="s">
        <v>2394</v>
      </c>
      <c r="C5664" s="23" t="s">
        <v>1837</v>
      </c>
      <c r="D5664" s="23" t="s">
        <v>21</v>
      </c>
      <c r="E5664" s="24">
        <v>45483.0</v>
      </c>
      <c r="F5664" s="25">
        <v>0.2833333333333333</v>
      </c>
      <c r="G5664" s="25">
        <v>0.6736111111111112</v>
      </c>
      <c r="H5664" s="27">
        <f t="shared" si="2"/>
        <v>0.3902777778</v>
      </c>
      <c r="I5664" s="28">
        <v>3.0</v>
      </c>
      <c r="J5664" s="39" t="s">
        <v>2803</v>
      </c>
      <c r="K5664" s="41"/>
      <c r="L5664" s="31" t="str">
        <f>IFERROR(__xludf.DUMMYFUNCTION("IF(OR(E5664="""",K5664=""""),"""",IFERROR(IF(K5664="""","""",query('tbl user'!$A$2:$D10975,""SELECT A WHERE D = '""&amp;K5664&amp;""'"")),""USER TIDAK DIKETAHUI""))"),"")</f>
        <v/>
      </c>
    </row>
    <row r="5665">
      <c r="A5665" s="21">
        <f t="shared" si="1"/>
        <v>45485.57629</v>
      </c>
      <c r="B5665" s="40" t="s">
        <v>2560</v>
      </c>
      <c r="C5665" s="23" t="s">
        <v>1849</v>
      </c>
      <c r="D5665" s="23" t="s">
        <v>21</v>
      </c>
      <c r="E5665" s="24">
        <v>45483.0</v>
      </c>
      <c r="F5665" s="25">
        <v>0.27569444444444446</v>
      </c>
      <c r="G5665" s="25">
        <v>0.7256944444444444</v>
      </c>
      <c r="H5665" s="27">
        <f t="shared" si="2"/>
        <v>0.45</v>
      </c>
      <c r="I5665" s="28">
        <v>3.0</v>
      </c>
      <c r="J5665" s="39" t="s">
        <v>1048</v>
      </c>
      <c r="K5665" s="41"/>
      <c r="L5665" s="31" t="str">
        <f>IFERROR(__xludf.DUMMYFUNCTION("IF(OR(E5665="""",K5665=""""),"""",IFERROR(IF(K5665="""","""",query('tbl user'!$A$2:$D10975,""SELECT A WHERE D = '""&amp;K5665&amp;""'"")),""USER TIDAK DIKETAHUI""))"),"")</f>
        <v/>
      </c>
    </row>
    <row r="5666">
      <c r="A5666" s="21">
        <f t="shared" si="1"/>
        <v>45485.57643</v>
      </c>
      <c r="B5666" s="40" t="s">
        <v>2397</v>
      </c>
      <c r="C5666" s="23" t="s">
        <v>1852</v>
      </c>
      <c r="D5666" s="23" t="s">
        <v>21</v>
      </c>
      <c r="E5666" s="24">
        <v>45483.0</v>
      </c>
      <c r="F5666" s="25">
        <v>0.27291666666666664</v>
      </c>
      <c r="G5666" s="25">
        <v>0.4909722222222222</v>
      </c>
      <c r="H5666" s="27">
        <f t="shared" si="2"/>
        <v>0.2180555556</v>
      </c>
      <c r="I5666" s="28">
        <v>2.0</v>
      </c>
      <c r="J5666" s="39" t="s">
        <v>2804</v>
      </c>
      <c r="K5666" s="41"/>
      <c r="L5666" s="31" t="str">
        <f>IFERROR(__xludf.DUMMYFUNCTION("IF(OR(E5666="""",K5666=""""),"""",IFERROR(IF(K5666="""","""",query('tbl user'!$A$2:$D10975,""SELECT A WHERE D = '""&amp;K5666&amp;""'"")),""USER TIDAK DIKETAHUI""))"),"")</f>
        <v/>
      </c>
    </row>
    <row r="5667">
      <c r="A5667" s="21">
        <f t="shared" si="1"/>
        <v>45485.57647</v>
      </c>
      <c r="B5667" s="40" t="s">
        <v>2400</v>
      </c>
      <c r="C5667" s="23" t="s">
        <v>1917</v>
      </c>
      <c r="D5667" s="23" t="s">
        <v>21</v>
      </c>
      <c r="E5667" s="24">
        <v>45483.0</v>
      </c>
      <c r="F5667" s="25">
        <v>0.2763888888888889</v>
      </c>
      <c r="G5667" s="25">
        <v>0.6409722222222223</v>
      </c>
      <c r="H5667" s="27">
        <f t="shared" si="2"/>
        <v>0.3645833333</v>
      </c>
      <c r="I5667" s="28">
        <v>3.0</v>
      </c>
      <c r="J5667" s="39" t="s">
        <v>1170</v>
      </c>
      <c r="K5667" s="41"/>
      <c r="L5667" s="31" t="str">
        <f>IFERROR(__xludf.DUMMYFUNCTION("IF(OR(E5667="""",K5667=""""),"""",IFERROR(IF(K5667="""","""",query('tbl user'!$A$2:$D10975,""SELECT A WHERE D = '""&amp;K5667&amp;""'"")),""USER TIDAK DIKETAHUI""))"),"")</f>
        <v/>
      </c>
    </row>
    <row r="5668">
      <c r="A5668" s="21">
        <f t="shared" si="1"/>
        <v>45485.57649</v>
      </c>
      <c r="B5668" s="40" t="s">
        <v>2401</v>
      </c>
      <c r="C5668" s="23" t="s">
        <v>1841</v>
      </c>
      <c r="D5668" s="23" t="s">
        <v>21</v>
      </c>
      <c r="E5668" s="24">
        <v>45483.0</v>
      </c>
      <c r="F5668" s="25">
        <v>0.29305555555555557</v>
      </c>
      <c r="G5668" s="25">
        <v>0.6819444444444445</v>
      </c>
      <c r="H5668" s="27">
        <f t="shared" si="2"/>
        <v>0.3888888889</v>
      </c>
      <c r="I5668" s="28">
        <v>3.0</v>
      </c>
      <c r="J5668" s="39" t="s">
        <v>1939</v>
      </c>
      <c r="K5668" s="41"/>
      <c r="L5668" s="31" t="str">
        <f>IFERROR(__xludf.DUMMYFUNCTION("IF(OR(E5668="""",K5668=""""),"""",IFERROR(IF(K5668="""","""",query('tbl user'!$A$2:$D10975,""SELECT A WHERE D = '""&amp;K5668&amp;""'"")),""USER TIDAK DIKETAHUI""))"),"")</f>
        <v/>
      </c>
    </row>
    <row r="5669">
      <c r="A5669" s="21">
        <f t="shared" si="1"/>
        <v>45485.57686</v>
      </c>
      <c r="B5669" s="40" t="s">
        <v>2425</v>
      </c>
      <c r="C5669" s="23" t="s">
        <v>1887</v>
      </c>
      <c r="D5669" s="23" t="s">
        <v>58</v>
      </c>
      <c r="E5669" s="24">
        <v>45483.0</v>
      </c>
      <c r="F5669" s="25">
        <v>0.29375</v>
      </c>
      <c r="G5669" s="28" t="s">
        <v>1817</v>
      </c>
      <c r="H5669" s="27" t="str">
        <f t="shared" si="2"/>
        <v/>
      </c>
      <c r="I5669" s="28">
        <v>0.0</v>
      </c>
      <c r="J5669" s="39" t="s">
        <v>2805</v>
      </c>
      <c r="K5669" s="41"/>
      <c r="L5669" s="31" t="str">
        <f>IFERROR(__xludf.DUMMYFUNCTION("IF(OR(E5669="""",K5669=""""),"""",IFERROR(IF(K5669="""","""",query('tbl user'!$A$2:$D10975,""SELECT A WHERE D = '""&amp;K5669&amp;""'"")),""USER TIDAK DIKETAHUI""))"),"")</f>
        <v/>
      </c>
    </row>
    <row r="5670">
      <c r="A5670" s="21">
        <f t="shared" si="1"/>
        <v>45485.57697</v>
      </c>
      <c r="B5670" s="40" t="s">
        <v>2414</v>
      </c>
      <c r="C5670" s="23" t="s">
        <v>1865</v>
      </c>
      <c r="D5670" s="23" t="s">
        <v>58</v>
      </c>
      <c r="E5670" s="24">
        <v>45483.0</v>
      </c>
      <c r="F5670" s="25">
        <v>0.2791666666666667</v>
      </c>
      <c r="G5670" s="25">
        <v>0.44375</v>
      </c>
      <c r="H5670" s="27">
        <f t="shared" si="2"/>
        <v>0.1645833333</v>
      </c>
      <c r="I5670" s="28">
        <v>1.0</v>
      </c>
      <c r="J5670" s="39" t="s">
        <v>2806</v>
      </c>
      <c r="K5670" s="41"/>
      <c r="L5670" s="31" t="str">
        <f>IFERROR(__xludf.DUMMYFUNCTION("IF(OR(E5670="""",K5670=""""),"""",IFERROR(IF(K5670="""","""",query('tbl user'!$A$2:$D10975,""SELECT A WHERE D = '""&amp;K5670&amp;""'"")),""USER TIDAK DIKETAHUI""))"),"")</f>
        <v/>
      </c>
    </row>
    <row r="5671">
      <c r="A5671" s="21">
        <f t="shared" si="1"/>
        <v>45485.57701</v>
      </c>
      <c r="B5671" s="40" t="s">
        <v>2402</v>
      </c>
      <c r="C5671" s="23" t="s">
        <v>1881</v>
      </c>
      <c r="D5671" s="23" t="s">
        <v>58</v>
      </c>
      <c r="E5671" s="24">
        <v>45483.0</v>
      </c>
      <c r="F5671" s="25">
        <v>0.3736111111111111</v>
      </c>
      <c r="G5671" s="25">
        <v>0.575</v>
      </c>
      <c r="H5671" s="27">
        <f t="shared" si="2"/>
        <v>0.2013888889</v>
      </c>
      <c r="I5671" s="28">
        <v>2.0</v>
      </c>
      <c r="J5671" s="39" t="s">
        <v>2807</v>
      </c>
      <c r="K5671" s="41"/>
      <c r="L5671" s="31" t="str">
        <f>IFERROR(__xludf.DUMMYFUNCTION("IF(OR(E5671="""",K5671=""""),"""",IFERROR(IF(K5671="""","""",query('tbl user'!$A$2:$D10975,""SELECT A WHERE D = '""&amp;K5671&amp;""'"")),""USER TIDAK DIKETAHUI""))"),"")</f>
        <v/>
      </c>
    </row>
    <row r="5672">
      <c r="A5672" s="21">
        <f t="shared" si="1"/>
        <v>45485.57709</v>
      </c>
      <c r="B5672" s="40" t="s">
        <v>2421</v>
      </c>
      <c r="C5672" s="23" t="s">
        <v>1883</v>
      </c>
      <c r="D5672" s="23" t="s">
        <v>58</v>
      </c>
      <c r="E5672" s="24">
        <v>45483.0</v>
      </c>
      <c r="F5672" s="25">
        <v>0.28194444444444444</v>
      </c>
      <c r="G5672" s="28" t="s">
        <v>1817</v>
      </c>
      <c r="H5672" s="27" t="str">
        <f t="shared" si="2"/>
        <v/>
      </c>
      <c r="I5672" s="28">
        <v>1.0</v>
      </c>
      <c r="J5672" s="39" t="s">
        <v>2808</v>
      </c>
      <c r="K5672" s="41"/>
      <c r="L5672" s="31" t="str">
        <f>IFERROR(__xludf.DUMMYFUNCTION("IF(OR(E5672="""",K5672=""""),"""",IFERROR(IF(K5672="""","""",query('tbl user'!$A$2:$D10975,""SELECT A WHERE D = '""&amp;K5672&amp;""'"")),""USER TIDAK DIKETAHUI""))"),"")</f>
        <v/>
      </c>
    </row>
    <row r="5673">
      <c r="A5673" s="21">
        <f t="shared" si="1"/>
        <v>45485.57722</v>
      </c>
      <c r="B5673" s="40" t="s">
        <v>2460</v>
      </c>
      <c r="C5673" s="23" t="s">
        <v>1893</v>
      </c>
      <c r="D5673" s="23" t="s">
        <v>58</v>
      </c>
      <c r="E5673" s="24">
        <v>45483.0</v>
      </c>
      <c r="F5673" s="25">
        <v>0.2743055555555556</v>
      </c>
      <c r="G5673" s="25">
        <v>0.4013888888888889</v>
      </c>
      <c r="H5673" s="27">
        <f t="shared" si="2"/>
        <v>0.1270833333</v>
      </c>
      <c r="I5673" s="28">
        <v>1.0</v>
      </c>
      <c r="J5673" s="39" t="s">
        <v>2809</v>
      </c>
      <c r="K5673" s="41"/>
      <c r="L5673" s="31" t="str">
        <f>IFERROR(__xludf.DUMMYFUNCTION("IF(OR(E5673="""",K5673=""""),"""",IFERROR(IF(K5673="""","""",query('tbl user'!$A$2:$D10975,""SELECT A WHERE D = '""&amp;K5673&amp;""'"")),""USER TIDAK DIKETAHUI""))"),"")</f>
        <v/>
      </c>
    </row>
    <row r="5674">
      <c r="A5674" s="21">
        <f t="shared" si="1"/>
        <v>45485.57727</v>
      </c>
      <c r="B5674" s="40" t="s">
        <v>2430</v>
      </c>
      <c r="C5674" s="23" t="s">
        <v>1861</v>
      </c>
      <c r="D5674" s="23" t="s">
        <v>58</v>
      </c>
      <c r="E5674" s="24">
        <v>45483.0</v>
      </c>
      <c r="F5674" s="25">
        <v>0.27569444444444446</v>
      </c>
      <c r="G5674" s="25">
        <v>0.6513888888888889</v>
      </c>
      <c r="H5674" s="27">
        <f t="shared" si="2"/>
        <v>0.3756944444</v>
      </c>
      <c r="I5674" s="28">
        <v>1.0</v>
      </c>
      <c r="J5674" s="39" t="s">
        <v>2810</v>
      </c>
      <c r="K5674" s="41"/>
      <c r="L5674" s="31" t="str">
        <f>IFERROR(__xludf.DUMMYFUNCTION("IF(OR(E5674="""",K5674=""""),"""",IFERROR(IF(K5674="""","""",query('tbl user'!$A$2:$D10975,""SELECT A WHERE D = '""&amp;K5674&amp;""'"")),""USER TIDAK DIKETAHUI""))"),"")</f>
        <v/>
      </c>
    </row>
    <row r="5675">
      <c r="A5675" s="21">
        <f t="shared" si="1"/>
        <v>45485.57732</v>
      </c>
      <c r="B5675" s="40" t="s">
        <v>2363</v>
      </c>
      <c r="C5675" s="23" t="s">
        <v>1874</v>
      </c>
      <c r="D5675" s="23" t="s">
        <v>58</v>
      </c>
      <c r="E5675" s="24">
        <v>45483.0</v>
      </c>
      <c r="F5675" s="25">
        <v>0.3854166666666667</v>
      </c>
      <c r="G5675" s="25">
        <v>0.6868055555555556</v>
      </c>
      <c r="H5675" s="27">
        <f t="shared" si="2"/>
        <v>0.3013888889</v>
      </c>
      <c r="I5675" s="28">
        <v>2.0</v>
      </c>
      <c r="J5675" s="39" t="s">
        <v>2811</v>
      </c>
      <c r="K5675" s="41"/>
      <c r="L5675" s="31" t="str">
        <f>IFERROR(__xludf.DUMMYFUNCTION("IF(OR(E5675="""",K5675=""""),"""",IFERROR(IF(K5675="""","""",query('tbl user'!$A$2:$D10975,""SELECT A WHERE D = '""&amp;K5675&amp;""'"")),""USER TIDAK DIKETAHUI""))"),"")</f>
        <v/>
      </c>
    </row>
    <row r="5676">
      <c r="A5676" s="21">
        <f t="shared" si="1"/>
        <v>45485.57738</v>
      </c>
      <c r="B5676" s="40" t="s">
        <v>2361</v>
      </c>
      <c r="C5676" s="23" t="s">
        <v>1875</v>
      </c>
      <c r="D5676" s="23" t="s">
        <v>58</v>
      </c>
      <c r="E5676" s="24">
        <v>45483.0</v>
      </c>
      <c r="F5676" s="25">
        <v>0.26805555555555555</v>
      </c>
      <c r="G5676" s="25">
        <v>0.6409722222222223</v>
      </c>
      <c r="H5676" s="27">
        <f t="shared" si="2"/>
        <v>0.3729166667</v>
      </c>
      <c r="I5676" s="28">
        <v>2.0</v>
      </c>
      <c r="J5676" s="39" t="s">
        <v>2812</v>
      </c>
      <c r="K5676" s="41"/>
      <c r="L5676" s="31" t="str">
        <f>IFERROR(__xludf.DUMMYFUNCTION("IF(OR(E5676="""",K5676=""""),"""",IFERROR(IF(K5676="""","""",query('tbl user'!$A$2:$D10975,""SELECT A WHERE D = '""&amp;K5676&amp;""'"")),""USER TIDAK DIKETAHUI""))"),"")</f>
        <v/>
      </c>
    </row>
    <row r="5677">
      <c r="A5677" s="21">
        <f t="shared" si="1"/>
        <v>45485.57752</v>
      </c>
      <c r="B5677" s="40" t="s">
        <v>2415</v>
      </c>
      <c r="C5677" s="23" t="s">
        <v>1867</v>
      </c>
      <c r="D5677" s="23" t="s">
        <v>58</v>
      </c>
      <c r="E5677" s="24">
        <v>45483.0</v>
      </c>
      <c r="F5677" s="25">
        <v>0.3284722222222222</v>
      </c>
      <c r="G5677" s="25">
        <v>0.5944444444444444</v>
      </c>
      <c r="H5677" s="27">
        <f t="shared" si="2"/>
        <v>0.2659722222</v>
      </c>
      <c r="I5677" s="28">
        <v>2.0</v>
      </c>
      <c r="J5677" s="39" t="s">
        <v>2813</v>
      </c>
      <c r="K5677" s="41"/>
      <c r="L5677" s="31" t="str">
        <f>IFERROR(__xludf.DUMMYFUNCTION("IF(OR(E5677="""",K5677=""""),"""",IFERROR(IF(K5677="""","""",query('tbl user'!$A$2:$D10975,""SELECT A WHERE D = '""&amp;K5677&amp;""'"")),""USER TIDAK DIKETAHUI""))"),"")</f>
        <v/>
      </c>
    </row>
    <row r="5678">
      <c r="A5678" s="21">
        <f t="shared" si="1"/>
        <v>45485.5776</v>
      </c>
      <c r="B5678" s="40" t="s">
        <v>2404</v>
      </c>
      <c r="C5678" s="23" t="s">
        <v>1869</v>
      </c>
      <c r="D5678" s="23" t="s">
        <v>58</v>
      </c>
      <c r="E5678" s="24">
        <v>45483.0</v>
      </c>
      <c r="F5678" s="25">
        <v>0.29097222222222224</v>
      </c>
      <c r="G5678" s="25">
        <v>0.5819444444444445</v>
      </c>
      <c r="H5678" s="27">
        <f t="shared" si="2"/>
        <v>0.2909722222</v>
      </c>
      <c r="I5678" s="28">
        <v>2.0</v>
      </c>
      <c r="J5678" s="39" t="s">
        <v>2814</v>
      </c>
      <c r="K5678" s="41"/>
      <c r="L5678" s="31" t="str">
        <f>IFERROR(__xludf.DUMMYFUNCTION("IF(OR(E5678="""",K5678=""""),"""",IFERROR(IF(K5678="""","""",query('tbl user'!$A$2:$D10975,""SELECT A WHERE D = '""&amp;K5678&amp;""'"")),""USER TIDAK DIKETAHUI""))"),"")</f>
        <v/>
      </c>
    </row>
    <row r="5679">
      <c r="A5679" s="21">
        <f t="shared" si="1"/>
        <v>45485.57766</v>
      </c>
      <c r="B5679" s="40" t="s">
        <v>2431</v>
      </c>
      <c r="C5679" s="23" t="s">
        <v>1879</v>
      </c>
      <c r="D5679" s="23" t="s">
        <v>58</v>
      </c>
      <c r="E5679" s="24">
        <v>45483.0</v>
      </c>
      <c r="F5679" s="25">
        <v>0.27847222222222223</v>
      </c>
      <c r="G5679" s="25">
        <v>0.4965277777777778</v>
      </c>
      <c r="H5679" s="27">
        <f t="shared" si="2"/>
        <v>0.2180555556</v>
      </c>
      <c r="I5679" s="28">
        <v>2.0</v>
      </c>
      <c r="J5679" s="39" t="s">
        <v>2815</v>
      </c>
      <c r="K5679" s="41"/>
      <c r="L5679" s="31" t="str">
        <f>IFERROR(__xludf.DUMMYFUNCTION("IF(OR(E5679="""",K5679=""""),"""",IFERROR(IF(K5679="""","""",query('tbl user'!$A$2:$D10975,""SELECT A WHERE D = '""&amp;K5679&amp;""'"")),""USER TIDAK DIKETAHUI""))"),"")</f>
        <v/>
      </c>
    </row>
    <row r="5680">
      <c r="A5680" s="21">
        <f t="shared" si="1"/>
        <v>45485.57774</v>
      </c>
      <c r="B5680" s="40" t="s">
        <v>2424</v>
      </c>
      <c r="C5680" s="23" t="s">
        <v>1886</v>
      </c>
      <c r="D5680" s="23" t="s">
        <v>58</v>
      </c>
      <c r="E5680" s="24">
        <v>45483.0</v>
      </c>
      <c r="F5680" s="25">
        <v>0.2798611111111111</v>
      </c>
      <c r="G5680" s="25">
        <v>0.6125</v>
      </c>
      <c r="H5680" s="27">
        <f t="shared" si="2"/>
        <v>0.3326388889</v>
      </c>
      <c r="I5680" s="28">
        <v>2.0</v>
      </c>
      <c r="J5680" s="39" t="s">
        <v>2816</v>
      </c>
      <c r="K5680" s="41"/>
      <c r="L5680" s="31" t="str">
        <f>IFERROR(__xludf.DUMMYFUNCTION("IF(OR(E5680="""",K5680=""""),"""",IFERROR(IF(K5680="""","""",query('tbl user'!$A$2:$D10975,""SELECT A WHERE D = '""&amp;K5680&amp;""'"")),""USER TIDAK DIKETAHUI""))"),"")</f>
        <v/>
      </c>
    </row>
    <row r="5681">
      <c r="A5681" s="21">
        <f t="shared" si="1"/>
        <v>45485.57778</v>
      </c>
      <c r="B5681" s="40" t="s">
        <v>2427</v>
      </c>
      <c r="C5681" s="23" t="s">
        <v>1888</v>
      </c>
      <c r="D5681" s="23" t="s">
        <v>58</v>
      </c>
      <c r="E5681" s="24">
        <v>45483.0</v>
      </c>
      <c r="F5681" s="25">
        <v>0.2791666666666667</v>
      </c>
      <c r="G5681" s="25">
        <v>0.6409722222222223</v>
      </c>
      <c r="H5681" s="27">
        <f t="shared" si="2"/>
        <v>0.3618055556</v>
      </c>
      <c r="I5681" s="28">
        <v>2.0</v>
      </c>
      <c r="J5681" s="39" t="s">
        <v>2817</v>
      </c>
      <c r="K5681" s="41"/>
      <c r="L5681" s="31" t="str">
        <f>IFERROR(__xludf.DUMMYFUNCTION("IF(OR(E5681="""",K5681=""""),"""",IFERROR(IF(K5681="""","""",query('tbl user'!$A$2:$D10975,""SELECT A WHERE D = '""&amp;K5681&amp;""'"")),""USER TIDAK DIKETAHUI""))"),"")</f>
        <v/>
      </c>
    </row>
    <row r="5682">
      <c r="A5682" s="21">
        <f t="shared" si="1"/>
        <v>45485.57785</v>
      </c>
      <c r="B5682" s="40" t="s">
        <v>2417</v>
      </c>
      <c r="C5682" s="23" t="s">
        <v>1889</v>
      </c>
      <c r="D5682" s="23" t="s">
        <v>58</v>
      </c>
      <c r="E5682" s="24">
        <v>45483.0</v>
      </c>
      <c r="F5682" s="25">
        <v>0.28402777777777777</v>
      </c>
      <c r="G5682" s="25">
        <v>0.5694444444444444</v>
      </c>
      <c r="H5682" s="27">
        <f t="shared" si="2"/>
        <v>0.2854166667</v>
      </c>
      <c r="I5682" s="28">
        <v>2.0</v>
      </c>
      <c r="J5682" s="39" t="s">
        <v>2818</v>
      </c>
      <c r="K5682" s="41"/>
      <c r="L5682" s="31" t="str">
        <f>IFERROR(__xludf.DUMMYFUNCTION("IF(OR(E5682="""",K5682=""""),"""",IFERROR(IF(K5682="""","""",query('tbl user'!$A$2:$D10975,""SELECT A WHERE D = '""&amp;K5682&amp;""'"")),""USER TIDAK DIKETAHUI""))"),"")</f>
        <v/>
      </c>
    </row>
    <row r="5683">
      <c r="A5683" s="21">
        <f t="shared" si="1"/>
        <v>45485.57788</v>
      </c>
      <c r="B5683" s="40" t="s">
        <v>2434</v>
      </c>
      <c r="C5683" s="23" t="s">
        <v>1891</v>
      </c>
      <c r="D5683" s="23" t="s">
        <v>58</v>
      </c>
      <c r="E5683" s="24">
        <v>45483.0</v>
      </c>
      <c r="F5683" s="25">
        <v>0.27708333333333335</v>
      </c>
      <c r="G5683" s="25">
        <v>0.6506944444444445</v>
      </c>
      <c r="H5683" s="27">
        <f t="shared" si="2"/>
        <v>0.3736111111</v>
      </c>
      <c r="I5683" s="28">
        <v>2.0</v>
      </c>
      <c r="J5683" s="39" t="s">
        <v>2819</v>
      </c>
      <c r="K5683" s="41"/>
      <c r="L5683" s="31" t="str">
        <f>IFERROR(__xludf.DUMMYFUNCTION("IF(OR(E5683="""",K5683=""""),"""",IFERROR(IF(K5683="""","""",query('tbl user'!$A$2:$D10975,""SELECT A WHERE D = '""&amp;K5683&amp;""'"")),""USER TIDAK DIKETAHUI""))"),"")</f>
        <v/>
      </c>
    </row>
    <row r="5684">
      <c r="A5684" s="21">
        <f t="shared" si="1"/>
        <v>45485.57796</v>
      </c>
      <c r="B5684" s="40" t="s">
        <v>2422</v>
      </c>
      <c r="C5684" s="23" t="s">
        <v>1860</v>
      </c>
      <c r="D5684" s="23" t="s">
        <v>58</v>
      </c>
      <c r="E5684" s="24">
        <v>45483.0</v>
      </c>
      <c r="F5684" s="25">
        <v>0.2916666666666667</v>
      </c>
      <c r="G5684" s="25">
        <v>0.6756944444444445</v>
      </c>
      <c r="H5684" s="27">
        <f t="shared" si="2"/>
        <v>0.3840277778</v>
      </c>
      <c r="I5684" s="28">
        <v>3.0</v>
      </c>
      <c r="J5684" s="39" t="s">
        <v>2820</v>
      </c>
      <c r="K5684" s="41"/>
      <c r="L5684" s="31" t="str">
        <f>IFERROR(__xludf.DUMMYFUNCTION("IF(OR(E5684="""",K5684=""""),"""",IFERROR(IF(K5684="""","""",query('tbl user'!$A$2:$D10975,""SELECT A WHERE D = '""&amp;K5684&amp;""'"")),""USER TIDAK DIKETAHUI""))"),"")</f>
        <v/>
      </c>
    </row>
    <row r="5685">
      <c r="A5685" s="21">
        <f t="shared" si="1"/>
        <v>45485.57804</v>
      </c>
      <c r="B5685" s="40" t="s">
        <v>2423</v>
      </c>
      <c r="C5685" s="23" t="s">
        <v>1863</v>
      </c>
      <c r="D5685" s="23" t="s">
        <v>58</v>
      </c>
      <c r="E5685" s="24">
        <v>45483.0</v>
      </c>
      <c r="F5685" s="25">
        <v>0.2881944444444444</v>
      </c>
      <c r="G5685" s="25">
        <v>0.6569444444444444</v>
      </c>
      <c r="H5685" s="27">
        <f t="shared" si="2"/>
        <v>0.36875</v>
      </c>
      <c r="I5685" s="28">
        <v>3.0</v>
      </c>
      <c r="J5685" s="39" t="s">
        <v>2820</v>
      </c>
      <c r="K5685" s="41"/>
      <c r="L5685" s="31" t="str">
        <f>IFERROR(__xludf.DUMMYFUNCTION("IF(OR(E5685="""",K5685=""""),"""",IFERROR(IF(K5685="""","""",query('tbl user'!$A$2:$D10975,""SELECT A WHERE D = '""&amp;K5685&amp;""'"")),""USER TIDAK DIKETAHUI""))"),"")</f>
        <v/>
      </c>
    </row>
    <row r="5686">
      <c r="A5686" s="21">
        <f t="shared" si="1"/>
        <v>45485.57809</v>
      </c>
      <c r="B5686" s="40" t="s">
        <v>2434</v>
      </c>
      <c r="C5686" s="23" t="s">
        <v>1892</v>
      </c>
      <c r="D5686" s="23" t="s">
        <v>58</v>
      </c>
      <c r="E5686" s="24">
        <v>45483.0</v>
      </c>
      <c r="F5686" s="25">
        <v>0.2777777777777778</v>
      </c>
      <c r="G5686" s="25">
        <v>0.58125</v>
      </c>
      <c r="H5686" s="27">
        <f t="shared" si="2"/>
        <v>0.3034722222</v>
      </c>
      <c r="I5686" s="28">
        <v>3.0</v>
      </c>
      <c r="J5686" s="39" t="s">
        <v>2507</v>
      </c>
      <c r="K5686" s="41"/>
      <c r="L5686" s="31" t="str">
        <f>IFERROR(__xludf.DUMMYFUNCTION("IF(OR(E5686="""",K5686=""""),"""",IFERROR(IF(K5686="""","""",query('tbl user'!$A$2:$D10975,""SELECT A WHERE D = '""&amp;K5686&amp;""'"")),""USER TIDAK DIKETAHUI""))"),"")</f>
        <v/>
      </c>
    </row>
    <row r="5687">
      <c r="A5687" s="21">
        <f t="shared" si="1"/>
        <v>45485.57819</v>
      </c>
      <c r="B5687" s="40" t="s">
        <v>2410</v>
      </c>
      <c r="C5687" s="23" t="s">
        <v>2090</v>
      </c>
      <c r="D5687" s="23" t="s">
        <v>58</v>
      </c>
      <c r="E5687" s="24">
        <v>45483.0</v>
      </c>
      <c r="F5687" s="25">
        <v>0.27847222222222223</v>
      </c>
      <c r="G5687" s="25">
        <v>0.6645833333333333</v>
      </c>
      <c r="H5687" s="27">
        <f t="shared" si="2"/>
        <v>0.3861111111</v>
      </c>
      <c r="I5687" s="28">
        <v>3.0</v>
      </c>
      <c r="J5687" s="39" t="s">
        <v>2820</v>
      </c>
      <c r="K5687" s="41"/>
      <c r="L5687" s="31" t="str">
        <f>IFERROR(__xludf.DUMMYFUNCTION("IF(OR(E5687="""",K5687=""""),"""",IFERROR(IF(K5687="""","""",query('tbl user'!$A$2:$D10975,""SELECT A WHERE D = '""&amp;K5687&amp;""'"")),""USER TIDAK DIKETAHUI""))"),"")</f>
        <v/>
      </c>
    </row>
    <row r="5688">
      <c r="A5688" s="21">
        <f t="shared" si="1"/>
        <v>45485.57824</v>
      </c>
      <c r="B5688" s="40" t="s">
        <v>2386</v>
      </c>
      <c r="C5688" s="23" t="s">
        <v>1882</v>
      </c>
      <c r="D5688" s="23" t="s">
        <v>58</v>
      </c>
      <c r="E5688" s="24">
        <v>45483.0</v>
      </c>
      <c r="F5688" s="25">
        <v>0.22569444444444445</v>
      </c>
      <c r="G5688" s="25">
        <v>0.6888888888888889</v>
      </c>
      <c r="H5688" s="27">
        <f t="shared" si="2"/>
        <v>0.4631944444</v>
      </c>
      <c r="I5688" s="28">
        <v>4.0</v>
      </c>
      <c r="J5688" s="39" t="s">
        <v>55</v>
      </c>
      <c r="K5688" s="41"/>
      <c r="L5688" s="31" t="str">
        <f>IFERROR(__xludf.DUMMYFUNCTION("IF(OR(E5688="""",K5688=""""),"""",IFERROR(IF(K5688="""","""",query('tbl user'!$A$2:$D10975,""SELECT A WHERE D = '""&amp;K5688&amp;""'"")),""USER TIDAK DIKETAHUI""))"),"")</f>
        <v/>
      </c>
    </row>
    <row r="5689">
      <c r="A5689" s="21">
        <f t="shared" si="1"/>
        <v>45485.57829</v>
      </c>
      <c r="B5689" s="40" t="s">
        <v>2432</v>
      </c>
      <c r="C5689" s="23" t="s">
        <v>1884</v>
      </c>
      <c r="D5689" s="23" t="s">
        <v>58</v>
      </c>
      <c r="E5689" s="24">
        <v>45483.0</v>
      </c>
      <c r="F5689" s="25">
        <v>0.27708333333333335</v>
      </c>
      <c r="G5689" s="25">
        <v>0.7</v>
      </c>
      <c r="H5689" s="27">
        <f t="shared" si="2"/>
        <v>0.4229166667</v>
      </c>
      <c r="I5689" s="28">
        <v>4.0</v>
      </c>
      <c r="J5689" s="39" t="s">
        <v>55</v>
      </c>
      <c r="K5689" s="41"/>
      <c r="L5689" s="31" t="str">
        <f>IFERROR(__xludf.DUMMYFUNCTION("IF(OR(E5689="""",K5689=""""),"""",IFERROR(IF(K5689="""","""",query('tbl user'!$A$2:$D10975,""SELECT A WHERE D = '""&amp;K5689&amp;""'"")),""USER TIDAK DIKETAHUI""))"),"")</f>
        <v/>
      </c>
    </row>
    <row r="5690">
      <c r="A5690" s="21">
        <f t="shared" si="1"/>
        <v>45485.57835</v>
      </c>
      <c r="B5690" s="40" t="s">
        <v>2433</v>
      </c>
      <c r="C5690" s="23" t="s">
        <v>1950</v>
      </c>
      <c r="D5690" s="23" t="s">
        <v>58</v>
      </c>
      <c r="E5690" s="24">
        <v>45483.0</v>
      </c>
      <c r="F5690" s="25">
        <v>0.2673611111111111</v>
      </c>
      <c r="G5690" s="25">
        <v>0.66875</v>
      </c>
      <c r="H5690" s="27">
        <f t="shared" si="2"/>
        <v>0.4013888889</v>
      </c>
      <c r="I5690" s="28">
        <v>4.0</v>
      </c>
      <c r="J5690" s="39" t="s">
        <v>55</v>
      </c>
      <c r="K5690" s="41"/>
      <c r="L5690" s="31" t="str">
        <f>IFERROR(__xludf.DUMMYFUNCTION("IF(OR(E5690="""",K5690=""""),"""",IFERROR(IF(K5690="""","""",query('tbl user'!$A$2:$D10975,""SELECT A WHERE D = '""&amp;K5690&amp;""'"")),""USER TIDAK DIKETAHUI""))"),"")</f>
        <v/>
      </c>
    </row>
    <row r="5691">
      <c r="A5691" s="21">
        <f t="shared" si="1"/>
        <v>45485.57851</v>
      </c>
      <c r="B5691" s="40" t="s">
        <v>2447</v>
      </c>
      <c r="C5691" s="23" t="s">
        <v>1905</v>
      </c>
      <c r="D5691" s="23" t="s">
        <v>32</v>
      </c>
      <c r="E5691" s="24">
        <v>45483.0</v>
      </c>
      <c r="F5691" s="25">
        <v>0.2701388888888889</v>
      </c>
      <c r="G5691" s="25">
        <v>0.5770833333333333</v>
      </c>
      <c r="H5691" s="27">
        <f t="shared" si="2"/>
        <v>0.3069444444</v>
      </c>
      <c r="I5691" s="28">
        <v>2.0</v>
      </c>
      <c r="J5691" s="39" t="s">
        <v>2821</v>
      </c>
      <c r="K5691" s="41"/>
      <c r="L5691" s="31" t="str">
        <f>IFERROR(__xludf.DUMMYFUNCTION("IF(OR(E5691="""",K5691=""""),"""",IFERROR(IF(K5691="""","""",query('tbl user'!$A$2:$D10975,""SELECT A WHERE D = '""&amp;K5691&amp;""'"")),""USER TIDAK DIKETAHUI""))"),"")</f>
        <v/>
      </c>
    </row>
    <row r="5692">
      <c r="A5692" s="21">
        <f t="shared" si="1"/>
        <v>45485.57855</v>
      </c>
      <c r="B5692" s="40" t="s">
        <v>2450</v>
      </c>
      <c r="C5692" s="23" t="s">
        <v>1894</v>
      </c>
      <c r="D5692" s="23" t="s">
        <v>32</v>
      </c>
      <c r="E5692" s="24">
        <v>45483.0</v>
      </c>
      <c r="F5692" s="25">
        <v>0.2833333333333333</v>
      </c>
      <c r="G5692" s="25">
        <v>0.6569444444444444</v>
      </c>
      <c r="H5692" s="27">
        <f t="shared" si="2"/>
        <v>0.3736111111</v>
      </c>
      <c r="I5692" s="28">
        <v>3.0</v>
      </c>
      <c r="J5692" s="39" t="s">
        <v>2822</v>
      </c>
      <c r="K5692" s="41"/>
      <c r="L5692" s="31" t="str">
        <f>IFERROR(__xludf.DUMMYFUNCTION("IF(OR(E5692="""",K5692=""""),"""",IFERROR(IF(K5692="""","""",query('tbl user'!$A$2:$D10975,""SELECT A WHERE D = '""&amp;K5692&amp;""'"")),""USER TIDAK DIKETAHUI""))"),"")</f>
        <v/>
      </c>
    </row>
    <row r="5693">
      <c r="A5693" s="21">
        <f t="shared" si="1"/>
        <v>45485.57861</v>
      </c>
      <c r="B5693" s="40" t="s">
        <v>2452</v>
      </c>
      <c r="C5693" s="23" t="s">
        <v>1912</v>
      </c>
      <c r="D5693" s="23" t="s">
        <v>32</v>
      </c>
      <c r="E5693" s="24">
        <v>45483.0</v>
      </c>
      <c r="F5693" s="25">
        <v>0.23541666666666666</v>
      </c>
      <c r="G5693" s="25">
        <v>0.74375</v>
      </c>
      <c r="H5693" s="27">
        <f t="shared" si="2"/>
        <v>0.5083333333</v>
      </c>
      <c r="I5693" s="28">
        <v>3.0</v>
      </c>
      <c r="J5693" s="39" t="s">
        <v>2823</v>
      </c>
      <c r="K5693" s="41"/>
      <c r="L5693" s="31" t="str">
        <f>IFERROR(__xludf.DUMMYFUNCTION("IF(OR(E5693="""",K5693=""""),"""",IFERROR(IF(K5693="""","""",query('tbl user'!$A$2:$D10975,""SELECT A WHERE D = '""&amp;K5693&amp;""'"")),""USER TIDAK DIKETAHUI""))"),"")</f>
        <v/>
      </c>
    </row>
    <row r="5694">
      <c r="A5694" s="21">
        <f t="shared" si="1"/>
        <v>45485.57864</v>
      </c>
      <c r="B5694" s="40" t="s">
        <v>2824</v>
      </c>
      <c r="C5694" s="23" t="s">
        <v>1896</v>
      </c>
      <c r="D5694" s="23" t="s">
        <v>32</v>
      </c>
      <c r="E5694" s="24">
        <v>45483.0</v>
      </c>
      <c r="F5694" s="25">
        <v>0.29097222222222224</v>
      </c>
      <c r="G5694" s="25">
        <v>0.65625</v>
      </c>
      <c r="H5694" s="27">
        <f t="shared" si="2"/>
        <v>0.3652777778</v>
      </c>
      <c r="I5694" s="28">
        <v>3.0</v>
      </c>
      <c r="J5694" s="39" t="s">
        <v>2825</v>
      </c>
      <c r="K5694" s="41"/>
      <c r="L5694" s="31" t="str">
        <f>IFERROR(__xludf.DUMMYFUNCTION("IF(OR(E5694="""",K5694=""""),"""",IFERROR(IF(K5694="""","""",query('tbl user'!$A$2:$D10975,""SELECT A WHERE D = '""&amp;K5694&amp;""'"")),""USER TIDAK DIKETAHUI""))"),"")</f>
        <v/>
      </c>
    </row>
    <row r="5695">
      <c r="A5695" s="21">
        <f t="shared" si="1"/>
        <v>45485.57869</v>
      </c>
      <c r="B5695" s="40" t="s">
        <v>2494</v>
      </c>
      <c r="C5695" s="23" t="s">
        <v>1959</v>
      </c>
      <c r="D5695" s="23" t="s">
        <v>32</v>
      </c>
      <c r="E5695" s="24">
        <v>45483.0</v>
      </c>
      <c r="F5695" s="25">
        <v>0.28888888888888886</v>
      </c>
      <c r="G5695" s="25">
        <v>0.7118055555555556</v>
      </c>
      <c r="H5695" s="27">
        <f t="shared" si="2"/>
        <v>0.4229166667</v>
      </c>
      <c r="I5695" s="28">
        <v>4.0</v>
      </c>
      <c r="J5695" s="39" t="s">
        <v>55</v>
      </c>
      <c r="K5695" s="41"/>
      <c r="L5695" s="31" t="str">
        <f>IFERROR(__xludf.DUMMYFUNCTION("IF(OR(E5695="""",K5695=""""),"""",IFERROR(IF(K5695="""","""",query('tbl user'!$A$2:$D10975,""SELECT A WHERE D = '""&amp;K5695&amp;""'"")),""USER TIDAK DIKETAHUI""))"),"")</f>
        <v/>
      </c>
    </row>
    <row r="5696">
      <c r="A5696" s="21">
        <f t="shared" si="1"/>
        <v>45485.57875</v>
      </c>
      <c r="B5696" s="40" t="s">
        <v>2529</v>
      </c>
      <c r="C5696" s="23" t="s">
        <v>2252</v>
      </c>
      <c r="D5696" s="23" t="s">
        <v>32</v>
      </c>
      <c r="E5696" s="24">
        <v>45483.0</v>
      </c>
      <c r="F5696" s="25">
        <v>0.27569444444444446</v>
      </c>
      <c r="G5696" s="25">
        <v>0.6861111111111111</v>
      </c>
      <c r="H5696" s="27">
        <f t="shared" si="2"/>
        <v>0.4104166667</v>
      </c>
      <c r="I5696" s="28">
        <v>4.0</v>
      </c>
      <c r="J5696" s="39" t="s">
        <v>55</v>
      </c>
      <c r="K5696" s="41"/>
      <c r="L5696" s="31" t="str">
        <f>IFERROR(__xludf.DUMMYFUNCTION("IF(OR(E5696="""",K5696=""""),"""",IFERROR(IF(K5696="""","""",query('tbl user'!$A$2:$D10975,""SELECT A WHERE D = '""&amp;K5696&amp;""'"")),""USER TIDAK DIKETAHUI""))"),"")</f>
        <v/>
      </c>
    </row>
    <row r="5697">
      <c r="A5697" s="21">
        <f t="shared" si="1"/>
        <v>45485.57879</v>
      </c>
      <c r="B5697" s="40" t="s">
        <v>2451</v>
      </c>
      <c r="C5697" s="23" t="s">
        <v>1967</v>
      </c>
      <c r="D5697" s="23" t="s">
        <v>32</v>
      </c>
      <c r="E5697" s="24">
        <v>45483.0</v>
      </c>
      <c r="F5697" s="25">
        <v>0.24166666666666667</v>
      </c>
      <c r="G5697" s="25">
        <v>0.7430555555555556</v>
      </c>
      <c r="H5697" s="27">
        <f t="shared" si="2"/>
        <v>0.5013888889</v>
      </c>
      <c r="I5697" s="28">
        <v>4.0</v>
      </c>
      <c r="J5697" s="39" t="s">
        <v>55</v>
      </c>
      <c r="K5697" s="41"/>
      <c r="L5697" s="31" t="str">
        <f>IFERROR(__xludf.DUMMYFUNCTION("IF(OR(E5697="""",K5697=""""),"""",IFERROR(IF(K5697="""","""",query('tbl user'!$A$2:$D10975,""SELECT A WHERE D = '""&amp;K5697&amp;""'"")),""USER TIDAK DIKETAHUI""))"),"")</f>
        <v/>
      </c>
    </row>
    <row r="5698">
      <c r="A5698" s="21">
        <f t="shared" si="1"/>
        <v>45485.57884</v>
      </c>
      <c r="B5698" s="40" t="s">
        <v>2443</v>
      </c>
      <c r="C5698" s="23" t="s">
        <v>2190</v>
      </c>
      <c r="D5698" s="23" t="s">
        <v>32</v>
      </c>
      <c r="E5698" s="24">
        <v>45483.0</v>
      </c>
      <c r="F5698" s="25">
        <v>0.28958333333333336</v>
      </c>
      <c r="G5698" s="25">
        <v>0.7090277777777778</v>
      </c>
      <c r="H5698" s="27">
        <f t="shared" si="2"/>
        <v>0.4194444444</v>
      </c>
      <c r="I5698" s="28">
        <v>4.0</v>
      </c>
      <c r="J5698" s="39" t="s">
        <v>55</v>
      </c>
      <c r="K5698" s="41"/>
      <c r="L5698" s="31" t="str">
        <f>IFERROR(__xludf.DUMMYFUNCTION("IF(OR(E5698="""",K5698=""""),"""",IFERROR(IF(K5698="""","""",query('tbl user'!$A$2:$D10975,""SELECT A WHERE D = '""&amp;K5698&amp;""'"")),""USER TIDAK DIKETAHUI""))"),"")</f>
        <v/>
      </c>
    </row>
    <row r="5699">
      <c r="A5699" s="21">
        <f t="shared" si="1"/>
        <v>45485.57893</v>
      </c>
      <c r="B5699" s="40" t="s">
        <v>2526</v>
      </c>
      <c r="C5699" s="23" t="s">
        <v>1902</v>
      </c>
      <c r="D5699" s="23" t="s">
        <v>32</v>
      </c>
      <c r="E5699" s="24">
        <v>45483.0</v>
      </c>
      <c r="F5699" s="25">
        <v>0.2902777777777778</v>
      </c>
      <c r="G5699" s="25">
        <v>0.7444444444444445</v>
      </c>
      <c r="H5699" s="27">
        <f t="shared" si="2"/>
        <v>0.4541666667</v>
      </c>
      <c r="I5699" s="28">
        <v>4.0</v>
      </c>
      <c r="J5699" s="39" t="s">
        <v>55</v>
      </c>
      <c r="K5699" s="41"/>
      <c r="L5699" s="31" t="str">
        <f>IFERROR(__xludf.DUMMYFUNCTION("IF(OR(E5699="""",K5699=""""),"""",IFERROR(IF(K5699="""","""",query('tbl user'!$A$2:$D10975,""SELECT A WHERE D = '""&amp;K5699&amp;""'"")),""USER TIDAK DIKETAHUI""))"),"")</f>
        <v/>
      </c>
    </row>
    <row r="5700">
      <c r="A5700" s="21">
        <f t="shared" si="1"/>
        <v>45485.57899</v>
      </c>
      <c r="B5700" s="40" t="s">
        <v>2439</v>
      </c>
      <c r="C5700" s="23" t="s">
        <v>1990</v>
      </c>
      <c r="D5700" s="23" t="s">
        <v>32</v>
      </c>
      <c r="E5700" s="24">
        <v>45483.0</v>
      </c>
      <c r="F5700" s="25">
        <v>0.27847222222222223</v>
      </c>
      <c r="G5700" s="25">
        <v>0.7027777777777777</v>
      </c>
      <c r="H5700" s="27">
        <f t="shared" si="2"/>
        <v>0.4243055556</v>
      </c>
      <c r="I5700" s="28">
        <v>4.0</v>
      </c>
      <c r="J5700" s="39" t="s">
        <v>55</v>
      </c>
      <c r="K5700" s="41"/>
      <c r="L5700" s="31" t="str">
        <f>IFERROR(__xludf.DUMMYFUNCTION("IF(OR(E5700="""",K5700=""""),"""",IFERROR(IF(K5700="""","""",query('tbl user'!$A$2:$D10975,""SELECT A WHERE D = '""&amp;K5700&amp;""'"")),""USER TIDAK DIKETAHUI""))"),"")</f>
        <v/>
      </c>
    </row>
    <row r="5701">
      <c r="A5701" s="21">
        <f t="shared" si="1"/>
        <v>45485.57903</v>
      </c>
      <c r="B5701" s="40" t="s">
        <v>2444</v>
      </c>
      <c r="C5701" s="23" t="s">
        <v>1903</v>
      </c>
      <c r="D5701" s="23" t="s">
        <v>32</v>
      </c>
      <c r="E5701" s="24">
        <v>45483.0</v>
      </c>
      <c r="F5701" s="25">
        <v>0.2791666666666667</v>
      </c>
      <c r="G5701" s="25">
        <v>0.6777777777777778</v>
      </c>
      <c r="H5701" s="27">
        <f t="shared" si="2"/>
        <v>0.3986111111</v>
      </c>
      <c r="I5701" s="28">
        <v>4.0</v>
      </c>
      <c r="J5701" s="39" t="s">
        <v>55</v>
      </c>
      <c r="K5701" s="41"/>
      <c r="L5701" s="31" t="str">
        <f>IFERROR(__xludf.DUMMYFUNCTION("IF(OR(E5701="""",K5701=""""),"""",IFERROR(IF(K5701="""","""",query('tbl user'!$A$2:$D10975,""SELECT A WHERE D = '""&amp;K5701&amp;""'"")),""USER TIDAK DIKETAHUI""))"),"")</f>
        <v/>
      </c>
    </row>
    <row r="5702">
      <c r="A5702" s="21">
        <f t="shared" si="1"/>
        <v>45485.57908</v>
      </c>
      <c r="B5702" s="40" t="s">
        <v>2453</v>
      </c>
      <c r="C5702" s="23" t="s">
        <v>1907</v>
      </c>
      <c r="D5702" s="23" t="s">
        <v>32</v>
      </c>
      <c r="E5702" s="24">
        <v>45483.0</v>
      </c>
      <c r="F5702" s="25">
        <v>0.2847222222222222</v>
      </c>
      <c r="G5702" s="25">
        <v>0.6888888888888889</v>
      </c>
      <c r="H5702" s="27">
        <f t="shared" si="2"/>
        <v>0.4041666667</v>
      </c>
      <c r="I5702" s="28">
        <v>4.0</v>
      </c>
      <c r="J5702" s="39" t="s">
        <v>55</v>
      </c>
      <c r="K5702" s="41"/>
      <c r="L5702" s="31" t="str">
        <f>IFERROR(__xludf.DUMMYFUNCTION("IF(OR(E5702="""",K5702=""""),"""",IFERROR(IF(K5702="""","""",query('tbl user'!$A$2:$D10975,""SELECT A WHERE D = '""&amp;K5702&amp;""'"")),""USER TIDAK DIKETAHUI""))"),"")</f>
        <v/>
      </c>
    </row>
    <row r="5703">
      <c r="A5703" s="21">
        <f t="shared" si="1"/>
        <v>45485.57911</v>
      </c>
      <c r="B5703" s="40" t="s">
        <v>2449</v>
      </c>
      <c r="C5703" s="23" t="s">
        <v>1908</v>
      </c>
      <c r="D5703" s="23" t="s">
        <v>32</v>
      </c>
      <c r="E5703" s="24">
        <v>45483.0</v>
      </c>
      <c r="F5703" s="25">
        <v>0.27569444444444446</v>
      </c>
      <c r="G5703" s="25">
        <v>0.6951388888888889</v>
      </c>
      <c r="H5703" s="27">
        <f t="shared" si="2"/>
        <v>0.4194444444</v>
      </c>
      <c r="I5703" s="28">
        <v>4.0</v>
      </c>
      <c r="J5703" s="39" t="s">
        <v>55</v>
      </c>
      <c r="K5703" s="41"/>
      <c r="L5703" s="31" t="str">
        <f>IFERROR(__xludf.DUMMYFUNCTION("IF(OR(E5703="""",K5703=""""),"""",IFERROR(IF(K5703="""","""",query('tbl user'!$A$2:$D10975,""SELECT A WHERE D = '""&amp;K5703&amp;""'"")),""USER TIDAK DIKETAHUI""))"),"")</f>
        <v/>
      </c>
    </row>
    <row r="5704">
      <c r="A5704" s="21">
        <f t="shared" si="1"/>
        <v>45485.57919</v>
      </c>
      <c r="B5704" s="40" t="s">
        <v>2492</v>
      </c>
      <c r="C5704" s="23" t="s">
        <v>1913</v>
      </c>
      <c r="D5704" s="23" t="s">
        <v>32</v>
      </c>
      <c r="E5704" s="24">
        <v>45483.0</v>
      </c>
      <c r="F5704" s="25">
        <v>0.2638888888888889</v>
      </c>
      <c r="G5704" s="25">
        <v>0.675</v>
      </c>
      <c r="H5704" s="27">
        <f t="shared" si="2"/>
        <v>0.4111111111</v>
      </c>
      <c r="I5704" s="28">
        <v>4.0</v>
      </c>
      <c r="J5704" s="39" t="s">
        <v>55</v>
      </c>
      <c r="K5704" s="41"/>
      <c r="L5704" s="31" t="str">
        <f>IFERROR(__xludf.DUMMYFUNCTION("IF(OR(E5704="""",K5704=""""),"""",IFERROR(IF(K5704="""","""",query('tbl user'!$A$2:$D10975,""SELECT A WHERE D = '""&amp;K5704&amp;""'"")),""USER TIDAK DIKETAHUI""))"),"")</f>
        <v/>
      </c>
    </row>
    <row r="5705">
      <c r="A5705" s="21">
        <f t="shared" si="1"/>
        <v>45485.57923</v>
      </c>
      <c r="B5705" s="40" t="s">
        <v>2486</v>
      </c>
      <c r="C5705" s="23" t="s">
        <v>1900</v>
      </c>
      <c r="D5705" s="23" t="s">
        <v>32</v>
      </c>
      <c r="E5705" s="24">
        <v>45483.0</v>
      </c>
      <c r="F5705" s="25">
        <v>0.26458333333333334</v>
      </c>
      <c r="G5705" s="25">
        <v>0.6472222222222223</v>
      </c>
      <c r="H5705" s="27">
        <f t="shared" si="2"/>
        <v>0.3826388889</v>
      </c>
      <c r="I5705" s="28">
        <v>4.0</v>
      </c>
      <c r="J5705" s="39" t="s">
        <v>55</v>
      </c>
      <c r="K5705" s="41"/>
      <c r="L5705" s="31" t="str">
        <f>IFERROR(__xludf.DUMMYFUNCTION("IF(OR(E5705="""",K5705=""""),"""",IFERROR(IF(K5705="""","""",query('tbl user'!$A$2:$D10975,""SELECT A WHERE D = '""&amp;K5705&amp;""'"")),""USER TIDAK DIKETAHUI""))"),"")</f>
        <v/>
      </c>
    </row>
    <row r="5706">
      <c r="A5706" s="21">
        <f t="shared" si="1"/>
        <v>45485.45597</v>
      </c>
      <c r="B5706" s="40" t="s">
        <v>2631</v>
      </c>
      <c r="C5706" s="23" t="s">
        <v>1920</v>
      </c>
      <c r="D5706" s="23" t="s">
        <v>21</v>
      </c>
      <c r="E5706" s="24">
        <v>45484.0</v>
      </c>
      <c r="F5706" s="25">
        <v>0.2791666666666667</v>
      </c>
      <c r="G5706" s="28" t="s">
        <v>1817</v>
      </c>
      <c r="H5706" s="27" t="str">
        <f t="shared" si="2"/>
        <v/>
      </c>
      <c r="I5706" s="28">
        <v>1.0</v>
      </c>
      <c r="J5706" s="39" t="s">
        <v>2826</v>
      </c>
      <c r="K5706" s="41"/>
      <c r="L5706" s="31" t="str">
        <f>IFERROR(__xludf.DUMMYFUNCTION("IF(OR(E5706="""",K5706=""""),"""",IFERROR(IF(K5706="""","""",query('tbl user'!$A$2:$D10975,""SELECT A WHERE D = '""&amp;K5706&amp;""'"")),""USER TIDAK DIKETAHUI""))"),"")</f>
        <v/>
      </c>
    </row>
    <row r="5707">
      <c r="A5707" s="21">
        <f t="shared" si="1"/>
        <v>45485.45605</v>
      </c>
      <c r="B5707" s="40" t="s">
        <v>2379</v>
      </c>
      <c r="C5707" s="23" t="s">
        <v>1835</v>
      </c>
      <c r="D5707" s="23" t="s">
        <v>21</v>
      </c>
      <c r="E5707" s="24">
        <v>45484.0</v>
      </c>
      <c r="F5707" s="25">
        <v>0.2548611111111111</v>
      </c>
      <c r="G5707" s="25">
        <v>0.45416666666666666</v>
      </c>
      <c r="H5707" s="27">
        <f t="shared" si="2"/>
        <v>0.1993055556</v>
      </c>
      <c r="I5707" s="28">
        <v>1.0</v>
      </c>
      <c r="J5707" s="39" t="s">
        <v>2827</v>
      </c>
      <c r="K5707" s="41"/>
      <c r="L5707" s="31" t="str">
        <f>IFERROR(__xludf.DUMMYFUNCTION("IF(OR(E5707="""",K5707=""""),"""",IFERROR(IF(K5707="""","""",query('tbl user'!$A$2:$D10975,""SELECT A WHERE D = '""&amp;K5707&amp;""'"")),""USER TIDAK DIKETAHUI""))"),"")</f>
        <v/>
      </c>
    </row>
    <row r="5708">
      <c r="A5708" s="21">
        <f t="shared" si="1"/>
        <v>45485.45614</v>
      </c>
      <c r="B5708" s="40" t="s">
        <v>2371</v>
      </c>
      <c r="C5708" s="23" t="s">
        <v>1845</v>
      </c>
      <c r="D5708" s="23" t="s">
        <v>21</v>
      </c>
      <c r="E5708" s="24">
        <v>45484.0</v>
      </c>
      <c r="F5708" s="25">
        <v>0.24375</v>
      </c>
      <c r="G5708" s="25">
        <v>0.4173611111111111</v>
      </c>
      <c r="H5708" s="27">
        <f t="shared" si="2"/>
        <v>0.1736111111</v>
      </c>
      <c r="I5708" s="28">
        <v>1.0</v>
      </c>
      <c r="J5708" s="39" t="s">
        <v>2828</v>
      </c>
      <c r="K5708" s="41"/>
      <c r="L5708" s="31" t="str">
        <f>IFERROR(__xludf.DUMMYFUNCTION("IF(OR(E5708="""",K5708=""""),"""",IFERROR(IF(K5708="""","""",query('tbl user'!$A$2:$D10975,""SELECT A WHERE D = '""&amp;K5708&amp;""'"")),""USER TIDAK DIKETAHUI""))"),"")</f>
        <v/>
      </c>
    </row>
    <row r="5709">
      <c r="A5709" s="21">
        <f t="shared" si="1"/>
        <v>45485.45621</v>
      </c>
      <c r="B5709" s="40" t="s">
        <v>2373</v>
      </c>
      <c r="C5709" s="23" t="s">
        <v>1847</v>
      </c>
      <c r="D5709" s="23" t="s">
        <v>21</v>
      </c>
      <c r="E5709" s="24">
        <v>45484.0</v>
      </c>
      <c r="F5709" s="25">
        <v>0.27708333333333335</v>
      </c>
      <c r="G5709" s="25">
        <v>0.45902777777777776</v>
      </c>
      <c r="H5709" s="27">
        <f t="shared" si="2"/>
        <v>0.1819444444</v>
      </c>
      <c r="I5709" s="28">
        <v>1.0</v>
      </c>
      <c r="J5709" s="39" t="s">
        <v>2829</v>
      </c>
      <c r="K5709" s="41"/>
      <c r="L5709" s="31" t="str">
        <f>IFERROR(__xludf.DUMMYFUNCTION("IF(OR(E5709="""",K5709=""""),"""",IFERROR(IF(K5709="""","""",query('tbl user'!$A$2:$D10975,""SELECT A WHERE D = '""&amp;K5709&amp;""'"")),""USER TIDAK DIKETAHUI""))"),"")</f>
        <v/>
      </c>
    </row>
    <row r="5710">
      <c r="A5710" s="21">
        <f t="shared" si="1"/>
        <v>45485.45631</v>
      </c>
      <c r="B5710" s="40" t="s">
        <v>2374</v>
      </c>
      <c r="C5710" s="23" t="s">
        <v>1850</v>
      </c>
      <c r="D5710" s="23" t="s">
        <v>21</v>
      </c>
      <c r="E5710" s="24">
        <v>45484.0</v>
      </c>
      <c r="F5710" s="25">
        <v>0.23958333333333334</v>
      </c>
      <c r="G5710" s="25">
        <v>0.5555555555555556</v>
      </c>
      <c r="H5710" s="27">
        <f t="shared" si="2"/>
        <v>0.3159722222</v>
      </c>
      <c r="I5710" s="28">
        <v>1.0</v>
      </c>
      <c r="J5710" s="39" t="s">
        <v>877</v>
      </c>
      <c r="K5710" s="41"/>
      <c r="L5710" s="31" t="str">
        <f>IFERROR(__xludf.DUMMYFUNCTION("IF(OR(E5710="""",K5710=""""),"""",IFERROR(IF(K5710="""","""",query('tbl user'!$A$2:$D10975,""SELECT A WHERE D = '""&amp;K5710&amp;""'"")),""USER TIDAK DIKETAHUI""))"),"")</f>
        <v/>
      </c>
    </row>
    <row r="5711">
      <c r="A5711" s="21">
        <f t="shared" si="1"/>
        <v>45485.4566</v>
      </c>
      <c r="B5711" s="40" t="s">
        <v>2792</v>
      </c>
      <c r="C5711" s="23" t="s">
        <v>1851</v>
      </c>
      <c r="D5711" s="23" t="s">
        <v>21</v>
      </c>
      <c r="E5711" s="24">
        <v>45484.0</v>
      </c>
      <c r="F5711" s="25">
        <v>0.28125</v>
      </c>
      <c r="G5711" s="25">
        <v>0.6527777777777778</v>
      </c>
      <c r="H5711" s="27">
        <f t="shared" si="2"/>
        <v>0.3715277778</v>
      </c>
      <c r="I5711" s="28">
        <v>2.0</v>
      </c>
      <c r="J5711" s="39" t="s">
        <v>2830</v>
      </c>
      <c r="K5711" s="41"/>
      <c r="L5711" s="31" t="str">
        <f>IFERROR(__xludf.DUMMYFUNCTION("IF(OR(E5711="""",K5711=""""),"""",IFERROR(IF(K5711="""","""",query('tbl user'!$A$2:$D10975,""SELECT A WHERE D = '""&amp;K5711&amp;""'"")),""USER TIDAK DIKETAHUI""))"),"")</f>
        <v/>
      </c>
    </row>
    <row r="5712">
      <c r="A5712" s="21">
        <f t="shared" si="1"/>
        <v>45485.45665</v>
      </c>
      <c r="B5712" s="40" t="s">
        <v>2392</v>
      </c>
      <c r="C5712" s="23" t="s">
        <v>1853</v>
      </c>
      <c r="D5712" s="23" t="s">
        <v>21</v>
      </c>
      <c r="E5712" s="24">
        <v>45484.0</v>
      </c>
      <c r="F5712" s="25">
        <v>0.28958333333333336</v>
      </c>
      <c r="G5712" s="25">
        <v>0.7</v>
      </c>
      <c r="H5712" s="27">
        <f t="shared" si="2"/>
        <v>0.4104166667</v>
      </c>
      <c r="I5712" s="28">
        <v>2.0</v>
      </c>
      <c r="J5712" s="39" t="s">
        <v>2831</v>
      </c>
      <c r="K5712" s="41"/>
      <c r="L5712" s="31" t="str">
        <f>IFERROR(__xludf.DUMMYFUNCTION("IF(OR(E5712="""",K5712=""""),"""",IFERROR(IF(K5712="""","""",query('tbl user'!$A$2:$D10975,""SELECT A WHERE D = '""&amp;K5712&amp;""'"")),""USER TIDAK DIKETAHUI""))"),"")</f>
        <v/>
      </c>
    </row>
    <row r="5713">
      <c r="A5713" s="21">
        <f t="shared" si="1"/>
        <v>45485.4567</v>
      </c>
      <c r="B5713" s="40" t="s">
        <v>2390</v>
      </c>
      <c r="C5713" s="23" t="s">
        <v>2136</v>
      </c>
      <c r="D5713" s="23" t="s">
        <v>21</v>
      </c>
      <c r="E5713" s="24">
        <v>45484.0</v>
      </c>
      <c r="F5713" s="25">
        <v>0.29097222222222224</v>
      </c>
      <c r="G5713" s="25">
        <v>0.7125</v>
      </c>
      <c r="H5713" s="27">
        <f t="shared" si="2"/>
        <v>0.4215277778</v>
      </c>
      <c r="I5713" s="28">
        <v>2.0</v>
      </c>
      <c r="J5713" s="39" t="s">
        <v>2832</v>
      </c>
      <c r="K5713" s="41"/>
      <c r="L5713" s="31" t="str">
        <f>IFERROR(__xludf.DUMMYFUNCTION("IF(OR(E5713="""",K5713=""""),"""",IFERROR(IF(K5713="""","""",query('tbl user'!$A$2:$D10975,""SELECT A WHERE D = '""&amp;K5713&amp;""'"")),""USER TIDAK DIKETAHUI""))"),"")</f>
        <v/>
      </c>
    </row>
    <row r="5714">
      <c r="A5714" s="21">
        <f t="shared" si="1"/>
        <v>45485.45676</v>
      </c>
      <c r="B5714" s="40" t="s">
        <v>2378</v>
      </c>
      <c r="C5714" s="23" t="s">
        <v>1844</v>
      </c>
      <c r="D5714" s="23" t="s">
        <v>21</v>
      </c>
      <c r="E5714" s="24">
        <v>45484.0</v>
      </c>
      <c r="F5714" s="25">
        <v>0.25833333333333336</v>
      </c>
      <c r="G5714" s="25">
        <v>0.5847222222222223</v>
      </c>
      <c r="H5714" s="27">
        <f t="shared" si="2"/>
        <v>0.3263888889</v>
      </c>
      <c r="I5714" s="28">
        <v>2.0</v>
      </c>
      <c r="J5714" s="39" t="s">
        <v>2833</v>
      </c>
      <c r="K5714" s="41"/>
      <c r="L5714" s="31" t="str">
        <f>IFERROR(__xludf.DUMMYFUNCTION("IF(OR(E5714="""",K5714=""""),"""",IFERROR(IF(K5714="""","""",query('tbl user'!$A$2:$D10975,""SELECT A WHERE D = '""&amp;K5714&amp;""'"")),""USER TIDAK DIKETAHUI""))"),"")</f>
        <v/>
      </c>
    </row>
    <row r="5715">
      <c r="A5715" s="21">
        <f t="shared" si="1"/>
        <v>45485.45683</v>
      </c>
      <c r="B5715" s="40" t="s">
        <v>2560</v>
      </c>
      <c r="C5715" s="23" t="s">
        <v>1849</v>
      </c>
      <c r="D5715" s="23" t="s">
        <v>21</v>
      </c>
      <c r="E5715" s="24">
        <v>45484.0</v>
      </c>
      <c r="F5715" s="25">
        <v>0.24305555555555555</v>
      </c>
      <c r="G5715" s="25">
        <v>0.5659722222222222</v>
      </c>
      <c r="H5715" s="27">
        <f t="shared" si="2"/>
        <v>0.3229166667</v>
      </c>
      <c r="I5715" s="28">
        <v>2.0</v>
      </c>
      <c r="J5715" s="39" t="s">
        <v>2834</v>
      </c>
      <c r="K5715" s="41"/>
      <c r="L5715" s="31" t="str">
        <f>IFERROR(__xludf.DUMMYFUNCTION("IF(OR(E5715="""",K5715=""""),"""",IFERROR(IF(K5715="""","""",query('tbl user'!$A$2:$D10975,""SELECT A WHERE D = '""&amp;K5715&amp;""'"")),""USER TIDAK DIKETAHUI""))"),"")</f>
        <v/>
      </c>
    </row>
    <row r="5716">
      <c r="A5716" s="21">
        <f t="shared" si="1"/>
        <v>45485.45688</v>
      </c>
      <c r="B5716" s="40" t="s">
        <v>2385</v>
      </c>
      <c r="C5716" s="23" t="s">
        <v>2002</v>
      </c>
      <c r="D5716" s="23" t="s">
        <v>21</v>
      </c>
      <c r="E5716" s="24">
        <v>45484.0</v>
      </c>
      <c r="F5716" s="25">
        <v>0.2638888888888889</v>
      </c>
      <c r="G5716" s="25">
        <v>0.6888888888888889</v>
      </c>
      <c r="H5716" s="27">
        <f t="shared" si="2"/>
        <v>0.425</v>
      </c>
      <c r="I5716" s="28">
        <v>3.0</v>
      </c>
      <c r="J5716" s="39" t="s">
        <v>2835</v>
      </c>
      <c r="K5716" s="41"/>
      <c r="L5716" s="31" t="str">
        <f>IFERROR(__xludf.DUMMYFUNCTION("IF(OR(E5716="""",K5716=""""),"""",IFERROR(IF(K5716="""","""",query('tbl user'!$A$2:$D10975,""SELECT A WHERE D = '""&amp;K5716&amp;""'"")),""USER TIDAK DIKETAHUI""))"),"")</f>
        <v/>
      </c>
    </row>
    <row r="5717">
      <c r="A5717" s="21">
        <f t="shared" si="1"/>
        <v>45485.45693</v>
      </c>
      <c r="B5717" s="40" t="s">
        <v>2365</v>
      </c>
      <c r="C5717" s="23" t="s">
        <v>1830</v>
      </c>
      <c r="D5717" s="23" t="s">
        <v>21</v>
      </c>
      <c r="E5717" s="24">
        <v>45484.0</v>
      </c>
      <c r="F5717" s="25">
        <v>0.27569444444444446</v>
      </c>
      <c r="G5717" s="25">
        <v>0.6881944444444444</v>
      </c>
      <c r="H5717" s="27">
        <f t="shared" si="2"/>
        <v>0.4125</v>
      </c>
      <c r="I5717" s="28">
        <v>3.0</v>
      </c>
      <c r="J5717" s="39" t="s">
        <v>213</v>
      </c>
      <c r="K5717" s="41"/>
      <c r="L5717" s="31" t="str">
        <f>IFERROR(__xludf.DUMMYFUNCTION("IF(OR(E5717="""",K5717=""""),"""",IFERROR(IF(K5717="""","""",query('tbl user'!$A$2:$D10975,""SELECT A WHERE D = '""&amp;K5717&amp;""'"")),""USER TIDAK DIKETAHUI""))"),"")</f>
        <v/>
      </c>
    </row>
    <row r="5718">
      <c r="A5718" s="21">
        <f t="shared" si="1"/>
        <v>45485.45699</v>
      </c>
      <c r="B5718" s="40" t="s">
        <v>2395</v>
      </c>
      <c r="C5718" s="23" t="s">
        <v>1922</v>
      </c>
      <c r="D5718" s="23" t="s">
        <v>21</v>
      </c>
      <c r="E5718" s="24">
        <v>45484.0</v>
      </c>
      <c r="F5718" s="25">
        <v>0.2875</v>
      </c>
      <c r="G5718" s="25">
        <v>0.7395833333333334</v>
      </c>
      <c r="H5718" s="27">
        <f t="shared" si="2"/>
        <v>0.4520833333</v>
      </c>
      <c r="I5718" s="28">
        <v>3.0</v>
      </c>
      <c r="J5718" s="39" t="s">
        <v>2836</v>
      </c>
      <c r="K5718" s="41"/>
      <c r="L5718" s="31" t="str">
        <f>IFERROR(__xludf.DUMMYFUNCTION("IF(OR(E5718="""",K5718=""""),"""",IFERROR(IF(K5718="""","""",query('tbl user'!$A$2:$D10975,""SELECT A WHERE D = '""&amp;K5718&amp;""'"")),""USER TIDAK DIKETAHUI""))"),"")</f>
        <v/>
      </c>
    </row>
    <row r="5719">
      <c r="A5719" s="21">
        <f t="shared" si="1"/>
        <v>45485.45704</v>
      </c>
      <c r="B5719" s="40" t="s">
        <v>2393</v>
      </c>
      <c r="C5719" s="23" t="s">
        <v>1925</v>
      </c>
      <c r="D5719" s="23" t="s">
        <v>21</v>
      </c>
      <c r="E5719" s="24">
        <v>45484.0</v>
      </c>
      <c r="F5719" s="25">
        <v>0.2652777777777778</v>
      </c>
      <c r="G5719" s="25">
        <v>0.6791666666666667</v>
      </c>
      <c r="H5719" s="27">
        <f t="shared" si="2"/>
        <v>0.4138888889</v>
      </c>
      <c r="I5719" s="28">
        <v>3.0</v>
      </c>
      <c r="J5719" s="39" t="s">
        <v>213</v>
      </c>
      <c r="K5719" s="41"/>
      <c r="L5719" s="31" t="str">
        <f>IFERROR(__xludf.DUMMYFUNCTION("IF(OR(E5719="""",K5719=""""),"""",IFERROR(IF(K5719="""","""",query('tbl user'!$A$2:$D10975,""SELECT A WHERE D = '""&amp;K5719&amp;""'"")),""USER TIDAK DIKETAHUI""))"),"")</f>
        <v/>
      </c>
    </row>
    <row r="5720">
      <c r="A5720" s="21">
        <f t="shared" si="1"/>
        <v>45485.4571</v>
      </c>
      <c r="B5720" s="40" t="s">
        <v>2394</v>
      </c>
      <c r="C5720" s="23" t="s">
        <v>1837</v>
      </c>
      <c r="D5720" s="23" t="s">
        <v>21</v>
      </c>
      <c r="E5720" s="24">
        <v>45484.0</v>
      </c>
      <c r="F5720" s="25">
        <v>0.26875</v>
      </c>
      <c r="G5720" s="25">
        <v>0.6645833333333333</v>
      </c>
      <c r="H5720" s="27">
        <f t="shared" si="2"/>
        <v>0.3958333333</v>
      </c>
      <c r="I5720" s="28">
        <v>3.0</v>
      </c>
      <c r="J5720" s="39" t="s">
        <v>727</v>
      </c>
      <c r="K5720" s="41"/>
      <c r="L5720" s="31" t="str">
        <f>IFERROR(__xludf.DUMMYFUNCTION("IF(OR(E5720="""",K5720=""""),"""",IFERROR(IF(K5720="""","""",query('tbl user'!$A$2:$D10975,""SELECT A WHERE D = '""&amp;K5720&amp;""'"")),""USER TIDAK DIKETAHUI""))"),"")</f>
        <v/>
      </c>
    </row>
    <row r="5721">
      <c r="A5721" s="21">
        <f t="shared" si="1"/>
        <v>45485.45713</v>
      </c>
      <c r="B5721" s="40" t="s">
        <v>2396</v>
      </c>
      <c r="C5721" s="23" t="s">
        <v>2049</v>
      </c>
      <c r="D5721" s="23" t="s">
        <v>21</v>
      </c>
      <c r="E5721" s="24">
        <v>45484.0</v>
      </c>
      <c r="F5721" s="25">
        <v>0.26875</v>
      </c>
      <c r="G5721" s="25">
        <v>0.68125</v>
      </c>
      <c r="H5721" s="27">
        <f t="shared" si="2"/>
        <v>0.4125</v>
      </c>
      <c r="I5721" s="28">
        <v>3.0</v>
      </c>
      <c r="J5721" s="39" t="s">
        <v>213</v>
      </c>
      <c r="K5721" s="41"/>
      <c r="L5721" s="31" t="str">
        <f>IFERROR(__xludf.DUMMYFUNCTION("IF(OR(E5721="""",K5721=""""),"""",IFERROR(IF(K5721="""","""",query('tbl user'!$A$2:$D10975,""SELECT A WHERE D = '""&amp;K5721&amp;""'"")),""USER TIDAK DIKETAHUI""))"),"")</f>
        <v/>
      </c>
    </row>
    <row r="5722">
      <c r="A5722" s="21">
        <f t="shared" si="1"/>
        <v>45485.45721</v>
      </c>
      <c r="B5722" s="40" t="s">
        <v>2457</v>
      </c>
      <c r="C5722" s="23" t="s">
        <v>2005</v>
      </c>
      <c r="D5722" s="23" t="s">
        <v>21</v>
      </c>
      <c r="E5722" s="24">
        <v>45484.0</v>
      </c>
      <c r="F5722" s="25">
        <v>0.28958333333333336</v>
      </c>
      <c r="G5722" s="25">
        <v>0.7430555555555556</v>
      </c>
      <c r="H5722" s="27">
        <f t="shared" si="2"/>
        <v>0.4534722222</v>
      </c>
      <c r="I5722" s="28">
        <v>3.0</v>
      </c>
      <c r="J5722" s="39" t="s">
        <v>2837</v>
      </c>
      <c r="K5722" s="41"/>
      <c r="L5722" s="31" t="str">
        <f>IFERROR(__xludf.DUMMYFUNCTION("IF(OR(E5722="""",K5722=""""),"""",IFERROR(IF(K5722="""","""",query('tbl user'!$A$2:$D10975,""SELECT A WHERE D = '""&amp;K5722&amp;""'"")),""USER TIDAK DIKETAHUI""))"),"")</f>
        <v/>
      </c>
    </row>
    <row r="5723">
      <c r="A5723" s="21">
        <f t="shared" si="1"/>
        <v>45485.45728</v>
      </c>
      <c r="B5723" s="40" t="s">
        <v>2731</v>
      </c>
      <c r="C5723" s="23" t="s">
        <v>1928</v>
      </c>
      <c r="D5723" s="23" t="s">
        <v>21</v>
      </c>
      <c r="E5723" s="24">
        <v>45484.0</v>
      </c>
      <c r="F5723" s="25">
        <v>0.26458333333333334</v>
      </c>
      <c r="G5723" s="25">
        <v>0.675</v>
      </c>
      <c r="H5723" s="27">
        <f t="shared" si="2"/>
        <v>0.4104166667</v>
      </c>
      <c r="I5723" s="28">
        <v>3.0</v>
      </c>
      <c r="J5723" s="39" t="s">
        <v>213</v>
      </c>
      <c r="K5723" s="41"/>
      <c r="L5723" s="31" t="str">
        <f>IFERROR(__xludf.DUMMYFUNCTION("IF(OR(E5723="""",K5723=""""),"""",IFERROR(IF(K5723="""","""",query('tbl user'!$A$2:$D10975,""SELECT A WHERE D = '""&amp;K5723&amp;""'"")),""USER TIDAK DIKETAHUI""))"),"")</f>
        <v/>
      </c>
    </row>
    <row r="5724">
      <c r="A5724" s="21">
        <f t="shared" si="1"/>
        <v>45485.45735</v>
      </c>
      <c r="B5724" s="40" t="s">
        <v>2387</v>
      </c>
      <c r="C5724" s="23" t="s">
        <v>1857</v>
      </c>
      <c r="D5724" s="23" t="s">
        <v>21</v>
      </c>
      <c r="E5724" s="24">
        <v>45484.0</v>
      </c>
      <c r="F5724" s="25">
        <v>0.2361111111111111</v>
      </c>
      <c r="G5724" s="25">
        <v>0.7479166666666667</v>
      </c>
      <c r="H5724" s="27">
        <f t="shared" si="2"/>
        <v>0.5118055556</v>
      </c>
      <c r="I5724" s="28">
        <v>4.0</v>
      </c>
      <c r="J5724" s="39" t="s">
        <v>213</v>
      </c>
      <c r="K5724" s="41"/>
      <c r="L5724" s="31" t="str">
        <f>IFERROR(__xludf.DUMMYFUNCTION("IF(OR(E5724="""",K5724=""""),"""",IFERROR(IF(K5724="""","""",query('tbl user'!$A$2:$D10975,""SELECT A WHERE D = '""&amp;K5724&amp;""'"")),""USER TIDAK DIKETAHUI""))"),"")</f>
        <v/>
      </c>
    </row>
    <row r="5725">
      <c r="A5725" s="21">
        <f t="shared" si="1"/>
        <v>45485.45755</v>
      </c>
      <c r="B5725" s="40" t="s">
        <v>2382</v>
      </c>
      <c r="C5725" s="23" t="s">
        <v>1858</v>
      </c>
      <c r="D5725" s="23" t="s">
        <v>21</v>
      </c>
      <c r="E5725" s="24">
        <v>45484.0</v>
      </c>
      <c r="F5725" s="25">
        <v>0.2298611111111111</v>
      </c>
      <c r="G5725" s="25">
        <v>0.7361111111111112</v>
      </c>
      <c r="H5725" s="27">
        <f t="shared" si="2"/>
        <v>0.50625</v>
      </c>
      <c r="I5725" s="28">
        <v>4.0</v>
      </c>
      <c r="J5725" s="39" t="s">
        <v>2838</v>
      </c>
      <c r="K5725" s="41"/>
      <c r="L5725" s="31" t="str">
        <f>IFERROR(__xludf.DUMMYFUNCTION("IF(OR(E5725="""",K5725=""""),"""",IFERROR(IF(K5725="""","""",query('tbl user'!$A$2:$D10975,""SELECT A WHERE D = '""&amp;K5725&amp;""'"")),""USER TIDAK DIKETAHUI""))"),"")</f>
        <v/>
      </c>
    </row>
    <row r="5726">
      <c r="A5726" s="21">
        <f t="shared" si="1"/>
        <v>45485.45762</v>
      </c>
      <c r="B5726" s="40" t="s">
        <v>2397</v>
      </c>
      <c r="C5726" s="23" t="s">
        <v>1852</v>
      </c>
      <c r="D5726" s="23" t="s">
        <v>21</v>
      </c>
      <c r="E5726" s="24">
        <v>45484.0</v>
      </c>
      <c r="F5726" s="25">
        <v>0.41944444444444445</v>
      </c>
      <c r="G5726" s="25">
        <v>0.6888888888888889</v>
      </c>
      <c r="H5726" s="27">
        <f t="shared" si="2"/>
        <v>0.2694444444</v>
      </c>
      <c r="I5726" s="28">
        <v>2.0</v>
      </c>
      <c r="J5726" s="39" t="s">
        <v>2839</v>
      </c>
      <c r="K5726" s="41"/>
      <c r="L5726" s="31" t="str">
        <f>IFERROR(__xludf.DUMMYFUNCTION("IF(OR(E5726="""",K5726=""""),"""",IFERROR(IF(K5726="""","""",query('tbl user'!$A$2:$D10975,""SELECT A WHERE D = '""&amp;K5726&amp;""'"")),""USER TIDAK DIKETAHUI""))"),"")</f>
        <v/>
      </c>
    </row>
    <row r="5727">
      <c r="A5727" s="21">
        <f t="shared" si="1"/>
        <v>45485.45767</v>
      </c>
      <c r="B5727" s="40" t="s">
        <v>2400</v>
      </c>
      <c r="C5727" s="23" t="s">
        <v>1917</v>
      </c>
      <c r="D5727" s="23" t="s">
        <v>21</v>
      </c>
      <c r="E5727" s="24">
        <v>45484.0</v>
      </c>
      <c r="F5727" s="25">
        <v>0.23958333333333334</v>
      </c>
      <c r="G5727" s="25">
        <v>0.5486111111111112</v>
      </c>
      <c r="H5727" s="27">
        <f t="shared" si="2"/>
        <v>0.3090277778</v>
      </c>
      <c r="I5727" s="28">
        <v>2.0</v>
      </c>
      <c r="J5727" s="39" t="s">
        <v>424</v>
      </c>
      <c r="K5727" s="41"/>
      <c r="L5727" s="31" t="str">
        <f>IFERROR(__xludf.DUMMYFUNCTION("IF(OR(E5727="""",K5727=""""),"""",IFERROR(IF(K5727="""","""",query('tbl user'!$A$2:$D10975,""SELECT A WHERE D = '""&amp;K5727&amp;""'"")),""USER TIDAK DIKETAHUI""))"),"")</f>
        <v/>
      </c>
    </row>
    <row r="5728">
      <c r="A5728" s="21">
        <f t="shared" si="1"/>
        <v>45485.45772</v>
      </c>
      <c r="B5728" s="40" t="s">
        <v>2401</v>
      </c>
      <c r="C5728" s="23" t="s">
        <v>1841</v>
      </c>
      <c r="D5728" s="23" t="s">
        <v>21</v>
      </c>
      <c r="E5728" s="24">
        <v>45484.0</v>
      </c>
      <c r="F5728" s="25">
        <v>0.28958333333333336</v>
      </c>
      <c r="G5728" s="25">
        <v>0.6902777777777778</v>
      </c>
      <c r="H5728" s="27">
        <f t="shared" si="2"/>
        <v>0.4006944444</v>
      </c>
      <c r="I5728" s="28">
        <v>3.0</v>
      </c>
      <c r="J5728" s="39" t="s">
        <v>2840</v>
      </c>
      <c r="K5728" s="41"/>
      <c r="L5728" s="31" t="str">
        <f>IFERROR(__xludf.DUMMYFUNCTION("IF(OR(E5728="""",K5728=""""),"""",IFERROR(IF(K5728="""","""",query('tbl user'!$A$2:$D10975,""SELECT A WHERE D = '""&amp;K5728&amp;""'"")),""USER TIDAK DIKETAHUI""))"),"")</f>
        <v/>
      </c>
    </row>
    <row r="5729">
      <c r="A5729" s="21">
        <f t="shared" si="1"/>
        <v>45485.45783</v>
      </c>
      <c r="B5729" s="40" t="s">
        <v>2408</v>
      </c>
      <c r="C5729" s="23" t="s">
        <v>1941</v>
      </c>
      <c r="D5729" s="23" t="s">
        <v>58</v>
      </c>
      <c r="E5729" s="24">
        <v>45484.0</v>
      </c>
      <c r="F5729" s="25">
        <v>0.30833333333333335</v>
      </c>
      <c r="G5729" s="25">
        <v>0.4625</v>
      </c>
      <c r="H5729" s="27">
        <f t="shared" si="2"/>
        <v>0.1541666667</v>
      </c>
      <c r="I5729" s="28">
        <v>1.0</v>
      </c>
      <c r="J5729" s="39" t="s">
        <v>2841</v>
      </c>
      <c r="K5729" s="41"/>
      <c r="L5729" s="31" t="str">
        <f>IFERROR(__xludf.DUMMYFUNCTION("IF(OR(E5729="""",K5729=""""),"""",IFERROR(IF(K5729="""","""",query('tbl user'!$A$2:$D10975,""SELECT A WHERE D = '""&amp;K5729&amp;""'"")),""USER TIDAK DIKETAHUI""))"),"")</f>
        <v/>
      </c>
    </row>
    <row r="5730">
      <c r="A5730" s="21">
        <f t="shared" si="1"/>
        <v>45485.45792</v>
      </c>
      <c r="B5730" s="40" t="s">
        <v>2417</v>
      </c>
      <c r="C5730" s="23" t="s">
        <v>1869</v>
      </c>
      <c r="D5730" s="23" t="s">
        <v>58</v>
      </c>
      <c r="E5730" s="24">
        <v>45484.0</v>
      </c>
      <c r="F5730" s="25">
        <v>0.28125</v>
      </c>
      <c r="G5730" s="25">
        <v>0.41388888888888886</v>
      </c>
      <c r="H5730" s="27">
        <f t="shared" si="2"/>
        <v>0.1326388889</v>
      </c>
      <c r="I5730" s="28">
        <v>1.0</v>
      </c>
      <c r="J5730" s="39" t="s">
        <v>2842</v>
      </c>
      <c r="K5730" s="41"/>
      <c r="L5730" s="31" t="str">
        <f>IFERROR(__xludf.DUMMYFUNCTION("IF(OR(E5730="""",K5730=""""),"""",IFERROR(IF(K5730="""","""",query('tbl user'!$A$2:$D10975,""SELECT A WHERE D = '""&amp;K5730&amp;""'"")),""USER TIDAK DIKETAHUI""))"),"")</f>
        <v/>
      </c>
    </row>
    <row r="5731">
      <c r="A5731" s="21">
        <f t="shared" si="1"/>
        <v>45485.45811</v>
      </c>
      <c r="B5731" s="40" t="s">
        <v>2421</v>
      </c>
      <c r="C5731" s="23" t="s">
        <v>1883</v>
      </c>
      <c r="D5731" s="23" t="s">
        <v>58</v>
      </c>
      <c r="E5731" s="24">
        <v>45484.0</v>
      </c>
      <c r="F5731" s="25">
        <v>0.4111111111111111</v>
      </c>
      <c r="G5731" s="25">
        <v>0.5576388888888889</v>
      </c>
      <c r="H5731" s="27">
        <f t="shared" si="2"/>
        <v>0.1465277778</v>
      </c>
      <c r="I5731" s="28">
        <v>1.0</v>
      </c>
      <c r="J5731" s="39" t="s">
        <v>2843</v>
      </c>
      <c r="K5731" s="41"/>
      <c r="L5731" s="31" t="str">
        <f>IFERROR(__xludf.DUMMYFUNCTION("IF(OR(E5731="""",K5731=""""),"""",IFERROR(IF(K5731="""","""",query('tbl user'!$A$2:$D10975,""SELECT A WHERE D = '""&amp;K5731&amp;""'"")),""USER TIDAK DIKETAHUI""))"),"")</f>
        <v/>
      </c>
    </row>
    <row r="5732">
      <c r="A5732" s="21">
        <f t="shared" si="1"/>
        <v>45485.45817</v>
      </c>
      <c r="B5732" s="40" t="s">
        <v>2787</v>
      </c>
      <c r="C5732" s="23" t="s">
        <v>1872</v>
      </c>
      <c r="D5732" s="23" t="s">
        <v>58</v>
      </c>
      <c r="E5732" s="24">
        <v>45484.0</v>
      </c>
      <c r="F5732" s="25">
        <v>0.2638888888888889</v>
      </c>
      <c r="G5732" s="28" t="s">
        <v>1817</v>
      </c>
      <c r="H5732" s="27" t="str">
        <f t="shared" si="2"/>
        <v/>
      </c>
      <c r="I5732" s="28">
        <v>1.0</v>
      </c>
      <c r="J5732" s="39" t="s">
        <v>2844</v>
      </c>
      <c r="K5732" s="41"/>
      <c r="L5732" s="31" t="str">
        <f>IFERROR(__xludf.DUMMYFUNCTION("IF(OR(E5732="""",K5732=""""),"""",IFERROR(IF(K5732="""","""",query('tbl user'!$A$2:$D10975,""SELECT A WHERE D = '""&amp;K5732&amp;""'"")),""USER TIDAK DIKETAHUI""))"),"")</f>
        <v/>
      </c>
    </row>
    <row r="5733">
      <c r="A5733" s="21">
        <f t="shared" si="1"/>
        <v>45485.45827</v>
      </c>
      <c r="B5733" s="40" t="s">
        <v>2361</v>
      </c>
      <c r="C5733" s="23" t="s">
        <v>1875</v>
      </c>
      <c r="D5733" s="23" t="s">
        <v>58</v>
      </c>
      <c r="E5733" s="24">
        <v>45484.0</v>
      </c>
      <c r="F5733" s="25">
        <v>0.27152777777777776</v>
      </c>
      <c r="G5733" s="25">
        <v>0.6923611111111111</v>
      </c>
      <c r="H5733" s="27">
        <f t="shared" si="2"/>
        <v>0.4208333333</v>
      </c>
      <c r="I5733" s="28">
        <v>2.0</v>
      </c>
      <c r="J5733" s="39" t="s">
        <v>2845</v>
      </c>
      <c r="K5733" s="41"/>
      <c r="L5733" s="31" t="str">
        <f>IFERROR(__xludf.DUMMYFUNCTION("IF(OR(E5733="""",K5733=""""),"""",IFERROR(IF(K5733="""","""",query('tbl user'!$A$2:$D10975,""SELECT A WHERE D = '""&amp;K5733&amp;""'"")),""USER TIDAK DIKETAHUI""))"),"")</f>
        <v/>
      </c>
    </row>
    <row r="5734">
      <c r="A5734" s="21">
        <f t="shared" si="1"/>
        <v>45485.45834</v>
      </c>
      <c r="B5734" s="40" t="s">
        <v>2431</v>
      </c>
      <c r="C5734" s="23" t="s">
        <v>1879</v>
      </c>
      <c r="D5734" s="23" t="s">
        <v>58</v>
      </c>
      <c r="E5734" s="24">
        <v>45484.0</v>
      </c>
      <c r="F5734" s="25">
        <v>0.23402777777777778</v>
      </c>
      <c r="G5734" s="25">
        <v>0.7506944444444444</v>
      </c>
      <c r="H5734" s="27">
        <f t="shared" si="2"/>
        <v>0.5166666667</v>
      </c>
      <c r="I5734" s="28">
        <v>2.0</v>
      </c>
      <c r="J5734" s="39" t="s">
        <v>2846</v>
      </c>
      <c r="K5734" s="41"/>
      <c r="L5734" s="31" t="str">
        <f>IFERROR(__xludf.DUMMYFUNCTION("IF(OR(E5734="""",K5734=""""),"""",IFERROR(IF(K5734="""","""",query('tbl user'!$A$2:$D10975,""SELECT A WHERE D = '""&amp;K5734&amp;""'"")),""USER TIDAK DIKETAHUI""))"),"")</f>
        <v/>
      </c>
    </row>
    <row r="5735">
      <c r="A5735" s="21">
        <f t="shared" si="1"/>
        <v>45485.4585</v>
      </c>
      <c r="B5735" s="40" t="s">
        <v>2386</v>
      </c>
      <c r="C5735" s="23" t="s">
        <v>1882</v>
      </c>
      <c r="D5735" s="23" t="s">
        <v>58</v>
      </c>
      <c r="E5735" s="24">
        <v>45484.0</v>
      </c>
      <c r="F5735" s="25">
        <v>0.2125</v>
      </c>
      <c r="G5735" s="25">
        <v>0.5756944444444444</v>
      </c>
      <c r="H5735" s="27">
        <f t="shared" si="2"/>
        <v>0.3631944444</v>
      </c>
      <c r="I5735" s="28">
        <v>2.0</v>
      </c>
      <c r="J5735" s="39" t="s">
        <v>2847</v>
      </c>
      <c r="K5735" s="41"/>
      <c r="L5735" s="31" t="str">
        <f>IFERROR(__xludf.DUMMYFUNCTION("IF(OR(E5735="""",K5735=""""),"""",IFERROR(IF(K5735="""","""",query('tbl user'!$A$2:$D10975,""SELECT A WHERE D = '""&amp;K5735&amp;""'"")),""USER TIDAK DIKETAHUI""))"),"")</f>
        <v/>
      </c>
    </row>
    <row r="5736">
      <c r="A5736" s="21">
        <f t="shared" si="1"/>
        <v>45485.45857</v>
      </c>
      <c r="B5736" s="40" t="s">
        <v>2422</v>
      </c>
      <c r="C5736" s="23" t="s">
        <v>1860</v>
      </c>
      <c r="D5736" s="23" t="s">
        <v>58</v>
      </c>
      <c r="E5736" s="24">
        <v>45484.0</v>
      </c>
      <c r="F5736" s="25">
        <v>0.2875</v>
      </c>
      <c r="G5736" s="25">
        <v>0.5555555555555556</v>
      </c>
      <c r="H5736" s="27">
        <f t="shared" si="2"/>
        <v>0.2680555556</v>
      </c>
      <c r="I5736" s="28">
        <v>2.0</v>
      </c>
      <c r="J5736" s="39" t="s">
        <v>2848</v>
      </c>
      <c r="K5736" s="41"/>
      <c r="L5736" s="31" t="str">
        <f>IFERROR(__xludf.DUMMYFUNCTION("IF(OR(E5736="""",K5736=""""),"""",IFERROR(IF(K5736="""","""",query('tbl user'!$A$2:$D10975,""SELECT A WHERE D = '""&amp;K5736&amp;""'"")),""USER TIDAK DIKETAHUI""))"),"")</f>
        <v/>
      </c>
    </row>
    <row r="5737">
      <c r="A5737" s="21">
        <f t="shared" si="1"/>
        <v>45485.45863</v>
      </c>
      <c r="B5737" s="40" t="s">
        <v>2425</v>
      </c>
      <c r="C5737" s="23" t="s">
        <v>1887</v>
      </c>
      <c r="D5737" s="23" t="s">
        <v>58</v>
      </c>
      <c r="E5737" s="24">
        <v>45484.0</v>
      </c>
      <c r="F5737" s="25">
        <v>0.2777777777777778</v>
      </c>
      <c r="G5737" s="25">
        <v>0.5583333333333333</v>
      </c>
      <c r="H5737" s="27">
        <f t="shared" si="2"/>
        <v>0.2805555556</v>
      </c>
      <c r="I5737" s="28">
        <v>2.0</v>
      </c>
      <c r="J5737" s="39" t="s">
        <v>2849</v>
      </c>
      <c r="K5737" s="41"/>
      <c r="L5737" s="31" t="str">
        <f>IFERROR(__xludf.DUMMYFUNCTION("IF(OR(E5737="""",K5737=""""),"""",IFERROR(IF(K5737="""","""",query('tbl user'!$A$2:$D10975,""SELECT A WHERE D = '""&amp;K5737&amp;""'"")),""USER TIDAK DIKETAHUI""))"),"")</f>
        <v/>
      </c>
    </row>
    <row r="5738">
      <c r="A5738" s="21">
        <f t="shared" si="1"/>
        <v>45485.45868</v>
      </c>
      <c r="B5738" s="40" t="s">
        <v>2410</v>
      </c>
      <c r="C5738" s="23" t="s">
        <v>2090</v>
      </c>
      <c r="D5738" s="23" t="s">
        <v>58</v>
      </c>
      <c r="E5738" s="24">
        <v>45484.0</v>
      </c>
      <c r="F5738" s="25">
        <v>0.2701388888888889</v>
      </c>
      <c r="G5738" s="25">
        <v>0.6645833333333333</v>
      </c>
      <c r="H5738" s="27">
        <f t="shared" si="2"/>
        <v>0.3944444444</v>
      </c>
      <c r="I5738" s="28">
        <v>2.0</v>
      </c>
      <c r="J5738" s="39" t="s">
        <v>2850</v>
      </c>
      <c r="K5738" s="41"/>
      <c r="L5738" s="31" t="str">
        <f>IFERROR(__xludf.DUMMYFUNCTION("IF(OR(E5738="""",K5738=""""),"""",IFERROR(IF(K5738="""","""",query('tbl user'!$A$2:$D10975,""SELECT A WHERE D = '""&amp;K5738&amp;""'"")),""USER TIDAK DIKETAHUI""))"),"")</f>
        <v/>
      </c>
    </row>
    <row r="5739">
      <c r="A5739" s="21">
        <f t="shared" si="1"/>
        <v>45485.45872</v>
      </c>
      <c r="B5739" s="40" t="s">
        <v>2363</v>
      </c>
      <c r="C5739" s="23" t="s">
        <v>1874</v>
      </c>
      <c r="D5739" s="23" t="s">
        <v>58</v>
      </c>
      <c r="E5739" s="24">
        <v>45484.0</v>
      </c>
      <c r="F5739" s="25">
        <v>0.3055555555555556</v>
      </c>
      <c r="G5739" s="25">
        <v>0.6819444444444445</v>
      </c>
      <c r="H5739" s="27">
        <f t="shared" si="2"/>
        <v>0.3763888889</v>
      </c>
      <c r="I5739" s="28">
        <v>3.0</v>
      </c>
      <c r="J5739" s="39" t="s">
        <v>2851</v>
      </c>
      <c r="K5739" s="41"/>
      <c r="L5739" s="31" t="str">
        <f>IFERROR(__xludf.DUMMYFUNCTION("IF(OR(E5739="""",K5739=""""),"""",IFERROR(IF(K5739="""","""",query('tbl user'!$A$2:$D10975,""SELECT A WHERE D = '""&amp;K5739&amp;""'"")),""USER TIDAK DIKETAHUI""))"),"")</f>
        <v/>
      </c>
    </row>
    <row r="5740">
      <c r="A5740" s="21">
        <f t="shared" si="1"/>
        <v>45485.45879</v>
      </c>
      <c r="B5740" s="40" t="s">
        <v>2414</v>
      </c>
      <c r="C5740" s="23" t="s">
        <v>1865</v>
      </c>
      <c r="D5740" s="23" t="s">
        <v>58</v>
      </c>
      <c r="E5740" s="24">
        <v>45484.0</v>
      </c>
      <c r="F5740" s="25">
        <v>0.2548611111111111</v>
      </c>
      <c r="G5740" s="25">
        <v>0.6527777777777778</v>
      </c>
      <c r="H5740" s="27">
        <f t="shared" si="2"/>
        <v>0.3979166667</v>
      </c>
      <c r="I5740" s="28">
        <v>3.0</v>
      </c>
      <c r="J5740" s="39" t="s">
        <v>2851</v>
      </c>
      <c r="K5740" s="41"/>
      <c r="L5740" s="31" t="str">
        <f>IFERROR(__xludf.DUMMYFUNCTION("IF(OR(E5740="""",K5740=""""),"""",IFERROR(IF(K5740="""","""",query('tbl user'!$A$2:$D10975,""SELECT A WHERE D = '""&amp;K5740&amp;""'"")),""USER TIDAK DIKETAHUI""))"),"")</f>
        <v/>
      </c>
    </row>
    <row r="5741">
      <c r="A5741" s="21">
        <f t="shared" si="1"/>
        <v>45485.45884</v>
      </c>
      <c r="B5741" s="40" t="s">
        <v>2415</v>
      </c>
      <c r="C5741" s="23" t="s">
        <v>1867</v>
      </c>
      <c r="D5741" s="23" t="s">
        <v>58</v>
      </c>
      <c r="E5741" s="24">
        <v>45484.0</v>
      </c>
      <c r="F5741" s="25">
        <v>0.26666666666666666</v>
      </c>
      <c r="G5741" s="25">
        <v>0.6486111111111111</v>
      </c>
      <c r="H5741" s="27">
        <f t="shared" si="2"/>
        <v>0.3819444444</v>
      </c>
      <c r="I5741" s="28">
        <v>3.0</v>
      </c>
      <c r="J5741" s="39" t="s">
        <v>2851</v>
      </c>
      <c r="K5741" s="41"/>
      <c r="L5741" s="31" t="str">
        <f>IFERROR(__xludf.DUMMYFUNCTION("IF(OR(E5741="""",K5741=""""),"""",IFERROR(IF(K5741="""","""",query('tbl user'!$A$2:$D10975,""SELECT A WHERE D = '""&amp;K5741&amp;""'"")),""USER TIDAK DIKETAHUI""))"),"")</f>
        <v/>
      </c>
    </row>
    <row r="5742">
      <c r="A5742" s="21">
        <f t="shared" si="1"/>
        <v>45485.4589</v>
      </c>
      <c r="B5742" s="40" t="s">
        <v>2423</v>
      </c>
      <c r="C5742" s="23" t="s">
        <v>1863</v>
      </c>
      <c r="D5742" s="23" t="s">
        <v>58</v>
      </c>
      <c r="E5742" s="24">
        <v>45484.0</v>
      </c>
      <c r="F5742" s="25">
        <v>0.2298611111111111</v>
      </c>
      <c r="G5742" s="25">
        <v>0.6645833333333333</v>
      </c>
      <c r="H5742" s="27">
        <f t="shared" si="2"/>
        <v>0.4347222222</v>
      </c>
      <c r="I5742" s="28">
        <v>3.0</v>
      </c>
      <c r="J5742" s="39" t="s">
        <v>2851</v>
      </c>
      <c r="K5742" s="41"/>
      <c r="L5742" s="31" t="str">
        <f>IFERROR(__xludf.DUMMYFUNCTION("IF(OR(E5742="""",K5742=""""),"""",IFERROR(IF(K5742="""","""",query('tbl user'!$A$2:$D10975,""SELECT A WHERE D = '""&amp;K5742&amp;""'"")),""USER TIDAK DIKETAHUI""))"),"")</f>
        <v/>
      </c>
    </row>
    <row r="5743">
      <c r="A5743" s="21">
        <f t="shared" si="1"/>
        <v>45485.45899</v>
      </c>
      <c r="B5743" s="40" t="s">
        <v>2418</v>
      </c>
      <c r="C5743" s="23" t="s">
        <v>1889</v>
      </c>
      <c r="D5743" s="23" t="s">
        <v>58</v>
      </c>
      <c r="E5743" s="24">
        <v>45484.0</v>
      </c>
      <c r="F5743" s="25">
        <v>0.19791666666666666</v>
      </c>
      <c r="G5743" s="25">
        <v>0.6881944444444444</v>
      </c>
      <c r="H5743" s="27">
        <f t="shared" si="2"/>
        <v>0.4902777778</v>
      </c>
      <c r="I5743" s="28">
        <v>3.0</v>
      </c>
      <c r="J5743" s="39" t="s">
        <v>2688</v>
      </c>
      <c r="K5743" s="41"/>
      <c r="L5743" s="31" t="str">
        <f>IFERROR(__xludf.DUMMYFUNCTION("IF(OR(E5743="""",K5743=""""),"""",IFERROR(IF(K5743="""","""",query('tbl user'!$A$2:$D10975,""SELECT A WHERE D = '""&amp;K5743&amp;""'"")),""USER TIDAK DIKETAHUI""))"),"")</f>
        <v/>
      </c>
    </row>
    <row r="5744">
      <c r="A5744" s="21">
        <f t="shared" si="1"/>
        <v>45485.45904</v>
      </c>
      <c r="B5744" s="40" t="s">
        <v>2412</v>
      </c>
      <c r="C5744" s="23" t="s">
        <v>1890</v>
      </c>
      <c r="D5744" s="23" t="s">
        <v>58</v>
      </c>
      <c r="E5744" s="24">
        <v>45484.0</v>
      </c>
      <c r="F5744" s="25">
        <v>0.2777777777777778</v>
      </c>
      <c r="G5744" s="25">
        <v>0.6923611111111111</v>
      </c>
      <c r="H5744" s="27">
        <f t="shared" si="2"/>
        <v>0.4145833333</v>
      </c>
      <c r="I5744" s="28">
        <v>3.0</v>
      </c>
      <c r="J5744" s="39" t="s">
        <v>2851</v>
      </c>
      <c r="K5744" s="41"/>
      <c r="L5744" s="31" t="str">
        <f>IFERROR(__xludf.DUMMYFUNCTION("IF(OR(E5744="""",K5744=""""),"""",IFERROR(IF(K5744="""","""",query('tbl user'!$A$2:$D10975,""SELECT A WHERE D = '""&amp;K5744&amp;""'"")),""USER TIDAK DIKETAHUI""))"),"")</f>
        <v/>
      </c>
    </row>
    <row r="5745">
      <c r="A5745" s="21">
        <f t="shared" si="1"/>
        <v>45485.45911</v>
      </c>
      <c r="B5745" s="40" t="s">
        <v>2402</v>
      </c>
      <c r="C5745" s="23" t="s">
        <v>1881</v>
      </c>
      <c r="D5745" s="23" t="s">
        <v>58</v>
      </c>
      <c r="E5745" s="24">
        <v>45484.0</v>
      </c>
      <c r="F5745" s="25">
        <v>0.2111111111111111</v>
      </c>
      <c r="G5745" s="25">
        <v>0.6819444444444445</v>
      </c>
      <c r="H5745" s="27">
        <f t="shared" si="2"/>
        <v>0.4708333333</v>
      </c>
      <c r="I5745" s="28">
        <v>4.0</v>
      </c>
      <c r="J5745" s="39" t="s">
        <v>55</v>
      </c>
      <c r="K5745" s="41"/>
      <c r="L5745" s="31" t="str">
        <f>IFERROR(__xludf.DUMMYFUNCTION("IF(OR(E5745="""",K5745=""""),"""",IFERROR(IF(K5745="""","""",query('tbl user'!$A$2:$D10975,""SELECT A WHERE D = '""&amp;K5745&amp;""'"")),""USER TIDAK DIKETAHUI""))"),"")</f>
        <v/>
      </c>
    </row>
    <row r="5746">
      <c r="A5746" s="21">
        <f t="shared" si="1"/>
        <v>45485.45916</v>
      </c>
      <c r="B5746" s="40" t="s">
        <v>2432</v>
      </c>
      <c r="C5746" s="23" t="s">
        <v>1884</v>
      </c>
      <c r="D5746" s="23" t="s">
        <v>58</v>
      </c>
      <c r="E5746" s="24">
        <v>45484.0</v>
      </c>
      <c r="F5746" s="25">
        <v>0.22083333333333333</v>
      </c>
      <c r="G5746" s="25">
        <v>0.7097222222222223</v>
      </c>
      <c r="H5746" s="27">
        <f t="shared" si="2"/>
        <v>0.4888888889</v>
      </c>
      <c r="I5746" s="28">
        <v>4.0</v>
      </c>
      <c r="J5746" s="39" t="s">
        <v>55</v>
      </c>
      <c r="K5746" s="41"/>
      <c r="L5746" s="31" t="str">
        <f>IFERROR(__xludf.DUMMYFUNCTION("IF(OR(E5746="""",K5746=""""),"""",IFERROR(IF(K5746="""","""",query('tbl user'!$A$2:$D10975,""SELECT A WHERE D = '""&amp;K5746&amp;""'"")),""USER TIDAK DIKETAHUI""))"),"")</f>
        <v/>
      </c>
    </row>
    <row r="5747">
      <c r="A5747" s="21">
        <f t="shared" si="1"/>
        <v>45485.45926</v>
      </c>
      <c r="B5747" s="40" t="s">
        <v>2433</v>
      </c>
      <c r="C5747" s="23" t="s">
        <v>1950</v>
      </c>
      <c r="D5747" s="23" t="s">
        <v>58</v>
      </c>
      <c r="E5747" s="24">
        <v>45484.0</v>
      </c>
      <c r="F5747" s="25">
        <v>0.2222222222222222</v>
      </c>
      <c r="G5747" s="25">
        <v>0.6506944444444445</v>
      </c>
      <c r="H5747" s="27">
        <f t="shared" si="2"/>
        <v>0.4284722222</v>
      </c>
      <c r="I5747" s="28">
        <v>4.0</v>
      </c>
      <c r="J5747" s="39" t="s">
        <v>55</v>
      </c>
      <c r="K5747" s="41"/>
      <c r="L5747" s="31" t="str">
        <f>IFERROR(__xludf.DUMMYFUNCTION("IF(OR(E5747="""",K5747=""""),"""",IFERROR(IF(K5747="""","""",query('tbl user'!$A$2:$D10975,""SELECT A WHERE D = '""&amp;K5747&amp;""'"")),""USER TIDAK DIKETAHUI""))"),"")</f>
        <v/>
      </c>
    </row>
    <row r="5748">
      <c r="A5748" s="21">
        <f t="shared" si="1"/>
        <v>45485.45935</v>
      </c>
      <c r="B5748" s="40" t="s">
        <v>2424</v>
      </c>
      <c r="C5748" s="23" t="s">
        <v>1886</v>
      </c>
      <c r="D5748" s="23" t="s">
        <v>58</v>
      </c>
      <c r="E5748" s="24">
        <v>45484.0</v>
      </c>
      <c r="F5748" s="25">
        <v>0.22291666666666668</v>
      </c>
      <c r="G5748" s="25">
        <v>0.7131944444444445</v>
      </c>
      <c r="H5748" s="27">
        <f t="shared" si="2"/>
        <v>0.4902777778</v>
      </c>
      <c r="I5748" s="28">
        <v>4.0</v>
      </c>
      <c r="J5748" s="39" t="s">
        <v>55</v>
      </c>
      <c r="K5748" s="41"/>
      <c r="L5748" s="31" t="str">
        <f>IFERROR(__xludf.DUMMYFUNCTION("IF(OR(E5748="""",K5748=""""),"""",IFERROR(IF(K5748="""","""",query('tbl user'!$A$2:$D10975,""SELECT A WHERE D = '""&amp;K5748&amp;""'"")),""USER TIDAK DIKETAHUI""))"),"")</f>
        <v/>
      </c>
    </row>
    <row r="5749">
      <c r="A5749" s="21">
        <f t="shared" si="1"/>
        <v>45485.45941</v>
      </c>
      <c r="B5749" s="40" t="s">
        <v>2427</v>
      </c>
      <c r="C5749" s="23" t="s">
        <v>1888</v>
      </c>
      <c r="D5749" s="23" t="s">
        <v>58</v>
      </c>
      <c r="E5749" s="24">
        <v>45484.0</v>
      </c>
      <c r="F5749" s="25">
        <v>0.22916666666666666</v>
      </c>
      <c r="G5749" s="25">
        <v>0.7215277777777778</v>
      </c>
      <c r="H5749" s="27">
        <f t="shared" si="2"/>
        <v>0.4923611111</v>
      </c>
      <c r="I5749" s="28">
        <v>4.0</v>
      </c>
      <c r="J5749" s="39" t="s">
        <v>55</v>
      </c>
      <c r="K5749" s="41"/>
      <c r="L5749" s="31" t="str">
        <f>IFERROR(__xludf.DUMMYFUNCTION("IF(OR(E5749="""",K5749=""""),"""",IFERROR(IF(K5749="""","""",query('tbl user'!$A$2:$D10975,""SELECT A WHERE D = '""&amp;K5749&amp;""'"")),""USER TIDAK DIKETAHUI""))"),"")</f>
        <v/>
      </c>
    </row>
    <row r="5750">
      <c r="A5750" s="21">
        <f t="shared" si="1"/>
        <v>45485.45949</v>
      </c>
      <c r="B5750" s="40" t="s">
        <v>2434</v>
      </c>
      <c r="C5750" s="23" t="s">
        <v>1892</v>
      </c>
      <c r="D5750" s="23" t="s">
        <v>58</v>
      </c>
      <c r="E5750" s="24">
        <v>45484.0</v>
      </c>
      <c r="F5750" s="25">
        <v>0.16666666666666666</v>
      </c>
      <c r="G5750" s="25">
        <v>0.6430555555555556</v>
      </c>
      <c r="H5750" s="27">
        <f t="shared" si="2"/>
        <v>0.4763888889</v>
      </c>
      <c r="I5750" s="28">
        <v>4.0</v>
      </c>
      <c r="J5750" s="39" t="s">
        <v>55</v>
      </c>
      <c r="K5750" s="41"/>
      <c r="L5750" s="31" t="str">
        <f>IFERROR(__xludf.DUMMYFUNCTION("IF(OR(E5750="""",K5750=""""),"""",IFERROR(IF(K5750="""","""",query('tbl user'!$A$2:$D10975,""SELECT A WHERE D = '""&amp;K5750&amp;""'"")),""USER TIDAK DIKETAHUI""))"),"")</f>
        <v/>
      </c>
    </row>
    <row r="5751">
      <c r="A5751" s="21">
        <f t="shared" si="1"/>
        <v>45485.45954</v>
      </c>
      <c r="B5751" s="40" t="s">
        <v>2460</v>
      </c>
      <c r="C5751" s="23" t="s">
        <v>1893</v>
      </c>
      <c r="D5751" s="23" t="s">
        <v>58</v>
      </c>
      <c r="E5751" s="24">
        <v>45484.0</v>
      </c>
      <c r="F5751" s="25">
        <v>0.25069444444444444</v>
      </c>
      <c r="G5751" s="25">
        <v>0.6958333333333333</v>
      </c>
      <c r="H5751" s="27">
        <f t="shared" si="2"/>
        <v>0.4451388889</v>
      </c>
      <c r="I5751" s="28">
        <v>4.0</v>
      </c>
      <c r="J5751" s="39" t="s">
        <v>55</v>
      </c>
      <c r="K5751" s="41"/>
      <c r="L5751" s="31" t="str">
        <f>IFERROR(__xludf.DUMMYFUNCTION("IF(OR(E5751="""",K5751=""""),"""",IFERROR(IF(K5751="""","""",query('tbl user'!$A$2:$D10975,""SELECT A WHERE D = '""&amp;K5751&amp;""'"")),""USER TIDAK DIKETAHUI""))"),"")</f>
        <v/>
      </c>
    </row>
    <row r="5752">
      <c r="A5752" s="21">
        <f t="shared" si="1"/>
        <v>45485.4596</v>
      </c>
      <c r="B5752" s="40" t="s">
        <v>2430</v>
      </c>
      <c r="C5752" s="23" t="s">
        <v>1861</v>
      </c>
      <c r="D5752" s="23" t="s">
        <v>58</v>
      </c>
      <c r="E5752" s="24">
        <v>45484.0</v>
      </c>
      <c r="F5752" s="25">
        <v>0.26458333333333334</v>
      </c>
      <c r="G5752" s="25">
        <v>0.7</v>
      </c>
      <c r="H5752" s="27">
        <f t="shared" si="2"/>
        <v>0.4354166667</v>
      </c>
      <c r="I5752" s="28">
        <v>4.0</v>
      </c>
      <c r="J5752" s="39" t="s">
        <v>55</v>
      </c>
      <c r="K5752" s="41"/>
      <c r="L5752" s="31" t="str">
        <f>IFERROR(__xludf.DUMMYFUNCTION("IF(OR(E5752="""",K5752=""""),"""",IFERROR(IF(K5752="""","""",query('tbl user'!$A$2:$D10975,""SELECT A WHERE D = '""&amp;K5752&amp;""'"")),""USER TIDAK DIKETAHUI""))"),"")</f>
        <v/>
      </c>
    </row>
    <row r="5753">
      <c r="A5753" s="21">
        <f t="shared" si="1"/>
        <v>45485.4598</v>
      </c>
      <c r="B5753" s="40" t="s">
        <v>2591</v>
      </c>
      <c r="C5753" s="23" t="s">
        <v>1963</v>
      </c>
      <c r="D5753" s="23" t="s">
        <v>32</v>
      </c>
      <c r="E5753" s="24">
        <v>45484.0</v>
      </c>
      <c r="F5753" s="25">
        <v>0.2638888888888889</v>
      </c>
      <c r="G5753" s="25">
        <v>0.4326388888888889</v>
      </c>
      <c r="H5753" s="27">
        <f t="shared" si="2"/>
        <v>0.16875</v>
      </c>
      <c r="I5753" s="28">
        <v>1.0</v>
      </c>
      <c r="J5753" s="39" t="s">
        <v>2852</v>
      </c>
      <c r="K5753" s="41"/>
      <c r="L5753" s="31" t="str">
        <f>IFERROR(__xludf.DUMMYFUNCTION("IF(OR(E5753="""",K5753=""""),"""",IFERROR(IF(K5753="""","""",query('tbl user'!$A$2:$D10975,""SELECT A WHERE D = '""&amp;K5753&amp;""'"")),""USER TIDAK DIKETAHUI""))"),"")</f>
        <v/>
      </c>
    </row>
    <row r="5754">
      <c r="A5754" s="21">
        <f t="shared" si="1"/>
        <v>45485.45986</v>
      </c>
      <c r="B5754" s="40" t="s">
        <v>2452</v>
      </c>
      <c r="C5754" s="23" t="s">
        <v>1965</v>
      </c>
      <c r="D5754" s="23" t="s">
        <v>32</v>
      </c>
      <c r="E5754" s="24">
        <v>45484.0</v>
      </c>
      <c r="F5754" s="25">
        <v>0.46111111111111114</v>
      </c>
      <c r="G5754" s="25">
        <v>0.6166666666666667</v>
      </c>
      <c r="H5754" s="27">
        <f t="shared" si="2"/>
        <v>0.1555555556</v>
      </c>
      <c r="I5754" s="28">
        <v>1.0</v>
      </c>
      <c r="J5754" s="39" t="s">
        <v>2853</v>
      </c>
      <c r="K5754" s="41"/>
      <c r="L5754" s="31" t="str">
        <f>IFERROR(__xludf.DUMMYFUNCTION("IF(OR(E5754="""",K5754=""""),"""",IFERROR(IF(K5754="""","""",query('tbl user'!$A$2:$D10975,""SELECT A WHERE D = '""&amp;K5754&amp;""'"")),""USER TIDAK DIKETAHUI""))"),"")</f>
        <v/>
      </c>
    </row>
    <row r="5755">
      <c r="A5755" s="21">
        <f t="shared" si="1"/>
        <v>45485.45993</v>
      </c>
      <c r="B5755" s="40" t="s">
        <v>2451</v>
      </c>
      <c r="C5755" s="23" t="s">
        <v>1967</v>
      </c>
      <c r="D5755" s="23" t="s">
        <v>32</v>
      </c>
      <c r="E5755" s="24">
        <v>45484.0</v>
      </c>
      <c r="F5755" s="25">
        <v>0.28958333333333336</v>
      </c>
      <c r="G5755" s="25">
        <v>0.4548611111111111</v>
      </c>
      <c r="H5755" s="27">
        <f t="shared" si="2"/>
        <v>0.1652777778</v>
      </c>
      <c r="I5755" s="28">
        <v>1.0</v>
      </c>
      <c r="J5755" s="39" t="s">
        <v>2854</v>
      </c>
      <c r="K5755" s="41"/>
      <c r="L5755" s="31" t="str">
        <f>IFERROR(__xludf.DUMMYFUNCTION("IF(OR(E5755="""",K5755=""""),"""",IFERROR(IF(K5755="""","""",query('tbl user'!$A$2:$D10975,""SELECT A WHERE D = '""&amp;K5755&amp;""'"")),""USER TIDAK DIKETAHUI""))"),"")</f>
        <v/>
      </c>
    </row>
    <row r="5756">
      <c r="A5756" s="21">
        <f t="shared" si="1"/>
        <v>45485.46008</v>
      </c>
      <c r="B5756" s="40" t="s">
        <v>2484</v>
      </c>
      <c r="C5756" s="23" t="s">
        <v>1964</v>
      </c>
      <c r="D5756" s="23" t="s">
        <v>32</v>
      </c>
      <c r="E5756" s="24">
        <v>45484.0</v>
      </c>
      <c r="F5756" s="25">
        <v>0.27569444444444446</v>
      </c>
      <c r="G5756" s="25">
        <v>0.6972222222222222</v>
      </c>
      <c r="H5756" s="27">
        <f t="shared" si="2"/>
        <v>0.4215277778</v>
      </c>
      <c r="I5756" s="28">
        <v>2.0</v>
      </c>
      <c r="J5756" s="39" t="s">
        <v>2855</v>
      </c>
      <c r="K5756" s="41"/>
      <c r="L5756" s="31" t="str">
        <f>IFERROR(__xludf.DUMMYFUNCTION("IF(OR(E5756="""",K5756=""""),"""",IFERROR(IF(K5756="""","""",query('tbl user'!$A$2:$D10975,""SELECT A WHERE D = '""&amp;K5756&amp;""'"")),""USER TIDAK DIKETAHUI""))"),"")</f>
        <v/>
      </c>
    </row>
    <row r="5757">
      <c r="A5757" s="21">
        <f t="shared" si="1"/>
        <v>45485.46013</v>
      </c>
      <c r="B5757" s="40" t="s">
        <v>2450</v>
      </c>
      <c r="C5757" s="23" t="s">
        <v>1894</v>
      </c>
      <c r="D5757" s="23" t="s">
        <v>32</v>
      </c>
      <c r="E5757" s="24">
        <v>45484.0</v>
      </c>
      <c r="F5757" s="25">
        <v>0.23402777777777778</v>
      </c>
      <c r="G5757" s="25">
        <v>0.6645833333333333</v>
      </c>
      <c r="H5757" s="27">
        <f t="shared" si="2"/>
        <v>0.4305555556</v>
      </c>
      <c r="I5757" s="28">
        <v>2.0</v>
      </c>
      <c r="J5757" s="39" t="s">
        <v>2856</v>
      </c>
      <c r="K5757" s="41"/>
      <c r="L5757" s="31" t="str">
        <f>IFERROR(__xludf.DUMMYFUNCTION("IF(OR(E5757="""",K5757=""""),"""",IFERROR(IF(K5757="""","""",query('tbl user'!$A$2:$D10975,""SELECT A WHERE D = '""&amp;K5757&amp;""'"")),""USER TIDAK DIKETAHUI""))"),"")</f>
        <v/>
      </c>
    </row>
    <row r="5758">
      <c r="A5758" s="21">
        <f t="shared" si="1"/>
        <v>45485.46018</v>
      </c>
      <c r="B5758" s="40" t="s">
        <v>2529</v>
      </c>
      <c r="C5758" s="23" t="s">
        <v>2252</v>
      </c>
      <c r="D5758" s="23" t="s">
        <v>32</v>
      </c>
      <c r="E5758" s="24">
        <v>45484.0</v>
      </c>
      <c r="F5758" s="25">
        <v>0.2722222222222222</v>
      </c>
      <c r="G5758" s="25">
        <v>0.6854166666666667</v>
      </c>
      <c r="H5758" s="27">
        <f t="shared" si="2"/>
        <v>0.4131944444</v>
      </c>
      <c r="I5758" s="28">
        <v>2.0</v>
      </c>
      <c r="J5758" s="39" t="s">
        <v>2857</v>
      </c>
      <c r="K5758" s="41"/>
      <c r="L5758" s="31" t="str">
        <f>IFERROR(__xludf.DUMMYFUNCTION("IF(OR(E5758="""",K5758=""""),"""",IFERROR(IF(K5758="""","""",query('tbl user'!$A$2:$D10975,""SELECT A WHERE D = '""&amp;K5758&amp;""'"")),""USER TIDAK DIKETAHUI""))"),"")</f>
        <v/>
      </c>
    </row>
    <row r="5759">
      <c r="A5759" s="21">
        <f t="shared" si="1"/>
        <v>45485.46023</v>
      </c>
      <c r="B5759" s="40" t="s">
        <v>2445</v>
      </c>
      <c r="C5759" s="23" t="s">
        <v>1904</v>
      </c>
      <c r="D5759" s="23" t="s">
        <v>32</v>
      </c>
      <c r="E5759" s="24">
        <v>45484.0</v>
      </c>
      <c r="F5759" s="25">
        <v>0.2777777777777778</v>
      </c>
      <c r="G5759" s="25">
        <v>0.6</v>
      </c>
      <c r="H5759" s="27">
        <f t="shared" si="2"/>
        <v>0.3222222222</v>
      </c>
      <c r="I5759" s="28">
        <v>2.0</v>
      </c>
      <c r="J5759" s="39" t="s">
        <v>177</v>
      </c>
      <c r="K5759" s="41"/>
      <c r="L5759" s="31" t="str">
        <f>IFERROR(__xludf.DUMMYFUNCTION("IF(OR(E5759="""",K5759=""""),"""",IFERROR(IF(K5759="""","""",query('tbl user'!$A$2:$D10975,""SELECT A WHERE D = '""&amp;K5759&amp;""'"")),""USER TIDAK DIKETAHUI""))"),"")</f>
        <v/>
      </c>
    </row>
    <row r="5760">
      <c r="A5760" s="21">
        <f t="shared" si="1"/>
        <v>45485.4603</v>
      </c>
      <c r="B5760" s="40" t="s">
        <v>2453</v>
      </c>
      <c r="C5760" s="23" t="s">
        <v>1907</v>
      </c>
      <c r="D5760" s="23" t="s">
        <v>32</v>
      </c>
      <c r="E5760" s="24">
        <v>45484.0</v>
      </c>
      <c r="F5760" s="25">
        <v>0.46944444444444444</v>
      </c>
      <c r="G5760" s="25">
        <v>0.7208333333333333</v>
      </c>
      <c r="H5760" s="27">
        <f t="shared" si="2"/>
        <v>0.2513888889</v>
      </c>
      <c r="I5760" s="28">
        <v>2.0</v>
      </c>
      <c r="J5760" s="39" t="s">
        <v>2858</v>
      </c>
      <c r="K5760" s="41"/>
      <c r="L5760" s="31" t="str">
        <f>IFERROR(__xludf.DUMMYFUNCTION("IF(OR(E5760="""",K5760=""""),"""",IFERROR(IF(K5760="""","""",query('tbl user'!$A$2:$D10975,""SELECT A WHERE D = '""&amp;K5760&amp;""'"")),""USER TIDAK DIKETAHUI""))"),"")</f>
        <v/>
      </c>
    </row>
    <row r="5761">
      <c r="A5761" s="21">
        <f t="shared" si="1"/>
        <v>45485.46035</v>
      </c>
      <c r="B5761" s="40" t="s">
        <v>2859</v>
      </c>
      <c r="C5761" s="23" t="s">
        <v>1910</v>
      </c>
      <c r="D5761" s="23" t="s">
        <v>32</v>
      </c>
      <c r="E5761" s="24">
        <v>45484.0</v>
      </c>
      <c r="F5761" s="25">
        <v>0.2111111111111111</v>
      </c>
      <c r="G5761" s="25">
        <v>0.6277777777777778</v>
      </c>
      <c r="H5761" s="27">
        <f t="shared" si="2"/>
        <v>0.4166666667</v>
      </c>
      <c r="I5761" s="28">
        <v>3.0</v>
      </c>
      <c r="J5761" s="39" t="s">
        <v>213</v>
      </c>
      <c r="K5761" s="41"/>
      <c r="L5761" s="31" t="str">
        <f>IFERROR(__xludf.DUMMYFUNCTION("IF(OR(E5761="""",K5761=""""),"""",IFERROR(IF(K5761="""","""",query('tbl user'!$A$2:$D10975,""SELECT A WHERE D = '""&amp;K5761&amp;""'"")),""USER TIDAK DIKETAHUI""))"),"")</f>
        <v/>
      </c>
    </row>
    <row r="5762">
      <c r="A5762" s="21">
        <f t="shared" si="1"/>
        <v>45485.46044</v>
      </c>
      <c r="B5762" s="40" t="s">
        <v>2441</v>
      </c>
      <c r="C5762" s="23" t="s">
        <v>2092</v>
      </c>
      <c r="D5762" s="23" t="s">
        <v>32</v>
      </c>
      <c r="E5762" s="24">
        <v>45484.0</v>
      </c>
      <c r="F5762" s="25">
        <v>0.2361111111111111</v>
      </c>
      <c r="G5762" s="25">
        <v>0.6645833333333333</v>
      </c>
      <c r="H5762" s="27">
        <f t="shared" si="2"/>
        <v>0.4284722222</v>
      </c>
      <c r="I5762" s="28">
        <v>3.0</v>
      </c>
      <c r="J5762" s="39" t="s">
        <v>2860</v>
      </c>
      <c r="K5762" s="41"/>
      <c r="L5762" s="31" t="str">
        <f>IFERROR(__xludf.DUMMYFUNCTION("IF(OR(E5762="""",K5762=""""),"""",IFERROR(IF(K5762="""","""",query('tbl user'!$A$2:$D10975,""SELECT A WHERE D = '""&amp;K5762&amp;""'"")),""USER TIDAK DIKETAHUI""))"),"")</f>
        <v/>
      </c>
    </row>
    <row r="5763">
      <c r="A5763" s="21">
        <f t="shared" si="1"/>
        <v>45485.46046</v>
      </c>
      <c r="B5763" s="40" t="s">
        <v>2488</v>
      </c>
      <c r="C5763" s="23" t="s">
        <v>1898</v>
      </c>
      <c r="D5763" s="23" t="s">
        <v>32</v>
      </c>
      <c r="E5763" s="24">
        <v>45484.0</v>
      </c>
      <c r="F5763" s="25">
        <v>0.28194444444444444</v>
      </c>
      <c r="G5763" s="25">
        <v>0.7097222222222223</v>
      </c>
      <c r="H5763" s="27">
        <f t="shared" si="2"/>
        <v>0.4277777778</v>
      </c>
      <c r="I5763" s="28">
        <v>3.0</v>
      </c>
      <c r="J5763" s="39" t="s">
        <v>213</v>
      </c>
      <c r="K5763" s="41"/>
      <c r="L5763" s="31" t="str">
        <f>IFERROR(__xludf.DUMMYFUNCTION("IF(OR(E5763="""",K5763=""""),"""",IFERROR(IF(K5763="""","""",query('tbl user'!$A$2:$D10975,""SELECT A WHERE D = '""&amp;K5763&amp;""'"")),""USER TIDAK DIKETAHUI""))"),"")</f>
        <v/>
      </c>
    </row>
    <row r="5764">
      <c r="A5764" s="21">
        <f t="shared" si="1"/>
        <v>45485.4605</v>
      </c>
      <c r="B5764" s="40" t="s">
        <v>2442</v>
      </c>
      <c r="C5764" s="23" t="s">
        <v>2066</v>
      </c>
      <c r="D5764" s="23" t="s">
        <v>32</v>
      </c>
      <c r="E5764" s="24">
        <v>45484.0</v>
      </c>
      <c r="F5764" s="25">
        <v>0.2791666666666667</v>
      </c>
      <c r="G5764" s="25">
        <v>0.6805555555555556</v>
      </c>
      <c r="H5764" s="27">
        <f t="shared" si="2"/>
        <v>0.4013888889</v>
      </c>
      <c r="I5764" s="28">
        <v>3.0</v>
      </c>
      <c r="J5764" s="39" t="s">
        <v>2861</v>
      </c>
      <c r="K5764" s="41"/>
      <c r="L5764" s="31" t="str">
        <f>IFERROR(__xludf.DUMMYFUNCTION("IF(OR(E5764="""",K5764=""""),"""",IFERROR(IF(K5764="""","""",query('tbl user'!$A$2:$D10975,""SELECT A WHERE D = '""&amp;K5764&amp;""'"")),""USER TIDAK DIKETAHUI""))"),"")</f>
        <v/>
      </c>
    </row>
    <row r="5765">
      <c r="A5765" s="21">
        <f t="shared" si="1"/>
        <v>45485.46056</v>
      </c>
      <c r="B5765" s="40" t="s">
        <v>2494</v>
      </c>
      <c r="C5765" s="23" t="s">
        <v>1959</v>
      </c>
      <c r="D5765" s="23" t="s">
        <v>32</v>
      </c>
      <c r="E5765" s="24">
        <v>45484.0</v>
      </c>
      <c r="F5765" s="25">
        <v>0.2708333333333333</v>
      </c>
      <c r="G5765" s="25">
        <v>0.6819444444444445</v>
      </c>
      <c r="H5765" s="27">
        <f t="shared" si="2"/>
        <v>0.4111111111</v>
      </c>
      <c r="I5765" s="28">
        <v>3.0</v>
      </c>
      <c r="J5765" s="39" t="s">
        <v>2862</v>
      </c>
      <c r="K5765" s="41"/>
      <c r="L5765" s="31" t="str">
        <f>IFERROR(__xludf.DUMMYFUNCTION("IF(OR(E5765="""",K5765=""""),"""",IFERROR(IF(K5765="""","""",query('tbl user'!$A$2:$D10975,""SELECT A WHERE D = '""&amp;K5765&amp;""'"")),""USER TIDAK DIKETAHUI""))"),"")</f>
        <v/>
      </c>
    </row>
    <row r="5766">
      <c r="A5766" s="21">
        <f t="shared" si="1"/>
        <v>45485.46062</v>
      </c>
      <c r="B5766" s="40" t="s">
        <v>2447</v>
      </c>
      <c r="C5766" s="23" t="s">
        <v>1905</v>
      </c>
      <c r="D5766" s="23" t="s">
        <v>32</v>
      </c>
      <c r="E5766" s="24">
        <v>45484.0</v>
      </c>
      <c r="F5766" s="25">
        <v>0.2881944444444444</v>
      </c>
      <c r="G5766" s="25">
        <v>0.6763888888888889</v>
      </c>
      <c r="H5766" s="27">
        <f t="shared" si="2"/>
        <v>0.3881944444</v>
      </c>
      <c r="I5766" s="28">
        <v>3.0</v>
      </c>
      <c r="J5766" s="39" t="s">
        <v>2507</v>
      </c>
      <c r="K5766" s="41"/>
      <c r="L5766" s="31" t="str">
        <f>IFERROR(__xludf.DUMMYFUNCTION("IF(OR(E5766="""",K5766=""""),"""",IFERROR(IF(K5766="""","""",query('tbl user'!$A$2:$D10975,""SELECT A WHERE D = '""&amp;K5766&amp;""'"")),""USER TIDAK DIKETAHUI""))"),"")</f>
        <v/>
      </c>
    </row>
    <row r="5767">
      <c r="A5767" s="21">
        <f t="shared" si="1"/>
        <v>45485.46066</v>
      </c>
      <c r="B5767" s="40" t="s">
        <v>2486</v>
      </c>
      <c r="C5767" s="23" t="s">
        <v>1900</v>
      </c>
      <c r="D5767" s="23" t="s">
        <v>32</v>
      </c>
      <c r="E5767" s="24">
        <v>45484.0</v>
      </c>
      <c r="F5767" s="25">
        <v>0.28958333333333336</v>
      </c>
      <c r="G5767" s="25">
        <v>0.6833333333333333</v>
      </c>
      <c r="H5767" s="27">
        <f t="shared" si="2"/>
        <v>0.39375</v>
      </c>
      <c r="I5767" s="28">
        <v>3.0</v>
      </c>
      <c r="J5767" s="39" t="s">
        <v>2863</v>
      </c>
      <c r="K5767" s="41"/>
      <c r="L5767" s="31" t="str">
        <f>IFERROR(__xludf.DUMMYFUNCTION("IF(OR(E5767="""",K5767=""""),"""",IFERROR(IF(K5767="""","""",query('tbl user'!$A$2:$D10975,""SELECT A WHERE D = '""&amp;K5767&amp;""'"")),""USER TIDAK DIKETAHUI""))"),"")</f>
        <v/>
      </c>
    </row>
    <row r="5768">
      <c r="A5768" s="21">
        <f t="shared" si="1"/>
        <v>45485.4607</v>
      </c>
      <c r="B5768" s="40" t="s">
        <v>2556</v>
      </c>
      <c r="C5768" s="23" t="s">
        <v>1909</v>
      </c>
      <c r="D5768" s="23" t="s">
        <v>32</v>
      </c>
      <c r="E5768" s="24">
        <v>45484.0</v>
      </c>
      <c r="F5768" s="25">
        <v>0.24027777777777778</v>
      </c>
      <c r="G5768" s="25">
        <v>0.675</v>
      </c>
      <c r="H5768" s="27">
        <f t="shared" si="2"/>
        <v>0.4347222222</v>
      </c>
      <c r="I5768" s="28">
        <v>3.0</v>
      </c>
      <c r="J5768" s="39" t="s">
        <v>213</v>
      </c>
      <c r="K5768" s="41"/>
      <c r="L5768" s="31" t="str">
        <f>IFERROR(__xludf.DUMMYFUNCTION("IF(OR(E5768="""",K5768=""""),"""",IFERROR(IF(K5768="""","""",query('tbl user'!$A$2:$D10975,""SELECT A WHERE D = '""&amp;K5768&amp;""'"")),""USER TIDAK DIKETAHUI""))"),"")</f>
        <v/>
      </c>
    </row>
    <row r="5769">
      <c r="A5769" s="21">
        <f t="shared" si="1"/>
        <v>45485.46076</v>
      </c>
      <c r="B5769" s="40" t="s">
        <v>2436</v>
      </c>
      <c r="C5769" s="23" t="s">
        <v>1966</v>
      </c>
      <c r="D5769" s="23" t="s">
        <v>32</v>
      </c>
      <c r="E5769" s="24">
        <v>45484.0</v>
      </c>
      <c r="F5769" s="25">
        <v>0.21944444444444444</v>
      </c>
      <c r="G5769" s="25">
        <v>0.70625</v>
      </c>
      <c r="H5769" s="27">
        <f t="shared" si="2"/>
        <v>0.4868055556</v>
      </c>
      <c r="I5769" s="28">
        <v>4.0</v>
      </c>
      <c r="J5769" s="39" t="s">
        <v>55</v>
      </c>
      <c r="K5769" s="41"/>
      <c r="L5769" s="31" t="str">
        <f>IFERROR(__xludf.DUMMYFUNCTION("IF(OR(E5769="""",K5769=""""),"""",IFERROR(IF(K5769="""","""",query('tbl user'!$A$2:$D10975,""SELECT A WHERE D = '""&amp;K5769&amp;""'"")),""USER TIDAK DIKETAHUI""))"),"")</f>
        <v/>
      </c>
    </row>
    <row r="5770">
      <c r="A5770" s="21">
        <f t="shared" si="1"/>
        <v>45485.6262</v>
      </c>
      <c r="B5770" s="40" t="s">
        <v>2792</v>
      </c>
      <c r="C5770" s="23" t="s">
        <v>1851</v>
      </c>
      <c r="D5770" s="23" t="s">
        <v>21</v>
      </c>
      <c r="E5770" s="24">
        <v>45485.0</v>
      </c>
      <c r="F5770" s="25">
        <v>0.28958333333333336</v>
      </c>
      <c r="G5770" s="25">
        <v>0.6388888888888888</v>
      </c>
      <c r="H5770" s="27">
        <f t="shared" si="2"/>
        <v>0.3493055556</v>
      </c>
      <c r="I5770" s="28">
        <v>1.0</v>
      </c>
      <c r="J5770" s="39" t="s">
        <v>2864</v>
      </c>
      <c r="K5770" s="41"/>
      <c r="L5770" s="31" t="str">
        <f>IFERROR(__xludf.DUMMYFUNCTION("IF(OR(E5770="""",K5770=""""),"""",IFERROR(IF(K5770="""","""",query('tbl user'!$A$2:$D10975,""SELECT A WHERE D = '""&amp;K5770&amp;""'"")),""USER TIDAK DIKETAHUI""))"),"")</f>
        <v/>
      </c>
    </row>
    <row r="5771">
      <c r="A5771" s="21">
        <f t="shared" si="1"/>
        <v>45485.62624</v>
      </c>
      <c r="B5771" s="40" t="s">
        <v>2385</v>
      </c>
      <c r="C5771" s="23" t="s">
        <v>2002</v>
      </c>
      <c r="D5771" s="23" t="s">
        <v>21</v>
      </c>
      <c r="E5771" s="24">
        <v>45485.0</v>
      </c>
      <c r="F5771" s="25">
        <v>0.26875</v>
      </c>
      <c r="G5771" s="25">
        <v>0.5277777777777778</v>
      </c>
      <c r="H5771" s="27">
        <f t="shared" si="2"/>
        <v>0.2590277778</v>
      </c>
      <c r="I5771" s="28">
        <v>1.0</v>
      </c>
      <c r="J5771" s="39" t="s">
        <v>2865</v>
      </c>
      <c r="K5771" s="41"/>
      <c r="L5771" s="31" t="str">
        <f>IFERROR(__xludf.DUMMYFUNCTION("IF(OR(E5771="""",K5771=""""),"""",IFERROR(IF(K5771="""","""",query('tbl user'!$A$2:$D10975,""SELECT A WHERE D = '""&amp;K5771&amp;""'"")),""USER TIDAK DIKETAHUI""))"),"")</f>
        <v/>
      </c>
    </row>
    <row r="5772">
      <c r="A5772" s="21">
        <f t="shared" si="1"/>
        <v>45485.6263</v>
      </c>
      <c r="B5772" s="40" t="s">
        <v>2376</v>
      </c>
      <c r="C5772" s="23" t="s">
        <v>1853</v>
      </c>
      <c r="D5772" s="23" t="s">
        <v>21</v>
      </c>
      <c r="E5772" s="24">
        <v>45485.0</v>
      </c>
      <c r="F5772" s="25">
        <v>0.27569444444444446</v>
      </c>
      <c r="G5772" s="25">
        <v>0.5625</v>
      </c>
      <c r="H5772" s="27">
        <f t="shared" si="2"/>
        <v>0.2868055556</v>
      </c>
      <c r="I5772" s="28">
        <v>1.0</v>
      </c>
      <c r="J5772" s="39" t="s">
        <v>2866</v>
      </c>
      <c r="K5772" s="41"/>
      <c r="L5772" s="31" t="str">
        <f>IFERROR(__xludf.DUMMYFUNCTION("IF(OR(E5772="""",K5772=""""),"""",IFERROR(IF(K5772="""","""",query('tbl user'!$A$2:$D10975,""SELECT A WHERE D = '""&amp;K5772&amp;""'"")),""USER TIDAK DIKETAHUI""))"),"")</f>
        <v/>
      </c>
    </row>
    <row r="5773">
      <c r="A5773" s="21">
        <f t="shared" si="1"/>
        <v>45485.62635</v>
      </c>
      <c r="B5773" s="40" t="s">
        <v>2631</v>
      </c>
      <c r="C5773" s="23" t="s">
        <v>1920</v>
      </c>
      <c r="D5773" s="23" t="s">
        <v>21</v>
      </c>
      <c r="E5773" s="24">
        <v>45485.0</v>
      </c>
      <c r="F5773" s="25">
        <v>0.26944444444444443</v>
      </c>
      <c r="G5773" s="25">
        <v>0.45416666666666666</v>
      </c>
      <c r="H5773" s="27">
        <f t="shared" si="2"/>
        <v>0.1847222222</v>
      </c>
      <c r="I5773" s="28">
        <v>1.0</v>
      </c>
      <c r="J5773" s="39" t="s">
        <v>2867</v>
      </c>
      <c r="K5773" s="41"/>
      <c r="L5773" s="31" t="str">
        <f>IFERROR(__xludf.DUMMYFUNCTION("IF(OR(E5773="""",K5773=""""),"""",IFERROR(IF(K5773="""","""",query('tbl user'!$A$2:$D10975,""SELECT A WHERE D = '""&amp;K5773&amp;""'"")),""USER TIDAK DIKETAHUI""))"),"")</f>
        <v/>
      </c>
    </row>
    <row r="5774">
      <c r="A5774" s="21">
        <f t="shared" si="1"/>
        <v>45485.62656</v>
      </c>
      <c r="B5774" s="40" t="s">
        <v>2395</v>
      </c>
      <c r="C5774" s="23" t="s">
        <v>1922</v>
      </c>
      <c r="D5774" s="23" t="s">
        <v>21</v>
      </c>
      <c r="E5774" s="24">
        <v>45485.0</v>
      </c>
      <c r="F5774" s="25">
        <v>0.26875</v>
      </c>
      <c r="G5774" s="25">
        <v>0.7402777777777778</v>
      </c>
      <c r="H5774" s="27">
        <f t="shared" si="2"/>
        <v>0.4715277778</v>
      </c>
      <c r="I5774" s="28">
        <v>3.0</v>
      </c>
      <c r="J5774" s="39" t="s">
        <v>2868</v>
      </c>
      <c r="K5774" s="41"/>
      <c r="L5774" s="31" t="str">
        <f>IFERROR(__xludf.DUMMYFUNCTION("IF(OR(E5774="""",K5774=""""),"""",IFERROR(IF(K5774="""","""",query('tbl user'!$A$2:$D10975,""SELECT A WHERE D = '""&amp;K5774&amp;""'"")),""USER TIDAK DIKETAHUI""))"),"")</f>
        <v/>
      </c>
    </row>
    <row r="5775">
      <c r="A5775" s="21">
        <f t="shared" si="1"/>
        <v>45485.62666</v>
      </c>
      <c r="B5775" s="40" t="s">
        <v>2869</v>
      </c>
      <c r="C5775" s="23" t="s">
        <v>2628</v>
      </c>
      <c r="D5775" s="23" t="s">
        <v>21</v>
      </c>
      <c r="E5775" s="24">
        <v>45485.0</v>
      </c>
      <c r="F5775" s="25">
        <v>0.36944444444444446</v>
      </c>
      <c r="G5775" s="25">
        <v>0.6638888888888889</v>
      </c>
      <c r="H5775" s="27">
        <f t="shared" si="2"/>
        <v>0.2944444444</v>
      </c>
      <c r="I5775" s="28">
        <v>2.0</v>
      </c>
      <c r="J5775" s="39" t="s">
        <v>2870</v>
      </c>
      <c r="K5775" s="41"/>
      <c r="L5775" s="31" t="str">
        <f>IFERROR(__xludf.DUMMYFUNCTION("IF(OR(E5775="""",K5775=""""),"""",IFERROR(IF(K5775="""","""",query('tbl user'!$A$2:$D10975,""SELECT A WHERE D = '""&amp;K5775&amp;""'"")),""USER TIDAK DIKETAHUI""))"),"")</f>
        <v/>
      </c>
    </row>
    <row r="5776">
      <c r="A5776" s="21">
        <f t="shared" si="1"/>
        <v>45485.62671</v>
      </c>
      <c r="B5776" s="40" t="s">
        <v>2390</v>
      </c>
      <c r="C5776" s="23" t="s">
        <v>2136</v>
      </c>
      <c r="D5776" s="23" t="s">
        <v>21</v>
      </c>
      <c r="E5776" s="24">
        <v>45485.0</v>
      </c>
      <c r="F5776" s="25">
        <v>0.2986111111111111</v>
      </c>
      <c r="G5776" s="25">
        <v>0.6645833333333333</v>
      </c>
      <c r="H5776" s="27">
        <f t="shared" si="2"/>
        <v>0.3659722222</v>
      </c>
      <c r="I5776" s="28">
        <v>2.0</v>
      </c>
      <c r="J5776" s="39" t="s">
        <v>2871</v>
      </c>
      <c r="K5776" s="41"/>
      <c r="L5776" s="31" t="str">
        <f>IFERROR(__xludf.DUMMYFUNCTION("IF(OR(E5776="""",K5776=""""),"""",IFERROR(IF(K5776="""","""",query('tbl user'!$A$2:$D10975,""SELECT A WHERE D = '""&amp;K5776&amp;""'"")),""USER TIDAK DIKETAHUI""))"),"")</f>
        <v/>
      </c>
    </row>
    <row r="5777">
      <c r="A5777" s="21">
        <f t="shared" si="1"/>
        <v>45485.62679</v>
      </c>
      <c r="B5777" s="40" t="s">
        <v>2379</v>
      </c>
      <c r="C5777" s="23" t="s">
        <v>1835</v>
      </c>
      <c r="D5777" s="23" t="s">
        <v>21</v>
      </c>
      <c r="E5777" s="24">
        <v>45485.0</v>
      </c>
      <c r="F5777" s="25">
        <v>0.2604166666666667</v>
      </c>
      <c r="G5777" s="25">
        <v>0.7055555555555556</v>
      </c>
      <c r="H5777" s="27">
        <f t="shared" si="2"/>
        <v>0.4451388889</v>
      </c>
      <c r="I5777" s="28">
        <v>3.0</v>
      </c>
      <c r="J5777" s="39" t="s">
        <v>2635</v>
      </c>
      <c r="K5777" s="41"/>
      <c r="L5777" s="31" t="str">
        <f>IFERROR(__xludf.DUMMYFUNCTION("IF(OR(E5777="""",K5777=""""),"""",IFERROR(IF(K5777="""","""",query('tbl user'!$A$2:$D10975,""SELECT A WHERE D = '""&amp;K5777&amp;""'"")),""USER TIDAK DIKETAHUI""))"),"")</f>
        <v/>
      </c>
    </row>
    <row r="5778">
      <c r="A5778" s="21">
        <f t="shared" si="1"/>
        <v>45488.3157</v>
      </c>
      <c r="B5778" s="40" t="s">
        <v>2393</v>
      </c>
      <c r="C5778" s="23" t="s">
        <v>1925</v>
      </c>
      <c r="D5778" s="23" t="s">
        <v>21</v>
      </c>
      <c r="E5778" s="24">
        <v>45485.0</v>
      </c>
      <c r="F5778" s="25">
        <v>0.24583333333333332</v>
      </c>
      <c r="G5778" s="25">
        <v>0.5277777777777778</v>
      </c>
      <c r="H5778" s="27">
        <f t="shared" si="2"/>
        <v>0.2819444444</v>
      </c>
      <c r="I5778" s="28">
        <v>2.0</v>
      </c>
      <c r="J5778" s="39" t="s">
        <v>2323</v>
      </c>
      <c r="K5778" s="41"/>
      <c r="L5778" s="31" t="str">
        <f>IFERROR(__xludf.DUMMYFUNCTION("IF(OR(E5778="""",K5778=""""),"""",IFERROR(IF(K5778="""","""",query('tbl user'!$A$2:$D10975,""SELECT A WHERE D = '""&amp;K5778&amp;""'"")),""USER TIDAK DIKETAHUI""))"),"")</f>
        <v/>
      </c>
    </row>
    <row r="5779">
      <c r="A5779" s="21">
        <f t="shared" si="1"/>
        <v>45488.3157</v>
      </c>
      <c r="B5779" s="40" t="s">
        <v>2387</v>
      </c>
      <c r="C5779" s="23" t="s">
        <v>1857</v>
      </c>
      <c r="D5779" s="23" t="s">
        <v>21</v>
      </c>
      <c r="E5779" s="24">
        <v>45485.0</v>
      </c>
      <c r="F5779" s="25">
        <v>0.2423611111111111</v>
      </c>
      <c r="G5779" s="25">
        <v>0.6694444444444444</v>
      </c>
      <c r="H5779" s="27">
        <f t="shared" si="2"/>
        <v>0.4270833333</v>
      </c>
      <c r="I5779" s="28">
        <v>3.0</v>
      </c>
      <c r="J5779" s="39" t="s">
        <v>2635</v>
      </c>
      <c r="K5779" s="41"/>
      <c r="L5779" s="31" t="str">
        <f>IFERROR(__xludf.DUMMYFUNCTION("IF(OR(E5779="""",K5779=""""),"""",IFERROR(IF(K5779="""","""",query('tbl user'!$A$2:$D10975,""SELECT A WHERE D = '""&amp;K5779&amp;""'"")),""USER TIDAK DIKETAHUI""))"),"")</f>
        <v/>
      </c>
    </row>
    <row r="5780">
      <c r="A5780" s="21">
        <f t="shared" si="1"/>
        <v>45488.3157</v>
      </c>
      <c r="B5780" s="40" t="s">
        <v>2371</v>
      </c>
      <c r="C5780" s="23" t="s">
        <v>1845</v>
      </c>
      <c r="D5780" s="23" t="s">
        <v>21</v>
      </c>
      <c r="E5780" s="24">
        <v>45485.0</v>
      </c>
      <c r="F5780" s="25">
        <v>0.2520833333333333</v>
      </c>
      <c r="G5780" s="25">
        <v>0.6805555555555556</v>
      </c>
      <c r="H5780" s="27">
        <f t="shared" si="2"/>
        <v>0.4284722222</v>
      </c>
      <c r="I5780" s="28">
        <v>2.0</v>
      </c>
      <c r="J5780" s="39" t="s">
        <v>2872</v>
      </c>
      <c r="K5780" s="41"/>
      <c r="L5780" s="31" t="str">
        <f>IFERROR(__xludf.DUMMYFUNCTION("IF(OR(E5780="""",K5780=""""),"""",IFERROR(IF(K5780="""","""",query('tbl user'!$A$2:$D10975,""SELECT A WHERE D = '""&amp;K5780&amp;""'"")),""USER TIDAK DIKETAHUI""))"),"")</f>
        <v/>
      </c>
    </row>
    <row r="5781">
      <c r="A5781" s="21">
        <f t="shared" si="1"/>
        <v>45488.3157</v>
      </c>
      <c r="B5781" s="40" t="s">
        <v>2394</v>
      </c>
      <c r="C5781" s="23" t="s">
        <v>1837</v>
      </c>
      <c r="D5781" s="23" t="s">
        <v>21</v>
      </c>
      <c r="E5781" s="24">
        <v>45485.0</v>
      </c>
      <c r="F5781" s="25">
        <v>0.28958333333333336</v>
      </c>
      <c r="G5781" s="25">
        <v>0.6826388888888889</v>
      </c>
      <c r="H5781" s="27">
        <f t="shared" si="2"/>
        <v>0.3930555556</v>
      </c>
      <c r="I5781" s="28">
        <v>2.0</v>
      </c>
      <c r="J5781" s="39" t="s">
        <v>2873</v>
      </c>
      <c r="K5781" s="41"/>
      <c r="L5781" s="31" t="str">
        <f>IFERROR(__xludf.DUMMYFUNCTION("IF(OR(E5781="""",K5781=""""),"""",IFERROR(IF(K5781="""","""",query('tbl user'!$A$2:$D10975,""SELECT A WHERE D = '""&amp;K5781&amp;""'"")),""USER TIDAK DIKETAHUI""))"),"")</f>
        <v/>
      </c>
    </row>
    <row r="5782">
      <c r="A5782" s="21">
        <f t="shared" si="1"/>
        <v>45488.3157</v>
      </c>
      <c r="B5782" s="40" t="s">
        <v>2396</v>
      </c>
      <c r="C5782" s="23" t="s">
        <v>2049</v>
      </c>
      <c r="D5782" s="23" t="s">
        <v>21</v>
      </c>
      <c r="E5782" s="24">
        <v>45485.0</v>
      </c>
      <c r="F5782" s="25">
        <v>0.2423611111111111</v>
      </c>
      <c r="G5782" s="25">
        <v>0.4444444444444444</v>
      </c>
      <c r="H5782" s="27">
        <f t="shared" si="2"/>
        <v>0.2020833333</v>
      </c>
      <c r="I5782" s="28">
        <v>1.0</v>
      </c>
      <c r="J5782" s="39" t="s">
        <v>2874</v>
      </c>
      <c r="K5782" s="41"/>
      <c r="L5782" s="31" t="str">
        <f>IFERROR(__xludf.DUMMYFUNCTION("IF(OR(E5782="""",K5782=""""),"""",IFERROR(IF(K5782="""","""",query('tbl user'!$A$2:$D10975,""SELECT A WHERE D = '""&amp;K5782&amp;""'"")),""USER TIDAK DIKETAHUI""))"),"")</f>
        <v/>
      </c>
    </row>
    <row r="5783">
      <c r="A5783" s="21">
        <f t="shared" si="1"/>
        <v>45488.3157</v>
      </c>
      <c r="B5783" s="40" t="s">
        <v>2382</v>
      </c>
      <c r="C5783" s="23" t="s">
        <v>1858</v>
      </c>
      <c r="D5783" s="23" t="s">
        <v>21</v>
      </c>
      <c r="E5783" s="24">
        <v>45485.0</v>
      </c>
      <c r="F5783" s="25">
        <v>0.2152777777777778</v>
      </c>
      <c r="G5783" s="25">
        <v>0.40694444444444444</v>
      </c>
      <c r="H5783" s="27">
        <f t="shared" si="2"/>
        <v>0.1916666667</v>
      </c>
      <c r="I5783" s="28">
        <v>1.0</v>
      </c>
      <c r="J5783" s="39" t="s">
        <v>2875</v>
      </c>
      <c r="K5783" s="41"/>
      <c r="L5783" s="31" t="str">
        <f>IFERROR(__xludf.DUMMYFUNCTION("IF(OR(E5783="""",K5783=""""),"""",IFERROR(IF(K5783="""","""",query('tbl user'!$A$2:$D10975,""SELECT A WHERE D = '""&amp;K5783&amp;""'"")),""USER TIDAK DIKETAHUI""))"),"")</f>
        <v/>
      </c>
    </row>
    <row r="5784">
      <c r="A5784" s="21">
        <f t="shared" si="1"/>
        <v>45488.3157</v>
      </c>
      <c r="B5784" s="40" t="s">
        <v>2373</v>
      </c>
      <c r="C5784" s="23" t="s">
        <v>1847</v>
      </c>
      <c r="D5784" s="23" t="s">
        <v>21</v>
      </c>
      <c r="E5784" s="24">
        <v>45485.0</v>
      </c>
      <c r="F5784" s="25">
        <v>0.27361111111111114</v>
      </c>
      <c r="G5784" s="25">
        <v>0.7375</v>
      </c>
      <c r="H5784" s="27">
        <f t="shared" si="2"/>
        <v>0.4638888889</v>
      </c>
      <c r="I5784" s="28">
        <v>3.0</v>
      </c>
      <c r="J5784" s="39" t="s">
        <v>2635</v>
      </c>
      <c r="K5784" s="41"/>
      <c r="L5784" s="31" t="str">
        <f>IFERROR(__xludf.DUMMYFUNCTION("IF(OR(E5784="""",K5784=""""),"""",IFERROR(IF(K5784="""","""",query('tbl user'!$A$2:$D10975,""SELECT A WHERE D = '""&amp;K5784&amp;""'"")),""USER TIDAK DIKETAHUI""))"),"")</f>
        <v/>
      </c>
    </row>
    <row r="5785">
      <c r="A5785" s="21">
        <f t="shared" si="1"/>
        <v>45488.3157</v>
      </c>
      <c r="B5785" s="40" t="s">
        <v>2457</v>
      </c>
      <c r="C5785" s="23" t="s">
        <v>2005</v>
      </c>
      <c r="D5785" s="23" t="s">
        <v>21</v>
      </c>
      <c r="E5785" s="24">
        <v>45485.0</v>
      </c>
      <c r="F5785" s="25">
        <v>0.23819444444444443</v>
      </c>
      <c r="G5785" s="25">
        <v>0.7395833333333334</v>
      </c>
      <c r="H5785" s="27">
        <f t="shared" si="2"/>
        <v>0.5013888889</v>
      </c>
      <c r="I5785" s="28">
        <v>4.0</v>
      </c>
      <c r="J5785" s="39" t="s">
        <v>2635</v>
      </c>
      <c r="K5785" s="41"/>
      <c r="L5785" s="31" t="str">
        <f>IFERROR(__xludf.DUMMYFUNCTION("IF(OR(E5785="""",K5785=""""),"""",IFERROR(IF(K5785="""","""",query('tbl user'!$A$2:$D10975,""SELECT A WHERE D = '""&amp;K5785&amp;""'"")),""USER TIDAK DIKETAHUI""))"),"")</f>
        <v/>
      </c>
    </row>
    <row r="5786">
      <c r="A5786" s="21">
        <f t="shared" si="1"/>
        <v>45488.3157</v>
      </c>
      <c r="B5786" s="40" t="s">
        <v>2731</v>
      </c>
      <c r="C5786" s="23" t="s">
        <v>1928</v>
      </c>
      <c r="D5786" s="23" t="s">
        <v>21</v>
      </c>
      <c r="E5786" s="24">
        <v>45485.0</v>
      </c>
      <c r="F5786" s="25">
        <v>0.26875</v>
      </c>
      <c r="G5786" s="25">
        <v>0.6888888888888889</v>
      </c>
      <c r="H5786" s="27">
        <f t="shared" si="2"/>
        <v>0.4201388889</v>
      </c>
      <c r="I5786" s="28">
        <v>2.0</v>
      </c>
      <c r="J5786" s="39" t="s">
        <v>309</v>
      </c>
      <c r="K5786" s="41"/>
      <c r="L5786" s="31" t="str">
        <f>IFERROR(__xludf.DUMMYFUNCTION("IF(OR(E5786="""",K5786=""""),"""",IFERROR(IF(K5786="""","""",query('tbl user'!$A$2:$D10975,""SELECT A WHERE D = '""&amp;K5786&amp;""'"")),""USER TIDAK DIKETAHUI""))"),"")</f>
        <v/>
      </c>
    </row>
    <row r="5787">
      <c r="A5787" s="21">
        <f t="shared" si="1"/>
        <v>45488.3157</v>
      </c>
      <c r="B5787" s="40" t="s">
        <v>2374</v>
      </c>
      <c r="C5787" s="23" t="s">
        <v>1850</v>
      </c>
      <c r="D5787" s="23" t="s">
        <v>21</v>
      </c>
      <c r="E5787" s="24">
        <v>45485.0</v>
      </c>
      <c r="F5787" s="25">
        <v>0.2902777777777778</v>
      </c>
      <c r="G5787" s="25">
        <v>0.7715277777777778</v>
      </c>
      <c r="H5787" s="27">
        <f t="shared" si="2"/>
        <v>0.48125</v>
      </c>
      <c r="I5787" s="28">
        <v>3.0</v>
      </c>
      <c r="J5787" s="39" t="s">
        <v>2635</v>
      </c>
      <c r="K5787" s="41"/>
      <c r="L5787" s="31" t="str">
        <f>IFERROR(__xludf.DUMMYFUNCTION("IF(OR(E5787="""",K5787=""""),"""",IFERROR(IF(K5787="""","""",query('tbl user'!$A$2:$D10975,""SELECT A WHERE D = '""&amp;K5787&amp;""'"")),""USER TIDAK DIKETAHUI""))"),"")</f>
        <v/>
      </c>
    </row>
    <row r="5788">
      <c r="A5788" s="21">
        <f t="shared" si="1"/>
        <v>45488.3157</v>
      </c>
      <c r="B5788" s="40" t="s">
        <v>2397</v>
      </c>
      <c r="C5788" s="23" t="s">
        <v>1852</v>
      </c>
      <c r="D5788" s="23" t="s">
        <v>21</v>
      </c>
      <c r="E5788" s="24">
        <v>45485.0</v>
      </c>
      <c r="F5788" s="25">
        <v>0.24166666666666667</v>
      </c>
      <c r="G5788" s="25">
        <v>0.675</v>
      </c>
      <c r="H5788" s="27">
        <f t="shared" si="2"/>
        <v>0.4333333333</v>
      </c>
      <c r="I5788" s="28">
        <v>3.0</v>
      </c>
      <c r="J5788" s="39" t="s">
        <v>2635</v>
      </c>
      <c r="K5788" s="41"/>
      <c r="L5788" s="31" t="str">
        <f>IFERROR(__xludf.DUMMYFUNCTION("IF(OR(E5788="""",K5788=""""),"""",IFERROR(IF(K5788="""","""",query('tbl user'!$A$2:$D10975,""SELECT A WHERE D = '""&amp;K5788&amp;""'"")),""USER TIDAK DIKETAHUI""))"),"")</f>
        <v/>
      </c>
    </row>
    <row r="5789">
      <c r="A5789" s="21">
        <f t="shared" si="1"/>
        <v>45488.3157</v>
      </c>
      <c r="B5789" s="40" t="s">
        <v>2400</v>
      </c>
      <c r="C5789" s="23" t="s">
        <v>1917</v>
      </c>
      <c r="D5789" s="23" t="s">
        <v>21</v>
      </c>
      <c r="E5789" s="24">
        <v>45485.0</v>
      </c>
      <c r="F5789" s="25">
        <v>0.2548611111111111</v>
      </c>
      <c r="G5789" s="25">
        <v>0.6645833333333333</v>
      </c>
      <c r="H5789" s="27">
        <f t="shared" si="2"/>
        <v>0.4097222222</v>
      </c>
      <c r="I5789" s="28">
        <v>3.0</v>
      </c>
      <c r="J5789" s="39" t="s">
        <v>2635</v>
      </c>
      <c r="K5789" s="41"/>
      <c r="L5789" s="31" t="str">
        <f>IFERROR(__xludf.DUMMYFUNCTION("IF(OR(E5789="""",K5789=""""),"""",IFERROR(IF(K5789="""","""",query('tbl user'!$A$2:$D10975,""SELECT A WHERE D = '""&amp;K5789&amp;""'"")),""USER TIDAK DIKETAHUI""))"),"")</f>
        <v/>
      </c>
    </row>
    <row r="5790">
      <c r="A5790" s="21">
        <f t="shared" si="1"/>
        <v>45488.3157</v>
      </c>
      <c r="B5790" s="40" t="s">
        <v>2392</v>
      </c>
      <c r="C5790" s="23" t="s">
        <v>1841</v>
      </c>
      <c r="D5790" s="23" t="s">
        <v>21</v>
      </c>
      <c r="E5790" s="24">
        <v>45485.0</v>
      </c>
      <c r="F5790" s="25">
        <v>0.29097222222222224</v>
      </c>
      <c r="G5790" s="25">
        <v>0.6895833333333333</v>
      </c>
      <c r="H5790" s="27">
        <f t="shared" si="2"/>
        <v>0.3986111111</v>
      </c>
      <c r="I5790" s="28">
        <v>3.0</v>
      </c>
      <c r="J5790" s="39" t="s">
        <v>2876</v>
      </c>
      <c r="K5790" s="41"/>
      <c r="L5790" s="31" t="str">
        <f>IFERROR(__xludf.DUMMYFUNCTION("IF(OR(E5790="""",K5790=""""),"""",IFERROR(IF(K5790="""","""",query('tbl user'!$A$2:$D10975,""SELECT A WHERE D = '""&amp;K5790&amp;""'"")),""USER TIDAK DIKETAHUI""))"),"")</f>
        <v/>
      </c>
    </row>
    <row r="5791">
      <c r="A5791" s="21">
        <f t="shared" si="1"/>
        <v>45488.3157</v>
      </c>
      <c r="B5791" s="40" t="s">
        <v>2494</v>
      </c>
      <c r="C5791" s="23" t="s">
        <v>1874</v>
      </c>
      <c r="D5791" s="23" t="s">
        <v>58</v>
      </c>
      <c r="E5791" s="24">
        <v>45485.0</v>
      </c>
      <c r="F5791" s="25">
        <v>0.29097222222222224</v>
      </c>
      <c r="G5791" s="25">
        <v>0.7</v>
      </c>
      <c r="H5791" s="27">
        <f t="shared" si="2"/>
        <v>0.4090277778</v>
      </c>
      <c r="I5791" s="28">
        <v>3.0</v>
      </c>
      <c r="J5791" s="39" t="s">
        <v>2635</v>
      </c>
      <c r="K5791" s="41"/>
      <c r="L5791" s="31" t="str">
        <f>IFERROR(__xludf.DUMMYFUNCTION("IF(OR(E5791="""",K5791=""""),"""",IFERROR(IF(K5791="""","""",query('tbl user'!$A$2:$D10975,""SELECT A WHERE D = '""&amp;K5791&amp;""'"")),""USER TIDAK DIKETAHUI""))"),"")</f>
        <v/>
      </c>
    </row>
    <row r="5792">
      <c r="A5792" s="21">
        <f t="shared" si="1"/>
        <v>45488.3157</v>
      </c>
      <c r="B5792" s="40" t="s">
        <v>2361</v>
      </c>
      <c r="C5792" s="23" t="s">
        <v>1875</v>
      </c>
      <c r="D5792" s="23" t="s">
        <v>58</v>
      </c>
      <c r="E5792" s="24">
        <v>45485.0</v>
      </c>
      <c r="F5792" s="25">
        <v>0.24166666666666667</v>
      </c>
      <c r="G5792" s="25">
        <v>0.6708333333333333</v>
      </c>
      <c r="H5792" s="27">
        <f t="shared" si="2"/>
        <v>0.4291666667</v>
      </c>
      <c r="I5792" s="28">
        <v>3.0</v>
      </c>
      <c r="J5792" s="39" t="s">
        <v>2635</v>
      </c>
      <c r="K5792" s="41"/>
      <c r="L5792" s="31" t="str">
        <f>IFERROR(__xludf.DUMMYFUNCTION("IF(OR(E5792="""",K5792=""""),"""",IFERROR(IF(K5792="""","""",query('tbl user'!$A$2:$D10975,""SELECT A WHERE D = '""&amp;K5792&amp;""'"")),""USER TIDAK DIKETAHUI""))"),"")</f>
        <v/>
      </c>
    </row>
    <row r="5793">
      <c r="A5793" s="21">
        <f t="shared" si="1"/>
        <v>45488.3157</v>
      </c>
      <c r="B5793" s="40" t="s">
        <v>2414</v>
      </c>
      <c r="C5793" s="23" t="s">
        <v>1865</v>
      </c>
      <c r="D5793" s="23" t="s">
        <v>58</v>
      </c>
      <c r="E5793" s="24">
        <v>45485.0</v>
      </c>
      <c r="F5793" s="25">
        <v>0.2423611111111111</v>
      </c>
      <c r="G5793" s="25">
        <v>0.7041666666666667</v>
      </c>
      <c r="H5793" s="27">
        <f t="shared" si="2"/>
        <v>0.4618055556</v>
      </c>
      <c r="I5793" s="28">
        <v>4.0</v>
      </c>
      <c r="J5793" s="39" t="s">
        <v>55</v>
      </c>
      <c r="K5793" s="41"/>
      <c r="L5793" s="31" t="str">
        <f>IFERROR(__xludf.DUMMYFUNCTION("IF(OR(E5793="""",K5793=""""),"""",IFERROR(IF(K5793="""","""",query('tbl user'!$A$2:$D10975,""SELECT A WHERE D = '""&amp;K5793&amp;""'"")),""USER TIDAK DIKETAHUI""))"),"")</f>
        <v/>
      </c>
    </row>
    <row r="5794">
      <c r="A5794" s="21"/>
      <c r="B5794" s="40" t="s">
        <v>2428</v>
      </c>
      <c r="C5794" s="23" t="s">
        <v>1877</v>
      </c>
      <c r="D5794" s="23" t="s">
        <v>58</v>
      </c>
      <c r="E5794" s="24">
        <v>45485.0</v>
      </c>
      <c r="F5794" s="25">
        <v>0.2923611111111111</v>
      </c>
      <c r="G5794" s="25">
        <v>0.6361111111111111</v>
      </c>
      <c r="H5794" s="27"/>
      <c r="I5794" s="28">
        <v>2.0</v>
      </c>
      <c r="J5794" s="39" t="s">
        <v>2873</v>
      </c>
      <c r="K5794" s="41"/>
      <c r="L5794" s="31"/>
    </row>
    <row r="5795">
      <c r="A5795" s="21">
        <f t="shared" ref="A5795:A10975" si="3">IFS(B5795="","",A5795="",NOW(),TRUE,A5795)</f>
        <v>45488.3157</v>
      </c>
      <c r="B5795" s="40" t="s">
        <v>2415</v>
      </c>
      <c r="C5795" s="23" t="s">
        <v>1867</v>
      </c>
      <c r="D5795" s="23" t="s">
        <v>58</v>
      </c>
      <c r="E5795" s="24">
        <v>45485.0</v>
      </c>
      <c r="F5795" s="25">
        <v>0.26180555555555557</v>
      </c>
      <c r="G5795" s="25">
        <v>0.6152777777777778</v>
      </c>
      <c r="H5795" s="27">
        <f t="shared" ref="H5795:H6543" si="4">iferror(if(OR(G5795="",F5795=""),"",G5795-F5795),"")</f>
        <v>0.3534722222</v>
      </c>
      <c r="I5795" s="28">
        <v>3.0</v>
      </c>
      <c r="J5795" s="39" t="s">
        <v>2877</v>
      </c>
      <c r="K5795" s="41"/>
      <c r="L5795" s="31" t="str">
        <f>IFERROR(__xludf.DUMMYFUNCTION("IF(OR(E5795="""",K5795=""""),"""",IFERROR(IF(K5795="""","""",query('tbl user'!$A$2:$D10975,""SELECT A WHERE D = '""&amp;K5795&amp;""'"")),""USER TIDAK DIKETAHUI""))"),"")</f>
        <v/>
      </c>
    </row>
    <row r="5796">
      <c r="A5796" s="21">
        <f t="shared" si="3"/>
        <v>45488.3157</v>
      </c>
      <c r="B5796" s="40" t="s">
        <v>2417</v>
      </c>
      <c r="C5796" s="23" t="s">
        <v>1941</v>
      </c>
      <c r="D5796" s="23" t="s">
        <v>58</v>
      </c>
      <c r="E5796" s="24">
        <v>45485.0</v>
      </c>
      <c r="F5796" s="25">
        <v>0.24305555555555555</v>
      </c>
      <c r="G5796" s="25">
        <v>0.6638888888888889</v>
      </c>
      <c r="H5796" s="27">
        <f t="shared" si="4"/>
        <v>0.4208333333</v>
      </c>
      <c r="I5796" s="28">
        <v>3.0</v>
      </c>
      <c r="J5796" s="39" t="s">
        <v>2866</v>
      </c>
      <c r="K5796" s="41"/>
      <c r="L5796" s="31" t="str">
        <f>IFERROR(__xludf.DUMMYFUNCTION("IF(OR(E5796="""",K5796=""""),"""",IFERROR(IF(K5796="""","""",query('tbl user'!$A$2:$D10975,""SELECT A WHERE D = '""&amp;K5796&amp;""'"")),""USER TIDAK DIKETAHUI""))"),"")</f>
        <v/>
      </c>
    </row>
    <row r="5797">
      <c r="A5797" s="21">
        <f t="shared" si="3"/>
        <v>45488.3157</v>
      </c>
      <c r="B5797" s="40" t="s">
        <v>2408</v>
      </c>
      <c r="C5797" s="23" t="s">
        <v>1869</v>
      </c>
      <c r="D5797" s="23" t="s">
        <v>58</v>
      </c>
      <c r="E5797" s="24">
        <v>45485.0</v>
      </c>
      <c r="F5797" s="25">
        <v>0.27569444444444446</v>
      </c>
      <c r="G5797" s="25">
        <v>0.6041666666666666</v>
      </c>
      <c r="H5797" s="27">
        <f t="shared" si="4"/>
        <v>0.3284722222</v>
      </c>
      <c r="I5797" s="28">
        <v>2.0</v>
      </c>
      <c r="J5797" s="39" t="s">
        <v>934</v>
      </c>
      <c r="K5797" s="41"/>
      <c r="L5797" s="31" t="str">
        <f>IFERROR(__xludf.DUMMYFUNCTION("IF(OR(E5797="""",K5797=""""),"""",IFERROR(IF(K5797="""","""",query('tbl user'!$A$2:$D10975,""SELECT A WHERE D = '""&amp;K5797&amp;""'"")),""USER TIDAK DIKETAHUI""))"),"")</f>
        <v/>
      </c>
    </row>
    <row r="5798">
      <c r="A5798" s="21">
        <f t="shared" si="3"/>
        <v>45488.3157</v>
      </c>
      <c r="B5798" s="40" t="s">
        <v>2402</v>
      </c>
      <c r="C5798" s="23" t="s">
        <v>1881</v>
      </c>
      <c r="D5798" s="23" t="s">
        <v>58</v>
      </c>
      <c r="E5798" s="24">
        <v>45485.0</v>
      </c>
      <c r="F5798" s="25">
        <v>0.21319444444444444</v>
      </c>
      <c r="G5798" s="28" t="s">
        <v>1817</v>
      </c>
      <c r="H5798" s="27" t="str">
        <f t="shared" si="4"/>
        <v/>
      </c>
      <c r="I5798" s="28">
        <v>1.0</v>
      </c>
      <c r="J5798" s="39" t="s">
        <v>2878</v>
      </c>
      <c r="K5798" s="41"/>
      <c r="L5798" s="31" t="str">
        <f>IFERROR(__xludf.DUMMYFUNCTION("IF(OR(E5798="""",K5798=""""),"""",IFERROR(IF(K5798="""","""",query('tbl user'!$A$2:$D10975,""SELECT A WHERE D = '""&amp;K5798&amp;""'"")),""USER TIDAK DIKETAHUI""))"),"")</f>
        <v/>
      </c>
    </row>
    <row r="5799">
      <c r="A5799" s="21">
        <f t="shared" si="3"/>
        <v>45488.3157</v>
      </c>
      <c r="B5799" s="40" t="s">
        <v>2879</v>
      </c>
      <c r="C5799" s="23" t="s">
        <v>1882</v>
      </c>
      <c r="D5799" s="23" t="s">
        <v>58</v>
      </c>
      <c r="E5799" s="24">
        <v>45485.0</v>
      </c>
      <c r="F5799" s="25">
        <v>0.22013888888888888</v>
      </c>
      <c r="G5799" s="25">
        <v>0.6451388888888889</v>
      </c>
      <c r="H5799" s="27">
        <f t="shared" si="4"/>
        <v>0.425</v>
      </c>
      <c r="I5799" s="28">
        <v>3.0</v>
      </c>
      <c r="J5799" s="39" t="s">
        <v>2635</v>
      </c>
      <c r="K5799" s="41"/>
      <c r="L5799" s="31" t="str">
        <f>IFERROR(__xludf.DUMMYFUNCTION("IF(OR(E5799="""",K5799=""""),"""",IFERROR(IF(K5799="""","""",query('tbl user'!$A$2:$D10975,""SELECT A WHERE D = '""&amp;K5799&amp;""'"")),""USER TIDAK DIKETAHUI""))"),"")</f>
        <v/>
      </c>
    </row>
    <row r="5800">
      <c r="A5800" s="21">
        <f t="shared" si="3"/>
        <v>45488.3157</v>
      </c>
      <c r="B5800" s="40" t="s">
        <v>2421</v>
      </c>
      <c r="C5800" s="23" t="s">
        <v>1883</v>
      </c>
      <c r="D5800" s="23" t="s">
        <v>58</v>
      </c>
      <c r="E5800" s="24">
        <v>45485.0</v>
      </c>
      <c r="F5800" s="25">
        <v>0.27361111111111114</v>
      </c>
      <c r="G5800" s="25">
        <v>0.68125</v>
      </c>
      <c r="H5800" s="27">
        <f t="shared" si="4"/>
        <v>0.4076388889</v>
      </c>
      <c r="I5800" s="28">
        <v>3.0</v>
      </c>
      <c r="J5800" s="39" t="s">
        <v>2635</v>
      </c>
      <c r="K5800" s="41"/>
      <c r="L5800" s="31" t="str">
        <f>IFERROR(__xludf.DUMMYFUNCTION("IF(OR(E5800="""",K5800=""""),"""",IFERROR(IF(K5800="""","""",query('tbl user'!$A$2:$D10975,""SELECT A WHERE D = '""&amp;K5800&amp;""'"")),""USER TIDAK DIKETAHUI""))"),"")</f>
        <v/>
      </c>
    </row>
    <row r="5801">
      <c r="A5801" s="21">
        <f t="shared" si="3"/>
        <v>45488.3157</v>
      </c>
      <c r="B5801" s="40" t="s">
        <v>2422</v>
      </c>
      <c r="C5801" s="23" t="s">
        <v>1860</v>
      </c>
      <c r="D5801" s="23" t="s">
        <v>58</v>
      </c>
      <c r="E5801" s="24">
        <v>45485.0</v>
      </c>
      <c r="F5801" s="25">
        <v>0.28958333333333336</v>
      </c>
      <c r="G5801" s="25">
        <v>0.6645833333333333</v>
      </c>
      <c r="H5801" s="27">
        <f t="shared" si="4"/>
        <v>0.375</v>
      </c>
      <c r="I5801" s="28">
        <v>3.0</v>
      </c>
      <c r="J5801" s="39" t="s">
        <v>2635</v>
      </c>
      <c r="K5801" s="41"/>
      <c r="L5801" s="31" t="str">
        <f>IFERROR(__xludf.DUMMYFUNCTION("IF(OR(E5801="""",K5801=""""),"""",IFERROR(IF(K5801="""","""",query('tbl user'!$A$2:$D10975,""SELECT A WHERE D = '""&amp;K5801&amp;""'"")),""USER TIDAK DIKETAHUI""))"),"")</f>
        <v/>
      </c>
    </row>
    <row r="5802">
      <c r="A5802" s="21">
        <f t="shared" si="3"/>
        <v>45488.3157</v>
      </c>
      <c r="B5802" s="40" t="s">
        <v>2432</v>
      </c>
      <c r="C5802" s="23" t="s">
        <v>1884</v>
      </c>
      <c r="D5802" s="23" t="s">
        <v>58</v>
      </c>
      <c r="E5802" s="24">
        <v>45485.0</v>
      </c>
      <c r="F5802" s="25">
        <v>0.2326388888888889</v>
      </c>
      <c r="G5802" s="25">
        <v>0.6625</v>
      </c>
      <c r="H5802" s="27">
        <f t="shared" si="4"/>
        <v>0.4298611111</v>
      </c>
      <c r="I5802" s="28">
        <v>3.0</v>
      </c>
      <c r="J5802" s="39" t="s">
        <v>2880</v>
      </c>
      <c r="K5802" s="41"/>
      <c r="L5802" s="31" t="str">
        <f>IFERROR(__xludf.DUMMYFUNCTION("IF(OR(E5802="""",K5802=""""),"""",IFERROR(IF(K5802="""","""",query('tbl user'!$A$2:$D10975,""SELECT A WHERE D = '""&amp;K5802&amp;""'"")),""USER TIDAK DIKETAHUI""))"),"")</f>
        <v/>
      </c>
    </row>
    <row r="5803">
      <c r="A5803" s="21">
        <f t="shared" si="3"/>
        <v>45488.3157</v>
      </c>
      <c r="B5803" s="40" t="s">
        <v>2423</v>
      </c>
      <c r="C5803" s="23" t="s">
        <v>1863</v>
      </c>
      <c r="D5803" s="23" t="s">
        <v>58</v>
      </c>
      <c r="E5803" s="24">
        <v>45485.0</v>
      </c>
      <c r="F5803" s="25">
        <v>0.2548611111111111</v>
      </c>
      <c r="G5803" s="25">
        <v>0.6833333333333333</v>
      </c>
      <c r="H5803" s="27">
        <f t="shared" si="4"/>
        <v>0.4284722222</v>
      </c>
      <c r="I5803" s="28">
        <v>3.0</v>
      </c>
      <c r="J5803" s="39" t="s">
        <v>2635</v>
      </c>
      <c r="K5803" s="41"/>
      <c r="L5803" s="31" t="str">
        <f>IFERROR(__xludf.DUMMYFUNCTION("IF(OR(E5803="""",K5803=""""),"""",IFERROR(IF(K5803="""","""",query('tbl user'!$A$2:$D10975,""SELECT A WHERE D = '""&amp;K5803&amp;""'"")),""USER TIDAK DIKETAHUI""))"),"")</f>
        <v/>
      </c>
    </row>
    <row r="5804">
      <c r="A5804" s="21">
        <f t="shared" si="3"/>
        <v>45488.3157</v>
      </c>
      <c r="B5804" s="40" t="s">
        <v>2424</v>
      </c>
      <c r="C5804" s="23" t="s">
        <v>1886</v>
      </c>
      <c r="D5804" s="23" t="s">
        <v>58</v>
      </c>
      <c r="E5804" s="24">
        <v>45485.0</v>
      </c>
      <c r="F5804" s="25">
        <v>0.2548611111111111</v>
      </c>
      <c r="G5804" s="25">
        <v>0.5923611111111111</v>
      </c>
      <c r="H5804" s="27">
        <f t="shared" si="4"/>
        <v>0.3375</v>
      </c>
      <c r="I5804" s="28">
        <v>2.0</v>
      </c>
      <c r="J5804" s="39" t="s">
        <v>2881</v>
      </c>
      <c r="K5804" s="41"/>
      <c r="L5804" s="31" t="str">
        <f>IFERROR(__xludf.DUMMYFUNCTION("IF(OR(E5804="""",K5804=""""),"""",IFERROR(IF(K5804="""","""",query('tbl user'!$A$2:$D10975,""SELECT A WHERE D = '""&amp;K5804&amp;""'"")),""USER TIDAK DIKETAHUI""))"),"")</f>
        <v/>
      </c>
    </row>
    <row r="5805">
      <c r="A5805" s="21">
        <f t="shared" si="3"/>
        <v>45488.3157</v>
      </c>
      <c r="B5805" s="40" t="s">
        <v>2425</v>
      </c>
      <c r="C5805" s="23" t="s">
        <v>1887</v>
      </c>
      <c r="D5805" s="23" t="s">
        <v>58</v>
      </c>
      <c r="E5805" s="24">
        <v>45485.0</v>
      </c>
      <c r="F5805" s="25">
        <v>0.2777777777777778</v>
      </c>
      <c r="G5805" s="25">
        <v>0.6597222222222222</v>
      </c>
      <c r="H5805" s="27">
        <f t="shared" si="4"/>
        <v>0.3819444444</v>
      </c>
      <c r="I5805" s="28">
        <v>1.0</v>
      </c>
      <c r="J5805" s="39" t="s">
        <v>2882</v>
      </c>
      <c r="K5805" s="41"/>
      <c r="L5805" s="31" t="str">
        <f>IFERROR(__xludf.DUMMYFUNCTION("IF(OR(E5805="""",K5805=""""),"""",IFERROR(IF(K5805="""","""",query('tbl user'!$A$2:$D10975,""SELECT A WHERE D = '""&amp;K5805&amp;""'"")),""USER TIDAK DIKETAHUI""))"),"")</f>
        <v/>
      </c>
    </row>
    <row r="5806">
      <c r="A5806" s="21">
        <f t="shared" si="3"/>
        <v>45488.3157</v>
      </c>
      <c r="B5806" s="40" t="s">
        <v>2427</v>
      </c>
      <c r="C5806" s="23" t="s">
        <v>1888</v>
      </c>
      <c r="D5806" s="23" t="s">
        <v>58</v>
      </c>
      <c r="E5806" s="24">
        <v>45485.0</v>
      </c>
      <c r="F5806" s="25">
        <v>0.28958333333333336</v>
      </c>
      <c r="G5806" s="25">
        <v>0.6847222222222222</v>
      </c>
      <c r="H5806" s="27">
        <f t="shared" si="4"/>
        <v>0.3951388889</v>
      </c>
      <c r="I5806" s="28">
        <v>3.0</v>
      </c>
      <c r="J5806" s="39" t="s">
        <v>2635</v>
      </c>
      <c r="K5806" s="41"/>
      <c r="L5806" s="31" t="str">
        <f>IFERROR(__xludf.DUMMYFUNCTION("IF(OR(E5806="""",K5806=""""),"""",IFERROR(IF(K5806="""","""",query('tbl user'!$A$2:$D10975,""SELECT A WHERE D = '""&amp;K5806&amp;""'"")),""USER TIDAK DIKETAHUI""))"),"")</f>
        <v/>
      </c>
    </row>
    <row r="5807">
      <c r="A5807" s="21">
        <f t="shared" si="3"/>
        <v>45488.3157</v>
      </c>
      <c r="B5807" s="40" t="s">
        <v>2418</v>
      </c>
      <c r="C5807" s="23" t="s">
        <v>1889</v>
      </c>
      <c r="D5807" s="23" t="s">
        <v>58</v>
      </c>
      <c r="E5807" s="24">
        <v>45485.0</v>
      </c>
      <c r="F5807" s="25">
        <v>0.26666666666666666</v>
      </c>
      <c r="G5807" s="25">
        <v>0.6923611111111111</v>
      </c>
      <c r="H5807" s="27">
        <f t="shared" si="4"/>
        <v>0.4256944444</v>
      </c>
      <c r="I5807" s="28">
        <v>3.0</v>
      </c>
      <c r="J5807" s="39" t="s">
        <v>2883</v>
      </c>
      <c r="K5807" s="41"/>
      <c r="L5807" s="31" t="str">
        <f>IFERROR(__xludf.DUMMYFUNCTION("IF(OR(E5807="""",K5807=""""),"""",IFERROR(IF(K5807="""","""",query('tbl user'!$A$2:$D10975,""SELECT A WHERE D = '""&amp;K5807&amp;""'"")),""USER TIDAK DIKETAHUI""))"),"")</f>
        <v/>
      </c>
    </row>
    <row r="5808">
      <c r="A5808" s="21">
        <f t="shared" si="3"/>
        <v>45488.3157</v>
      </c>
      <c r="B5808" s="40" t="s">
        <v>2434</v>
      </c>
      <c r="C5808" s="23" t="s">
        <v>1892</v>
      </c>
      <c r="D5808" s="23" t="s">
        <v>58</v>
      </c>
      <c r="E5808" s="24">
        <v>45485.0</v>
      </c>
      <c r="F5808" s="25">
        <v>0.2375</v>
      </c>
      <c r="G5808" s="25">
        <v>0.6888888888888889</v>
      </c>
      <c r="H5808" s="27">
        <f t="shared" si="4"/>
        <v>0.4513888889</v>
      </c>
      <c r="I5808" s="28">
        <v>4.0</v>
      </c>
      <c r="J5808" s="39" t="s">
        <v>55</v>
      </c>
      <c r="K5808" s="41"/>
      <c r="L5808" s="31" t="str">
        <f>IFERROR(__xludf.DUMMYFUNCTION("IF(OR(E5808="""",K5808=""""),"""",IFERROR(IF(K5808="""","""",query('tbl user'!$A$2:$D10975,""SELECT A WHERE D = '""&amp;K5808&amp;""'"")),""USER TIDAK DIKETAHUI""))"),"")</f>
        <v/>
      </c>
    </row>
    <row r="5809">
      <c r="A5809" s="21">
        <f t="shared" si="3"/>
        <v>45488.3157</v>
      </c>
      <c r="B5809" s="40" t="s">
        <v>2460</v>
      </c>
      <c r="C5809" s="23" t="s">
        <v>1893</v>
      </c>
      <c r="D5809" s="23" t="s">
        <v>58</v>
      </c>
      <c r="E5809" s="24">
        <v>45485.0</v>
      </c>
      <c r="F5809" s="25">
        <v>0.2611111111111111</v>
      </c>
      <c r="G5809" s="25">
        <v>0.6548611111111111</v>
      </c>
      <c r="H5809" s="27">
        <f t="shared" si="4"/>
        <v>0.39375</v>
      </c>
      <c r="I5809" s="28">
        <v>3.0</v>
      </c>
      <c r="J5809" s="39" t="s">
        <v>2635</v>
      </c>
      <c r="K5809" s="41"/>
      <c r="L5809" s="31" t="str">
        <f>IFERROR(__xludf.DUMMYFUNCTION("IF(OR(E5809="""",K5809=""""),"""",IFERROR(IF(K5809="""","""",query('tbl user'!$A$2:$D10975,""SELECT A WHERE D = '""&amp;K5809&amp;""'"")),""USER TIDAK DIKETAHUI""))"),"")</f>
        <v/>
      </c>
    </row>
    <row r="5810">
      <c r="A5810" s="21">
        <f t="shared" si="3"/>
        <v>45488.3157</v>
      </c>
      <c r="B5810" s="40" t="s">
        <v>2787</v>
      </c>
      <c r="C5810" s="23" t="s">
        <v>1872</v>
      </c>
      <c r="D5810" s="23" t="s">
        <v>58</v>
      </c>
      <c r="E5810" s="24">
        <v>45485.0</v>
      </c>
      <c r="F5810" s="25">
        <v>0.26180555555555557</v>
      </c>
      <c r="G5810" s="25">
        <v>0.3736111111111111</v>
      </c>
      <c r="H5810" s="27">
        <f t="shared" si="4"/>
        <v>0.1118055556</v>
      </c>
      <c r="I5810" s="28">
        <v>1.0</v>
      </c>
      <c r="J5810" s="39" t="s">
        <v>2596</v>
      </c>
      <c r="K5810" s="41"/>
      <c r="L5810" s="31" t="str">
        <f>IFERROR(__xludf.DUMMYFUNCTION("IF(OR(E5810="""",K5810=""""),"""",IFERROR(IF(K5810="""","""",query('tbl user'!$A$2:$D10975,""SELECT A WHERE D = '""&amp;K5810&amp;""'"")),""USER TIDAK DIKETAHUI""))"),"")</f>
        <v/>
      </c>
    </row>
    <row r="5811">
      <c r="A5811" s="21">
        <f t="shared" si="3"/>
        <v>45488.3157</v>
      </c>
      <c r="B5811" s="40" t="s">
        <v>2410</v>
      </c>
      <c r="C5811" s="23" t="s">
        <v>2090</v>
      </c>
      <c r="D5811" s="23" t="s">
        <v>58</v>
      </c>
      <c r="E5811" s="24">
        <v>45485.0</v>
      </c>
      <c r="F5811" s="25">
        <v>0.2569444444444444</v>
      </c>
      <c r="G5811" s="25">
        <v>0.6673611111111111</v>
      </c>
      <c r="H5811" s="27">
        <f t="shared" si="4"/>
        <v>0.4104166667</v>
      </c>
      <c r="I5811" s="28">
        <v>2.0</v>
      </c>
      <c r="J5811" s="39" t="s">
        <v>2884</v>
      </c>
      <c r="K5811" s="41"/>
      <c r="L5811" s="31" t="str">
        <f>IFERROR(__xludf.DUMMYFUNCTION("IF(OR(E5811="""",K5811=""""),"""",IFERROR(IF(K5811="""","""",query('tbl user'!$A$2:$D10975,""SELECT A WHERE D = '""&amp;K5811&amp;""'"")),""USER TIDAK DIKETAHUI""))"),"")</f>
        <v/>
      </c>
    </row>
    <row r="5812">
      <c r="A5812" s="21">
        <f t="shared" si="3"/>
        <v>45488.3157</v>
      </c>
      <c r="B5812" s="40" t="s">
        <v>2412</v>
      </c>
      <c r="C5812" s="23" t="s">
        <v>1890</v>
      </c>
      <c r="D5812" s="23" t="s">
        <v>58</v>
      </c>
      <c r="E5812" s="24">
        <v>45485.0</v>
      </c>
      <c r="F5812" s="25">
        <v>0.2548611111111111</v>
      </c>
      <c r="G5812" s="25">
        <v>0.6388888888888888</v>
      </c>
      <c r="H5812" s="27">
        <f t="shared" si="4"/>
        <v>0.3840277778</v>
      </c>
      <c r="I5812" s="28">
        <v>2.0</v>
      </c>
      <c r="J5812" s="39" t="s">
        <v>2885</v>
      </c>
      <c r="K5812" s="41"/>
      <c r="L5812" s="31" t="str">
        <f>IFERROR(__xludf.DUMMYFUNCTION("IF(OR(E5812="""",K5812=""""),"""",IFERROR(IF(K5812="""","""",query('tbl user'!$A$2:$D10975,""SELECT A WHERE D = '""&amp;K5812&amp;""'"")),""USER TIDAK DIKETAHUI""))"),"")</f>
        <v/>
      </c>
    </row>
    <row r="5813">
      <c r="A5813" s="21">
        <f t="shared" si="3"/>
        <v>45488.3157</v>
      </c>
      <c r="B5813" s="40" t="s">
        <v>2430</v>
      </c>
      <c r="C5813" s="23" t="s">
        <v>1861</v>
      </c>
      <c r="D5813" s="23" t="s">
        <v>58</v>
      </c>
      <c r="E5813" s="24">
        <v>45485.0</v>
      </c>
      <c r="F5813" s="25">
        <v>0.26666666666666666</v>
      </c>
      <c r="G5813" s="25">
        <v>0.6395833333333333</v>
      </c>
      <c r="H5813" s="27">
        <f t="shared" si="4"/>
        <v>0.3729166667</v>
      </c>
      <c r="I5813" s="28">
        <v>2.0</v>
      </c>
      <c r="J5813" s="39" t="s">
        <v>2886</v>
      </c>
      <c r="K5813" s="41"/>
      <c r="L5813" s="31" t="str">
        <f>IFERROR(__xludf.DUMMYFUNCTION("IF(OR(E5813="""",K5813=""""),"""",IFERROR(IF(K5813="""","""",query('tbl user'!$A$2:$D10975,""SELECT A WHERE D = '""&amp;K5813&amp;""'"")),""USER TIDAK DIKETAHUI""))"),"")</f>
        <v/>
      </c>
    </row>
    <row r="5814">
      <c r="A5814" s="21" t="str">
        <f t="shared" si="3"/>
        <v/>
      </c>
      <c r="B5814" s="38"/>
      <c r="C5814" s="23" t="s">
        <v>1961</v>
      </c>
      <c r="D5814" s="23" t="s">
        <v>32</v>
      </c>
      <c r="E5814" s="24">
        <v>45485.0</v>
      </c>
      <c r="F5814" s="25">
        <v>0.29097222222222224</v>
      </c>
      <c r="G5814" s="25">
        <v>0.6944444444444444</v>
      </c>
      <c r="H5814" s="27">
        <f t="shared" si="4"/>
        <v>0.4034722222</v>
      </c>
      <c r="I5814" s="28">
        <v>3.0</v>
      </c>
      <c r="J5814" s="39" t="s">
        <v>2635</v>
      </c>
      <c r="K5814" s="41"/>
      <c r="L5814" s="31" t="str">
        <f>IFERROR(__xludf.DUMMYFUNCTION("IF(OR(E5814="""",K5814=""""),"""",IFERROR(IF(K5814="""","""",query('tbl user'!$A$2:$D10975,""SELECT A WHERE D = '""&amp;K5814&amp;""'"")),""USER TIDAK DIKETAHUI""))"),"")</f>
        <v/>
      </c>
    </row>
    <row r="5815">
      <c r="A5815" s="21" t="str">
        <f t="shared" si="3"/>
        <v/>
      </c>
      <c r="B5815" s="38"/>
      <c r="C5815" s="23" t="s">
        <v>1957</v>
      </c>
      <c r="D5815" s="23" t="s">
        <v>32</v>
      </c>
      <c r="E5815" s="24">
        <v>45485.0</v>
      </c>
      <c r="F5815" s="25">
        <v>0.26180555555555557</v>
      </c>
      <c r="G5815" s="25">
        <v>0.6819444444444445</v>
      </c>
      <c r="H5815" s="27">
        <f t="shared" si="4"/>
        <v>0.4201388889</v>
      </c>
      <c r="I5815" s="28">
        <v>3.0</v>
      </c>
      <c r="J5815" s="39" t="s">
        <v>2635</v>
      </c>
      <c r="K5815" s="41"/>
      <c r="L5815" s="31" t="str">
        <f>IFERROR(__xludf.DUMMYFUNCTION("IF(OR(E5815="""",K5815=""""),"""",IFERROR(IF(K5815="""","""",query('tbl user'!$A$2:$D10975,""SELECT A WHERE D = '""&amp;K5815&amp;""'"")),""USER TIDAK DIKETAHUI""))"),"")</f>
        <v/>
      </c>
    </row>
    <row r="5816">
      <c r="A5816" s="21" t="str">
        <f t="shared" si="3"/>
        <v/>
      </c>
      <c r="B5816" s="38"/>
      <c r="C5816" s="23" t="s">
        <v>1910</v>
      </c>
      <c r="D5816" s="23" t="s">
        <v>32</v>
      </c>
      <c r="E5816" s="24">
        <v>45485.0</v>
      </c>
      <c r="F5816" s="25">
        <v>0.2152777777777778</v>
      </c>
      <c r="G5816" s="25">
        <v>0.6861111111111111</v>
      </c>
      <c r="H5816" s="27">
        <f t="shared" si="4"/>
        <v>0.4708333333</v>
      </c>
      <c r="I5816" s="28">
        <v>4.0</v>
      </c>
      <c r="J5816" s="39" t="s">
        <v>55</v>
      </c>
      <c r="K5816" s="41"/>
      <c r="L5816" s="31" t="str">
        <f>IFERROR(__xludf.DUMMYFUNCTION("IF(OR(E5816="""",K5816=""""),"""",IFERROR(IF(K5816="""","""",query('tbl user'!$A$2:$D10975,""SELECT A WHERE D = '""&amp;K5816&amp;""'"")),""USER TIDAK DIKETAHUI""))"),"")</f>
        <v/>
      </c>
    </row>
    <row r="5817">
      <c r="A5817" s="21" t="str">
        <f t="shared" si="3"/>
        <v/>
      </c>
      <c r="B5817" s="38"/>
      <c r="C5817" s="23" t="s">
        <v>1911</v>
      </c>
      <c r="D5817" s="23" t="s">
        <v>32</v>
      </c>
      <c r="E5817" s="24">
        <v>45485.0</v>
      </c>
      <c r="F5817" s="25">
        <v>0.2361111111111111</v>
      </c>
      <c r="G5817" s="25">
        <v>0.6736111111111112</v>
      </c>
      <c r="H5817" s="27">
        <f t="shared" si="4"/>
        <v>0.4375</v>
      </c>
      <c r="I5817" s="28">
        <v>3.0</v>
      </c>
      <c r="J5817" s="39" t="s">
        <v>2887</v>
      </c>
      <c r="K5817" s="41"/>
      <c r="L5817" s="31" t="str">
        <f>IFERROR(__xludf.DUMMYFUNCTION("IF(OR(E5817="""",K5817=""""),"""",IFERROR(IF(K5817="""","""",query('tbl user'!$A$2:$D10975,""SELECT A WHERE D = '""&amp;K5817&amp;""'"")),""USER TIDAK DIKETAHUI""))"),"")</f>
        <v/>
      </c>
    </row>
    <row r="5818">
      <c r="A5818" s="21" t="str">
        <f t="shared" si="3"/>
        <v/>
      </c>
      <c r="B5818" s="38"/>
      <c r="C5818" s="23" t="s">
        <v>1951</v>
      </c>
      <c r="D5818" s="23" t="s">
        <v>32</v>
      </c>
      <c r="E5818" s="24">
        <v>45485.0</v>
      </c>
      <c r="F5818" s="25">
        <v>0.2986111111111111</v>
      </c>
      <c r="G5818" s="25">
        <v>0.4513888888888889</v>
      </c>
      <c r="H5818" s="27">
        <f t="shared" si="4"/>
        <v>0.1527777778</v>
      </c>
      <c r="I5818" s="28">
        <v>1.0</v>
      </c>
      <c r="J5818" s="39" t="s">
        <v>1087</v>
      </c>
      <c r="K5818" s="41"/>
      <c r="L5818" s="31" t="str">
        <f>IFERROR(__xludf.DUMMYFUNCTION("IF(OR(E5818="""",K5818=""""),"""",IFERROR(IF(K5818="""","""",query('tbl user'!$A$2:$D10975,""SELECT A WHERE D = '""&amp;K5818&amp;""'"")),""USER TIDAK DIKETAHUI""))"),"")</f>
        <v/>
      </c>
    </row>
    <row r="5819">
      <c r="A5819" s="21" t="str">
        <f t="shared" si="3"/>
        <v/>
      </c>
      <c r="B5819" s="38"/>
      <c r="C5819" s="23" t="s">
        <v>1966</v>
      </c>
      <c r="D5819" s="23" t="s">
        <v>32</v>
      </c>
      <c r="E5819" s="24">
        <v>45485.0</v>
      </c>
      <c r="F5819" s="25">
        <v>0.3680555555555556</v>
      </c>
      <c r="G5819" s="25">
        <v>0.725</v>
      </c>
      <c r="H5819" s="27">
        <f t="shared" si="4"/>
        <v>0.3569444444</v>
      </c>
      <c r="I5819" s="28">
        <v>4.0</v>
      </c>
      <c r="J5819" s="39" t="s">
        <v>55</v>
      </c>
      <c r="K5819" s="41"/>
      <c r="L5819" s="31" t="str">
        <f>IFERROR(__xludf.DUMMYFUNCTION("IF(OR(E5819="""",K5819=""""),"""",IFERROR(IF(K5819="""","""",query('tbl user'!$A$2:$D10975,""SELECT A WHERE D = '""&amp;K5819&amp;""'"")),""USER TIDAK DIKETAHUI""))"),"")</f>
        <v/>
      </c>
    </row>
    <row r="5820">
      <c r="A5820" s="21" t="str">
        <f t="shared" si="3"/>
        <v/>
      </c>
      <c r="B5820" s="38"/>
      <c r="C5820" s="23" t="s">
        <v>1967</v>
      </c>
      <c r="D5820" s="23" t="s">
        <v>32</v>
      </c>
      <c r="E5820" s="24">
        <v>45485.0</v>
      </c>
      <c r="F5820" s="25">
        <v>0.24583333333333332</v>
      </c>
      <c r="G5820" s="25">
        <v>0.7194444444444444</v>
      </c>
      <c r="H5820" s="27">
        <f t="shared" si="4"/>
        <v>0.4736111111</v>
      </c>
      <c r="I5820" s="28">
        <v>4.0</v>
      </c>
      <c r="J5820" s="39" t="s">
        <v>55</v>
      </c>
      <c r="K5820" s="41"/>
      <c r="L5820" s="31" t="str">
        <f>IFERROR(__xludf.DUMMYFUNCTION("IF(OR(E5820="""",K5820=""""),"""",IFERROR(IF(K5820="""","""",query('tbl user'!$A$2:$D10975,""SELECT A WHERE D = '""&amp;K5820&amp;""'"")),""USER TIDAK DIKETAHUI""))"),"")</f>
        <v/>
      </c>
    </row>
    <row r="5821">
      <c r="A5821" s="21" t="str">
        <f t="shared" si="3"/>
        <v/>
      </c>
      <c r="B5821" s="38"/>
      <c r="C5821" s="23" t="s">
        <v>2190</v>
      </c>
      <c r="D5821" s="23" t="s">
        <v>32</v>
      </c>
      <c r="E5821" s="24">
        <v>45485.0</v>
      </c>
      <c r="F5821" s="25">
        <v>0.2833333333333333</v>
      </c>
      <c r="G5821" s="25">
        <v>0.7076388888888889</v>
      </c>
      <c r="H5821" s="27">
        <f t="shared" si="4"/>
        <v>0.4243055556</v>
      </c>
      <c r="I5821" s="28">
        <v>4.0</v>
      </c>
      <c r="J5821" s="39" t="s">
        <v>55</v>
      </c>
      <c r="K5821" s="41"/>
      <c r="L5821" s="31" t="str">
        <f>IFERROR(__xludf.DUMMYFUNCTION("IF(OR(E5821="""",K5821=""""),"""",IFERROR(IF(K5821="""","""",query('tbl user'!$A$2:$D10975,""SELECT A WHERE D = '""&amp;K5821&amp;""'"")),""USER TIDAK DIKETAHUI""))"),"")</f>
        <v/>
      </c>
    </row>
    <row r="5822">
      <c r="A5822" s="21" t="str">
        <f t="shared" si="3"/>
        <v/>
      </c>
      <c r="B5822" s="38"/>
      <c r="C5822" s="23" t="s">
        <v>1912</v>
      </c>
      <c r="D5822" s="23" t="s">
        <v>32</v>
      </c>
      <c r="E5822" s="24">
        <v>45485.0</v>
      </c>
      <c r="F5822" s="25">
        <v>0.21805555555555556</v>
      </c>
      <c r="G5822" s="25">
        <v>0.6861111111111111</v>
      </c>
      <c r="H5822" s="27">
        <f t="shared" si="4"/>
        <v>0.4680555556</v>
      </c>
      <c r="I5822" s="28">
        <v>3.0</v>
      </c>
      <c r="J5822" s="39" t="s">
        <v>2635</v>
      </c>
      <c r="K5822" s="41"/>
      <c r="L5822" s="31" t="str">
        <f>IFERROR(__xludf.DUMMYFUNCTION("IF(OR(E5822="""",K5822=""""),"""",IFERROR(IF(K5822="""","""",query('tbl user'!$A$2:$D10975,""SELECT A WHERE D = '""&amp;K5822&amp;""'"")),""USER TIDAK DIKETAHUI""))"),"")</f>
        <v/>
      </c>
    </row>
    <row r="5823">
      <c r="A5823" s="21" t="str">
        <f t="shared" si="3"/>
        <v/>
      </c>
      <c r="B5823" s="38"/>
      <c r="C5823" s="23" t="s">
        <v>1902</v>
      </c>
      <c r="D5823" s="23" t="s">
        <v>32</v>
      </c>
      <c r="E5823" s="24">
        <v>45485.0</v>
      </c>
      <c r="F5823" s="25">
        <v>0.28958333333333336</v>
      </c>
      <c r="G5823" s="25">
        <v>0.6555555555555556</v>
      </c>
      <c r="H5823" s="27">
        <f t="shared" si="4"/>
        <v>0.3659722222</v>
      </c>
      <c r="I5823" s="28">
        <v>3.0</v>
      </c>
      <c r="J5823" s="39" t="s">
        <v>2635</v>
      </c>
      <c r="K5823" s="41"/>
      <c r="L5823" s="31" t="str">
        <f>IFERROR(__xludf.DUMMYFUNCTION("IF(OR(E5823="""",K5823=""""),"""",IFERROR(IF(K5823="""","""",query('tbl user'!$A$2:$D10975,""SELECT A WHERE D = '""&amp;K5823&amp;""'"")),""USER TIDAK DIKETAHUI""))"),"")</f>
        <v/>
      </c>
    </row>
    <row r="5824">
      <c r="A5824" s="21" t="str">
        <f t="shared" si="3"/>
        <v/>
      </c>
      <c r="B5824" s="38"/>
      <c r="C5824" s="23" t="s">
        <v>1896</v>
      </c>
      <c r="D5824" s="23" t="s">
        <v>32</v>
      </c>
      <c r="E5824" s="24">
        <v>45485.0</v>
      </c>
      <c r="F5824" s="25">
        <v>0.25277777777777777</v>
      </c>
      <c r="G5824" s="25">
        <v>0.65625</v>
      </c>
      <c r="H5824" s="27">
        <f t="shared" si="4"/>
        <v>0.4034722222</v>
      </c>
      <c r="I5824" s="28">
        <v>3.0</v>
      </c>
      <c r="J5824" s="39" t="s">
        <v>2635</v>
      </c>
      <c r="K5824" s="41"/>
      <c r="L5824" s="31" t="str">
        <f>IFERROR(__xludf.DUMMYFUNCTION("IF(OR(E5824="""",K5824=""""),"""",IFERROR(IF(K5824="""","""",query('tbl user'!$A$2:$D10975,""SELECT A WHERE D = '""&amp;K5824&amp;""'"")),""USER TIDAK DIKETAHUI""))"),"")</f>
        <v/>
      </c>
    </row>
    <row r="5825">
      <c r="A5825" s="21" t="str">
        <f t="shared" si="3"/>
        <v/>
      </c>
      <c r="B5825" s="38"/>
      <c r="C5825" s="23" t="s">
        <v>1990</v>
      </c>
      <c r="D5825" s="23" t="s">
        <v>32</v>
      </c>
      <c r="E5825" s="24">
        <v>45485.0</v>
      </c>
      <c r="F5825" s="25">
        <v>0.2513888888888889</v>
      </c>
      <c r="G5825" s="25">
        <v>0.6958333333333333</v>
      </c>
      <c r="H5825" s="27">
        <f t="shared" si="4"/>
        <v>0.4444444444</v>
      </c>
      <c r="I5825" s="28">
        <v>4.0</v>
      </c>
      <c r="J5825" s="39" t="s">
        <v>55</v>
      </c>
      <c r="K5825" s="41"/>
      <c r="L5825" s="31" t="str">
        <f>IFERROR(__xludf.DUMMYFUNCTION("IF(OR(E5825="""",K5825=""""),"""",IFERROR(IF(K5825="""","""",query('tbl user'!$A$2:$D10975,""SELECT A WHERE D = '""&amp;K5825&amp;""'"")),""USER TIDAK DIKETAHUI""))"),"")</f>
        <v/>
      </c>
    </row>
    <row r="5826">
      <c r="A5826" s="21" t="str">
        <f t="shared" si="3"/>
        <v/>
      </c>
      <c r="B5826" s="38"/>
      <c r="C5826" s="23" t="s">
        <v>1903</v>
      </c>
      <c r="D5826" s="23" t="s">
        <v>32</v>
      </c>
      <c r="E5826" s="24">
        <v>45485.0</v>
      </c>
      <c r="F5826" s="25">
        <v>0.21944444444444444</v>
      </c>
      <c r="G5826" s="25">
        <v>0.7090277777777778</v>
      </c>
      <c r="H5826" s="27">
        <f t="shared" si="4"/>
        <v>0.4895833333</v>
      </c>
      <c r="I5826" s="28">
        <v>4.0</v>
      </c>
      <c r="J5826" s="39" t="s">
        <v>55</v>
      </c>
      <c r="K5826" s="41"/>
      <c r="L5826" s="31" t="str">
        <f>IFERROR(__xludf.DUMMYFUNCTION("IF(OR(E5826="""",K5826=""""),"""",IFERROR(IF(K5826="""","""",query('tbl user'!$A$2:$D10975,""SELECT A WHERE D = '""&amp;K5826&amp;""'"")),""USER TIDAK DIKETAHUI""))"),"")</f>
        <v/>
      </c>
    </row>
    <row r="5827">
      <c r="A5827" s="21" t="str">
        <f t="shared" si="3"/>
        <v/>
      </c>
      <c r="B5827" s="38"/>
      <c r="C5827" s="23" t="s">
        <v>1907</v>
      </c>
      <c r="D5827" s="23" t="s">
        <v>32</v>
      </c>
      <c r="E5827" s="24">
        <v>45485.0</v>
      </c>
      <c r="F5827" s="25">
        <v>0.28888888888888886</v>
      </c>
      <c r="G5827" s="25">
        <v>0.7131944444444445</v>
      </c>
      <c r="H5827" s="27">
        <f t="shared" si="4"/>
        <v>0.4243055556</v>
      </c>
      <c r="I5827" s="28">
        <v>4.0</v>
      </c>
      <c r="J5827" s="39" t="s">
        <v>55</v>
      </c>
      <c r="K5827" s="41"/>
      <c r="L5827" s="31" t="str">
        <f>IFERROR(__xludf.DUMMYFUNCTION("IF(OR(E5827="""",K5827=""""),"""",IFERROR(IF(K5827="""","""",query('tbl user'!$A$2:$D10975,""SELECT A WHERE D = '""&amp;K5827&amp;""'"")),""USER TIDAK DIKETAHUI""))"),"")</f>
        <v/>
      </c>
    </row>
    <row r="5828">
      <c r="A5828" s="21" t="str">
        <f t="shared" si="3"/>
        <v/>
      </c>
      <c r="B5828" s="38"/>
      <c r="C5828" s="23" t="s">
        <v>1908</v>
      </c>
      <c r="D5828" s="23" t="s">
        <v>32</v>
      </c>
      <c r="E5828" s="24">
        <v>45485.0</v>
      </c>
      <c r="F5828" s="25">
        <v>0.275</v>
      </c>
      <c r="G5828" s="25">
        <v>0.7097222222222223</v>
      </c>
      <c r="H5828" s="27">
        <f t="shared" si="4"/>
        <v>0.4347222222</v>
      </c>
      <c r="I5828" s="28">
        <v>3.0</v>
      </c>
      <c r="J5828" s="39" t="s">
        <v>2635</v>
      </c>
      <c r="K5828" s="41"/>
      <c r="L5828" s="31" t="str">
        <f>IFERROR(__xludf.DUMMYFUNCTION("IF(OR(E5828="""",K5828=""""),"""",IFERROR(IF(K5828="""","""",query('tbl user'!$A$2:$D10975,""SELECT A WHERE D = '""&amp;K5828&amp;""'"")),""USER TIDAK DIKETAHUI""))"),"")</f>
        <v/>
      </c>
    </row>
    <row r="5829">
      <c r="A5829" s="21" t="str">
        <f t="shared" si="3"/>
        <v/>
      </c>
      <c r="B5829" s="38"/>
      <c r="C5829" s="23" t="s">
        <v>2888</v>
      </c>
      <c r="D5829" s="23" t="s">
        <v>32</v>
      </c>
      <c r="E5829" s="24">
        <v>45485.0</v>
      </c>
      <c r="F5829" s="25">
        <v>0.23680555555555555</v>
      </c>
      <c r="G5829" s="25">
        <v>0.7152777777777778</v>
      </c>
      <c r="H5829" s="27">
        <f t="shared" si="4"/>
        <v>0.4784722222</v>
      </c>
      <c r="I5829" s="28">
        <v>4.0</v>
      </c>
      <c r="J5829" s="39" t="s">
        <v>55</v>
      </c>
      <c r="K5829" s="41"/>
      <c r="L5829" s="31" t="str">
        <f>IFERROR(__xludf.DUMMYFUNCTION("IF(OR(E5829="""",K5829=""""),"""",IFERROR(IF(K5829="""","""",query('tbl user'!$A$2:$D10975,""SELECT A WHERE D = '""&amp;K5829&amp;""'"")),""USER TIDAK DIKETAHUI""))"),"")</f>
        <v/>
      </c>
    </row>
    <row r="5830">
      <c r="A5830" s="21" t="str">
        <f t="shared" si="3"/>
        <v/>
      </c>
      <c r="B5830" s="38"/>
      <c r="C5830" s="23" t="s">
        <v>1900</v>
      </c>
      <c r="D5830" s="23" t="s">
        <v>32</v>
      </c>
      <c r="E5830" s="24">
        <v>45485.0</v>
      </c>
      <c r="F5830" s="25">
        <v>0.24513888888888888</v>
      </c>
      <c r="G5830" s="25">
        <v>0.7270833333333333</v>
      </c>
      <c r="H5830" s="27">
        <f t="shared" si="4"/>
        <v>0.4819444444</v>
      </c>
      <c r="I5830" s="28">
        <v>4.0</v>
      </c>
      <c r="J5830" s="39" t="s">
        <v>55</v>
      </c>
      <c r="K5830" s="41"/>
      <c r="L5830" s="31" t="str">
        <f>IFERROR(__xludf.DUMMYFUNCTION("IF(OR(E5830="""",K5830=""""),"""",IFERROR(IF(K5830="""","""",query('tbl user'!$A$2:$D10975,""SELECT A WHERE D = '""&amp;K5830&amp;""'"")),""USER TIDAK DIKETAHUI""))"),"")</f>
        <v/>
      </c>
    </row>
    <row r="5831">
      <c r="A5831" s="21" t="str">
        <f t="shared" si="3"/>
        <v/>
      </c>
      <c r="B5831" s="38"/>
      <c r="C5831" s="23" t="s">
        <v>2136</v>
      </c>
      <c r="D5831" s="23" t="s">
        <v>21</v>
      </c>
      <c r="E5831" s="24">
        <v>45486.0</v>
      </c>
      <c r="F5831" s="25">
        <v>0.27361111111111114</v>
      </c>
      <c r="G5831" s="25">
        <v>0.46319444444444446</v>
      </c>
      <c r="H5831" s="27">
        <f t="shared" si="4"/>
        <v>0.1895833333</v>
      </c>
      <c r="I5831" s="28">
        <v>1.0</v>
      </c>
      <c r="J5831" s="39" t="s">
        <v>2889</v>
      </c>
      <c r="K5831" s="41"/>
      <c r="L5831" s="31" t="str">
        <f>IFERROR(__xludf.DUMMYFUNCTION("IF(OR(E5831="""",K5831=""""),"""",IFERROR(IF(K5831="""","""",query('tbl user'!$A$2:$D10975,""SELECT A WHERE D = '""&amp;K5831&amp;""'"")),""USER TIDAK DIKETAHUI""))"),"")</f>
        <v/>
      </c>
    </row>
    <row r="5832">
      <c r="A5832" s="21" t="str">
        <f t="shared" si="3"/>
        <v/>
      </c>
      <c r="B5832" s="38"/>
      <c r="C5832" s="23" t="s">
        <v>1857</v>
      </c>
      <c r="D5832" s="23" t="s">
        <v>21</v>
      </c>
      <c r="E5832" s="24">
        <v>45486.0</v>
      </c>
      <c r="F5832" s="25">
        <v>0.26875</v>
      </c>
      <c r="G5832" s="25">
        <v>0.4534722222222222</v>
      </c>
      <c r="H5832" s="27">
        <f t="shared" si="4"/>
        <v>0.1847222222</v>
      </c>
      <c r="I5832" s="28">
        <v>1.0</v>
      </c>
      <c r="J5832" s="39" t="s">
        <v>2890</v>
      </c>
      <c r="K5832" s="41"/>
      <c r="L5832" s="31" t="str">
        <f>IFERROR(__xludf.DUMMYFUNCTION("IF(OR(E5832="""",K5832=""""),"""",IFERROR(IF(K5832="""","""",query('tbl user'!$A$2:$D10975,""SELECT A WHERE D = '""&amp;K5832&amp;""'"")),""USER TIDAK DIKETAHUI""))"),"")</f>
        <v/>
      </c>
    </row>
    <row r="5833">
      <c r="A5833" s="21" t="str">
        <f t="shared" si="3"/>
        <v/>
      </c>
      <c r="B5833" s="38"/>
      <c r="C5833" s="23" t="s">
        <v>1851</v>
      </c>
      <c r="D5833" s="23" t="s">
        <v>21</v>
      </c>
      <c r="E5833" s="24">
        <v>45486.0</v>
      </c>
      <c r="F5833" s="25">
        <v>0.3458333333333333</v>
      </c>
      <c r="G5833" s="25">
        <v>0.48194444444444445</v>
      </c>
      <c r="H5833" s="27">
        <f t="shared" si="4"/>
        <v>0.1361111111</v>
      </c>
      <c r="I5833" s="28">
        <v>2.0</v>
      </c>
      <c r="J5833" s="39" t="s">
        <v>2891</v>
      </c>
      <c r="K5833" s="41"/>
      <c r="L5833" s="31" t="str">
        <f>IFERROR(__xludf.DUMMYFUNCTION("IF(OR(E5833="""",K5833=""""),"""",IFERROR(IF(K5833="""","""",query('tbl user'!$A$2:$D10975,""SELECT A WHERE D = '""&amp;K5833&amp;""'"")),""USER TIDAK DIKETAHUI""))"),"")</f>
        <v/>
      </c>
    </row>
    <row r="5834">
      <c r="A5834" s="21" t="str">
        <f t="shared" si="3"/>
        <v/>
      </c>
      <c r="B5834" s="38"/>
      <c r="C5834" s="23" t="s">
        <v>1853</v>
      </c>
      <c r="D5834" s="23" t="s">
        <v>21</v>
      </c>
      <c r="E5834" s="24">
        <v>45486.0</v>
      </c>
      <c r="F5834" s="25">
        <v>0.30069444444444443</v>
      </c>
      <c r="G5834" s="25">
        <v>0.6527777777777778</v>
      </c>
      <c r="H5834" s="27">
        <f t="shared" si="4"/>
        <v>0.3520833333</v>
      </c>
      <c r="I5834" s="28">
        <v>2.0</v>
      </c>
      <c r="J5834" s="39" t="s">
        <v>2892</v>
      </c>
      <c r="K5834" s="41"/>
      <c r="L5834" s="31" t="str">
        <f>IFERROR(__xludf.DUMMYFUNCTION("IF(OR(E5834="""",K5834=""""),"""",IFERROR(IF(K5834="""","""",query('tbl user'!$A$2:$D10975,""SELECT A WHERE D = '""&amp;K5834&amp;""'"")),""USER TIDAK DIKETAHUI""))"),"")</f>
        <v/>
      </c>
    </row>
    <row r="5835">
      <c r="A5835" s="21" t="str">
        <f t="shared" si="3"/>
        <v/>
      </c>
      <c r="B5835" s="38"/>
      <c r="C5835" s="23" t="s">
        <v>1920</v>
      </c>
      <c r="D5835" s="23" t="s">
        <v>21</v>
      </c>
      <c r="E5835" s="24">
        <v>45486.0</v>
      </c>
      <c r="F5835" s="25">
        <v>0.3680555555555556</v>
      </c>
      <c r="G5835" s="25">
        <v>0.6597222222222222</v>
      </c>
      <c r="H5835" s="27">
        <f t="shared" si="4"/>
        <v>0.2916666667</v>
      </c>
      <c r="I5835" s="28">
        <v>2.0</v>
      </c>
      <c r="J5835" s="39" t="s">
        <v>2893</v>
      </c>
      <c r="K5835" s="41"/>
      <c r="L5835" s="31" t="str">
        <f>IFERROR(__xludf.DUMMYFUNCTION("IF(OR(E5835="""",K5835=""""),"""",IFERROR(IF(K5835="""","""",query('tbl user'!$A$2:$D10975,""SELECT A WHERE D = '""&amp;K5835&amp;""'"")),""USER TIDAK DIKETAHUI""))"),"")</f>
        <v/>
      </c>
    </row>
    <row r="5836">
      <c r="A5836" s="21" t="str">
        <f t="shared" si="3"/>
        <v/>
      </c>
      <c r="B5836" s="38"/>
      <c r="C5836" s="23" t="s">
        <v>2628</v>
      </c>
      <c r="D5836" s="23" t="s">
        <v>21</v>
      </c>
      <c r="E5836" s="24">
        <v>45486.0</v>
      </c>
      <c r="F5836" s="25">
        <v>0.28958333333333336</v>
      </c>
      <c r="G5836" s="25">
        <v>0.6215277777777778</v>
      </c>
      <c r="H5836" s="27">
        <f t="shared" si="4"/>
        <v>0.3319444444</v>
      </c>
      <c r="I5836" s="28">
        <v>2.0</v>
      </c>
      <c r="J5836" s="39" t="s">
        <v>2894</v>
      </c>
      <c r="K5836" s="41"/>
      <c r="L5836" s="31" t="str">
        <f>IFERROR(__xludf.DUMMYFUNCTION("IF(OR(E5836="""",K5836=""""),"""",IFERROR(IF(K5836="""","""",query('tbl user'!$A$2:$D10975,""SELECT A WHERE D = '""&amp;K5836&amp;""'"")),""USER TIDAK DIKETAHUI""))"),"")</f>
        <v/>
      </c>
    </row>
    <row r="5837">
      <c r="A5837" s="21" t="str">
        <f t="shared" si="3"/>
        <v/>
      </c>
      <c r="B5837" s="38"/>
      <c r="C5837" s="23" t="s">
        <v>1844</v>
      </c>
      <c r="D5837" s="23" t="s">
        <v>21</v>
      </c>
      <c r="E5837" s="24">
        <v>45486.0</v>
      </c>
      <c r="F5837" s="25">
        <v>0.25069444444444444</v>
      </c>
      <c r="G5837" s="25">
        <v>0.5625</v>
      </c>
      <c r="H5837" s="27">
        <f t="shared" si="4"/>
        <v>0.3118055556</v>
      </c>
      <c r="I5837" s="28">
        <v>2.0</v>
      </c>
      <c r="J5837" s="39" t="s">
        <v>598</v>
      </c>
      <c r="K5837" s="41"/>
      <c r="L5837" s="31" t="str">
        <f>IFERROR(__xludf.DUMMYFUNCTION("IF(OR(E5837="""",K5837=""""),"""",IFERROR(IF(K5837="""","""",query('tbl user'!$A$2:$D10975,""SELECT A WHERE D = '""&amp;K5837&amp;""'"")),""USER TIDAK DIKETAHUI""))"),"")</f>
        <v/>
      </c>
    </row>
    <row r="5838">
      <c r="A5838" s="21" t="str">
        <f t="shared" si="3"/>
        <v/>
      </c>
      <c r="B5838" s="38"/>
      <c r="C5838" s="23" t="s">
        <v>1925</v>
      </c>
      <c r="D5838" s="23" t="s">
        <v>21</v>
      </c>
      <c r="E5838" s="24">
        <v>45486.0</v>
      </c>
      <c r="F5838" s="25">
        <v>0.2548611111111111</v>
      </c>
      <c r="G5838" s="25">
        <v>0.5506944444444445</v>
      </c>
      <c r="H5838" s="27">
        <f t="shared" si="4"/>
        <v>0.2958333333</v>
      </c>
      <c r="I5838" s="28">
        <v>2.0</v>
      </c>
      <c r="J5838" s="39" t="s">
        <v>2895</v>
      </c>
      <c r="K5838" s="41"/>
      <c r="L5838" s="31" t="str">
        <f>IFERROR(__xludf.DUMMYFUNCTION("IF(OR(E5838="""",K5838=""""),"""",IFERROR(IF(K5838="""","""",query('tbl user'!$A$2:$D10975,""SELECT A WHERE D = '""&amp;K5838&amp;""'"")),""USER TIDAK DIKETAHUI""))"),"")</f>
        <v/>
      </c>
    </row>
    <row r="5839">
      <c r="A5839" s="21" t="str">
        <f t="shared" si="3"/>
        <v/>
      </c>
      <c r="B5839" s="38"/>
      <c r="C5839" s="23" t="s">
        <v>2002</v>
      </c>
      <c r="D5839" s="23" t="s">
        <v>21</v>
      </c>
      <c r="E5839" s="24">
        <v>45486.0</v>
      </c>
      <c r="F5839" s="25">
        <v>0.2791666666666667</v>
      </c>
      <c r="G5839" s="25">
        <v>0.7055555555555556</v>
      </c>
      <c r="H5839" s="27">
        <f t="shared" si="4"/>
        <v>0.4263888889</v>
      </c>
      <c r="I5839" s="28">
        <v>3.0</v>
      </c>
      <c r="J5839" s="39" t="s">
        <v>213</v>
      </c>
      <c r="K5839" s="41"/>
      <c r="L5839" s="31" t="str">
        <f>IFERROR(__xludf.DUMMYFUNCTION("IF(OR(E5839="""",K5839=""""),"""",IFERROR(IF(K5839="""","""",query('tbl user'!$A$2:$D10975,""SELECT A WHERE D = '""&amp;K5839&amp;""'"")),""USER TIDAK DIKETAHUI""))"),"")</f>
        <v/>
      </c>
    </row>
    <row r="5840">
      <c r="A5840" s="21" t="str">
        <f t="shared" si="3"/>
        <v/>
      </c>
      <c r="B5840" s="38"/>
      <c r="C5840" s="23" t="s">
        <v>1845</v>
      </c>
      <c r="D5840" s="23" t="s">
        <v>21</v>
      </c>
      <c r="E5840" s="24">
        <v>45486.0</v>
      </c>
      <c r="F5840" s="25">
        <v>0.2375</v>
      </c>
      <c r="G5840" s="25">
        <v>0.6729166666666667</v>
      </c>
      <c r="H5840" s="27">
        <f t="shared" si="4"/>
        <v>0.4354166667</v>
      </c>
      <c r="I5840" s="28">
        <v>3.0</v>
      </c>
      <c r="J5840" s="39" t="s">
        <v>213</v>
      </c>
      <c r="K5840" s="41"/>
      <c r="L5840" s="31" t="str">
        <f>IFERROR(__xludf.DUMMYFUNCTION("IF(OR(E5840="""",K5840=""""),"""",IFERROR(IF(K5840="""","""",query('tbl user'!$A$2:$D10975,""SELECT A WHERE D = '""&amp;K5840&amp;""'"")),""USER TIDAK DIKETAHUI""))"),"")</f>
        <v/>
      </c>
    </row>
    <row r="5841">
      <c r="A5841" s="21" t="str">
        <f t="shared" si="3"/>
        <v/>
      </c>
      <c r="B5841" s="38"/>
      <c r="C5841" s="23" t="s">
        <v>1837</v>
      </c>
      <c r="D5841" s="23" t="s">
        <v>21</v>
      </c>
      <c r="E5841" s="24">
        <v>45486.0</v>
      </c>
      <c r="F5841" s="25">
        <v>0.26666666666666666</v>
      </c>
      <c r="G5841" s="25">
        <v>0.6673611111111111</v>
      </c>
      <c r="H5841" s="27">
        <f t="shared" si="4"/>
        <v>0.4006944444</v>
      </c>
      <c r="I5841" s="28">
        <v>3.0</v>
      </c>
      <c r="J5841" s="39" t="s">
        <v>2896</v>
      </c>
      <c r="K5841" s="41"/>
      <c r="L5841" s="31" t="str">
        <f>IFERROR(__xludf.DUMMYFUNCTION("IF(OR(E5841="""",K5841=""""),"""",IFERROR(IF(K5841="""","""",query('tbl user'!$A$2:$D10975,""SELECT A WHERE D = '""&amp;K5841&amp;""'"")),""USER TIDAK DIKETAHUI""))"),"")</f>
        <v/>
      </c>
    </row>
    <row r="5842">
      <c r="A5842" s="21" t="str">
        <f t="shared" si="3"/>
        <v/>
      </c>
      <c r="B5842" s="38"/>
      <c r="C5842" s="23" t="s">
        <v>1858</v>
      </c>
      <c r="D5842" s="23" t="s">
        <v>21</v>
      </c>
      <c r="E5842" s="24">
        <v>45486.0</v>
      </c>
      <c r="F5842" s="25">
        <v>0.3909722222222222</v>
      </c>
      <c r="G5842" s="25">
        <v>0.7333333333333333</v>
      </c>
      <c r="H5842" s="27">
        <f t="shared" si="4"/>
        <v>0.3423611111</v>
      </c>
      <c r="I5842" s="28">
        <v>3.0</v>
      </c>
      <c r="J5842" s="39" t="s">
        <v>2897</v>
      </c>
      <c r="K5842" s="41"/>
      <c r="L5842" s="31" t="str">
        <f>IFERROR(__xludf.DUMMYFUNCTION("IF(OR(E5842="""",K5842=""""),"""",IFERROR(IF(K5842="""","""",query('tbl user'!$A$2:$D10975,""SELECT A WHERE D = '""&amp;K5842&amp;""'"")),""USER TIDAK DIKETAHUI""))"),"")</f>
        <v/>
      </c>
    </row>
    <row r="5843">
      <c r="A5843" s="21" t="str">
        <f t="shared" si="3"/>
        <v/>
      </c>
      <c r="B5843" s="38"/>
      <c r="C5843" s="23" t="s">
        <v>1847</v>
      </c>
      <c r="D5843" s="23" t="s">
        <v>21</v>
      </c>
      <c r="E5843" s="24">
        <v>45486.0</v>
      </c>
      <c r="F5843" s="25">
        <v>0.2625</v>
      </c>
      <c r="G5843" s="25">
        <v>0.675</v>
      </c>
      <c r="H5843" s="27">
        <f t="shared" si="4"/>
        <v>0.4125</v>
      </c>
      <c r="I5843" s="28">
        <v>3.0</v>
      </c>
      <c r="J5843" s="39" t="s">
        <v>213</v>
      </c>
      <c r="K5843" s="41"/>
      <c r="L5843" s="31" t="str">
        <f>IFERROR(__xludf.DUMMYFUNCTION("IF(OR(E5843="""",K5843=""""),"""",IFERROR(IF(K5843="""","""",query('tbl user'!$A$2:$D10975,""SELECT A WHERE D = '""&amp;K5843&amp;""'"")),""USER TIDAK DIKETAHUI""))"),"")</f>
        <v/>
      </c>
    </row>
    <row r="5844">
      <c r="A5844" s="21" t="str">
        <f t="shared" si="3"/>
        <v/>
      </c>
      <c r="B5844" s="38"/>
      <c r="C5844" s="23" t="s">
        <v>1849</v>
      </c>
      <c r="D5844" s="23" t="s">
        <v>21</v>
      </c>
      <c r="E5844" s="24">
        <v>45486.0</v>
      </c>
      <c r="F5844" s="25">
        <v>0.26180555555555557</v>
      </c>
      <c r="G5844" s="25">
        <v>0.6770833333333334</v>
      </c>
      <c r="H5844" s="27">
        <f t="shared" si="4"/>
        <v>0.4152777778</v>
      </c>
      <c r="I5844" s="28">
        <v>3.0</v>
      </c>
      <c r="J5844" s="39" t="s">
        <v>213</v>
      </c>
      <c r="K5844" s="41"/>
      <c r="L5844" s="31" t="str">
        <f>IFERROR(__xludf.DUMMYFUNCTION("IF(OR(E5844="""",K5844=""""),"""",IFERROR(IF(K5844="""","""",query('tbl user'!$A$2:$D10975,""SELECT A WHERE D = '""&amp;K5844&amp;""'"")),""USER TIDAK DIKETAHUI""))"),"")</f>
        <v/>
      </c>
    </row>
    <row r="5845">
      <c r="A5845" s="21" t="str">
        <f t="shared" si="3"/>
        <v/>
      </c>
      <c r="B5845" s="38"/>
      <c r="C5845" s="23" t="s">
        <v>1928</v>
      </c>
      <c r="D5845" s="23" t="s">
        <v>21</v>
      </c>
      <c r="E5845" s="24">
        <v>45486.0</v>
      </c>
      <c r="F5845" s="25">
        <v>0.28194444444444444</v>
      </c>
      <c r="G5845" s="25">
        <v>0.7152777777777778</v>
      </c>
      <c r="H5845" s="27">
        <f t="shared" si="4"/>
        <v>0.4333333333</v>
      </c>
      <c r="I5845" s="28">
        <v>3.0</v>
      </c>
      <c r="J5845" s="39" t="s">
        <v>213</v>
      </c>
      <c r="K5845" s="41"/>
      <c r="L5845" s="31" t="str">
        <f>IFERROR(__xludf.DUMMYFUNCTION("IF(OR(E5845="""",K5845=""""),"""",IFERROR(IF(K5845="""","""",query('tbl user'!$A$2:$D10975,""SELECT A WHERE D = '""&amp;K5845&amp;""'"")),""USER TIDAK DIKETAHUI""))"),"")</f>
        <v/>
      </c>
    </row>
    <row r="5846">
      <c r="A5846" s="21" t="str">
        <f t="shared" si="3"/>
        <v/>
      </c>
      <c r="B5846" s="38"/>
      <c r="C5846" s="23" t="s">
        <v>1835</v>
      </c>
      <c r="D5846" s="23" t="s">
        <v>21</v>
      </c>
      <c r="E5846" s="24">
        <v>45486.0</v>
      </c>
      <c r="F5846" s="25">
        <v>0.25277777777777777</v>
      </c>
      <c r="G5846" s="25">
        <v>0.7673611111111112</v>
      </c>
      <c r="H5846" s="27">
        <f t="shared" si="4"/>
        <v>0.5145833333</v>
      </c>
      <c r="I5846" s="28">
        <v>4.0</v>
      </c>
      <c r="J5846" s="39" t="s">
        <v>2898</v>
      </c>
      <c r="K5846" s="41"/>
      <c r="L5846" s="31" t="str">
        <f>IFERROR(__xludf.DUMMYFUNCTION("IF(OR(E5846="""",K5846=""""),"""",IFERROR(IF(K5846="""","""",query('tbl user'!$A$2:$D10975,""SELECT A WHERE D = '""&amp;K5846&amp;""'"")),""USER TIDAK DIKETAHUI""))"),"")</f>
        <v/>
      </c>
    </row>
    <row r="5847">
      <c r="A5847" s="21" t="str">
        <f t="shared" si="3"/>
        <v/>
      </c>
      <c r="B5847" s="38"/>
      <c r="C5847" s="23" t="s">
        <v>2049</v>
      </c>
      <c r="D5847" s="23" t="s">
        <v>21</v>
      </c>
      <c r="E5847" s="24">
        <v>45486.0</v>
      </c>
      <c r="F5847" s="25">
        <v>0.25277777777777777</v>
      </c>
      <c r="G5847" s="25">
        <v>0.7388888888888889</v>
      </c>
      <c r="H5847" s="27">
        <f t="shared" si="4"/>
        <v>0.4861111111</v>
      </c>
      <c r="I5847" s="28">
        <v>4.0</v>
      </c>
      <c r="J5847" s="39" t="s">
        <v>213</v>
      </c>
      <c r="K5847" s="41"/>
      <c r="L5847" s="31" t="str">
        <f>IFERROR(__xludf.DUMMYFUNCTION("IF(OR(E5847="""",K5847=""""),"""",IFERROR(IF(K5847="""","""",query('tbl user'!$A$2:$D10975,""SELECT A WHERE D = '""&amp;K5847&amp;""'"")),""USER TIDAK DIKETAHUI""))"),"")</f>
        <v/>
      </c>
    </row>
    <row r="5848">
      <c r="A5848" s="21" t="str">
        <f t="shared" si="3"/>
        <v/>
      </c>
      <c r="B5848" s="38"/>
      <c r="C5848" s="23" t="s">
        <v>2005</v>
      </c>
      <c r="D5848" s="23" t="s">
        <v>21</v>
      </c>
      <c r="E5848" s="24">
        <v>45486.0</v>
      </c>
      <c r="F5848" s="25">
        <v>0.24583333333333332</v>
      </c>
      <c r="G5848" s="25">
        <v>0.7361111111111112</v>
      </c>
      <c r="H5848" s="27">
        <f t="shared" si="4"/>
        <v>0.4902777778</v>
      </c>
      <c r="I5848" s="28">
        <v>4.0</v>
      </c>
      <c r="J5848" s="39" t="s">
        <v>2899</v>
      </c>
      <c r="K5848" s="41"/>
      <c r="L5848" s="31" t="str">
        <f>IFERROR(__xludf.DUMMYFUNCTION("IF(OR(E5848="""",K5848=""""),"""",IFERROR(IF(K5848="""","""",query('tbl user'!$A$2:$D10975,""SELECT A WHERE D = '""&amp;K5848&amp;""'"")),""USER TIDAK DIKETAHUI""))"),"")</f>
        <v/>
      </c>
    </row>
    <row r="5849">
      <c r="A5849" s="21" t="str">
        <f t="shared" si="3"/>
        <v/>
      </c>
      <c r="B5849" s="38"/>
      <c r="C5849" s="23" t="s">
        <v>1850</v>
      </c>
      <c r="D5849" s="23" t="s">
        <v>21</v>
      </c>
      <c r="E5849" s="24">
        <v>45486.0</v>
      </c>
      <c r="F5849" s="25">
        <v>0.2361111111111111</v>
      </c>
      <c r="G5849" s="25">
        <v>0.7388888888888889</v>
      </c>
      <c r="H5849" s="27">
        <f t="shared" si="4"/>
        <v>0.5027777778</v>
      </c>
      <c r="I5849" s="28">
        <v>4.0</v>
      </c>
      <c r="J5849" s="39" t="s">
        <v>2900</v>
      </c>
      <c r="K5849" s="41"/>
      <c r="L5849" s="31" t="str">
        <f>IFERROR(__xludf.DUMMYFUNCTION("IF(OR(E5849="""",K5849=""""),"""",IFERROR(IF(K5849="""","""",query('tbl user'!$A$2:$D10975,""SELECT A WHERE D = '""&amp;K5849&amp;""'"")),""USER TIDAK DIKETAHUI""))"),"")</f>
        <v/>
      </c>
    </row>
    <row r="5850">
      <c r="A5850" s="21" t="str">
        <f t="shared" si="3"/>
        <v/>
      </c>
      <c r="B5850" s="38"/>
      <c r="C5850" s="23" t="s">
        <v>1852</v>
      </c>
      <c r="D5850" s="23" t="s">
        <v>21</v>
      </c>
      <c r="E5850" s="24">
        <v>45486.0</v>
      </c>
      <c r="F5850" s="25">
        <v>0.22916666666666666</v>
      </c>
      <c r="G5850" s="25">
        <v>0.5465277777777777</v>
      </c>
      <c r="H5850" s="27">
        <f t="shared" si="4"/>
        <v>0.3173611111</v>
      </c>
      <c r="I5850" s="28">
        <v>2.0</v>
      </c>
      <c r="J5850" s="39" t="s">
        <v>2901</v>
      </c>
      <c r="K5850" s="41"/>
      <c r="L5850" s="31" t="str">
        <f>IFERROR(__xludf.DUMMYFUNCTION("IF(OR(E5850="""",K5850=""""),"""",IFERROR(IF(K5850="""","""",query('tbl user'!$A$2:$D10975,""SELECT A WHERE D = '""&amp;K5850&amp;""'"")),""USER TIDAK DIKETAHUI""))"),"")</f>
        <v/>
      </c>
    </row>
    <row r="5851">
      <c r="A5851" s="21" t="str">
        <f t="shared" si="3"/>
        <v/>
      </c>
      <c r="B5851" s="38"/>
      <c r="C5851" s="23" t="s">
        <v>1917</v>
      </c>
      <c r="D5851" s="23" t="s">
        <v>21</v>
      </c>
      <c r="E5851" s="24">
        <v>45486.0</v>
      </c>
      <c r="F5851" s="25">
        <v>0.3263888888888889</v>
      </c>
      <c r="G5851" s="25">
        <v>0.6902777777777778</v>
      </c>
      <c r="H5851" s="27">
        <f t="shared" si="4"/>
        <v>0.3638888889</v>
      </c>
      <c r="I5851" s="28">
        <v>3.0</v>
      </c>
      <c r="J5851" s="39" t="s">
        <v>2902</v>
      </c>
      <c r="K5851" s="41"/>
      <c r="L5851" s="31" t="str">
        <f>IFERROR(__xludf.DUMMYFUNCTION("IF(OR(E5851="""",K5851=""""),"""",IFERROR(IF(K5851="""","""",query('tbl user'!$A$2:$D10975,""SELECT A WHERE D = '""&amp;K5851&amp;""'"")),""USER TIDAK DIKETAHUI""))"),"")</f>
        <v/>
      </c>
    </row>
    <row r="5852">
      <c r="A5852" s="21" t="str">
        <f t="shared" si="3"/>
        <v/>
      </c>
      <c r="B5852" s="38"/>
      <c r="C5852" s="23" t="s">
        <v>1841</v>
      </c>
      <c r="D5852" s="23" t="s">
        <v>21</v>
      </c>
      <c r="E5852" s="24">
        <v>45486.0</v>
      </c>
      <c r="F5852" s="25">
        <v>0.28958333333333336</v>
      </c>
      <c r="G5852" s="25">
        <v>0.6881944444444444</v>
      </c>
      <c r="H5852" s="27">
        <f t="shared" si="4"/>
        <v>0.3986111111</v>
      </c>
      <c r="I5852" s="28">
        <v>3.0</v>
      </c>
      <c r="J5852" s="39" t="s">
        <v>2233</v>
      </c>
      <c r="K5852" s="41"/>
      <c r="L5852" s="31" t="str">
        <f>IFERROR(__xludf.DUMMYFUNCTION("IF(OR(E5852="""",K5852=""""),"""",IFERROR(IF(K5852="""","""",query('tbl user'!$A$2:$D10975,""SELECT A WHERE D = '""&amp;K5852&amp;""'"")),""USER TIDAK DIKETAHUI""))"),"")</f>
        <v/>
      </c>
    </row>
    <row r="5853">
      <c r="A5853" s="21" t="str">
        <f t="shared" si="3"/>
        <v/>
      </c>
      <c r="B5853" s="38"/>
      <c r="C5853" s="23" t="s">
        <v>1877</v>
      </c>
      <c r="D5853" s="23" t="s">
        <v>58</v>
      </c>
      <c r="E5853" s="24">
        <v>45486.0</v>
      </c>
      <c r="F5853" s="25">
        <v>0.23472222222222222</v>
      </c>
      <c r="G5853" s="28" t="s">
        <v>1817</v>
      </c>
      <c r="H5853" s="27" t="str">
        <f t="shared" si="4"/>
        <v/>
      </c>
      <c r="I5853" s="28">
        <v>1.0</v>
      </c>
      <c r="J5853" s="39" t="s">
        <v>2903</v>
      </c>
      <c r="K5853" s="41"/>
      <c r="L5853" s="31" t="str">
        <f>IFERROR(__xludf.DUMMYFUNCTION("IF(OR(E5853="""",K5853=""""),"""",IFERROR(IF(K5853="""","""",query('tbl user'!$A$2:$D10975,""SELECT A WHERE D = '""&amp;K5853&amp;""'"")),""USER TIDAK DIKETAHUI""))"),"")</f>
        <v/>
      </c>
    </row>
    <row r="5854">
      <c r="A5854" s="21" t="str">
        <f t="shared" si="3"/>
        <v/>
      </c>
      <c r="B5854" s="38"/>
      <c r="C5854" s="23" t="s">
        <v>1860</v>
      </c>
      <c r="D5854" s="23" t="s">
        <v>58</v>
      </c>
      <c r="E5854" s="24">
        <v>45486.0</v>
      </c>
      <c r="F5854" s="25">
        <v>0.28194444444444444</v>
      </c>
      <c r="G5854" s="28" t="s">
        <v>1817</v>
      </c>
      <c r="H5854" s="27" t="str">
        <f t="shared" si="4"/>
        <v/>
      </c>
      <c r="I5854" s="28">
        <v>1.0</v>
      </c>
      <c r="J5854" s="39" t="s">
        <v>2904</v>
      </c>
      <c r="K5854" s="41"/>
      <c r="L5854" s="31" t="str">
        <f>IFERROR(__xludf.DUMMYFUNCTION("IF(OR(E5854="""",K5854=""""),"""",IFERROR(IF(K5854="""","""",query('tbl user'!$A$2:$D10975,""SELECT A WHERE D = '""&amp;K5854&amp;""'"")),""USER TIDAK DIKETAHUI""))"),"")</f>
        <v/>
      </c>
    </row>
    <row r="5855">
      <c r="A5855" s="21" t="str">
        <f t="shared" si="3"/>
        <v/>
      </c>
      <c r="B5855" s="38"/>
      <c r="C5855" s="23" t="s">
        <v>1863</v>
      </c>
      <c r="D5855" s="23" t="s">
        <v>58</v>
      </c>
      <c r="E5855" s="24">
        <v>45486.0</v>
      </c>
      <c r="F5855" s="25">
        <v>0.28888888888888886</v>
      </c>
      <c r="G5855" s="28" t="s">
        <v>1817</v>
      </c>
      <c r="H5855" s="27" t="str">
        <f t="shared" si="4"/>
        <v/>
      </c>
      <c r="I5855" s="28">
        <v>1.0</v>
      </c>
      <c r="J5855" s="39" t="s">
        <v>2905</v>
      </c>
      <c r="K5855" s="41"/>
      <c r="L5855" s="31" t="str">
        <f>IFERROR(__xludf.DUMMYFUNCTION("IF(OR(E5855="""",K5855=""""),"""",IFERROR(IF(K5855="""","""",query('tbl user'!$A$2:$D10975,""SELECT A WHERE D = '""&amp;K5855&amp;""'"")),""USER TIDAK DIKETAHUI""))"),"")</f>
        <v/>
      </c>
    </row>
    <row r="5856">
      <c r="A5856" s="21" t="str">
        <f t="shared" si="3"/>
        <v/>
      </c>
      <c r="B5856" s="38"/>
      <c r="C5856" s="23" t="s">
        <v>1890</v>
      </c>
      <c r="D5856" s="23" t="s">
        <v>58</v>
      </c>
      <c r="E5856" s="24">
        <v>45486.0</v>
      </c>
      <c r="F5856" s="25">
        <v>0.2388888888888889</v>
      </c>
      <c r="G5856" s="25">
        <v>0.6576388888888889</v>
      </c>
      <c r="H5856" s="27">
        <f t="shared" si="4"/>
        <v>0.41875</v>
      </c>
      <c r="I5856" s="28">
        <v>1.0</v>
      </c>
      <c r="J5856" s="39" t="s">
        <v>2906</v>
      </c>
      <c r="K5856" s="41"/>
      <c r="L5856" s="31" t="str">
        <f>IFERROR(__xludf.DUMMYFUNCTION("IF(OR(E5856="""",K5856=""""),"""",IFERROR(IF(K5856="""","""",query('tbl user'!$A$2:$D10975,""SELECT A WHERE D = '""&amp;K5856&amp;""'"")),""USER TIDAK DIKETAHUI""))"),"")</f>
        <v/>
      </c>
    </row>
    <row r="5857">
      <c r="A5857" s="21" t="str">
        <f t="shared" si="3"/>
        <v/>
      </c>
      <c r="B5857" s="38"/>
      <c r="C5857" s="23" t="s">
        <v>1861</v>
      </c>
      <c r="D5857" s="23" t="s">
        <v>58</v>
      </c>
      <c r="E5857" s="24">
        <v>45486.0</v>
      </c>
      <c r="F5857" s="25">
        <v>0.49236111111111114</v>
      </c>
      <c r="G5857" s="25">
        <v>0.6527777777777778</v>
      </c>
      <c r="H5857" s="27">
        <f t="shared" si="4"/>
        <v>0.1604166667</v>
      </c>
      <c r="I5857" s="28">
        <v>1.0</v>
      </c>
      <c r="J5857" s="39" t="s">
        <v>2886</v>
      </c>
      <c r="K5857" s="41"/>
      <c r="L5857" s="31" t="str">
        <f>IFERROR(__xludf.DUMMYFUNCTION("IF(OR(E5857="""",K5857=""""),"""",IFERROR(IF(K5857="""","""",query('tbl user'!$A$2:$D10975,""SELECT A WHERE D = '""&amp;K5857&amp;""'"")),""USER TIDAK DIKETAHUI""))"),"")</f>
        <v/>
      </c>
    </row>
    <row r="5858">
      <c r="A5858" s="21" t="str">
        <f t="shared" si="3"/>
        <v/>
      </c>
      <c r="B5858" s="38"/>
      <c r="C5858" s="23" t="s">
        <v>1875</v>
      </c>
      <c r="D5858" s="23" t="s">
        <v>58</v>
      </c>
      <c r="E5858" s="24">
        <v>45486.0</v>
      </c>
      <c r="F5858" s="25">
        <v>0.24930555555555556</v>
      </c>
      <c r="G5858" s="25">
        <v>0.6173611111111111</v>
      </c>
      <c r="H5858" s="27">
        <f t="shared" si="4"/>
        <v>0.3680555556</v>
      </c>
      <c r="I5858" s="28">
        <v>2.0</v>
      </c>
      <c r="J5858" s="39" t="s">
        <v>2907</v>
      </c>
      <c r="K5858" s="41"/>
      <c r="L5858" s="31" t="str">
        <f>IFERROR(__xludf.DUMMYFUNCTION("IF(OR(E5858="""",K5858=""""),"""",IFERROR(IF(K5858="""","""",query('tbl user'!$A$2:$D10975,""SELECT A WHERE D = '""&amp;K5858&amp;""'"")),""USER TIDAK DIKETAHUI""))"),"")</f>
        <v/>
      </c>
    </row>
    <row r="5859">
      <c r="A5859" s="21" t="str">
        <f t="shared" si="3"/>
        <v/>
      </c>
      <c r="B5859" s="38"/>
      <c r="C5859" s="23" t="s">
        <v>1865</v>
      </c>
      <c r="D5859" s="23" t="s">
        <v>58</v>
      </c>
      <c r="E5859" s="24">
        <v>45486.0</v>
      </c>
      <c r="F5859" s="25">
        <v>0.2722222222222222</v>
      </c>
      <c r="G5859" s="25">
        <v>0.6729166666666667</v>
      </c>
      <c r="H5859" s="27">
        <f t="shared" si="4"/>
        <v>0.4006944444</v>
      </c>
      <c r="I5859" s="28">
        <v>2.0</v>
      </c>
      <c r="J5859" s="39" t="s">
        <v>2908</v>
      </c>
      <c r="K5859" s="41"/>
      <c r="L5859" s="31" t="str">
        <f>IFERROR(__xludf.DUMMYFUNCTION("IF(OR(E5859="""",K5859=""""),"""",IFERROR(IF(K5859="""","""",query('tbl user'!$A$2:$D10975,""SELECT A WHERE D = '""&amp;K5859&amp;""'"")),""USER TIDAK DIKETAHUI""))"),"")</f>
        <v/>
      </c>
    </row>
    <row r="5860">
      <c r="A5860" s="21" t="str">
        <f t="shared" si="3"/>
        <v/>
      </c>
      <c r="B5860" s="38"/>
      <c r="C5860" s="23" t="s">
        <v>1867</v>
      </c>
      <c r="D5860" s="23" t="s">
        <v>58</v>
      </c>
      <c r="E5860" s="24">
        <v>45486.0</v>
      </c>
      <c r="F5860" s="25">
        <v>0.3236111111111111</v>
      </c>
      <c r="G5860" s="25">
        <v>0.7069444444444445</v>
      </c>
      <c r="H5860" s="27">
        <f t="shared" si="4"/>
        <v>0.3833333333</v>
      </c>
      <c r="I5860" s="28">
        <v>2.0</v>
      </c>
      <c r="J5860" s="39" t="s">
        <v>2909</v>
      </c>
      <c r="K5860" s="41"/>
      <c r="L5860" s="31" t="str">
        <f>IFERROR(__xludf.DUMMYFUNCTION("IF(OR(E5860="""",K5860=""""),"""",IFERROR(IF(K5860="""","""",query('tbl user'!$A$2:$D10975,""SELECT A WHERE D = '""&amp;K5860&amp;""'"")),""USER TIDAK DIKETAHUI""))"),"")</f>
        <v/>
      </c>
    </row>
    <row r="5861">
      <c r="A5861" s="21" t="str">
        <f t="shared" si="3"/>
        <v/>
      </c>
      <c r="B5861" s="38"/>
      <c r="C5861" s="23" t="s">
        <v>1869</v>
      </c>
      <c r="D5861" s="23" t="s">
        <v>58</v>
      </c>
      <c r="E5861" s="24">
        <v>45486.0</v>
      </c>
      <c r="F5861" s="25">
        <v>0.2875</v>
      </c>
      <c r="G5861" s="25">
        <v>0.6625</v>
      </c>
      <c r="H5861" s="27">
        <f t="shared" si="4"/>
        <v>0.375</v>
      </c>
      <c r="I5861" s="28">
        <v>2.0</v>
      </c>
      <c r="J5861" s="39" t="s">
        <v>2910</v>
      </c>
      <c r="K5861" s="41"/>
      <c r="L5861" s="31" t="str">
        <f>IFERROR(__xludf.DUMMYFUNCTION("IF(OR(E5861="""",K5861=""""),"""",IFERROR(IF(K5861="""","""",query('tbl user'!$A$2:$D10975,""SELECT A WHERE D = '""&amp;K5861&amp;""'"")),""USER TIDAK DIKETAHUI""))"),"")</f>
        <v/>
      </c>
    </row>
    <row r="5862">
      <c r="A5862" s="21" t="str">
        <f t="shared" si="3"/>
        <v/>
      </c>
      <c r="B5862" s="38"/>
      <c r="C5862" s="23" t="s">
        <v>1879</v>
      </c>
      <c r="D5862" s="23" t="s">
        <v>58</v>
      </c>
      <c r="E5862" s="24">
        <v>45486.0</v>
      </c>
      <c r="F5862" s="25">
        <v>0.28125</v>
      </c>
      <c r="G5862" s="25">
        <v>0.6638888888888889</v>
      </c>
      <c r="H5862" s="27">
        <f t="shared" si="4"/>
        <v>0.3826388889</v>
      </c>
      <c r="I5862" s="28">
        <v>2.0</v>
      </c>
      <c r="J5862" s="39" t="s">
        <v>2910</v>
      </c>
      <c r="K5862" s="41"/>
      <c r="L5862" s="31" t="str">
        <f>IFERROR(__xludf.DUMMYFUNCTION("IF(OR(E5862="""",K5862=""""),"""",IFERROR(IF(K5862="""","""",query('tbl user'!$A$2:$D10975,""SELECT A WHERE D = '""&amp;K5862&amp;""'"")),""USER TIDAK DIKETAHUI""))"),"")</f>
        <v/>
      </c>
    </row>
    <row r="5863">
      <c r="A5863" s="21" t="str">
        <f t="shared" si="3"/>
        <v/>
      </c>
      <c r="B5863" s="38"/>
      <c r="C5863" s="23" t="s">
        <v>1881</v>
      </c>
      <c r="D5863" s="23" t="s">
        <v>58</v>
      </c>
      <c r="E5863" s="24">
        <v>45486.0</v>
      </c>
      <c r="F5863" s="25">
        <v>0.2708333333333333</v>
      </c>
      <c r="G5863" s="25">
        <v>0.6430555555555556</v>
      </c>
      <c r="H5863" s="27">
        <f t="shared" si="4"/>
        <v>0.3722222222</v>
      </c>
      <c r="I5863" s="28">
        <v>2.0</v>
      </c>
      <c r="J5863" s="39" t="s">
        <v>2911</v>
      </c>
      <c r="K5863" s="41"/>
      <c r="L5863" s="31" t="str">
        <f>IFERROR(__xludf.DUMMYFUNCTION("IF(OR(E5863="""",K5863=""""),"""",IFERROR(IF(K5863="""","""",query('tbl user'!$A$2:$D10975,""SELECT A WHERE D = '""&amp;K5863&amp;""'"")),""USER TIDAK DIKETAHUI""))"),"")</f>
        <v/>
      </c>
    </row>
    <row r="5864">
      <c r="A5864" s="21" t="str">
        <f t="shared" si="3"/>
        <v/>
      </c>
      <c r="B5864" s="38"/>
      <c r="C5864" s="23" t="s">
        <v>1884</v>
      </c>
      <c r="D5864" s="23" t="s">
        <v>58</v>
      </c>
      <c r="E5864" s="24">
        <v>45486.0</v>
      </c>
      <c r="F5864" s="25">
        <v>0.23402777777777778</v>
      </c>
      <c r="G5864" s="25">
        <v>0.5777777777777777</v>
      </c>
      <c r="H5864" s="27">
        <f t="shared" si="4"/>
        <v>0.34375</v>
      </c>
      <c r="I5864" s="28">
        <v>2.0</v>
      </c>
      <c r="J5864" s="39" t="s">
        <v>585</v>
      </c>
      <c r="K5864" s="41"/>
      <c r="L5864" s="31" t="str">
        <f>IFERROR(__xludf.DUMMYFUNCTION("IF(OR(E5864="""",K5864=""""),"""",IFERROR(IF(K5864="""","""",query('tbl user'!$A$2:$D10975,""SELECT A WHERE D = '""&amp;K5864&amp;""'"")),""USER TIDAK DIKETAHUI""))"),"")</f>
        <v/>
      </c>
    </row>
    <row r="5865">
      <c r="A5865" s="21" t="str">
        <f t="shared" si="3"/>
        <v/>
      </c>
      <c r="B5865" s="38"/>
      <c r="C5865" s="23" t="s">
        <v>1887</v>
      </c>
      <c r="D5865" s="23" t="s">
        <v>58</v>
      </c>
      <c r="E5865" s="24">
        <v>45486.0</v>
      </c>
      <c r="F5865" s="25">
        <v>0.2791666666666667</v>
      </c>
      <c r="G5865" s="25">
        <v>0.6888888888888889</v>
      </c>
      <c r="H5865" s="27">
        <f t="shared" si="4"/>
        <v>0.4097222222</v>
      </c>
      <c r="I5865" s="28">
        <v>2.0</v>
      </c>
      <c r="J5865" s="39" t="s">
        <v>2912</v>
      </c>
      <c r="K5865" s="41"/>
      <c r="L5865" s="31" t="str">
        <f>IFERROR(__xludf.DUMMYFUNCTION("IF(OR(E5865="""",K5865=""""),"""",IFERROR(IF(K5865="""","""",query('tbl user'!$A$2:$D10975,""SELECT A WHERE D = '""&amp;K5865&amp;""'"")),""USER TIDAK DIKETAHUI""))"),"")</f>
        <v/>
      </c>
    </row>
    <row r="5866">
      <c r="A5866" s="21" t="str">
        <f t="shared" si="3"/>
        <v/>
      </c>
      <c r="B5866" s="38"/>
      <c r="C5866" s="23" t="s">
        <v>1871</v>
      </c>
      <c r="D5866" s="23" t="s">
        <v>58</v>
      </c>
      <c r="E5866" s="24">
        <v>45486.0</v>
      </c>
      <c r="F5866" s="25">
        <v>0.2611111111111111</v>
      </c>
      <c r="G5866" s="25">
        <v>0.6527777777777778</v>
      </c>
      <c r="H5866" s="27">
        <f t="shared" si="4"/>
        <v>0.3916666667</v>
      </c>
      <c r="I5866" s="28">
        <v>2.0</v>
      </c>
      <c r="J5866" s="39" t="s">
        <v>2910</v>
      </c>
      <c r="K5866" s="41"/>
      <c r="L5866" s="31" t="str">
        <f>IFERROR(__xludf.DUMMYFUNCTION("IF(OR(E5866="""",K5866=""""),"""",IFERROR(IF(K5866="""","""",query('tbl user'!$A$2:$D10975,""SELECT A WHERE D = '""&amp;K5866&amp;""'"")),""USER TIDAK DIKETAHUI""))"),"")</f>
        <v/>
      </c>
    </row>
    <row r="5867">
      <c r="A5867" s="21" t="str">
        <f t="shared" si="3"/>
        <v/>
      </c>
      <c r="B5867" s="38"/>
      <c r="C5867" s="23" t="s">
        <v>1872</v>
      </c>
      <c r="D5867" s="23" t="s">
        <v>58</v>
      </c>
      <c r="E5867" s="24">
        <v>45486.0</v>
      </c>
      <c r="F5867" s="25">
        <v>0.24097222222222223</v>
      </c>
      <c r="G5867" s="25">
        <v>0.60625</v>
      </c>
      <c r="H5867" s="27">
        <f t="shared" si="4"/>
        <v>0.3652777778</v>
      </c>
      <c r="I5867" s="28">
        <v>2.0</v>
      </c>
      <c r="J5867" s="39" t="s">
        <v>2913</v>
      </c>
      <c r="K5867" s="41"/>
      <c r="L5867" s="31" t="str">
        <f>IFERROR(__xludf.DUMMYFUNCTION("IF(OR(E5867="""",K5867=""""),"""",IFERROR(IF(K5867="""","""",query('tbl user'!$A$2:$D10975,""SELECT A WHERE D = '""&amp;K5867&amp;""'"")),""USER TIDAK DIKETAHUI""))"),"")</f>
        <v/>
      </c>
    </row>
    <row r="5868">
      <c r="A5868" s="21" t="str">
        <f t="shared" si="3"/>
        <v/>
      </c>
      <c r="B5868" s="38"/>
      <c r="C5868" s="23" t="s">
        <v>2090</v>
      </c>
      <c r="D5868" s="23" t="s">
        <v>58</v>
      </c>
      <c r="E5868" s="24">
        <v>45486.0</v>
      </c>
      <c r="F5868" s="25">
        <v>0.26666666666666666</v>
      </c>
      <c r="G5868" s="25">
        <v>0.6951388888888889</v>
      </c>
      <c r="H5868" s="27">
        <f t="shared" si="4"/>
        <v>0.4284722222</v>
      </c>
      <c r="I5868" s="28">
        <v>2.0</v>
      </c>
      <c r="J5868" s="39" t="s">
        <v>2910</v>
      </c>
      <c r="K5868" s="41"/>
      <c r="L5868" s="31" t="str">
        <f>IFERROR(__xludf.DUMMYFUNCTION("IF(OR(E5868="""",K5868=""""),"""",IFERROR(IF(K5868="""","""",query('tbl user'!$A$2:$D10975,""SELECT A WHERE D = '""&amp;K5868&amp;""'"")),""USER TIDAK DIKETAHUI""))"),"")</f>
        <v/>
      </c>
    </row>
    <row r="5869">
      <c r="A5869" s="21" t="str">
        <f t="shared" si="3"/>
        <v/>
      </c>
      <c r="B5869" s="38"/>
      <c r="C5869" s="23" t="s">
        <v>1941</v>
      </c>
      <c r="D5869" s="23" t="s">
        <v>58</v>
      </c>
      <c r="E5869" s="24">
        <v>45486.0</v>
      </c>
      <c r="F5869" s="25">
        <v>0.24583333333333332</v>
      </c>
      <c r="G5869" s="25">
        <v>0.7326388888888888</v>
      </c>
      <c r="H5869" s="27">
        <f t="shared" si="4"/>
        <v>0.4868055556</v>
      </c>
      <c r="I5869" s="28">
        <v>3.0</v>
      </c>
      <c r="J5869" s="39" t="s">
        <v>55</v>
      </c>
      <c r="K5869" s="41"/>
      <c r="L5869" s="31" t="str">
        <f>IFERROR(__xludf.DUMMYFUNCTION("IF(OR(E5869="""",K5869=""""),"""",IFERROR(IF(K5869="""","""",query('tbl user'!$A$2:$D10975,""SELECT A WHERE D = '""&amp;K5869&amp;""'"")),""USER TIDAK DIKETAHUI""))"),"")</f>
        <v/>
      </c>
    </row>
    <row r="5870">
      <c r="A5870" s="21" t="str">
        <f t="shared" si="3"/>
        <v/>
      </c>
      <c r="B5870" s="38"/>
      <c r="C5870" s="23" t="s">
        <v>1882</v>
      </c>
      <c r="D5870" s="23" t="s">
        <v>58</v>
      </c>
      <c r="E5870" s="24">
        <v>45486.0</v>
      </c>
      <c r="F5870" s="25">
        <v>0.21319444444444444</v>
      </c>
      <c r="G5870" s="25">
        <v>0.7027777777777777</v>
      </c>
      <c r="H5870" s="27">
        <f t="shared" si="4"/>
        <v>0.4895833333</v>
      </c>
      <c r="I5870" s="28">
        <v>3.0</v>
      </c>
      <c r="J5870" s="39" t="s">
        <v>55</v>
      </c>
      <c r="K5870" s="41"/>
      <c r="L5870" s="31" t="str">
        <f>IFERROR(__xludf.DUMMYFUNCTION("IF(OR(E5870="""",K5870=""""),"""",IFERROR(IF(K5870="""","""",query('tbl user'!$A$2:$D10975,""SELECT A WHERE D = '""&amp;K5870&amp;""'"")),""USER TIDAK DIKETAHUI""))"),"")</f>
        <v/>
      </c>
    </row>
    <row r="5871">
      <c r="A5871" s="21" t="str">
        <f t="shared" si="3"/>
        <v/>
      </c>
      <c r="B5871" s="38"/>
      <c r="C5871" s="23" t="s">
        <v>1950</v>
      </c>
      <c r="D5871" s="23" t="s">
        <v>58</v>
      </c>
      <c r="E5871" s="24">
        <v>45486.0</v>
      </c>
      <c r="F5871" s="25">
        <v>0.2388888888888889</v>
      </c>
      <c r="G5871" s="25">
        <v>0.7152777777777778</v>
      </c>
      <c r="H5871" s="27">
        <f t="shared" si="4"/>
        <v>0.4763888889</v>
      </c>
      <c r="I5871" s="28">
        <v>3.0</v>
      </c>
      <c r="J5871" s="39" t="s">
        <v>55</v>
      </c>
      <c r="K5871" s="41"/>
      <c r="L5871" s="31" t="str">
        <f>IFERROR(__xludf.DUMMYFUNCTION("IF(OR(E5871="""",K5871=""""),"""",IFERROR(IF(K5871="""","""",query('tbl user'!$A$2:$D10975,""SELECT A WHERE D = '""&amp;K5871&amp;""'"")),""USER TIDAK DIKETAHUI""))"),"")</f>
        <v/>
      </c>
    </row>
    <row r="5872">
      <c r="A5872" s="21" t="str">
        <f t="shared" si="3"/>
        <v/>
      </c>
      <c r="B5872" s="38"/>
      <c r="C5872" s="23" t="s">
        <v>1886</v>
      </c>
      <c r="D5872" s="23" t="s">
        <v>58</v>
      </c>
      <c r="E5872" s="24">
        <v>45486.0</v>
      </c>
      <c r="F5872" s="25">
        <v>0.2777777777777778</v>
      </c>
      <c r="G5872" s="25">
        <v>0.7430555555555556</v>
      </c>
      <c r="H5872" s="27">
        <f t="shared" si="4"/>
        <v>0.4652777778</v>
      </c>
      <c r="I5872" s="28">
        <v>3.0</v>
      </c>
      <c r="J5872" s="39" t="s">
        <v>55</v>
      </c>
      <c r="K5872" s="41"/>
      <c r="L5872" s="31" t="str">
        <f>IFERROR(__xludf.DUMMYFUNCTION("IF(OR(E5872="""",K5872=""""),"""",IFERROR(IF(K5872="""","""",query('tbl user'!$A$2:$D10975,""SELECT A WHERE D = '""&amp;K5872&amp;""'"")),""USER TIDAK DIKETAHUI""))"),"")</f>
        <v/>
      </c>
    </row>
    <row r="5873">
      <c r="A5873" s="21" t="str">
        <f t="shared" si="3"/>
        <v/>
      </c>
      <c r="B5873" s="38"/>
      <c r="C5873" s="23" t="s">
        <v>1888</v>
      </c>
      <c r="D5873" s="23" t="s">
        <v>58</v>
      </c>
      <c r="E5873" s="24">
        <v>45486.0</v>
      </c>
      <c r="F5873" s="25">
        <v>0.26875</v>
      </c>
      <c r="G5873" s="25">
        <v>0.7125</v>
      </c>
      <c r="H5873" s="27">
        <f t="shared" si="4"/>
        <v>0.44375</v>
      </c>
      <c r="I5873" s="28">
        <v>3.0</v>
      </c>
      <c r="J5873" s="39" t="s">
        <v>55</v>
      </c>
      <c r="K5873" s="41"/>
      <c r="L5873" s="31" t="str">
        <f>IFERROR(__xludf.DUMMYFUNCTION("IF(OR(E5873="""",K5873=""""),"""",IFERROR(IF(K5873="""","""",query('tbl user'!$A$2:$D10975,""SELECT A WHERE D = '""&amp;K5873&amp;""'"")),""USER TIDAK DIKETAHUI""))"),"")</f>
        <v/>
      </c>
    </row>
    <row r="5874">
      <c r="A5874" s="21" t="str">
        <f t="shared" si="3"/>
        <v/>
      </c>
      <c r="B5874" s="38"/>
      <c r="C5874" s="23" t="s">
        <v>1889</v>
      </c>
      <c r="D5874" s="23" t="s">
        <v>58</v>
      </c>
      <c r="E5874" s="24">
        <v>45486.0</v>
      </c>
      <c r="F5874" s="25">
        <v>0.22916666666666666</v>
      </c>
      <c r="G5874" s="25">
        <v>0.7541666666666667</v>
      </c>
      <c r="H5874" s="27">
        <f t="shared" si="4"/>
        <v>0.525</v>
      </c>
      <c r="I5874" s="28">
        <v>3.0</v>
      </c>
      <c r="J5874" s="39" t="s">
        <v>55</v>
      </c>
      <c r="K5874" s="41"/>
      <c r="L5874" s="31" t="str">
        <f>IFERROR(__xludf.DUMMYFUNCTION("IF(OR(E5874="""",K5874=""""),"""",IFERROR(IF(K5874="""","""",query('tbl user'!$A$2:$D10975,""SELECT A WHERE D = '""&amp;K5874&amp;""'"")),""USER TIDAK DIKETAHUI""))"),"")</f>
        <v/>
      </c>
    </row>
    <row r="5875">
      <c r="A5875" s="21" t="str">
        <f t="shared" si="3"/>
        <v/>
      </c>
      <c r="B5875" s="38"/>
      <c r="C5875" s="23" t="s">
        <v>1892</v>
      </c>
      <c r="D5875" s="23" t="s">
        <v>58</v>
      </c>
      <c r="E5875" s="24">
        <v>45486.0</v>
      </c>
      <c r="F5875" s="25">
        <v>0.20902777777777778</v>
      </c>
      <c r="G5875" s="25">
        <v>0.6923611111111111</v>
      </c>
      <c r="H5875" s="27">
        <f t="shared" si="4"/>
        <v>0.4833333333</v>
      </c>
      <c r="I5875" s="28">
        <v>3.0</v>
      </c>
      <c r="J5875" s="39" t="s">
        <v>55</v>
      </c>
      <c r="K5875" s="41"/>
      <c r="L5875" s="31" t="str">
        <f>IFERROR(__xludf.DUMMYFUNCTION("IF(OR(E5875="""",K5875=""""),"""",IFERROR(IF(K5875="""","""",query('tbl user'!$A$2:$D10975,""SELECT A WHERE D = '""&amp;K5875&amp;""'"")),""USER TIDAK DIKETAHUI""))"),"")</f>
        <v/>
      </c>
    </row>
    <row r="5876">
      <c r="A5876" s="21" t="str">
        <f t="shared" si="3"/>
        <v/>
      </c>
      <c r="B5876" s="38"/>
      <c r="C5876" s="23" t="s">
        <v>1893</v>
      </c>
      <c r="D5876" s="23" t="s">
        <v>58</v>
      </c>
      <c r="E5876" s="24">
        <v>45486.0</v>
      </c>
      <c r="F5876" s="25">
        <v>0.23333333333333334</v>
      </c>
      <c r="G5876" s="25">
        <v>0.7131944444444445</v>
      </c>
      <c r="H5876" s="27">
        <f t="shared" si="4"/>
        <v>0.4798611111</v>
      </c>
      <c r="I5876" s="28">
        <v>3.0</v>
      </c>
      <c r="J5876" s="39" t="s">
        <v>55</v>
      </c>
      <c r="K5876" s="41"/>
      <c r="L5876" s="31" t="str">
        <f>IFERROR(__xludf.DUMMYFUNCTION("IF(OR(E5876="""",K5876=""""),"""",IFERROR(IF(K5876="""","""",query('tbl user'!$A$2:$D10975,""SELECT A WHERE D = '""&amp;K5876&amp;""'"")),""USER TIDAK DIKETAHUI""))"),"")</f>
        <v/>
      </c>
    </row>
    <row r="5877">
      <c r="A5877" s="21" t="str">
        <f t="shared" si="3"/>
        <v/>
      </c>
      <c r="B5877" s="38"/>
      <c r="C5877" s="23" t="s">
        <v>1959</v>
      </c>
      <c r="D5877" s="23" t="s">
        <v>32</v>
      </c>
      <c r="E5877" s="24">
        <v>45486.0</v>
      </c>
      <c r="F5877" s="25">
        <v>0.2875</v>
      </c>
      <c r="G5877" s="25">
        <v>0.6604166666666667</v>
      </c>
      <c r="H5877" s="27">
        <f t="shared" si="4"/>
        <v>0.3729166667</v>
      </c>
      <c r="I5877" s="28">
        <v>2.0</v>
      </c>
      <c r="J5877" s="39" t="s">
        <v>2914</v>
      </c>
      <c r="K5877" s="41"/>
      <c r="L5877" s="31" t="str">
        <f>IFERROR(__xludf.DUMMYFUNCTION("IF(OR(E5877="""",K5877=""""),"""",IFERROR(IF(K5877="""","""",query('tbl user'!$A$2:$D10975,""SELECT A WHERE D = '""&amp;K5877&amp;""'"")),""USER TIDAK DIKETAHUI""))"),"")</f>
        <v/>
      </c>
    </row>
    <row r="5878">
      <c r="A5878" s="21" t="str">
        <f t="shared" si="3"/>
        <v/>
      </c>
      <c r="B5878" s="38"/>
      <c r="C5878" s="23" t="s">
        <v>1966</v>
      </c>
      <c r="D5878" s="23" t="s">
        <v>32</v>
      </c>
      <c r="E5878" s="24">
        <v>45486.0</v>
      </c>
      <c r="F5878" s="25">
        <v>0.23055555555555557</v>
      </c>
      <c r="G5878" s="25">
        <v>0.6923611111111111</v>
      </c>
      <c r="H5878" s="27">
        <f t="shared" si="4"/>
        <v>0.4618055556</v>
      </c>
      <c r="I5878" s="28">
        <v>2.0</v>
      </c>
      <c r="J5878" s="39" t="s">
        <v>2915</v>
      </c>
      <c r="K5878" s="41"/>
      <c r="L5878" s="31" t="str">
        <f>IFERROR(__xludf.DUMMYFUNCTION("IF(OR(E5878="""",K5878=""""),"""",IFERROR(IF(K5878="""","""",query('tbl user'!$A$2:$D10975,""SELECT A WHERE D = '""&amp;K5878&amp;""'"")),""USER TIDAK DIKETAHUI""))"),"")</f>
        <v/>
      </c>
    </row>
    <row r="5879">
      <c r="A5879" s="21" t="str">
        <f t="shared" si="3"/>
        <v/>
      </c>
      <c r="B5879" s="38"/>
      <c r="C5879" s="23" t="s">
        <v>1911</v>
      </c>
      <c r="D5879" s="23" t="s">
        <v>32</v>
      </c>
      <c r="E5879" s="24">
        <v>45486.0</v>
      </c>
      <c r="F5879" s="25">
        <v>0.21805555555555556</v>
      </c>
      <c r="G5879" s="25">
        <v>0.7145833333333333</v>
      </c>
      <c r="H5879" s="27">
        <f t="shared" si="4"/>
        <v>0.4965277778</v>
      </c>
      <c r="I5879" s="28">
        <v>3.0</v>
      </c>
      <c r="J5879" s="39" t="s">
        <v>2916</v>
      </c>
      <c r="K5879" s="41"/>
      <c r="L5879" s="31" t="str">
        <f>IFERROR(__xludf.DUMMYFUNCTION("IF(OR(E5879="""",K5879=""""),"""",IFERROR(IF(K5879="""","""",query('tbl user'!$A$2:$D10975,""SELECT A WHERE D = '""&amp;K5879&amp;""'"")),""USER TIDAK DIKETAHUI""))"),"")</f>
        <v/>
      </c>
    </row>
    <row r="5880">
      <c r="A5880" s="21" t="str">
        <f t="shared" si="3"/>
        <v/>
      </c>
      <c r="B5880" s="38"/>
      <c r="C5880" s="23" t="s">
        <v>1964</v>
      </c>
      <c r="D5880" s="23" t="s">
        <v>32</v>
      </c>
      <c r="E5880" s="24">
        <v>45486.0</v>
      </c>
      <c r="F5880" s="25">
        <v>0.29097222222222224</v>
      </c>
      <c r="G5880" s="25">
        <v>0.7152777777777778</v>
      </c>
      <c r="H5880" s="27">
        <f t="shared" si="4"/>
        <v>0.4243055556</v>
      </c>
      <c r="I5880" s="28">
        <v>3.0</v>
      </c>
      <c r="J5880" s="39" t="s">
        <v>2917</v>
      </c>
      <c r="K5880" s="41"/>
      <c r="L5880" s="31" t="str">
        <f>IFERROR(__xludf.DUMMYFUNCTION("IF(OR(E5880="""",K5880=""""),"""",IFERROR(IF(K5880="""","""",query('tbl user'!$A$2:$D10975,""SELECT A WHERE D = '""&amp;K5880&amp;""'"")),""USER TIDAK DIKETAHUI""))"),"")</f>
        <v/>
      </c>
    </row>
    <row r="5881">
      <c r="A5881" s="21" t="str">
        <f t="shared" si="3"/>
        <v/>
      </c>
      <c r="B5881" s="38"/>
      <c r="C5881" s="23" t="s">
        <v>2252</v>
      </c>
      <c r="D5881" s="23" t="s">
        <v>32</v>
      </c>
      <c r="E5881" s="24">
        <v>45486.0</v>
      </c>
      <c r="F5881" s="25">
        <v>0.2798611111111111</v>
      </c>
      <c r="G5881" s="25">
        <v>0.7166666666666667</v>
      </c>
      <c r="H5881" s="27">
        <f t="shared" si="4"/>
        <v>0.4368055556</v>
      </c>
      <c r="I5881" s="28">
        <v>3.0</v>
      </c>
      <c r="J5881" s="39" t="s">
        <v>2918</v>
      </c>
      <c r="K5881" s="41"/>
      <c r="L5881" s="31" t="str">
        <f>IFERROR(__xludf.DUMMYFUNCTION("IF(OR(E5881="""",K5881=""""),"""",IFERROR(IF(K5881="""","""",query('tbl user'!$A$2:$D10975,""SELECT A WHERE D = '""&amp;K5881&amp;""'"")),""USER TIDAK DIKETAHUI""))"),"")</f>
        <v/>
      </c>
    </row>
    <row r="5882">
      <c r="A5882" s="21" t="str">
        <f t="shared" si="3"/>
        <v/>
      </c>
      <c r="B5882" s="38"/>
      <c r="C5882" s="23" t="s">
        <v>1902</v>
      </c>
      <c r="D5882" s="23" t="s">
        <v>32</v>
      </c>
      <c r="E5882" s="24">
        <v>45486.0</v>
      </c>
      <c r="F5882" s="25">
        <v>0.28194444444444444</v>
      </c>
      <c r="G5882" s="25">
        <v>0.7</v>
      </c>
      <c r="H5882" s="27">
        <f t="shared" si="4"/>
        <v>0.4180555556</v>
      </c>
      <c r="I5882" s="28">
        <v>3.0</v>
      </c>
      <c r="J5882" s="39" t="s">
        <v>2919</v>
      </c>
      <c r="K5882" s="41"/>
      <c r="L5882" s="31" t="str">
        <f>IFERROR(__xludf.DUMMYFUNCTION("IF(OR(E5882="""",K5882=""""),"""",IFERROR(IF(K5882="""","""",query('tbl user'!$A$2:$D10975,""SELECT A WHERE D = '""&amp;K5882&amp;""'"")),""USER TIDAK DIKETAHUI""))"),"")</f>
        <v/>
      </c>
    </row>
    <row r="5883">
      <c r="A5883" s="21" t="str">
        <f t="shared" si="3"/>
        <v/>
      </c>
      <c r="B5883" s="38"/>
      <c r="C5883" s="23" t="s">
        <v>1904</v>
      </c>
      <c r="D5883" s="23" t="s">
        <v>32</v>
      </c>
      <c r="E5883" s="24">
        <v>45486.0</v>
      </c>
      <c r="F5883" s="25">
        <v>0.27291666666666664</v>
      </c>
      <c r="G5883" s="25">
        <v>0.6319444444444444</v>
      </c>
      <c r="H5883" s="27">
        <f t="shared" si="4"/>
        <v>0.3590277778</v>
      </c>
      <c r="I5883" s="28">
        <v>3.0</v>
      </c>
      <c r="J5883" s="39" t="s">
        <v>2920</v>
      </c>
      <c r="K5883" s="41"/>
      <c r="L5883" s="31" t="str">
        <f>IFERROR(__xludf.DUMMYFUNCTION("IF(OR(E5883="""",K5883=""""),"""",IFERROR(IF(K5883="""","""",query('tbl user'!$A$2:$D10975,""SELECT A WHERE D = '""&amp;K5883&amp;""'"")),""USER TIDAK DIKETAHUI""))"),"")</f>
        <v/>
      </c>
    </row>
    <row r="5884">
      <c r="A5884" s="21" t="str">
        <f t="shared" si="3"/>
        <v/>
      </c>
      <c r="B5884" s="38"/>
      <c r="C5884" s="23" t="s">
        <v>1963</v>
      </c>
      <c r="D5884" s="23" t="s">
        <v>32</v>
      </c>
      <c r="E5884" s="24">
        <v>45486.0</v>
      </c>
      <c r="F5884" s="25">
        <v>0.2625</v>
      </c>
      <c r="G5884" s="25">
        <v>0.6958333333333333</v>
      </c>
      <c r="H5884" s="27">
        <f t="shared" si="4"/>
        <v>0.4333333333</v>
      </c>
      <c r="I5884" s="28">
        <v>4.0</v>
      </c>
      <c r="J5884" s="39" t="s">
        <v>55</v>
      </c>
      <c r="K5884" s="41"/>
      <c r="L5884" s="31" t="str">
        <f>IFERROR(__xludf.DUMMYFUNCTION("IF(OR(E5884="""",K5884=""""),"""",IFERROR(IF(K5884="""","""",query('tbl user'!$A$2:$D10975,""SELECT A WHERE D = '""&amp;K5884&amp;""'"")),""USER TIDAK DIKETAHUI""))"),"")</f>
        <v/>
      </c>
    </row>
    <row r="5885">
      <c r="A5885" s="21" t="str">
        <f t="shared" si="3"/>
        <v/>
      </c>
      <c r="B5885" s="38"/>
      <c r="C5885" s="23" t="s">
        <v>2092</v>
      </c>
      <c r="D5885" s="23" t="s">
        <v>32</v>
      </c>
      <c r="E5885" s="24">
        <v>45486.0</v>
      </c>
      <c r="F5885" s="25">
        <v>0.24513888888888888</v>
      </c>
      <c r="G5885" s="25">
        <v>0.6895833333333333</v>
      </c>
      <c r="H5885" s="27">
        <f t="shared" si="4"/>
        <v>0.4444444444</v>
      </c>
      <c r="I5885" s="28">
        <v>4.0</v>
      </c>
      <c r="J5885" s="39" t="s">
        <v>55</v>
      </c>
      <c r="K5885" s="41"/>
      <c r="L5885" s="31" t="str">
        <f>IFERROR(__xludf.DUMMYFUNCTION("IF(OR(E5885="""",K5885=""""),"""",IFERROR(IF(K5885="""","""",query('tbl user'!$A$2:$D10975,""SELECT A WHERE D = '""&amp;K5885&amp;""'"")),""USER TIDAK DIKETAHUI""))"),"")</f>
        <v/>
      </c>
    </row>
    <row r="5886">
      <c r="A5886" s="21" t="str">
        <f t="shared" si="3"/>
        <v/>
      </c>
      <c r="B5886" s="38"/>
      <c r="C5886" s="23" t="s">
        <v>2066</v>
      </c>
      <c r="D5886" s="23" t="s">
        <v>32</v>
      </c>
      <c r="E5886" s="24">
        <v>45486.0</v>
      </c>
      <c r="F5886" s="25">
        <v>0.2777777777777778</v>
      </c>
      <c r="G5886" s="28" t="s">
        <v>1817</v>
      </c>
      <c r="H5886" s="27" t="str">
        <f t="shared" si="4"/>
        <v/>
      </c>
      <c r="I5886" s="28">
        <v>4.0</v>
      </c>
      <c r="J5886" s="39" t="s">
        <v>55</v>
      </c>
      <c r="K5886" s="41"/>
      <c r="L5886" s="31" t="str">
        <f>IFERROR(__xludf.DUMMYFUNCTION("IF(OR(E5886="""",K5886=""""),"""",IFERROR(IF(K5886="""","""",query('tbl user'!$A$2:$D10975,""SELECT A WHERE D = '""&amp;K5886&amp;""'"")),""USER TIDAK DIKETAHUI""))"),"")</f>
        <v/>
      </c>
    </row>
    <row r="5887">
      <c r="A5887" s="21" t="str">
        <f t="shared" si="3"/>
        <v/>
      </c>
      <c r="B5887" s="38"/>
      <c r="C5887" s="23" t="s">
        <v>1894</v>
      </c>
      <c r="D5887" s="23" t="s">
        <v>32</v>
      </c>
      <c r="E5887" s="24">
        <v>45486.0</v>
      </c>
      <c r="F5887" s="25">
        <v>0.2152777777777778</v>
      </c>
      <c r="G5887" s="25">
        <v>0.6638888888888889</v>
      </c>
      <c r="H5887" s="27">
        <f t="shared" si="4"/>
        <v>0.4486111111</v>
      </c>
      <c r="I5887" s="28">
        <v>4.0</v>
      </c>
      <c r="J5887" s="39" t="s">
        <v>55</v>
      </c>
      <c r="K5887" s="41"/>
      <c r="L5887" s="31" t="str">
        <f>IFERROR(__xludf.DUMMYFUNCTION("IF(OR(E5887="""",K5887=""""),"""",IFERROR(IF(K5887="""","""",query('tbl user'!$A$2:$D10975,""SELECT A WHERE D = '""&amp;K5887&amp;""'"")),""USER TIDAK DIKETAHUI""))"),"")</f>
        <v/>
      </c>
    </row>
    <row r="5888">
      <c r="A5888" s="21" t="str">
        <f t="shared" si="3"/>
        <v/>
      </c>
      <c r="B5888" s="38"/>
      <c r="C5888" s="23" t="s">
        <v>1967</v>
      </c>
      <c r="D5888" s="23" t="s">
        <v>32</v>
      </c>
      <c r="E5888" s="24">
        <v>45486.0</v>
      </c>
      <c r="F5888" s="25">
        <v>0.22013888888888888</v>
      </c>
      <c r="G5888" s="25">
        <v>0.6756944444444445</v>
      </c>
      <c r="H5888" s="27">
        <f t="shared" si="4"/>
        <v>0.4555555556</v>
      </c>
      <c r="I5888" s="28">
        <v>4.0</v>
      </c>
      <c r="J5888" s="39" t="s">
        <v>55</v>
      </c>
      <c r="K5888" s="41"/>
      <c r="L5888" s="31" t="str">
        <f>IFERROR(__xludf.DUMMYFUNCTION("IF(OR(E5888="""",K5888=""""),"""",IFERROR(IF(K5888="""","""",query('tbl user'!$A$2:$D10975,""SELECT A WHERE D = '""&amp;K5888&amp;""'"")),""USER TIDAK DIKETAHUI""))"),"")</f>
        <v/>
      </c>
    </row>
    <row r="5889">
      <c r="A5889" s="21" t="str">
        <f t="shared" si="3"/>
        <v/>
      </c>
      <c r="B5889" s="38"/>
      <c r="C5889" s="23" t="s">
        <v>2190</v>
      </c>
      <c r="D5889" s="23" t="s">
        <v>32</v>
      </c>
      <c r="E5889" s="24">
        <v>45486.0</v>
      </c>
      <c r="F5889" s="25">
        <v>0.23958333333333334</v>
      </c>
      <c r="G5889" s="25">
        <v>0.6715277777777777</v>
      </c>
      <c r="H5889" s="27">
        <f t="shared" si="4"/>
        <v>0.4319444444</v>
      </c>
      <c r="I5889" s="28">
        <v>4.0</v>
      </c>
      <c r="J5889" s="39" t="s">
        <v>55</v>
      </c>
      <c r="K5889" s="41"/>
      <c r="L5889" s="31" t="str">
        <f>IFERROR(__xludf.DUMMYFUNCTION("IF(OR(E5889="""",K5889=""""),"""",IFERROR(IF(K5889="""","""",query('tbl user'!$A$2:$D10975,""SELECT A WHERE D = '""&amp;K5889&amp;""'"")),""USER TIDAK DIKETAHUI""))"),"")</f>
        <v/>
      </c>
    </row>
    <row r="5890">
      <c r="A5890" s="21" t="str">
        <f t="shared" si="3"/>
        <v/>
      </c>
      <c r="B5890" s="38"/>
      <c r="C5890" s="23" t="s">
        <v>1912</v>
      </c>
      <c r="D5890" s="23" t="s">
        <v>32</v>
      </c>
      <c r="E5890" s="24">
        <v>45486.0</v>
      </c>
      <c r="F5890" s="25">
        <v>0.21736111111111112</v>
      </c>
      <c r="G5890" s="25">
        <v>0.675</v>
      </c>
      <c r="H5890" s="27">
        <f t="shared" si="4"/>
        <v>0.4576388889</v>
      </c>
      <c r="I5890" s="28">
        <v>4.0</v>
      </c>
      <c r="J5890" s="39" t="s">
        <v>55</v>
      </c>
      <c r="K5890" s="41"/>
      <c r="L5890" s="31" t="str">
        <f>IFERROR(__xludf.DUMMYFUNCTION("IF(OR(E5890="""",K5890=""""),"""",IFERROR(IF(K5890="""","""",query('tbl user'!$A$2:$D10975,""SELECT A WHERE D = '""&amp;K5890&amp;""'"")),""USER TIDAK DIKETAHUI""))"),"")</f>
        <v/>
      </c>
    </row>
    <row r="5891">
      <c r="A5891" s="21" t="str">
        <f t="shared" si="3"/>
        <v/>
      </c>
      <c r="B5891" s="38"/>
      <c r="C5891" s="23" t="s">
        <v>1909</v>
      </c>
      <c r="D5891" s="23" t="s">
        <v>32</v>
      </c>
      <c r="E5891" s="24">
        <v>45486.0</v>
      </c>
      <c r="F5891" s="25">
        <v>0.2833333333333333</v>
      </c>
      <c r="G5891" s="25">
        <v>0.70625</v>
      </c>
      <c r="H5891" s="27">
        <f t="shared" si="4"/>
        <v>0.4229166667</v>
      </c>
      <c r="I5891" s="28">
        <v>4.0</v>
      </c>
      <c r="J5891" s="39" t="s">
        <v>55</v>
      </c>
      <c r="K5891" s="41"/>
      <c r="L5891" s="31" t="str">
        <f>IFERROR(__xludf.DUMMYFUNCTION("IF(OR(E5891="""",K5891=""""),"""",IFERROR(IF(K5891="""","""",query('tbl user'!$A$2:$D10975,""SELECT A WHERE D = '""&amp;K5891&amp;""'"")),""USER TIDAK DIKETAHUI""))"),"")</f>
        <v/>
      </c>
    </row>
    <row r="5892">
      <c r="A5892" s="21" t="str">
        <f t="shared" si="3"/>
        <v/>
      </c>
      <c r="B5892" s="38"/>
      <c r="C5892" s="23" t="s">
        <v>2002</v>
      </c>
      <c r="D5892" s="23" t="s">
        <v>21</v>
      </c>
      <c r="E5892" s="24">
        <v>45487.0</v>
      </c>
      <c r="F5892" s="25">
        <v>0.29097222222222224</v>
      </c>
      <c r="G5892" s="25">
        <v>0.49236111111111114</v>
      </c>
      <c r="H5892" s="27">
        <f t="shared" si="4"/>
        <v>0.2013888889</v>
      </c>
      <c r="I5892" s="28">
        <v>1.0</v>
      </c>
      <c r="J5892" s="39" t="s">
        <v>2921</v>
      </c>
      <c r="K5892" s="41"/>
      <c r="L5892" s="31" t="str">
        <f>IFERROR(__xludf.DUMMYFUNCTION("IF(OR(E5892="""",K5892=""""),"""",IFERROR(IF(K5892="""","""",query('tbl user'!$A$2:$D10975,""SELECT A WHERE D = '""&amp;K5892&amp;""'"")),""USER TIDAK DIKETAHUI""))"),"")</f>
        <v/>
      </c>
    </row>
    <row r="5893">
      <c r="A5893" s="21" t="str">
        <f t="shared" si="3"/>
        <v/>
      </c>
      <c r="B5893" s="38"/>
      <c r="C5893" s="23" t="s">
        <v>1847</v>
      </c>
      <c r="D5893" s="23" t="s">
        <v>21</v>
      </c>
      <c r="E5893" s="24">
        <v>45487.0</v>
      </c>
      <c r="F5893" s="25">
        <v>0.26805555555555555</v>
      </c>
      <c r="G5893" s="25">
        <v>0.4340277777777778</v>
      </c>
      <c r="H5893" s="27">
        <f t="shared" si="4"/>
        <v>0.1659722222</v>
      </c>
      <c r="I5893" s="28">
        <v>1.0</v>
      </c>
      <c r="J5893" s="39" t="s">
        <v>2922</v>
      </c>
      <c r="K5893" s="41"/>
      <c r="L5893" s="31" t="str">
        <f>IFERROR(__xludf.DUMMYFUNCTION("IF(OR(E5893="""",K5893=""""),"""",IFERROR(IF(K5893="""","""",query('tbl user'!$A$2:$D10975,""SELECT A WHERE D = '""&amp;K5893&amp;""'"")),""USER TIDAK DIKETAHUI""))"),"")</f>
        <v/>
      </c>
    </row>
    <row r="5894">
      <c r="A5894" s="21" t="str">
        <f t="shared" si="3"/>
        <v/>
      </c>
      <c r="B5894" s="38"/>
      <c r="C5894" s="23" t="s">
        <v>1849</v>
      </c>
      <c r="D5894" s="23" t="s">
        <v>21</v>
      </c>
      <c r="E5894" s="24">
        <v>45487.0</v>
      </c>
      <c r="F5894" s="25">
        <v>0.2638888888888889</v>
      </c>
      <c r="G5894" s="25">
        <v>0.4375</v>
      </c>
      <c r="H5894" s="27">
        <f t="shared" si="4"/>
        <v>0.1736111111</v>
      </c>
      <c r="I5894" s="28">
        <v>1.0</v>
      </c>
      <c r="J5894" s="39" t="s">
        <v>2923</v>
      </c>
      <c r="K5894" s="41"/>
      <c r="L5894" s="31" t="str">
        <f>IFERROR(__xludf.DUMMYFUNCTION("IF(OR(E5894="""",K5894=""""),"""",IFERROR(IF(K5894="""","""",query('tbl user'!$A$2:$D10975,""SELECT A WHERE D = '""&amp;K5894&amp;""'"")),""USER TIDAK DIKETAHUI""))"),"")</f>
        <v/>
      </c>
    </row>
    <row r="5895">
      <c r="A5895" s="21" t="str">
        <f t="shared" si="3"/>
        <v/>
      </c>
      <c r="B5895" s="38"/>
      <c r="C5895" s="23" t="s">
        <v>1853</v>
      </c>
      <c r="D5895" s="23" t="s">
        <v>21</v>
      </c>
      <c r="E5895" s="24">
        <v>45487.0</v>
      </c>
      <c r="F5895" s="25">
        <v>0.28958333333333336</v>
      </c>
      <c r="G5895" s="25">
        <v>0.5854166666666667</v>
      </c>
      <c r="H5895" s="27">
        <f t="shared" si="4"/>
        <v>0.2958333333</v>
      </c>
      <c r="I5895" s="28">
        <v>2.0</v>
      </c>
      <c r="J5895" s="39" t="s">
        <v>2490</v>
      </c>
      <c r="K5895" s="41"/>
      <c r="L5895" s="31" t="str">
        <f>IFERROR(__xludf.DUMMYFUNCTION("IF(OR(E5895="""",K5895=""""),"""",IFERROR(IF(K5895="""","""",query('tbl user'!$A$2:$D10975,""SELECT A WHERE D = '""&amp;K5895&amp;""'"")),""USER TIDAK DIKETAHUI""))"),"")</f>
        <v/>
      </c>
    </row>
    <row r="5896">
      <c r="A5896" s="21" t="str">
        <f t="shared" si="3"/>
        <v/>
      </c>
      <c r="B5896" s="38"/>
      <c r="C5896" s="23" t="s">
        <v>1920</v>
      </c>
      <c r="D5896" s="23" t="s">
        <v>21</v>
      </c>
      <c r="E5896" s="24">
        <v>45487.0</v>
      </c>
      <c r="F5896" s="25">
        <v>0.2875</v>
      </c>
      <c r="G5896" s="25">
        <v>0.5694444444444444</v>
      </c>
      <c r="H5896" s="27">
        <f t="shared" si="4"/>
        <v>0.2819444444</v>
      </c>
      <c r="I5896" s="28">
        <v>2.0</v>
      </c>
      <c r="J5896" s="39" t="s">
        <v>2018</v>
      </c>
      <c r="K5896" s="41"/>
      <c r="L5896" s="31" t="str">
        <f>IFERROR(__xludf.DUMMYFUNCTION("IF(OR(E5896="""",K5896=""""),"""",IFERROR(IF(K5896="""","""",query('tbl user'!$A$2:$D10975,""SELECT A WHERE D = '""&amp;K5896&amp;""'"")),""USER TIDAK DIKETAHUI""))"),"")</f>
        <v/>
      </c>
    </row>
    <row r="5897">
      <c r="A5897" s="21" t="str">
        <f t="shared" si="3"/>
        <v/>
      </c>
      <c r="B5897" s="38"/>
      <c r="C5897" s="23" t="s">
        <v>1830</v>
      </c>
      <c r="D5897" s="23" t="s">
        <v>21</v>
      </c>
      <c r="E5897" s="24">
        <v>45487.0</v>
      </c>
      <c r="F5897" s="25">
        <v>0.2590277777777778</v>
      </c>
      <c r="G5897" s="25">
        <v>0.5388888888888889</v>
      </c>
      <c r="H5897" s="27">
        <f t="shared" si="4"/>
        <v>0.2798611111</v>
      </c>
      <c r="I5897" s="28">
        <v>2.0</v>
      </c>
      <c r="J5897" s="39" t="s">
        <v>2924</v>
      </c>
      <c r="K5897" s="41"/>
      <c r="L5897" s="31" t="str">
        <f>IFERROR(__xludf.DUMMYFUNCTION("IF(OR(E5897="""",K5897=""""),"""",IFERROR(IF(K5897="""","""",query('tbl user'!$A$2:$D10975,""SELECT A WHERE D = '""&amp;K5897&amp;""'"")),""USER TIDAK DIKETAHUI""))"),"")</f>
        <v/>
      </c>
    </row>
    <row r="5898">
      <c r="A5898" s="21" t="str">
        <f t="shared" si="3"/>
        <v/>
      </c>
      <c r="B5898" s="38"/>
      <c r="C5898" s="23" t="s">
        <v>1844</v>
      </c>
      <c r="D5898" s="23" t="s">
        <v>21</v>
      </c>
      <c r="E5898" s="24">
        <v>45487.0</v>
      </c>
      <c r="F5898" s="25">
        <v>0.23680555555555555</v>
      </c>
      <c r="G5898" s="25">
        <v>0.5625</v>
      </c>
      <c r="H5898" s="27">
        <f t="shared" si="4"/>
        <v>0.3256944444</v>
      </c>
      <c r="I5898" s="28">
        <v>2.0</v>
      </c>
      <c r="J5898" s="39" t="s">
        <v>2925</v>
      </c>
      <c r="K5898" s="41"/>
      <c r="L5898" s="31" t="str">
        <f>IFERROR(__xludf.DUMMYFUNCTION("IF(OR(E5898="""",K5898=""""),"""",IFERROR(IF(K5898="""","""",query('tbl user'!$A$2:$D10975,""SELECT A WHERE D = '""&amp;K5898&amp;""'"")),""USER TIDAK DIKETAHUI""))"),"")</f>
        <v/>
      </c>
    </row>
    <row r="5899">
      <c r="A5899" s="21" t="str">
        <f t="shared" si="3"/>
        <v/>
      </c>
      <c r="B5899" s="38"/>
      <c r="C5899" s="23" t="s">
        <v>1928</v>
      </c>
      <c r="D5899" s="23" t="s">
        <v>21</v>
      </c>
      <c r="E5899" s="24">
        <v>45487.0</v>
      </c>
      <c r="F5899" s="25">
        <v>0.28958333333333336</v>
      </c>
      <c r="G5899" s="25">
        <v>0.6673611111111111</v>
      </c>
      <c r="H5899" s="27">
        <f t="shared" si="4"/>
        <v>0.3777777778</v>
      </c>
      <c r="I5899" s="28">
        <v>2.0</v>
      </c>
      <c r="J5899" s="39" t="s">
        <v>2926</v>
      </c>
      <c r="K5899" s="41"/>
      <c r="L5899" s="31" t="str">
        <f>IFERROR(__xludf.DUMMYFUNCTION("IF(OR(E5899="""",K5899=""""),"""",IFERROR(IF(K5899="""","""",query('tbl user'!$A$2:$D10975,""SELECT A WHERE D = '""&amp;K5899&amp;""'"")),""USER TIDAK DIKETAHUI""))"),"")</f>
        <v/>
      </c>
    </row>
    <row r="5900">
      <c r="A5900" s="21" t="str">
        <f t="shared" si="3"/>
        <v/>
      </c>
      <c r="B5900" s="38"/>
      <c r="C5900" s="23" t="s">
        <v>1851</v>
      </c>
      <c r="D5900" s="23" t="s">
        <v>21</v>
      </c>
      <c r="E5900" s="24">
        <v>45487.0</v>
      </c>
      <c r="F5900" s="25">
        <v>0.2847222222222222</v>
      </c>
      <c r="G5900" s="25">
        <v>0.6618055555555555</v>
      </c>
      <c r="H5900" s="27">
        <f t="shared" si="4"/>
        <v>0.3770833333</v>
      </c>
      <c r="I5900" s="28">
        <v>3.0</v>
      </c>
      <c r="J5900" s="39" t="s">
        <v>213</v>
      </c>
      <c r="K5900" s="41"/>
      <c r="L5900" s="31" t="str">
        <f>IFERROR(__xludf.DUMMYFUNCTION("IF(OR(E5900="""",K5900=""""),"""",IFERROR(IF(K5900="""","""",query('tbl user'!$A$2:$D10975,""SELECT A WHERE D = '""&amp;K5900&amp;""'"")),""USER TIDAK DIKETAHUI""))"),"")</f>
        <v/>
      </c>
    </row>
    <row r="5901">
      <c r="A5901" s="21" t="str">
        <f t="shared" si="3"/>
        <v/>
      </c>
      <c r="B5901" s="38"/>
      <c r="C5901" s="23" t="s">
        <v>2136</v>
      </c>
      <c r="D5901" s="23" t="s">
        <v>21</v>
      </c>
      <c r="E5901" s="24">
        <v>45487.0</v>
      </c>
      <c r="F5901" s="25">
        <v>0.21736111111111112</v>
      </c>
      <c r="G5901" s="25">
        <v>0.6138888888888889</v>
      </c>
      <c r="H5901" s="27">
        <f t="shared" si="4"/>
        <v>0.3965277778</v>
      </c>
      <c r="I5901" s="28">
        <v>3.0</v>
      </c>
      <c r="J5901" s="39" t="s">
        <v>1495</v>
      </c>
      <c r="K5901" s="41"/>
      <c r="L5901" s="31" t="str">
        <f>IFERROR(__xludf.DUMMYFUNCTION("IF(OR(E5901="""",K5901=""""),"""",IFERROR(IF(K5901="""","""",query('tbl user'!$A$2:$D10975,""SELECT A WHERE D = '""&amp;K5901&amp;""'"")),""USER TIDAK DIKETAHUI""))"),"")</f>
        <v/>
      </c>
    </row>
    <row r="5902">
      <c r="A5902" s="21" t="str">
        <f t="shared" si="3"/>
        <v/>
      </c>
      <c r="B5902" s="38"/>
      <c r="C5902" s="23" t="s">
        <v>1925</v>
      </c>
      <c r="D5902" s="23" t="s">
        <v>21</v>
      </c>
      <c r="E5902" s="24">
        <v>45487.0</v>
      </c>
      <c r="F5902" s="25">
        <v>0.2673611111111111</v>
      </c>
      <c r="G5902" s="25">
        <v>0.6555555555555556</v>
      </c>
      <c r="H5902" s="27">
        <f t="shared" si="4"/>
        <v>0.3881944444</v>
      </c>
      <c r="I5902" s="28">
        <v>3.0</v>
      </c>
      <c r="J5902" s="39" t="s">
        <v>213</v>
      </c>
      <c r="K5902" s="41"/>
      <c r="L5902" s="31" t="str">
        <f>IFERROR(__xludf.DUMMYFUNCTION("IF(OR(E5902="""",K5902=""""),"""",IFERROR(IF(K5902="""","""",query('tbl user'!$A$2:$D10975,""SELECT A WHERE D = '""&amp;K5902&amp;""'"")),""USER TIDAK DIKETAHUI""))"),"")</f>
        <v/>
      </c>
    </row>
    <row r="5903">
      <c r="A5903" s="21" t="str">
        <f t="shared" si="3"/>
        <v/>
      </c>
      <c r="B5903" s="38"/>
      <c r="C5903" s="23" t="s">
        <v>1857</v>
      </c>
      <c r="D5903" s="23" t="s">
        <v>21</v>
      </c>
      <c r="E5903" s="24">
        <v>45487.0</v>
      </c>
      <c r="F5903" s="25">
        <v>0.24791666666666667</v>
      </c>
      <c r="G5903" s="25">
        <v>0.6777777777777778</v>
      </c>
      <c r="H5903" s="27">
        <f t="shared" si="4"/>
        <v>0.4298611111</v>
      </c>
      <c r="I5903" s="28">
        <v>3.0</v>
      </c>
      <c r="J5903" s="39" t="s">
        <v>2927</v>
      </c>
      <c r="K5903" s="41"/>
      <c r="L5903" s="31" t="str">
        <f>IFERROR(__xludf.DUMMYFUNCTION("IF(OR(E5903="""",K5903=""""),"""",IFERROR(IF(K5903="""","""",query('tbl user'!$A$2:$D10975,""SELECT A WHERE D = '""&amp;K5903&amp;""'"")),""USER TIDAK DIKETAHUI""))"),"")</f>
        <v/>
      </c>
    </row>
    <row r="5904">
      <c r="A5904" s="21" t="str">
        <f t="shared" si="3"/>
        <v/>
      </c>
      <c r="B5904" s="38"/>
      <c r="C5904" s="23" t="s">
        <v>1845</v>
      </c>
      <c r="D5904" s="23" t="s">
        <v>21</v>
      </c>
      <c r="E5904" s="24">
        <v>45487.0</v>
      </c>
      <c r="F5904" s="25">
        <v>0.27569444444444446</v>
      </c>
      <c r="G5904" s="25">
        <v>0.6805555555555556</v>
      </c>
      <c r="H5904" s="27">
        <f t="shared" si="4"/>
        <v>0.4048611111</v>
      </c>
      <c r="I5904" s="28">
        <v>3.0</v>
      </c>
      <c r="J5904" s="39" t="s">
        <v>213</v>
      </c>
      <c r="K5904" s="41"/>
      <c r="L5904" s="31" t="str">
        <f>IFERROR(__xludf.DUMMYFUNCTION("IF(OR(E5904="""",K5904=""""),"""",IFERROR(IF(K5904="""","""",query('tbl user'!$A$2:$D10975,""SELECT A WHERE D = '""&amp;K5904&amp;""'"")),""USER TIDAK DIKETAHUI""))"),"")</f>
        <v/>
      </c>
    </row>
    <row r="5905">
      <c r="A5905" s="21" t="str">
        <f t="shared" si="3"/>
        <v/>
      </c>
      <c r="B5905" s="38"/>
      <c r="C5905" s="23" t="s">
        <v>1858</v>
      </c>
      <c r="D5905" s="23" t="s">
        <v>21</v>
      </c>
      <c r="E5905" s="24">
        <v>45487.0</v>
      </c>
      <c r="F5905" s="25">
        <v>0.27569444444444446</v>
      </c>
      <c r="G5905" s="25">
        <v>0.6604166666666667</v>
      </c>
      <c r="H5905" s="27">
        <f t="shared" si="4"/>
        <v>0.3847222222</v>
      </c>
      <c r="I5905" s="28">
        <v>3.0</v>
      </c>
      <c r="J5905" s="39" t="s">
        <v>213</v>
      </c>
      <c r="K5905" s="41"/>
      <c r="L5905" s="31" t="str">
        <f>IFERROR(__xludf.DUMMYFUNCTION("IF(OR(E5905="""",K5905=""""),"""",IFERROR(IF(K5905="""","""",query('tbl user'!$A$2:$D10975,""SELECT A WHERE D = '""&amp;K5905&amp;""'"")),""USER TIDAK DIKETAHUI""))"),"")</f>
        <v/>
      </c>
    </row>
    <row r="5906">
      <c r="A5906" s="21" t="str">
        <f t="shared" si="3"/>
        <v/>
      </c>
      <c r="B5906" s="38"/>
      <c r="C5906" s="23" t="s">
        <v>2005</v>
      </c>
      <c r="D5906" s="23" t="s">
        <v>21</v>
      </c>
      <c r="E5906" s="24">
        <v>45487.0</v>
      </c>
      <c r="F5906" s="25">
        <v>0.225</v>
      </c>
      <c r="G5906" s="25">
        <v>0.6138888888888889</v>
      </c>
      <c r="H5906" s="27">
        <f t="shared" si="4"/>
        <v>0.3888888889</v>
      </c>
      <c r="I5906" s="28">
        <v>3.0</v>
      </c>
      <c r="J5906" s="39" t="s">
        <v>2928</v>
      </c>
      <c r="K5906" s="41"/>
      <c r="L5906" s="31" t="str">
        <f>IFERROR(__xludf.DUMMYFUNCTION("IF(OR(E5906="""",K5906=""""),"""",IFERROR(IF(K5906="""","""",query('tbl user'!$A$2:$D10975,""SELECT A WHERE D = '""&amp;K5906&amp;""'"")),""USER TIDAK DIKETAHUI""))"),"")</f>
        <v/>
      </c>
    </row>
    <row r="5907">
      <c r="A5907" s="21" t="str">
        <f t="shared" si="3"/>
        <v/>
      </c>
      <c r="B5907" s="38"/>
      <c r="C5907" s="23" t="s">
        <v>1922</v>
      </c>
      <c r="D5907" s="23" t="s">
        <v>21</v>
      </c>
      <c r="E5907" s="24">
        <v>45487.0</v>
      </c>
      <c r="F5907" s="25">
        <v>0.25833333333333336</v>
      </c>
      <c r="G5907" s="25">
        <v>0.7402777777777778</v>
      </c>
      <c r="H5907" s="27">
        <f t="shared" si="4"/>
        <v>0.4819444444</v>
      </c>
      <c r="I5907" s="28">
        <v>4.0</v>
      </c>
      <c r="J5907" s="39" t="s">
        <v>213</v>
      </c>
      <c r="K5907" s="41"/>
      <c r="L5907" s="31" t="str">
        <f>IFERROR(__xludf.DUMMYFUNCTION("IF(OR(E5907="""",K5907=""""),"""",IFERROR(IF(K5907="""","""",query('tbl user'!$A$2:$D10975,""SELECT A WHERE D = '""&amp;K5907&amp;""'"")),""USER TIDAK DIKETAHUI""))"),"")</f>
        <v/>
      </c>
    </row>
    <row r="5908">
      <c r="A5908" s="21" t="str">
        <f t="shared" si="3"/>
        <v/>
      </c>
      <c r="B5908" s="38"/>
      <c r="C5908" s="23" t="s">
        <v>1835</v>
      </c>
      <c r="D5908" s="23" t="s">
        <v>21</v>
      </c>
      <c r="E5908" s="24">
        <v>45487.0</v>
      </c>
      <c r="F5908" s="25">
        <v>0.26875</v>
      </c>
      <c r="G5908" s="25">
        <v>0.7395833333333334</v>
      </c>
      <c r="H5908" s="27">
        <f t="shared" si="4"/>
        <v>0.4708333333</v>
      </c>
      <c r="I5908" s="28">
        <v>4.0</v>
      </c>
      <c r="J5908" s="39" t="s">
        <v>213</v>
      </c>
      <c r="K5908" s="41"/>
      <c r="L5908" s="31" t="str">
        <f>IFERROR(__xludf.DUMMYFUNCTION("IF(OR(E5908="""",K5908=""""),"""",IFERROR(IF(K5908="""","""",query('tbl user'!$A$2:$D10975,""SELECT A WHERE D = '""&amp;K5908&amp;""'"")),""USER TIDAK DIKETAHUI""))"),"")</f>
        <v/>
      </c>
    </row>
    <row r="5909">
      <c r="A5909" s="21" t="str">
        <f t="shared" si="3"/>
        <v/>
      </c>
      <c r="B5909" s="38"/>
      <c r="C5909" s="23" t="s">
        <v>2049</v>
      </c>
      <c r="D5909" s="23" t="s">
        <v>21</v>
      </c>
      <c r="E5909" s="24">
        <v>45487.0</v>
      </c>
      <c r="F5909" s="25">
        <v>0.22013888888888888</v>
      </c>
      <c r="G5909" s="25">
        <v>0.70625</v>
      </c>
      <c r="H5909" s="27">
        <f t="shared" si="4"/>
        <v>0.4861111111</v>
      </c>
      <c r="I5909" s="28">
        <v>4.0</v>
      </c>
      <c r="J5909" s="39" t="s">
        <v>213</v>
      </c>
      <c r="K5909" s="41"/>
      <c r="L5909" s="31" t="str">
        <f>IFERROR(__xludf.DUMMYFUNCTION("IF(OR(E5909="""",K5909=""""),"""",IFERROR(IF(K5909="""","""",query('tbl user'!$A$2:$D10975,""SELECT A WHERE D = '""&amp;K5909&amp;""'"")),""USER TIDAK DIKETAHUI""))"),"")</f>
        <v/>
      </c>
    </row>
    <row r="5910">
      <c r="A5910" s="21" t="str">
        <f t="shared" si="3"/>
        <v/>
      </c>
      <c r="B5910" s="38"/>
      <c r="C5910" s="23" t="s">
        <v>1850</v>
      </c>
      <c r="D5910" s="23" t="s">
        <v>21</v>
      </c>
      <c r="E5910" s="24">
        <v>45487.0</v>
      </c>
      <c r="F5910" s="25">
        <v>0.28958333333333336</v>
      </c>
      <c r="G5910" s="25">
        <v>0.7555555555555555</v>
      </c>
      <c r="H5910" s="27">
        <f t="shared" si="4"/>
        <v>0.4659722222</v>
      </c>
      <c r="I5910" s="28">
        <v>4.0</v>
      </c>
      <c r="J5910" s="39" t="s">
        <v>213</v>
      </c>
      <c r="K5910" s="41"/>
      <c r="L5910" s="31" t="str">
        <f>IFERROR(__xludf.DUMMYFUNCTION("IF(OR(E5910="""",K5910=""""),"""",IFERROR(IF(K5910="""","""",query('tbl user'!$A$2:$D10975,""SELECT A WHERE D = '""&amp;K5910&amp;""'"")),""USER TIDAK DIKETAHUI""))"),"")</f>
        <v/>
      </c>
    </row>
    <row r="5911">
      <c r="A5911" s="21" t="str">
        <f t="shared" si="3"/>
        <v/>
      </c>
      <c r="B5911" s="38"/>
      <c r="C5911" s="23" t="s">
        <v>1917</v>
      </c>
      <c r="D5911" s="23" t="s">
        <v>21</v>
      </c>
      <c r="E5911" s="24">
        <v>45487.0</v>
      </c>
      <c r="F5911" s="25">
        <v>0.27152777777777776</v>
      </c>
      <c r="G5911" s="25">
        <v>0.6416666666666667</v>
      </c>
      <c r="H5911" s="27">
        <f t="shared" si="4"/>
        <v>0.3701388889</v>
      </c>
      <c r="I5911" s="28">
        <v>3.0</v>
      </c>
      <c r="J5911" s="39" t="s">
        <v>2233</v>
      </c>
      <c r="K5911" s="41"/>
      <c r="L5911" s="31" t="str">
        <f>IFERROR(__xludf.DUMMYFUNCTION("IF(OR(E5911="""",K5911=""""),"""",IFERROR(IF(K5911="""","""",query('tbl user'!$A$2:$D10975,""SELECT A WHERE D = '""&amp;K5911&amp;""'"")),""USER TIDAK DIKETAHUI""))"),"")</f>
        <v/>
      </c>
    </row>
    <row r="5912">
      <c r="A5912" s="21" t="str">
        <f t="shared" si="3"/>
        <v/>
      </c>
      <c r="B5912" s="38"/>
      <c r="C5912" s="23" t="s">
        <v>1841</v>
      </c>
      <c r="D5912" s="23" t="s">
        <v>21</v>
      </c>
      <c r="E5912" s="24">
        <v>45487.0</v>
      </c>
      <c r="F5912" s="25">
        <v>0.2881944444444444</v>
      </c>
      <c r="G5912" s="25">
        <v>0.6625</v>
      </c>
      <c r="H5912" s="27">
        <f t="shared" si="4"/>
        <v>0.3743055556</v>
      </c>
      <c r="I5912" s="28">
        <v>3.0</v>
      </c>
      <c r="J5912" s="39" t="s">
        <v>2929</v>
      </c>
      <c r="K5912" s="41"/>
      <c r="L5912" s="31" t="str">
        <f>IFERROR(__xludf.DUMMYFUNCTION("IF(OR(E5912="""",K5912=""""),"""",IFERROR(IF(K5912="""","""",query('tbl user'!$A$2:$D10975,""SELECT A WHERE D = '""&amp;K5912&amp;""'"")),""USER TIDAK DIKETAHUI""))"),"")</f>
        <v/>
      </c>
    </row>
    <row r="5913">
      <c r="A5913" s="21" t="str">
        <f t="shared" si="3"/>
        <v/>
      </c>
      <c r="B5913" s="38"/>
      <c r="C5913" s="23" t="s">
        <v>1889</v>
      </c>
      <c r="D5913" s="23" t="s">
        <v>58</v>
      </c>
      <c r="E5913" s="24">
        <v>45487.0</v>
      </c>
      <c r="F5913" s="25">
        <v>0.25833333333333336</v>
      </c>
      <c r="G5913" s="25">
        <v>0.55625</v>
      </c>
      <c r="H5913" s="27">
        <f t="shared" si="4"/>
        <v>0.2979166667</v>
      </c>
      <c r="I5913" s="28">
        <v>1.0</v>
      </c>
      <c r="J5913" s="39" t="s">
        <v>2930</v>
      </c>
      <c r="K5913" s="41"/>
      <c r="L5913" s="31" t="str">
        <f>IFERROR(__xludf.DUMMYFUNCTION("IF(OR(E5913="""",K5913=""""),"""",IFERROR(IF(K5913="""","""",query('tbl user'!$A$2:$D10975,""SELECT A WHERE D = '""&amp;K5913&amp;""'"")),""USER TIDAK DIKETAHUI""))"),"")</f>
        <v/>
      </c>
    </row>
    <row r="5914">
      <c r="A5914" s="21" t="str">
        <f t="shared" si="3"/>
        <v/>
      </c>
      <c r="B5914" s="38"/>
      <c r="C5914" s="23" t="s">
        <v>2090</v>
      </c>
      <c r="D5914" s="23" t="s">
        <v>58</v>
      </c>
      <c r="E5914" s="24">
        <v>45487.0</v>
      </c>
      <c r="F5914" s="25">
        <v>0.28958333333333336</v>
      </c>
      <c r="G5914" s="25">
        <v>0.5375</v>
      </c>
      <c r="H5914" s="27">
        <f t="shared" si="4"/>
        <v>0.2479166667</v>
      </c>
      <c r="I5914" s="28">
        <v>1.0</v>
      </c>
      <c r="J5914" s="39" t="s">
        <v>2931</v>
      </c>
      <c r="K5914" s="41"/>
      <c r="L5914" s="31" t="str">
        <f>IFERROR(__xludf.DUMMYFUNCTION("IF(OR(E5914="""",K5914=""""),"""",IFERROR(IF(K5914="""","""",query('tbl user'!$A$2:$D10975,""SELECT A WHERE D = '""&amp;K5914&amp;""'"")),""USER TIDAK DIKETAHUI""))"),"")</f>
        <v/>
      </c>
    </row>
    <row r="5915">
      <c r="A5915" s="21" t="str">
        <f t="shared" si="3"/>
        <v/>
      </c>
      <c r="B5915" s="38"/>
      <c r="C5915" s="23" t="s">
        <v>1874</v>
      </c>
      <c r="D5915" s="23" t="s">
        <v>58</v>
      </c>
      <c r="E5915" s="24">
        <v>45487.0</v>
      </c>
      <c r="F5915" s="25">
        <v>0.29097222222222224</v>
      </c>
      <c r="G5915" s="25">
        <v>0.6604166666666667</v>
      </c>
      <c r="H5915" s="27">
        <f t="shared" si="4"/>
        <v>0.3694444444</v>
      </c>
      <c r="I5915" s="28">
        <v>2.0</v>
      </c>
      <c r="J5915" s="39" t="s">
        <v>2932</v>
      </c>
      <c r="K5915" s="41"/>
      <c r="L5915" s="31" t="str">
        <f>IFERROR(__xludf.DUMMYFUNCTION("IF(OR(E5915="""",K5915=""""),"""",IFERROR(IF(K5915="""","""",query('tbl user'!$A$2:$D10975,""SELECT A WHERE D = '""&amp;K5915&amp;""'"")),""USER TIDAK DIKETAHUI""))"),"")</f>
        <v/>
      </c>
    </row>
    <row r="5916">
      <c r="A5916" s="21" t="str">
        <f t="shared" si="3"/>
        <v/>
      </c>
      <c r="B5916" s="38"/>
      <c r="C5916" s="23" t="s">
        <v>1865</v>
      </c>
      <c r="D5916" s="23" t="s">
        <v>58</v>
      </c>
      <c r="E5916" s="24">
        <v>45487.0</v>
      </c>
      <c r="F5916" s="25">
        <v>0.27847222222222223</v>
      </c>
      <c r="G5916" s="25">
        <v>0.6388888888888888</v>
      </c>
      <c r="H5916" s="27">
        <f t="shared" si="4"/>
        <v>0.3604166667</v>
      </c>
      <c r="I5916" s="28">
        <v>2.0</v>
      </c>
      <c r="J5916" s="39" t="s">
        <v>1048</v>
      </c>
      <c r="K5916" s="41"/>
      <c r="L5916" s="31" t="str">
        <f>IFERROR(__xludf.DUMMYFUNCTION("IF(OR(E5916="""",K5916=""""),"""",IFERROR(IF(K5916="""","""",query('tbl user'!$A$2:$D10975,""SELECT A WHERE D = '""&amp;K5916&amp;""'"")),""USER TIDAK DIKETAHUI""))"),"")</f>
        <v/>
      </c>
    </row>
    <row r="5917">
      <c r="A5917" s="21" t="str">
        <f t="shared" si="3"/>
        <v/>
      </c>
      <c r="B5917" s="38"/>
      <c r="C5917" s="23" t="s">
        <v>1867</v>
      </c>
      <c r="D5917" s="23" t="s">
        <v>58</v>
      </c>
      <c r="E5917" s="24">
        <v>45487.0</v>
      </c>
      <c r="F5917" s="25">
        <v>0.2701388888888889</v>
      </c>
      <c r="G5917" s="25">
        <v>0.6625</v>
      </c>
      <c r="H5917" s="27">
        <f t="shared" si="4"/>
        <v>0.3923611111</v>
      </c>
      <c r="I5917" s="28">
        <v>2.0</v>
      </c>
      <c r="J5917" s="39" t="s">
        <v>1001</v>
      </c>
      <c r="K5917" s="41"/>
      <c r="L5917" s="31" t="str">
        <f>IFERROR(__xludf.DUMMYFUNCTION("IF(OR(E5917="""",K5917=""""),"""",IFERROR(IF(K5917="""","""",query('tbl user'!$A$2:$D10975,""SELECT A WHERE D = '""&amp;K5917&amp;""'"")),""USER TIDAK DIKETAHUI""))"),"")</f>
        <v/>
      </c>
    </row>
    <row r="5918">
      <c r="A5918" s="21" t="str">
        <f t="shared" si="3"/>
        <v/>
      </c>
      <c r="B5918" s="38"/>
      <c r="C5918" s="23" t="s">
        <v>1948</v>
      </c>
      <c r="D5918" s="23" t="s">
        <v>58</v>
      </c>
      <c r="E5918" s="24">
        <v>45487.0</v>
      </c>
      <c r="F5918" s="25">
        <v>0.2875</v>
      </c>
      <c r="G5918" s="25">
        <v>0.7388888888888889</v>
      </c>
      <c r="H5918" s="27">
        <f t="shared" si="4"/>
        <v>0.4513888889</v>
      </c>
      <c r="I5918" s="28">
        <v>2.0</v>
      </c>
      <c r="J5918" s="39" t="s">
        <v>1001</v>
      </c>
      <c r="K5918" s="41"/>
      <c r="L5918" s="31" t="str">
        <f>IFERROR(__xludf.DUMMYFUNCTION("IF(OR(E5918="""",K5918=""""),"""",IFERROR(IF(K5918="""","""",query('tbl user'!$A$2:$D10975,""SELECT A WHERE D = '""&amp;K5918&amp;""'"")),""USER TIDAK DIKETAHUI""))"),"")</f>
        <v/>
      </c>
    </row>
    <row r="5919">
      <c r="A5919" s="21" t="str">
        <f t="shared" si="3"/>
        <v/>
      </c>
      <c r="B5919" s="38"/>
      <c r="C5919" s="23" t="s">
        <v>1941</v>
      </c>
      <c r="D5919" s="23" t="s">
        <v>58</v>
      </c>
      <c r="E5919" s="24">
        <v>45487.0</v>
      </c>
      <c r="F5919" s="25">
        <v>0.24027777777777778</v>
      </c>
      <c r="G5919" s="25">
        <v>0.5861111111111111</v>
      </c>
      <c r="H5919" s="27">
        <f t="shared" si="4"/>
        <v>0.3458333333</v>
      </c>
      <c r="I5919" s="28">
        <v>2.0</v>
      </c>
      <c r="J5919" s="39" t="s">
        <v>2933</v>
      </c>
      <c r="K5919" s="41"/>
      <c r="L5919" s="31" t="str">
        <f>IFERROR(__xludf.DUMMYFUNCTION("IF(OR(E5919="""",K5919=""""),"""",IFERROR(IF(K5919="""","""",query('tbl user'!$A$2:$D10975,""SELECT A WHERE D = '""&amp;K5919&amp;""'"")),""USER TIDAK DIKETAHUI""))"),"")</f>
        <v/>
      </c>
    </row>
    <row r="5920">
      <c r="A5920" s="21" t="str">
        <f t="shared" si="3"/>
        <v/>
      </c>
      <c r="B5920" s="38"/>
      <c r="C5920" s="23" t="s">
        <v>1869</v>
      </c>
      <c r="D5920" s="23" t="s">
        <v>58</v>
      </c>
      <c r="E5920" s="24">
        <v>45487.0</v>
      </c>
      <c r="F5920" s="25">
        <v>0.23402777777777778</v>
      </c>
      <c r="G5920" s="28" t="s">
        <v>1817</v>
      </c>
      <c r="H5920" s="27" t="str">
        <f t="shared" si="4"/>
        <v/>
      </c>
      <c r="I5920" s="28">
        <v>2.0</v>
      </c>
      <c r="J5920" s="39" t="s">
        <v>2934</v>
      </c>
      <c r="K5920" s="41"/>
      <c r="L5920" s="31" t="str">
        <f>IFERROR(__xludf.DUMMYFUNCTION("IF(OR(E5920="""",K5920=""""),"""",IFERROR(IF(K5920="""","""",query('tbl user'!$A$2:$D10975,""SELECT A WHERE D = '""&amp;K5920&amp;""'"")),""USER TIDAK DIKETAHUI""))"),"")</f>
        <v/>
      </c>
    </row>
    <row r="5921">
      <c r="A5921" s="21" t="str">
        <f t="shared" si="3"/>
        <v/>
      </c>
      <c r="B5921" s="38"/>
      <c r="C5921" s="23" t="s">
        <v>1879</v>
      </c>
      <c r="D5921" s="23" t="s">
        <v>58</v>
      </c>
      <c r="E5921" s="24">
        <v>45487.0</v>
      </c>
      <c r="F5921" s="25">
        <v>0.28958333333333336</v>
      </c>
      <c r="G5921" s="25">
        <v>0.6618055555555555</v>
      </c>
      <c r="H5921" s="27">
        <f t="shared" si="4"/>
        <v>0.3722222222</v>
      </c>
      <c r="I5921" s="28">
        <v>2.0</v>
      </c>
      <c r="J5921" s="39" t="s">
        <v>2935</v>
      </c>
      <c r="K5921" s="41"/>
      <c r="L5921" s="31" t="str">
        <f>IFERROR(__xludf.DUMMYFUNCTION("IF(OR(E5921="""",K5921=""""),"""",IFERROR(IF(K5921="""","""",query('tbl user'!$A$2:$D10975,""SELECT A WHERE D = '""&amp;K5921&amp;""'"")),""USER TIDAK DIKETAHUI""))"),"")</f>
        <v/>
      </c>
    </row>
    <row r="5922">
      <c r="A5922" s="21" t="str">
        <f t="shared" si="3"/>
        <v/>
      </c>
      <c r="B5922" s="38"/>
      <c r="C5922" s="23" t="s">
        <v>1882</v>
      </c>
      <c r="D5922" s="23" t="s">
        <v>58</v>
      </c>
      <c r="E5922" s="24">
        <v>45487.0</v>
      </c>
      <c r="F5922" s="25">
        <v>0.22430555555555556</v>
      </c>
      <c r="G5922" s="25">
        <v>0.5555555555555556</v>
      </c>
      <c r="H5922" s="27">
        <f t="shared" si="4"/>
        <v>0.33125</v>
      </c>
      <c r="I5922" s="28">
        <v>2.0</v>
      </c>
      <c r="J5922" s="39" t="s">
        <v>2936</v>
      </c>
      <c r="K5922" s="41"/>
      <c r="L5922" s="31" t="str">
        <f>IFERROR(__xludf.DUMMYFUNCTION("IF(OR(E5922="""",K5922=""""),"""",IFERROR(IF(K5922="""","""",query('tbl user'!$A$2:$D10975,""SELECT A WHERE D = '""&amp;K5922&amp;""'"")),""USER TIDAK DIKETAHUI""))"),"")</f>
        <v/>
      </c>
    </row>
    <row r="5923">
      <c r="A5923" s="21" t="str">
        <f t="shared" si="3"/>
        <v/>
      </c>
      <c r="B5923" s="38"/>
      <c r="C5923" s="23" t="s">
        <v>1883</v>
      </c>
      <c r="D5923" s="23" t="s">
        <v>58</v>
      </c>
      <c r="E5923" s="24">
        <v>45487.0</v>
      </c>
      <c r="F5923" s="25">
        <v>0.29097222222222224</v>
      </c>
      <c r="G5923" s="25">
        <v>0.6729166666666667</v>
      </c>
      <c r="H5923" s="27">
        <f t="shared" si="4"/>
        <v>0.3819444444</v>
      </c>
      <c r="I5923" s="28">
        <v>2.0</v>
      </c>
      <c r="J5923" s="39" t="s">
        <v>1048</v>
      </c>
      <c r="K5923" s="41"/>
      <c r="L5923" s="31" t="str">
        <f>IFERROR(__xludf.DUMMYFUNCTION("IF(OR(E5923="""",K5923=""""),"""",IFERROR(IF(K5923="""","""",query('tbl user'!$A$2:$D10975,""SELECT A WHERE D = '""&amp;K5923&amp;""'"")),""USER TIDAK DIKETAHUI""))"),"")</f>
        <v/>
      </c>
    </row>
    <row r="5924">
      <c r="A5924" s="21" t="str">
        <f t="shared" si="3"/>
        <v/>
      </c>
      <c r="B5924" s="38"/>
      <c r="C5924" s="23" t="s">
        <v>1950</v>
      </c>
      <c r="D5924" s="23" t="s">
        <v>58</v>
      </c>
      <c r="E5924" s="24">
        <v>45487.0</v>
      </c>
      <c r="F5924" s="25">
        <v>0.22916666666666666</v>
      </c>
      <c r="G5924" s="25">
        <v>0.5513888888888889</v>
      </c>
      <c r="H5924" s="27">
        <f t="shared" si="4"/>
        <v>0.3222222222</v>
      </c>
      <c r="I5924" s="28">
        <v>2.0</v>
      </c>
      <c r="J5924" s="39" t="s">
        <v>2937</v>
      </c>
      <c r="K5924" s="41"/>
      <c r="L5924" s="31" t="str">
        <f>IFERROR(__xludf.DUMMYFUNCTION("IF(OR(E5924="""",K5924=""""),"""",IFERROR(IF(K5924="""","""",query('tbl user'!$A$2:$D10975,""SELECT A WHERE D = '""&amp;K5924&amp;""'"")),""USER TIDAK DIKETAHUI""))"),"")</f>
        <v/>
      </c>
    </row>
    <row r="5925">
      <c r="A5925" s="21" t="str">
        <f t="shared" si="3"/>
        <v/>
      </c>
      <c r="B5925" s="38"/>
      <c r="C5925" s="23" t="s">
        <v>1863</v>
      </c>
      <c r="D5925" s="23" t="s">
        <v>58</v>
      </c>
      <c r="E5925" s="24">
        <v>45487.0</v>
      </c>
      <c r="F5925" s="25">
        <v>0.2638888888888889</v>
      </c>
      <c r="G5925" s="25">
        <v>0.55625</v>
      </c>
      <c r="H5925" s="27">
        <f t="shared" si="4"/>
        <v>0.2923611111</v>
      </c>
      <c r="I5925" s="28">
        <v>2.0</v>
      </c>
      <c r="J5925" s="39" t="s">
        <v>2938</v>
      </c>
      <c r="K5925" s="41"/>
      <c r="L5925" s="31" t="str">
        <f>IFERROR(__xludf.DUMMYFUNCTION("IF(OR(E5925="""",K5925=""""),"""",IFERROR(IF(K5925="""","""",query('tbl user'!$A$2:$D10975,""SELECT A WHERE D = '""&amp;K5925&amp;""'"")),""USER TIDAK DIKETAHUI""))"),"")</f>
        <v/>
      </c>
    </row>
    <row r="5926">
      <c r="A5926" s="21" t="str">
        <f t="shared" si="3"/>
        <v/>
      </c>
      <c r="B5926" s="38"/>
      <c r="C5926" s="23" t="s">
        <v>1886</v>
      </c>
      <c r="D5926" s="23" t="s">
        <v>58</v>
      </c>
      <c r="E5926" s="24">
        <v>45487.0</v>
      </c>
      <c r="F5926" s="25">
        <v>0.23819444444444443</v>
      </c>
      <c r="G5926" s="25">
        <v>0.6076388888888888</v>
      </c>
      <c r="H5926" s="27">
        <f t="shared" si="4"/>
        <v>0.3694444444</v>
      </c>
      <c r="I5926" s="28">
        <v>2.0</v>
      </c>
      <c r="J5926" s="39" t="s">
        <v>2939</v>
      </c>
      <c r="K5926" s="41"/>
      <c r="L5926" s="31" t="str">
        <f>IFERROR(__xludf.DUMMYFUNCTION("IF(OR(E5926="""",K5926=""""),"""",IFERROR(IF(K5926="""","""",query('tbl user'!$A$2:$D10975,""SELECT A WHERE D = '""&amp;K5926&amp;""'"")),""USER TIDAK DIKETAHUI""))"),"")</f>
        <v/>
      </c>
    </row>
    <row r="5927">
      <c r="A5927" s="21" t="str">
        <f t="shared" si="3"/>
        <v/>
      </c>
      <c r="B5927" s="38"/>
      <c r="C5927" s="23" t="s">
        <v>1887</v>
      </c>
      <c r="D5927" s="23" t="s">
        <v>58</v>
      </c>
      <c r="E5927" s="24">
        <v>45487.0</v>
      </c>
      <c r="F5927" s="25">
        <v>0.28888888888888886</v>
      </c>
      <c r="G5927" s="25">
        <v>0.6736111111111112</v>
      </c>
      <c r="H5927" s="27">
        <f t="shared" si="4"/>
        <v>0.3847222222</v>
      </c>
      <c r="I5927" s="28">
        <v>2.0</v>
      </c>
      <c r="J5927" s="39" t="s">
        <v>1048</v>
      </c>
      <c r="K5927" s="41"/>
      <c r="L5927" s="31" t="str">
        <f>IFERROR(__xludf.DUMMYFUNCTION("IF(OR(E5927="""",K5927=""""),"""",IFERROR(IF(K5927="""","""",query('tbl user'!$A$2:$D10975,""SELECT A WHERE D = '""&amp;K5927&amp;""'"")),""USER TIDAK DIKETAHUI""))"),"")</f>
        <v/>
      </c>
    </row>
    <row r="5928">
      <c r="A5928" s="21" t="str">
        <f t="shared" si="3"/>
        <v/>
      </c>
      <c r="B5928" s="38"/>
      <c r="C5928" s="23" t="s">
        <v>1888</v>
      </c>
      <c r="D5928" s="23" t="s">
        <v>58</v>
      </c>
      <c r="E5928" s="24">
        <v>45487.0</v>
      </c>
      <c r="F5928" s="25">
        <v>0.2590277777777778</v>
      </c>
      <c r="G5928" s="25">
        <v>0.5534722222222223</v>
      </c>
      <c r="H5928" s="27">
        <f t="shared" si="4"/>
        <v>0.2944444444</v>
      </c>
      <c r="I5928" s="28">
        <v>2.0</v>
      </c>
      <c r="J5928" s="39" t="s">
        <v>2940</v>
      </c>
      <c r="K5928" s="41"/>
      <c r="L5928" s="31" t="str">
        <f>IFERROR(__xludf.DUMMYFUNCTION("IF(OR(E5928="""",K5928=""""),"""",IFERROR(IF(K5928="""","""",query('tbl user'!$A$2:$D10975,""SELECT A WHERE D = '""&amp;K5928&amp;""'"")),""USER TIDAK DIKETAHUI""))"),"")</f>
        <v/>
      </c>
    </row>
    <row r="5929">
      <c r="A5929" s="21" t="str">
        <f t="shared" si="3"/>
        <v/>
      </c>
      <c r="B5929" s="38"/>
      <c r="C5929" s="23" t="s">
        <v>1893</v>
      </c>
      <c r="D5929" s="23" t="s">
        <v>58</v>
      </c>
      <c r="E5929" s="24">
        <v>45487.0</v>
      </c>
      <c r="F5929" s="25">
        <v>0.23680555555555555</v>
      </c>
      <c r="G5929" s="25">
        <v>0.5444444444444444</v>
      </c>
      <c r="H5929" s="27">
        <f t="shared" si="4"/>
        <v>0.3076388889</v>
      </c>
      <c r="I5929" s="28">
        <v>2.0</v>
      </c>
      <c r="J5929" s="39" t="s">
        <v>2941</v>
      </c>
      <c r="K5929" s="41"/>
      <c r="L5929" s="31" t="str">
        <f>IFERROR(__xludf.DUMMYFUNCTION("IF(OR(E5929="""",K5929=""""),"""",IFERROR(IF(K5929="""","""",query('tbl user'!$A$2:$D10975,""SELECT A WHERE D = '""&amp;K5929&amp;""'"")),""USER TIDAK DIKETAHUI""))"),"")</f>
        <v/>
      </c>
    </row>
    <row r="5930">
      <c r="A5930" s="21" t="str">
        <f t="shared" si="3"/>
        <v/>
      </c>
      <c r="B5930" s="38"/>
      <c r="C5930" s="23" t="s">
        <v>1871</v>
      </c>
      <c r="D5930" s="23" t="s">
        <v>58</v>
      </c>
      <c r="E5930" s="24">
        <v>45487.0</v>
      </c>
      <c r="F5930" s="25">
        <v>0.35208333333333336</v>
      </c>
      <c r="G5930" s="25">
        <v>0.7416666666666667</v>
      </c>
      <c r="H5930" s="27">
        <f t="shared" si="4"/>
        <v>0.3895833333</v>
      </c>
      <c r="I5930" s="28">
        <v>2.0</v>
      </c>
      <c r="J5930" s="39" t="s">
        <v>2942</v>
      </c>
      <c r="K5930" s="41"/>
      <c r="L5930" s="31" t="str">
        <f>IFERROR(__xludf.DUMMYFUNCTION("IF(OR(E5930="""",K5930=""""),"""",IFERROR(IF(K5930="""","""",query('tbl user'!$A$2:$D10975,""SELECT A WHERE D = '""&amp;K5930&amp;""'"")),""USER TIDAK DIKETAHUI""))"),"")</f>
        <v/>
      </c>
    </row>
    <row r="5931">
      <c r="A5931" s="21" t="str">
        <f t="shared" si="3"/>
        <v/>
      </c>
      <c r="B5931" s="38"/>
      <c r="C5931" s="23" t="s">
        <v>1872</v>
      </c>
      <c r="D5931" s="23" t="s">
        <v>58</v>
      </c>
      <c r="E5931" s="24">
        <v>45487.0</v>
      </c>
      <c r="F5931" s="25">
        <v>0.2361111111111111</v>
      </c>
      <c r="G5931" s="25">
        <v>0.7576388888888889</v>
      </c>
      <c r="H5931" s="27">
        <f t="shared" si="4"/>
        <v>0.5215277778</v>
      </c>
      <c r="I5931" s="28">
        <v>2.0</v>
      </c>
      <c r="J5931" s="39" t="s">
        <v>2943</v>
      </c>
      <c r="K5931" s="41"/>
      <c r="L5931" s="31" t="str">
        <f>IFERROR(__xludf.DUMMYFUNCTION("IF(OR(E5931="""",K5931=""""),"""",IFERROR(IF(K5931="""","""",query('tbl user'!$A$2:$D10975,""SELECT A WHERE D = '""&amp;K5931&amp;""'"")),""USER TIDAK DIKETAHUI""))"),"")</f>
        <v/>
      </c>
    </row>
    <row r="5932">
      <c r="A5932" s="21" t="str">
        <f t="shared" si="3"/>
        <v/>
      </c>
      <c r="B5932" s="38"/>
      <c r="C5932" s="23" t="s">
        <v>1890</v>
      </c>
      <c r="D5932" s="23" t="s">
        <v>58</v>
      </c>
      <c r="E5932" s="24">
        <v>45487.0</v>
      </c>
      <c r="F5932" s="25">
        <v>0.28125</v>
      </c>
      <c r="G5932" s="25">
        <v>0.6756944444444445</v>
      </c>
      <c r="H5932" s="27">
        <f t="shared" si="4"/>
        <v>0.3944444444</v>
      </c>
      <c r="I5932" s="28">
        <v>2.0</v>
      </c>
      <c r="J5932" s="39" t="s">
        <v>1048</v>
      </c>
      <c r="K5932" s="41"/>
      <c r="L5932" s="31" t="str">
        <f>IFERROR(__xludf.DUMMYFUNCTION("IF(OR(E5932="""",K5932=""""),"""",IFERROR(IF(K5932="""","""",query('tbl user'!$A$2:$D10975,""SELECT A WHERE D = '""&amp;K5932&amp;""'"")),""USER TIDAK DIKETAHUI""))"),"")</f>
        <v/>
      </c>
    </row>
    <row r="5933">
      <c r="A5933" s="21" t="str">
        <f t="shared" si="3"/>
        <v/>
      </c>
      <c r="B5933" s="38"/>
      <c r="C5933" s="23" t="s">
        <v>1861</v>
      </c>
      <c r="D5933" s="23" t="s">
        <v>58</v>
      </c>
      <c r="E5933" s="24">
        <v>45487.0</v>
      </c>
      <c r="F5933" s="25">
        <v>0.25833333333333336</v>
      </c>
      <c r="G5933" s="25">
        <v>0.7201388888888889</v>
      </c>
      <c r="H5933" s="27">
        <f t="shared" si="4"/>
        <v>0.4618055556</v>
      </c>
      <c r="I5933" s="28">
        <v>2.0</v>
      </c>
      <c r="J5933" s="39" t="s">
        <v>2944</v>
      </c>
      <c r="K5933" s="41"/>
      <c r="L5933" s="31" t="str">
        <f>IFERROR(__xludf.DUMMYFUNCTION("IF(OR(E5933="""",K5933=""""),"""",IFERROR(IF(K5933="""","""",query('tbl user'!$A$2:$D10975,""SELECT A WHERE D = '""&amp;K5933&amp;""'"")),""USER TIDAK DIKETAHUI""))"),"")</f>
        <v/>
      </c>
    </row>
    <row r="5934">
      <c r="A5934" s="21" t="str">
        <f t="shared" si="3"/>
        <v/>
      </c>
      <c r="B5934" s="38"/>
      <c r="C5934" s="23" t="s">
        <v>1875</v>
      </c>
      <c r="D5934" s="23" t="s">
        <v>58</v>
      </c>
      <c r="E5934" s="24">
        <v>45487.0</v>
      </c>
      <c r="F5934" s="25">
        <v>0.24027777777777778</v>
      </c>
      <c r="G5934" s="25">
        <v>0.7423611111111111</v>
      </c>
      <c r="H5934" s="27">
        <f t="shared" si="4"/>
        <v>0.5020833333</v>
      </c>
      <c r="I5934" s="28">
        <v>3.0</v>
      </c>
      <c r="J5934" s="39" t="s">
        <v>55</v>
      </c>
      <c r="K5934" s="41"/>
      <c r="L5934" s="31" t="str">
        <f>IFERROR(__xludf.DUMMYFUNCTION("IF(OR(E5934="""",K5934=""""),"""",IFERROR(IF(K5934="""","""",query('tbl user'!$A$2:$D10975,""SELECT A WHERE D = '""&amp;K5934&amp;""'"")),""USER TIDAK DIKETAHUI""))"),"")</f>
        <v/>
      </c>
    </row>
    <row r="5935">
      <c r="A5935" s="21" t="str">
        <f t="shared" si="3"/>
        <v/>
      </c>
      <c r="B5935" s="38"/>
      <c r="C5935" s="23" t="s">
        <v>1881</v>
      </c>
      <c r="D5935" s="23" t="s">
        <v>58</v>
      </c>
      <c r="E5935" s="24">
        <v>45487.0</v>
      </c>
      <c r="F5935" s="25">
        <v>0.2222222222222222</v>
      </c>
      <c r="G5935" s="25">
        <v>0.6944444444444444</v>
      </c>
      <c r="H5935" s="27">
        <f t="shared" si="4"/>
        <v>0.4722222222</v>
      </c>
      <c r="I5935" s="28">
        <v>3.0</v>
      </c>
      <c r="J5935" s="39" t="s">
        <v>55</v>
      </c>
      <c r="K5935" s="41"/>
      <c r="L5935" s="31" t="str">
        <f>IFERROR(__xludf.DUMMYFUNCTION("IF(OR(E5935="""",K5935=""""),"""",IFERROR(IF(K5935="""","""",query('tbl user'!$A$2:$D10975,""SELECT A WHERE D = '""&amp;K5935&amp;""'"")),""USER TIDAK DIKETAHUI""))"),"")</f>
        <v/>
      </c>
    </row>
    <row r="5936">
      <c r="A5936" s="21" t="str">
        <f t="shared" si="3"/>
        <v/>
      </c>
      <c r="B5936" s="38"/>
      <c r="C5936" s="23" t="s">
        <v>1884</v>
      </c>
      <c r="D5936" s="23" t="s">
        <v>58</v>
      </c>
      <c r="E5936" s="24">
        <v>45487.0</v>
      </c>
      <c r="F5936" s="25">
        <v>0.23194444444444445</v>
      </c>
      <c r="G5936" s="25">
        <v>0.7208333333333333</v>
      </c>
      <c r="H5936" s="27">
        <f t="shared" si="4"/>
        <v>0.4888888889</v>
      </c>
      <c r="I5936" s="28">
        <v>3.0</v>
      </c>
      <c r="J5936" s="39" t="s">
        <v>55</v>
      </c>
      <c r="K5936" s="41"/>
      <c r="L5936" s="31" t="str">
        <f>IFERROR(__xludf.DUMMYFUNCTION("IF(OR(E5936="""",K5936=""""),"""",IFERROR(IF(K5936="""","""",query('tbl user'!$A$2:$D10975,""SELECT A WHERE D = '""&amp;K5936&amp;""'"")),""USER TIDAK DIKETAHUI""))"),"")</f>
        <v/>
      </c>
    </row>
    <row r="5937">
      <c r="A5937" s="21" t="str">
        <f t="shared" si="3"/>
        <v/>
      </c>
      <c r="B5937" s="38"/>
      <c r="C5937" s="23" t="s">
        <v>1892</v>
      </c>
      <c r="D5937" s="23" t="s">
        <v>58</v>
      </c>
      <c r="E5937" s="24">
        <v>45487.0</v>
      </c>
      <c r="F5937" s="25">
        <v>0.20416666666666666</v>
      </c>
      <c r="G5937" s="25">
        <v>0.6736111111111112</v>
      </c>
      <c r="H5937" s="27">
        <f t="shared" si="4"/>
        <v>0.4694444444</v>
      </c>
      <c r="I5937" s="28">
        <v>3.0</v>
      </c>
      <c r="J5937" s="39" t="s">
        <v>55</v>
      </c>
      <c r="K5937" s="41"/>
      <c r="L5937" s="31" t="str">
        <f>IFERROR(__xludf.DUMMYFUNCTION("IF(OR(E5937="""",K5937=""""),"""",IFERROR(IF(K5937="""","""",query('tbl user'!$A$2:$D10975,""SELECT A WHERE D = '""&amp;K5937&amp;""'"")),""USER TIDAK DIKETAHUI""))"),"")</f>
        <v/>
      </c>
    </row>
    <row r="5938">
      <c r="A5938" s="21" t="str">
        <f t="shared" si="3"/>
        <v/>
      </c>
      <c r="B5938" s="38"/>
      <c r="C5938" s="23" t="s">
        <v>2066</v>
      </c>
      <c r="D5938" s="23" t="s">
        <v>32</v>
      </c>
      <c r="E5938" s="24">
        <v>45487.0</v>
      </c>
      <c r="F5938" s="25">
        <v>0.26875</v>
      </c>
      <c r="G5938" s="25">
        <v>0.5569444444444445</v>
      </c>
      <c r="H5938" s="27">
        <f t="shared" si="4"/>
        <v>0.2881944444</v>
      </c>
      <c r="I5938" s="28">
        <v>1.0</v>
      </c>
      <c r="J5938" s="39" t="s">
        <v>2945</v>
      </c>
      <c r="K5938" s="41"/>
      <c r="L5938" s="31" t="str">
        <f>IFERROR(__xludf.DUMMYFUNCTION("IF(OR(E5938="""",K5938=""""),"""",IFERROR(IF(K5938="""","""",query('tbl user'!$A$2:$D10975,""SELECT A WHERE D = '""&amp;K5938&amp;""'"")),""USER TIDAK DIKETAHUI""))"),"")</f>
        <v/>
      </c>
    </row>
    <row r="5939">
      <c r="A5939" s="21" t="str">
        <f t="shared" si="3"/>
        <v/>
      </c>
      <c r="B5939" s="38"/>
      <c r="C5939" s="23" t="s">
        <v>1957</v>
      </c>
      <c r="D5939" s="23" t="s">
        <v>32</v>
      </c>
      <c r="E5939" s="24">
        <v>45487.0</v>
      </c>
      <c r="F5939" s="25">
        <v>0.2826388888888889</v>
      </c>
      <c r="G5939" s="25">
        <v>0.5277777777777778</v>
      </c>
      <c r="H5939" s="27">
        <f t="shared" si="4"/>
        <v>0.2451388889</v>
      </c>
      <c r="I5939" s="28">
        <v>2.0</v>
      </c>
      <c r="J5939" s="39" t="s">
        <v>2255</v>
      </c>
      <c r="K5939" s="41"/>
      <c r="L5939" s="31" t="str">
        <f>IFERROR(__xludf.DUMMYFUNCTION("IF(OR(E5939="""",K5939=""""),"""",IFERROR(IF(K5939="""","""",query('tbl user'!$A$2:$D10975,""SELECT A WHERE D = '""&amp;K5939&amp;""'"")),""USER TIDAK DIKETAHUI""))"),"")</f>
        <v/>
      </c>
    </row>
    <row r="5940">
      <c r="A5940" s="21" t="str">
        <f t="shared" si="3"/>
        <v/>
      </c>
      <c r="B5940" s="38"/>
      <c r="C5940" s="23" t="s">
        <v>1910</v>
      </c>
      <c r="D5940" s="23" t="s">
        <v>32</v>
      </c>
      <c r="E5940" s="24">
        <v>45487.0</v>
      </c>
      <c r="F5940" s="25">
        <v>0.22013888888888888</v>
      </c>
      <c r="G5940" s="25">
        <v>0.5375</v>
      </c>
      <c r="H5940" s="27">
        <f t="shared" si="4"/>
        <v>0.3173611111</v>
      </c>
      <c r="I5940" s="28">
        <v>2.0</v>
      </c>
      <c r="J5940" s="39" t="s">
        <v>2946</v>
      </c>
      <c r="K5940" s="41"/>
      <c r="L5940" s="31" t="str">
        <f>IFERROR(__xludf.DUMMYFUNCTION("IF(OR(E5940="""",K5940=""""),"""",IFERROR(IF(K5940="""","""",query('tbl user'!$A$2:$D10975,""SELECT A WHERE D = '""&amp;K5940&amp;""'"")),""USER TIDAK DIKETAHUI""))"),"")</f>
        <v/>
      </c>
    </row>
    <row r="5941">
      <c r="A5941" s="21" t="str">
        <f t="shared" si="3"/>
        <v/>
      </c>
      <c r="B5941" s="38"/>
      <c r="C5941" s="23" t="s">
        <v>1951</v>
      </c>
      <c r="D5941" s="23" t="s">
        <v>32</v>
      </c>
      <c r="E5941" s="24">
        <v>45487.0</v>
      </c>
      <c r="F5941" s="25">
        <v>0.27847222222222223</v>
      </c>
      <c r="G5941" s="25">
        <v>0.5409722222222222</v>
      </c>
      <c r="H5941" s="27">
        <f t="shared" si="4"/>
        <v>0.2625</v>
      </c>
      <c r="I5941" s="28">
        <v>2.0</v>
      </c>
      <c r="J5941" s="39" t="s">
        <v>2947</v>
      </c>
      <c r="K5941" s="41"/>
      <c r="L5941" s="31" t="str">
        <f>IFERROR(__xludf.DUMMYFUNCTION("IF(OR(E5941="""",K5941=""""),"""",IFERROR(IF(K5941="""","""",query('tbl user'!$A$2:$D10975,""SELECT A WHERE D = '""&amp;K5941&amp;""'"")),""USER TIDAK DIKETAHUI""))"),"")</f>
        <v/>
      </c>
    </row>
    <row r="5942">
      <c r="A5942" s="21" t="str">
        <f t="shared" si="3"/>
        <v/>
      </c>
      <c r="B5942" s="38"/>
      <c r="C5942" s="23" t="s">
        <v>1963</v>
      </c>
      <c r="D5942" s="23" t="s">
        <v>32</v>
      </c>
      <c r="E5942" s="24">
        <v>45487.0</v>
      </c>
      <c r="F5942" s="25">
        <v>0.2611111111111111</v>
      </c>
      <c r="G5942" s="28" t="s">
        <v>1817</v>
      </c>
      <c r="H5942" s="27" t="str">
        <f t="shared" si="4"/>
        <v/>
      </c>
      <c r="I5942" s="28">
        <v>3.0</v>
      </c>
      <c r="J5942" s="39" t="s">
        <v>2948</v>
      </c>
      <c r="K5942" s="41"/>
      <c r="L5942" s="31" t="str">
        <f>IFERROR(__xludf.DUMMYFUNCTION("IF(OR(E5942="""",K5942=""""),"""",IFERROR(IF(K5942="""","""",query('tbl user'!$A$2:$D10975,""SELECT A WHERE D = '""&amp;K5942&amp;""'"")),""USER TIDAK DIKETAHUI""))"),"")</f>
        <v/>
      </c>
    </row>
    <row r="5943">
      <c r="A5943" s="21" t="str">
        <f t="shared" si="3"/>
        <v/>
      </c>
      <c r="B5943" s="38"/>
      <c r="C5943" s="23" t="s">
        <v>1967</v>
      </c>
      <c r="D5943" s="23" t="s">
        <v>32</v>
      </c>
      <c r="E5943" s="24">
        <v>45487.0</v>
      </c>
      <c r="F5943" s="25">
        <v>0.28958333333333336</v>
      </c>
      <c r="G5943" s="25">
        <v>0.6805555555555556</v>
      </c>
      <c r="H5943" s="27">
        <f t="shared" si="4"/>
        <v>0.3909722222</v>
      </c>
      <c r="I5943" s="28">
        <v>3.0</v>
      </c>
      <c r="J5943" s="39" t="s">
        <v>2949</v>
      </c>
      <c r="K5943" s="41"/>
      <c r="L5943" s="31" t="str">
        <f>IFERROR(__xludf.DUMMYFUNCTION("IF(OR(E5943="""",K5943=""""),"""",IFERROR(IF(K5943="""","""",query('tbl user'!$A$2:$D10975,""SELECT A WHERE D = '""&amp;K5943&amp;""'"")),""USER TIDAK DIKETAHUI""))"),"")</f>
        <v/>
      </c>
    </row>
    <row r="5944">
      <c r="A5944" s="21" t="str">
        <f t="shared" si="3"/>
        <v/>
      </c>
      <c r="B5944" s="38"/>
      <c r="C5944" s="23" t="s">
        <v>1912</v>
      </c>
      <c r="D5944" s="23" t="s">
        <v>32</v>
      </c>
      <c r="E5944" s="24">
        <v>45487.0</v>
      </c>
      <c r="F5944" s="25">
        <v>0.3236111111111111</v>
      </c>
      <c r="G5944" s="25">
        <v>0.71875</v>
      </c>
      <c r="H5944" s="27">
        <f t="shared" si="4"/>
        <v>0.3951388889</v>
      </c>
      <c r="I5944" s="28">
        <v>3.0</v>
      </c>
      <c r="J5944" s="39" t="s">
        <v>2950</v>
      </c>
      <c r="K5944" s="41"/>
      <c r="L5944" s="31" t="str">
        <f>IFERROR(__xludf.DUMMYFUNCTION("IF(OR(E5944="""",K5944=""""),"""",IFERROR(IF(K5944="""","""",query('tbl user'!$A$2:$D10975,""SELECT A WHERE D = '""&amp;K5944&amp;""'"")),""USER TIDAK DIKETAHUI""))"),"")</f>
        <v/>
      </c>
    </row>
    <row r="5945">
      <c r="A5945" s="21" t="str">
        <f t="shared" si="3"/>
        <v/>
      </c>
      <c r="B5945" s="38"/>
      <c r="C5945" s="23" t="s">
        <v>1896</v>
      </c>
      <c r="D5945" s="23" t="s">
        <v>32</v>
      </c>
      <c r="E5945" s="24">
        <v>45487.0</v>
      </c>
      <c r="F5945" s="25">
        <v>0.2826388888888889</v>
      </c>
      <c r="G5945" s="25">
        <v>0.6555555555555556</v>
      </c>
      <c r="H5945" s="27">
        <f t="shared" si="4"/>
        <v>0.3729166667</v>
      </c>
      <c r="I5945" s="28">
        <v>3.0</v>
      </c>
      <c r="J5945" s="39" t="s">
        <v>2949</v>
      </c>
      <c r="K5945" s="41"/>
      <c r="L5945" s="31" t="str">
        <f>IFERROR(__xludf.DUMMYFUNCTION("IF(OR(E5945="""",K5945=""""),"""",IFERROR(IF(K5945="""","""",query('tbl user'!$A$2:$D10975,""SELECT A WHERE D = '""&amp;K5945&amp;""'"")),""USER TIDAK DIKETAHUI""))"),"")</f>
        <v/>
      </c>
    </row>
    <row r="5946">
      <c r="A5946" s="21" t="str">
        <f t="shared" si="3"/>
        <v/>
      </c>
      <c r="B5946" s="38"/>
      <c r="C5946" s="23" t="s">
        <v>1990</v>
      </c>
      <c r="D5946" s="23" t="s">
        <v>32</v>
      </c>
      <c r="E5946" s="24">
        <v>45487.0</v>
      </c>
      <c r="F5946" s="25">
        <v>0.2673611111111111</v>
      </c>
      <c r="G5946" s="25">
        <v>0.6291666666666667</v>
      </c>
      <c r="H5946" s="27">
        <f t="shared" si="4"/>
        <v>0.3618055556</v>
      </c>
      <c r="I5946" s="28">
        <v>3.0</v>
      </c>
      <c r="J5946" s="39" t="s">
        <v>2949</v>
      </c>
      <c r="K5946" s="41"/>
      <c r="L5946" s="31" t="str">
        <f>IFERROR(__xludf.DUMMYFUNCTION("IF(OR(E5946="""",K5946=""""),"""",IFERROR(IF(K5946="""","""",query('tbl user'!$A$2:$D10975,""SELECT A WHERE D = '""&amp;K5946&amp;""'"")),""USER TIDAK DIKETAHUI""))"),"")</f>
        <v/>
      </c>
    </row>
    <row r="5947">
      <c r="A5947" s="21" t="str">
        <f t="shared" si="3"/>
        <v/>
      </c>
      <c r="B5947" s="38"/>
      <c r="C5947" s="23" t="s">
        <v>1903</v>
      </c>
      <c r="D5947" s="23" t="s">
        <v>32</v>
      </c>
      <c r="E5947" s="24">
        <v>45487.0</v>
      </c>
      <c r="F5947" s="25">
        <v>0.28402777777777777</v>
      </c>
      <c r="G5947" s="25">
        <v>0.6631944444444444</v>
      </c>
      <c r="H5947" s="27">
        <f t="shared" si="4"/>
        <v>0.3791666667</v>
      </c>
      <c r="I5947" s="28">
        <v>3.0</v>
      </c>
      <c r="J5947" s="39" t="s">
        <v>2949</v>
      </c>
      <c r="K5947" s="41"/>
      <c r="L5947" s="31" t="str">
        <f>IFERROR(__xludf.DUMMYFUNCTION("IF(OR(E5947="""",K5947=""""),"""",IFERROR(IF(K5947="""","""",query('tbl user'!$A$2:$D10975,""SELECT A WHERE D = '""&amp;K5947&amp;""'"")),""USER TIDAK DIKETAHUI""))"),"")</f>
        <v/>
      </c>
    </row>
    <row r="5948">
      <c r="A5948" s="21" t="str">
        <f t="shared" si="3"/>
        <v/>
      </c>
      <c r="B5948" s="38"/>
      <c r="C5948" s="23" t="s">
        <v>1904</v>
      </c>
      <c r="D5948" s="23" t="s">
        <v>32</v>
      </c>
      <c r="E5948" s="24">
        <v>45487.0</v>
      </c>
      <c r="F5948" s="25">
        <v>0.2722222222222222</v>
      </c>
      <c r="G5948" s="25">
        <v>0.6534722222222222</v>
      </c>
      <c r="H5948" s="27">
        <f t="shared" si="4"/>
        <v>0.38125</v>
      </c>
      <c r="I5948" s="28">
        <v>3.0</v>
      </c>
      <c r="J5948" s="39" t="s">
        <v>2949</v>
      </c>
      <c r="K5948" s="41"/>
      <c r="L5948" s="31" t="str">
        <f>IFERROR(__xludf.DUMMYFUNCTION("IF(OR(E5948="""",K5948=""""),"""",IFERROR(IF(K5948="""","""",query('tbl user'!$A$2:$D10975,""SELECT A WHERE D = '""&amp;K5948&amp;""'"")),""USER TIDAK DIKETAHUI""))"),"")</f>
        <v/>
      </c>
    </row>
    <row r="5949">
      <c r="A5949" s="21" t="str">
        <f t="shared" si="3"/>
        <v/>
      </c>
      <c r="B5949" s="38"/>
      <c r="C5949" s="23" t="s">
        <v>1905</v>
      </c>
      <c r="D5949" s="23" t="s">
        <v>32</v>
      </c>
      <c r="E5949" s="24">
        <v>45487.0</v>
      </c>
      <c r="F5949" s="25">
        <v>0.24722222222222223</v>
      </c>
      <c r="G5949" s="25">
        <v>0.5902777777777778</v>
      </c>
      <c r="H5949" s="27">
        <f t="shared" si="4"/>
        <v>0.3430555556</v>
      </c>
      <c r="I5949" s="28">
        <v>3.0</v>
      </c>
      <c r="J5949" s="39" t="s">
        <v>2949</v>
      </c>
      <c r="K5949" s="41"/>
      <c r="L5949" s="31" t="str">
        <f>IFERROR(__xludf.DUMMYFUNCTION("IF(OR(E5949="""",K5949=""""),"""",IFERROR(IF(K5949="""","""",query('tbl user'!$A$2:$D10975,""SELECT A WHERE D = '""&amp;K5949&amp;""'"")),""USER TIDAK DIKETAHUI""))"),"")</f>
        <v/>
      </c>
    </row>
    <row r="5950">
      <c r="A5950" s="21" t="str">
        <f t="shared" si="3"/>
        <v/>
      </c>
      <c r="B5950" s="38"/>
      <c r="C5950" s="23" t="s">
        <v>1907</v>
      </c>
      <c r="D5950" s="23" t="s">
        <v>32</v>
      </c>
      <c r="E5950" s="24">
        <v>45487.0</v>
      </c>
      <c r="F5950" s="25">
        <v>0.28958333333333336</v>
      </c>
      <c r="G5950" s="25">
        <v>0.6756944444444445</v>
      </c>
      <c r="H5950" s="27">
        <f t="shared" si="4"/>
        <v>0.3861111111</v>
      </c>
      <c r="I5950" s="28">
        <v>3.0</v>
      </c>
      <c r="J5950" s="39" t="s">
        <v>2951</v>
      </c>
      <c r="K5950" s="41"/>
      <c r="L5950" s="31" t="str">
        <f>IFERROR(__xludf.DUMMYFUNCTION("IF(OR(E5950="""",K5950=""""),"""",IFERROR(IF(K5950="""","""",query('tbl user'!$A$2:$D10975,""SELECT A WHERE D = '""&amp;K5950&amp;""'"")),""USER TIDAK DIKETAHUI""))"),"")</f>
        <v/>
      </c>
    </row>
    <row r="5951">
      <c r="A5951" s="21" t="str">
        <f t="shared" si="3"/>
        <v/>
      </c>
      <c r="B5951" s="38"/>
      <c r="C5951" s="23" t="s">
        <v>1908</v>
      </c>
      <c r="D5951" s="23" t="s">
        <v>32</v>
      </c>
      <c r="E5951" s="24">
        <v>45487.0</v>
      </c>
      <c r="F5951" s="25">
        <v>0.27152777777777776</v>
      </c>
      <c r="G5951" s="25">
        <v>0.6055555555555555</v>
      </c>
      <c r="H5951" s="27">
        <f t="shared" si="4"/>
        <v>0.3340277778</v>
      </c>
      <c r="I5951" s="28">
        <v>3.0</v>
      </c>
      <c r="J5951" s="39" t="s">
        <v>2949</v>
      </c>
      <c r="K5951" s="41"/>
      <c r="L5951" s="31" t="str">
        <f>IFERROR(__xludf.DUMMYFUNCTION("IF(OR(E5951="""",K5951=""""),"""",IFERROR(IF(K5951="""","""",query('tbl user'!$A$2:$D10975,""SELECT A WHERE D = '""&amp;K5951&amp;""'"")),""USER TIDAK DIKETAHUI""))"),"")</f>
        <v/>
      </c>
    </row>
    <row r="5952">
      <c r="A5952" s="21" t="str">
        <f t="shared" si="3"/>
        <v/>
      </c>
      <c r="B5952" s="38"/>
      <c r="C5952" s="23" t="s">
        <v>1913</v>
      </c>
      <c r="D5952" s="23" t="s">
        <v>32</v>
      </c>
      <c r="E5952" s="24">
        <v>45487.0</v>
      </c>
      <c r="F5952" s="25">
        <v>0.2361111111111111</v>
      </c>
      <c r="G5952" s="25">
        <v>0.5923611111111111</v>
      </c>
      <c r="H5952" s="27">
        <f t="shared" si="4"/>
        <v>0.35625</v>
      </c>
      <c r="I5952" s="28">
        <v>3.0</v>
      </c>
      <c r="J5952" s="39" t="s">
        <v>2949</v>
      </c>
      <c r="K5952" s="41"/>
      <c r="L5952" s="31" t="str">
        <f>IFERROR(__xludf.DUMMYFUNCTION("IF(OR(E5952="""",K5952=""""),"""",IFERROR(IF(K5952="""","""",query('tbl user'!$A$2:$D10975,""SELECT A WHERE D = '""&amp;K5952&amp;""'"")),""USER TIDAK DIKETAHUI""))"),"")</f>
        <v/>
      </c>
    </row>
    <row r="5953">
      <c r="A5953" s="21" t="str">
        <f t="shared" si="3"/>
        <v/>
      </c>
      <c r="B5953" s="38"/>
      <c r="C5953" s="23" t="s">
        <v>1900</v>
      </c>
      <c r="D5953" s="23" t="s">
        <v>32</v>
      </c>
      <c r="E5953" s="24">
        <v>45487.0</v>
      </c>
      <c r="F5953" s="25">
        <v>0.2659722222222222</v>
      </c>
      <c r="G5953" s="25">
        <v>0.7152777777777778</v>
      </c>
      <c r="H5953" s="27">
        <f t="shared" si="4"/>
        <v>0.4493055556</v>
      </c>
      <c r="I5953" s="28">
        <v>4.0</v>
      </c>
      <c r="J5953" s="39" t="s">
        <v>55</v>
      </c>
      <c r="K5953" s="41"/>
      <c r="L5953" s="31" t="str">
        <f>IFERROR(__xludf.DUMMYFUNCTION("IF(OR(E5953="""",K5953=""""),"""",IFERROR(IF(K5953="""","""",query('tbl user'!$A$2:$D10975,""SELECT A WHERE D = '""&amp;K5953&amp;""'"")),""USER TIDAK DIKETAHUI""))"),"")</f>
        <v/>
      </c>
    </row>
    <row r="5954">
      <c r="A5954" s="21" t="str">
        <f t="shared" si="3"/>
        <v/>
      </c>
      <c r="B5954" s="38"/>
      <c r="C5954" s="23" t="s">
        <v>1837</v>
      </c>
      <c r="D5954" s="23" t="s">
        <v>21</v>
      </c>
      <c r="E5954" s="24">
        <v>45488.0</v>
      </c>
      <c r="F5954" s="25">
        <v>0.26319444444444445</v>
      </c>
      <c r="G5954" s="25">
        <v>0.5208333333333334</v>
      </c>
      <c r="H5954" s="27">
        <f t="shared" si="4"/>
        <v>0.2576388889</v>
      </c>
      <c r="I5954" s="28">
        <v>0.0</v>
      </c>
      <c r="J5954" s="39" t="s">
        <v>2952</v>
      </c>
      <c r="K5954" s="41"/>
      <c r="L5954" s="31" t="str">
        <f>IFERROR(__xludf.DUMMYFUNCTION("IF(OR(E5954="""",K5954=""""),"""",IFERROR(IF(K5954="""","""",query('tbl user'!$A$2:$D10975,""SELECT A WHERE D = '""&amp;K5954&amp;""'"")),""USER TIDAK DIKETAHUI""))"),"")</f>
        <v/>
      </c>
    </row>
    <row r="5955">
      <c r="A5955" s="21" t="str">
        <f t="shared" si="3"/>
        <v/>
      </c>
      <c r="B5955" s="38"/>
      <c r="C5955" s="23" t="s">
        <v>2628</v>
      </c>
      <c r="D5955" s="23" t="s">
        <v>21</v>
      </c>
      <c r="E5955" s="24">
        <v>45488.0</v>
      </c>
      <c r="F5955" s="25">
        <v>0.2701388888888889</v>
      </c>
      <c r="G5955" s="25">
        <v>0.4701388888888889</v>
      </c>
      <c r="H5955" s="27">
        <f t="shared" si="4"/>
        <v>0.2</v>
      </c>
      <c r="I5955" s="28">
        <v>1.0</v>
      </c>
      <c r="J5955" s="39" t="s">
        <v>2953</v>
      </c>
      <c r="K5955" s="41"/>
      <c r="L5955" s="31" t="str">
        <f>IFERROR(__xludf.DUMMYFUNCTION("IF(OR(E5955="""",K5955=""""),"""",IFERROR(IF(K5955="""","""",query('tbl user'!$A$2:$D10975,""SELECT A WHERE D = '""&amp;K5955&amp;""'"")),""USER TIDAK DIKETAHUI""))"),"")</f>
        <v/>
      </c>
    </row>
    <row r="5956">
      <c r="A5956" s="21" t="str">
        <f t="shared" si="3"/>
        <v/>
      </c>
      <c r="B5956" s="38"/>
      <c r="C5956" s="23" t="s">
        <v>1835</v>
      </c>
      <c r="D5956" s="23" t="s">
        <v>21</v>
      </c>
      <c r="E5956" s="24">
        <v>45488.0</v>
      </c>
      <c r="F5956" s="25">
        <v>0.27847222222222223</v>
      </c>
      <c r="G5956" s="25">
        <v>0.48055555555555557</v>
      </c>
      <c r="H5956" s="27">
        <f t="shared" si="4"/>
        <v>0.2020833333</v>
      </c>
      <c r="I5956" s="28">
        <v>1.0</v>
      </c>
      <c r="J5956" s="39" t="s">
        <v>2954</v>
      </c>
      <c r="K5956" s="41"/>
      <c r="L5956" s="31" t="str">
        <f>IFERROR(__xludf.DUMMYFUNCTION("IF(OR(E5956="""",K5956=""""),"""",IFERROR(IF(K5956="""","""",query('tbl user'!$A$2:$D10975,""SELECT A WHERE D = '""&amp;K5956&amp;""'"")),""USER TIDAK DIKETAHUI""))"),"")</f>
        <v/>
      </c>
    </row>
    <row r="5957">
      <c r="A5957" s="21" t="str">
        <f t="shared" si="3"/>
        <v/>
      </c>
      <c r="B5957" s="38"/>
      <c r="C5957" s="23" t="s">
        <v>1849</v>
      </c>
      <c r="D5957" s="23" t="s">
        <v>21</v>
      </c>
      <c r="E5957" s="24">
        <v>45488.0</v>
      </c>
      <c r="F5957" s="25">
        <v>0.26180555555555557</v>
      </c>
      <c r="G5957" s="25">
        <v>0.4534722222222222</v>
      </c>
      <c r="H5957" s="27">
        <f t="shared" si="4"/>
        <v>0.1916666667</v>
      </c>
      <c r="I5957" s="28">
        <v>1.0</v>
      </c>
      <c r="J5957" s="39" t="s">
        <v>2955</v>
      </c>
      <c r="K5957" s="41"/>
      <c r="L5957" s="31" t="str">
        <f>IFERROR(__xludf.DUMMYFUNCTION("IF(OR(E5957="""",K5957=""""),"""",IFERROR(IF(K5957="""","""",query('tbl user'!$A$2:$D10975,""SELECT A WHERE D = '""&amp;K5957&amp;""'"")),""USER TIDAK DIKETAHUI""))"),"")</f>
        <v/>
      </c>
    </row>
    <row r="5958">
      <c r="A5958" s="21" t="str">
        <f t="shared" si="3"/>
        <v/>
      </c>
      <c r="B5958" s="38"/>
      <c r="C5958" s="23" t="s">
        <v>1853</v>
      </c>
      <c r="D5958" s="23" t="s">
        <v>21</v>
      </c>
      <c r="E5958" s="24">
        <v>45488.0</v>
      </c>
      <c r="F5958" s="25">
        <v>0.26875</v>
      </c>
      <c r="G5958" s="25">
        <v>0.5944444444444444</v>
      </c>
      <c r="H5958" s="27">
        <f t="shared" si="4"/>
        <v>0.3256944444</v>
      </c>
      <c r="I5958" s="28">
        <v>2.0</v>
      </c>
      <c r="J5958" s="39" t="s">
        <v>2956</v>
      </c>
      <c r="K5958" s="41"/>
      <c r="L5958" s="31" t="str">
        <f>IFERROR(__xludf.DUMMYFUNCTION("IF(OR(E5958="""",K5958=""""),"""",IFERROR(IF(K5958="""","""",query('tbl user'!$A$2:$D10975,""SELECT A WHERE D = '""&amp;K5958&amp;""'"")),""USER TIDAK DIKETAHUI""))"),"")</f>
        <v/>
      </c>
    </row>
    <row r="5959">
      <c r="A5959" s="21" t="str">
        <f t="shared" si="3"/>
        <v/>
      </c>
      <c r="B5959" s="38"/>
      <c r="C5959" s="23" t="s">
        <v>1922</v>
      </c>
      <c r="D5959" s="23" t="s">
        <v>21</v>
      </c>
      <c r="E5959" s="24">
        <v>45488.0</v>
      </c>
      <c r="F5959" s="25">
        <v>0.2638888888888889</v>
      </c>
      <c r="G5959" s="25">
        <v>0.5694444444444444</v>
      </c>
      <c r="H5959" s="27">
        <f t="shared" si="4"/>
        <v>0.3055555556</v>
      </c>
      <c r="I5959" s="28">
        <v>2.0</v>
      </c>
      <c r="J5959" s="39" t="s">
        <v>2957</v>
      </c>
      <c r="K5959" s="41"/>
      <c r="L5959" s="31" t="str">
        <f>IFERROR(__xludf.DUMMYFUNCTION("IF(OR(E5959="""",K5959=""""),"""",IFERROR(IF(K5959="""","""",query('tbl user'!$A$2:$D10975,""SELECT A WHERE D = '""&amp;K5959&amp;""'"")),""USER TIDAK DIKETAHUI""))"),"")</f>
        <v/>
      </c>
    </row>
    <row r="5960">
      <c r="A5960" s="21" t="str">
        <f t="shared" si="3"/>
        <v/>
      </c>
      <c r="B5960" s="38"/>
      <c r="C5960" s="23" t="s">
        <v>2136</v>
      </c>
      <c r="D5960" s="23" t="s">
        <v>21</v>
      </c>
      <c r="E5960" s="24">
        <v>45488.0</v>
      </c>
      <c r="F5960" s="25">
        <v>0.41388888888888886</v>
      </c>
      <c r="G5960" s="28" t="s">
        <v>1817</v>
      </c>
      <c r="H5960" s="27" t="str">
        <f t="shared" si="4"/>
        <v/>
      </c>
      <c r="I5960" s="28">
        <v>2.0</v>
      </c>
      <c r="J5960" s="39" t="s">
        <v>2958</v>
      </c>
      <c r="K5960" s="41"/>
      <c r="L5960" s="31" t="str">
        <f>IFERROR(__xludf.DUMMYFUNCTION("IF(OR(E5960="""",K5960=""""),"""",IFERROR(IF(K5960="""","""",query('tbl user'!$A$2:$D10975,""SELECT A WHERE D = '""&amp;K5960&amp;""'"")),""USER TIDAK DIKETAHUI""))"),"")</f>
        <v/>
      </c>
    </row>
    <row r="5961">
      <c r="A5961" s="21" t="str">
        <f t="shared" si="3"/>
        <v/>
      </c>
      <c r="B5961" s="38"/>
      <c r="C5961" s="23" t="s">
        <v>1857</v>
      </c>
      <c r="D5961" s="23" t="s">
        <v>21</v>
      </c>
      <c r="E5961" s="24">
        <v>45488.0</v>
      </c>
      <c r="F5961" s="25">
        <v>0.275</v>
      </c>
      <c r="G5961" s="25">
        <v>0.5763888888888888</v>
      </c>
      <c r="H5961" s="27">
        <f t="shared" si="4"/>
        <v>0.3013888889</v>
      </c>
      <c r="I5961" s="28">
        <v>2.0</v>
      </c>
      <c r="J5961" s="39" t="s">
        <v>2959</v>
      </c>
      <c r="K5961" s="41"/>
      <c r="L5961" s="31" t="str">
        <f>IFERROR(__xludf.DUMMYFUNCTION("IF(OR(E5961="""",K5961=""""),"""",IFERROR(IF(K5961="""","""",query('tbl user'!$A$2:$D10975,""SELECT A WHERE D = '""&amp;K5961&amp;""'"")),""USER TIDAK DIKETAHUI""))"),"")</f>
        <v/>
      </c>
    </row>
    <row r="5962">
      <c r="A5962" s="21" t="str">
        <f t="shared" si="3"/>
        <v/>
      </c>
      <c r="B5962" s="38"/>
      <c r="C5962" s="23" t="s">
        <v>2005</v>
      </c>
      <c r="D5962" s="23" t="s">
        <v>21</v>
      </c>
      <c r="E5962" s="24">
        <v>45488.0</v>
      </c>
      <c r="F5962" s="25">
        <v>0.24930555555555556</v>
      </c>
      <c r="G5962" s="25">
        <v>0.5277777777777778</v>
      </c>
      <c r="H5962" s="27">
        <f t="shared" si="4"/>
        <v>0.2784722222</v>
      </c>
      <c r="I5962" s="28">
        <v>2.0</v>
      </c>
      <c r="J5962" s="39" t="s">
        <v>2960</v>
      </c>
      <c r="K5962" s="41"/>
      <c r="L5962" s="31" t="str">
        <f>IFERROR(__xludf.DUMMYFUNCTION("IF(OR(E5962="""",K5962=""""),"""",IFERROR(IF(K5962="""","""",query('tbl user'!$A$2:$D10975,""SELECT A WHERE D = '""&amp;K5962&amp;""'"")),""USER TIDAK DIKETAHUI""))"),"")</f>
        <v/>
      </c>
    </row>
    <row r="5963">
      <c r="A5963" s="21" t="str">
        <f t="shared" si="3"/>
        <v/>
      </c>
      <c r="B5963" s="38"/>
      <c r="C5963" s="23" t="s">
        <v>1851</v>
      </c>
      <c r="D5963" s="23" t="s">
        <v>21</v>
      </c>
      <c r="E5963" s="24">
        <v>45488.0</v>
      </c>
      <c r="F5963" s="25">
        <v>0.28125</v>
      </c>
      <c r="G5963" s="25">
        <v>0.6902777777777778</v>
      </c>
      <c r="H5963" s="27">
        <f t="shared" si="4"/>
        <v>0.4090277778</v>
      </c>
      <c r="I5963" s="28">
        <v>3.0</v>
      </c>
      <c r="J5963" s="39" t="s">
        <v>1048</v>
      </c>
      <c r="K5963" s="41"/>
      <c r="L5963" s="31" t="str">
        <f>IFERROR(__xludf.DUMMYFUNCTION("IF(OR(E5963="""",K5963=""""),"""",IFERROR(IF(K5963="""","""",query('tbl user'!$A$2:$D10975,""SELECT A WHERE D = '""&amp;K5963&amp;""'"")),""USER TIDAK DIKETAHUI""))"),"")</f>
        <v/>
      </c>
    </row>
    <row r="5964">
      <c r="A5964" s="21" t="str">
        <f t="shared" si="3"/>
        <v/>
      </c>
      <c r="B5964" s="38"/>
      <c r="C5964" s="23" t="s">
        <v>2002</v>
      </c>
      <c r="D5964" s="23" t="s">
        <v>21</v>
      </c>
      <c r="E5964" s="24">
        <v>45488.0</v>
      </c>
      <c r="F5964" s="25">
        <v>0.2875</v>
      </c>
      <c r="G5964" s="25">
        <v>0.6944444444444444</v>
      </c>
      <c r="H5964" s="27">
        <f t="shared" si="4"/>
        <v>0.4069444444</v>
      </c>
      <c r="I5964" s="28">
        <v>3.0</v>
      </c>
      <c r="J5964" s="39" t="s">
        <v>1048</v>
      </c>
      <c r="K5964" s="41"/>
      <c r="L5964" s="31" t="str">
        <f>IFERROR(__xludf.DUMMYFUNCTION("IF(OR(E5964="""",K5964=""""),"""",IFERROR(IF(K5964="""","""",query('tbl user'!$A$2:$D10975,""SELECT A WHERE D = '""&amp;K5964&amp;""'"")),""USER TIDAK DIKETAHUI""))"),"")</f>
        <v/>
      </c>
    </row>
    <row r="5965">
      <c r="A5965" s="21" t="str">
        <f t="shared" si="3"/>
        <v/>
      </c>
      <c r="B5965" s="38"/>
      <c r="C5965" s="23" t="s">
        <v>1844</v>
      </c>
      <c r="D5965" s="23" t="s">
        <v>21</v>
      </c>
      <c r="E5965" s="24">
        <v>45488.0</v>
      </c>
      <c r="F5965" s="25">
        <v>0.24722222222222223</v>
      </c>
      <c r="G5965" s="25">
        <v>0.6868055555555556</v>
      </c>
      <c r="H5965" s="27">
        <f t="shared" si="4"/>
        <v>0.4395833333</v>
      </c>
      <c r="I5965" s="28">
        <v>3.0</v>
      </c>
      <c r="J5965" s="39" t="s">
        <v>2961</v>
      </c>
      <c r="K5965" s="41"/>
      <c r="L5965" s="31" t="str">
        <f>IFERROR(__xludf.DUMMYFUNCTION("IF(OR(E5965="""",K5965=""""),"""",IFERROR(IF(K5965="""","""",query('tbl user'!$A$2:$D10975,""SELECT A WHERE D = '""&amp;K5965&amp;""'"")),""USER TIDAK DIKETAHUI""))"),"")</f>
        <v/>
      </c>
    </row>
    <row r="5966">
      <c r="A5966" s="21" t="str">
        <f t="shared" si="3"/>
        <v/>
      </c>
      <c r="B5966" s="38"/>
      <c r="C5966" s="23" t="s">
        <v>1925</v>
      </c>
      <c r="D5966" s="23" t="s">
        <v>21</v>
      </c>
      <c r="E5966" s="24">
        <v>45488.0</v>
      </c>
      <c r="F5966" s="25">
        <v>0.26875</v>
      </c>
      <c r="G5966" s="25">
        <v>0.6798611111111111</v>
      </c>
      <c r="H5966" s="27">
        <f t="shared" si="4"/>
        <v>0.4111111111</v>
      </c>
      <c r="I5966" s="28">
        <v>3.0</v>
      </c>
      <c r="J5966" s="39" t="s">
        <v>2962</v>
      </c>
      <c r="K5966" s="41"/>
      <c r="L5966" s="31" t="str">
        <f>IFERROR(__xludf.DUMMYFUNCTION("IF(OR(E5966="""",K5966=""""),"""",IFERROR(IF(K5966="""","""",query('tbl user'!$A$2:$D10975,""SELECT A WHERE D = '""&amp;K5966&amp;""'"")),""USER TIDAK DIKETAHUI""))"),"")</f>
        <v/>
      </c>
    </row>
    <row r="5967">
      <c r="A5967" s="21" t="str">
        <f t="shared" si="3"/>
        <v/>
      </c>
      <c r="B5967" s="38"/>
      <c r="C5967" s="23" t="s">
        <v>1845</v>
      </c>
      <c r="D5967" s="23" t="s">
        <v>21</v>
      </c>
      <c r="E5967" s="24">
        <v>45488.0</v>
      </c>
      <c r="F5967" s="25">
        <v>0.28888888888888886</v>
      </c>
      <c r="G5967" s="25">
        <v>0.6236111111111111</v>
      </c>
      <c r="H5967" s="27">
        <f t="shared" si="4"/>
        <v>0.3347222222</v>
      </c>
      <c r="I5967" s="28">
        <v>3.0</v>
      </c>
      <c r="J5967" s="39" t="s">
        <v>2963</v>
      </c>
      <c r="K5967" s="41"/>
      <c r="L5967" s="31" t="str">
        <f>IFERROR(__xludf.DUMMYFUNCTION("IF(OR(E5967="""",K5967=""""),"""",IFERROR(IF(K5967="""","""",query('tbl user'!$A$2:$D10975,""SELECT A WHERE D = '""&amp;K5967&amp;""'"")),""USER TIDAK DIKETAHUI""))"),"")</f>
        <v/>
      </c>
    </row>
    <row r="5968">
      <c r="A5968" s="21" t="str">
        <f t="shared" si="3"/>
        <v/>
      </c>
      <c r="B5968" s="38"/>
      <c r="C5968" s="23" t="s">
        <v>2049</v>
      </c>
      <c r="D5968" s="23" t="s">
        <v>21</v>
      </c>
      <c r="E5968" s="24">
        <v>45488.0</v>
      </c>
      <c r="F5968" s="25">
        <v>0.24027777777777778</v>
      </c>
      <c r="G5968" s="25">
        <v>0.6993055555555555</v>
      </c>
      <c r="H5968" s="27">
        <f t="shared" si="4"/>
        <v>0.4590277778</v>
      </c>
      <c r="I5968" s="28">
        <v>3.0</v>
      </c>
      <c r="J5968" s="39" t="s">
        <v>940</v>
      </c>
      <c r="K5968" s="41"/>
      <c r="L5968" s="31" t="str">
        <f>IFERROR(__xludf.DUMMYFUNCTION("IF(OR(E5968="""",K5968=""""),"""",IFERROR(IF(K5968="""","""",query('tbl user'!$A$2:$D10975,""SELECT A WHERE D = '""&amp;K5968&amp;""'"")),""USER TIDAK DIKETAHUI""))"),"")</f>
        <v/>
      </c>
    </row>
    <row r="5969">
      <c r="A5969" s="21" t="str">
        <f t="shared" si="3"/>
        <v/>
      </c>
      <c r="B5969" s="38"/>
      <c r="C5969" s="23" t="s">
        <v>1928</v>
      </c>
      <c r="D5969" s="23" t="s">
        <v>21</v>
      </c>
      <c r="E5969" s="24">
        <v>45488.0</v>
      </c>
      <c r="F5969" s="25">
        <v>0.28958333333333336</v>
      </c>
      <c r="G5969" s="25">
        <v>0.7118055555555556</v>
      </c>
      <c r="H5969" s="27">
        <f t="shared" si="4"/>
        <v>0.4222222222</v>
      </c>
      <c r="I5969" s="28">
        <v>3.0</v>
      </c>
      <c r="J5969" s="39" t="s">
        <v>1048</v>
      </c>
      <c r="K5969" s="41"/>
      <c r="L5969" s="31" t="str">
        <f>IFERROR(__xludf.DUMMYFUNCTION("IF(OR(E5969="""",K5969=""""),"""",IFERROR(IF(K5969="""","""",query('tbl user'!$A$2:$D10975,""SELECT A WHERE D = '""&amp;K5969&amp;""'"")),""USER TIDAK DIKETAHUI""))"),"")</f>
        <v/>
      </c>
    </row>
    <row r="5970">
      <c r="A5970" s="21" t="str">
        <f t="shared" si="3"/>
        <v/>
      </c>
      <c r="B5970" s="38"/>
      <c r="C5970" s="23" t="s">
        <v>1858</v>
      </c>
      <c r="D5970" s="23" t="s">
        <v>21</v>
      </c>
      <c r="E5970" s="24">
        <v>45488.0</v>
      </c>
      <c r="F5970" s="25">
        <v>0.2513888888888889</v>
      </c>
      <c r="G5970" s="25">
        <v>0.7152777777777778</v>
      </c>
      <c r="H5970" s="27">
        <f t="shared" si="4"/>
        <v>0.4638888889</v>
      </c>
      <c r="I5970" s="28">
        <v>4.0</v>
      </c>
      <c r="J5970" s="39" t="s">
        <v>1048</v>
      </c>
      <c r="K5970" s="41"/>
      <c r="L5970" s="31" t="str">
        <f>IFERROR(__xludf.DUMMYFUNCTION("IF(OR(E5970="""",K5970=""""),"""",IFERROR(IF(K5970="""","""",query('tbl user'!$A$2:$D10975,""SELECT A WHERE D = '""&amp;K5970&amp;""'"")),""USER TIDAK DIKETAHUI""))"),"")</f>
        <v/>
      </c>
    </row>
    <row r="5971">
      <c r="A5971" s="21" t="str">
        <f t="shared" si="3"/>
        <v/>
      </c>
      <c r="B5971" s="38"/>
      <c r="C5971" s="23" t="s">
        <v>1850</v>
      </c>
      <c r="D5971" s="23" t="s">
        <v>21</v>
      </c>
      <c r="E5971" s="24">
        <v>45488.0</v>
      </c>
      <c r="F5971" s="25">
        <v>0.24791666666666667</v>
      </c>
      <c r="G5971" s="25">
        <v>0.7708333333333334</v>
      </c>
      <c r="H5971" s="27">
        <f t="shared" si="4"/>
        <v>0.5229166667</v>
      </c>
      <c r="I5971" s="28">
        <v>4.0</v>
      </c>
      <c r="J5971" s="39" t="s">
        <v>2964</v>
      </c>
      <c r="K5971" s="41"/>
      <c r="L5971" s="31" t="str">
        <f>IFERROR(__xludf.DUMMYFUNCTION("IF(OR(E5971="""",K5971=""""),"""",IFERROR(IF(K5971="""","""",query('tbl user'!$A$2:$D10975,""SELECT A WHERE D = '""&amp;K5971&amp;""'"")),""USER TIDAK DIKETAHUI""))"),"")</f>
        <v/>
      </c>
    </row>
    <row r="5972">
      <c r="A5972" s="21" t="str">
        <f t="shared" si="3"/>
        <v/>
      </c>
      <c r="B5972" s="38"/>
      <c r="C5972" s="23" t="s">
        <v>1917</v>
      </c>
      <c r="D5972" s="23" t="s">
        <v>21</v>
      </c>
      <c r="E5972" s="24">
        <v>45488.0</v>
      </c>
      <c r="F5972" s="25">
        <v>0.26875</v>
      </c>
      <c r="G5972" s="25">
        <v>0.5840277777777778</v>
      </c>
      <c r="H5972" s="27">
        <f t="shared" si="4"/>
        <v>0.3152777778</v>
      </c>
      <c r="I5972" s="28">
        <v>2.0</v>
      </c>
      <c r="J5972" s="39" t="s">
        <v>2965</v>
      </c>
      <c r="K5972" s="41"/>
      <c r="L5972" s="31" t="str">
        <f>IFERROR(__xludf.DUMMYFUNCTION("IF(OR(E5972="""",K5972=""""),"""",IFERROR(IF(K5972="""","""",query('tbl user'!$A$2:$D10975,""SELECT A WHERE D = '""&amp;K5972&amp;""'"")),""USER TIDAK DIKETAHUI""))"),"")</f>
        <v/>
      </c>
    </row>
    <row r="5973">
      <c r="A5973" s="21" t="str">
        <f t="shared" si="3"/>
        <v/>
      </c>
      <c r="B5973" s="38"/>
      <c r="C5973" s="23" t="s">
        <v>1841</v>
      </c>
      <c r="D5973" s="23" t="s">
        <v>21</v>
      </c>
      <c r="E5973" s="24">
        <v>45488.0</v>
      </c>
      <c r="F5973" s="25">
        <v>0.28958333333333336</v>
      </c>
      <c r="G5973" s="25">
        <v>0.7479166666666667</v>
      </c>
      <c r="H5973" s="27">
        <f t="shared" si="4"/>
        <v>0.4583333333</v>
      </c>
      <c r="I5973" s="28">
        <v>3.0</v>
      </c>
      <c r="J5973" s="39" t="s">
        <v>2929</v>
      </c>
      <c r="K5973" s="41"/>
      <c r="L5973" s="31" t="str">
        <f>IFERROR(__xludf.DUMMYFUNCTION("IF(OR(E5973="""",K5973=""""),"""",IFERROR(IF(K5973="""","""",query('tbl user'!$A$2:$D10975,""SELECT A WHERE D = '""&amp;K5973&amp;""'"")),""USER TIDAK DIKETAHUI""))"),"")</f>
        <v/>
      </c>
    </row>
    <row r="5974">
      <c r="A5974" s="21" t="str">
        <f t="shared" si="3"/>
        <v/>
      </c>
      <c r="B5974" s="38"/>
      <c r="C5974" s="23" t="s">
        <v>1888</v>
      </c>
      <c r="D5974" s="23" t="s">
        <v>58</v>
      </c>
      <c r="E5974" s="24">
        <v>45488.0</v>
      </c>
      <c r="F5974" s="25">
        <v>0.2701388888888889</v>
      </c>
      <c r="G5974" s="28" t="s">
        <v>1817</v>
      </c>
      <c r="H5974" s="27" t="str">
        <f t="shared" si="4"/>
        <v/>
      </c>
      <c r="I5974" s="28">
        <v>0.0</v>
      </c>
      <c r="J5974" s="39" t="s">
        <v>2966</v>
      </c>
      <c r="K5974" s="41"/>
      <c r="L5974" s="31" t="str">
        <f>IFERROR(__xludf.DUMMYFUNCTION("IF(OR(E5974="""",K5974=""""),"""",IFERROR(IF(K5974="""","""",query('tbl user'!$A$2:$D10975,""SELECT A WHERE D = '""&amp;K5974&amp;""'"")),""USER TIDAK DIKETAHUI""))"),"")</f>
        <v/>
      </c>
    </row>
    <row r="5975">
      <c r="A5975" s="21" t="str">
        <f t="shared" si="3"/>
        <v/>
      </c>
      <c r="B5975" s="38"/>
      <c r="C5975" s="23" t="s">
        <v>1948</v>
      </c>
      <c r="D5975" s="23" t="s">
        <v>58</v>
      </c>
      <c r="E5975" s="24">
        <v>45488.0</v>
      </c>
      <c r="F5975" s="25">
        <v>0.29097222222222224</v>
      </c>
      <c r="G5975" s="25">
        <v>0.8055555555555556</v>
      </c>
      <c r="H5975" s="27">
        <f t="shared" si="4"/>
        <v>0.5145833333</v>
      </c>
      <c r="I5975" s="28">
        <v>1.0</v>
      </c>
      <c r="J5975" s="39" t="s">
        <v>2967</v>
      </c>
      <c r="K5975" s="41"/>
      <c r="L5975" s="31" t="str">
        <f>IFERROR(__xludf.DUMMYFUNCTION("IF(OR(E5975="""",K5975=""""),"""",IFERROR(IF(K5975="""","""",query('tbl user'!$A$2:$D10975,""SELECT A WHERE D = '""&amp;K5975&amp;""'"")),""USER TIDAK DIKETAHUI""))"),"")</f>
        <v/>
      </c>
    </row>
    <row r="5976">
      <c r="A5976" s="21" t="str">
        <f t="shared" si="3"/>
        <v/>
      </c>
      <c r="B5976" s="38"/>
      <c r="C5976" s="23" t="s">
        <v>1869</v>
      </c>
      <c r="D5976" s="23" t="s">
        <v>58</v>
      </c>
      <c r="E5976" s="24">
        <v>45488.0</v>
      </c>
      <c r="F5976" s="25">
        <v>0.5645833333333333</v>
      </c>
      <c r="G5976" s="25">
        <v>0.6493055555555556</v>
      </c>
      <c r="H5976" s="27">
        <f t="shared" si="4"/>
        <v>0.08472222222</v>
      </c>
      <c r="I5976" s="28">
        <v>1.0</v>
      </c>
      <c r="J5976" s="39" t="s">
        <v>2968</v>
      </c>
      <c r="K5976" s="41"/>
      <c r="L5976" s="31" t="str">
        <f>IFERROR(__xludf.DUMMYFUNCTION("IF(OR(E5976="""",K5976=""""),"""",IFERROR(IF(K5976="""","""",query('tbl user'!$A$2:$D10975,""SELECT A WHERE D = '""&amp;K5976&amp;""'"")),""USER TIDAK DIKETAHUI""))"),"")</f>
        <v/>
      </c>
    </row>
    <row r="5977">
      <c r="A5977" s="21" t="str">
        <f t="shared" si="3"/>
        <v/>
      </c>
      <c r="B5977" s="38"/>
      <c r="C5977" s="23" t="s">
        <v>1889</v>
      </c>
      <c r="D5977" s="23" t="s">
        <v>58</v>
      </c>
      <c r="E5977" s="24">
        <v>45488.0</v>
      </c>
      <c r="F5977" s="25">
        <v>0.26875</v>
      </c>
      <c r="G5977" s="28" t="s">
        <v>2969</v>
      </c>
      <c r="H5977" s="27" t="str">
        <f t="shared" si="4"/>
        <v/>
      </c>
      <c r="I5977" s="28">
        <v>1.0</v>
      </c>
      <c r="J5977" s="39" t="s">
        <v>2970</v>
      </c>
      <c r="K5977" s="41"/>
      <c r="L5977" s="31" t="str">
        <f>IFERROR(__xludf.DUMMYFUNCTION("IF(OR(E5977="""",K5977=""""),"""",IFERROR(IF(K5977="""","""",query('tbl user'!$A$2:$D10975,""SELECT A WHERE D = '""&amp;K5977&amp;""'"")),""USER TIDAK DIKETAHUI""))"),"")</f>
        <v/>
      </c>
    </row>
    <row r="5978">
      <c r="A5978" s="21" t="str">
        <f t="shared" si="3"/>
        <v/>
      </c>
      <c r="B5978" s="38"/>
      <c r="C5978" s="23" t="s">
        <v>2090</v>
      </c>
      <c r="D5978" s="23" t="s">
        <v>58</v>
      </c>
      <c r="E5978" s="24">
        <v>45488.0</v>
      </c>
      <c r="F5978" s="25">
        <v>0.275</v>
      </c>
      <c r="G5978" s="25">
        <v>0.5277777777777778</v>
      </c>
      <c r="H5978" s="27">
        <f t="shared" si="4"/>
        <v>0.2527777778</v>
      </c>
      <c r="I5978" s="28">
        <v>1.0</v>
      </c>
      <c r="J5978" s="39" t="s">
        <v>2971</v>
      </c>
      <c r="K5978" s="41"/>
      <c r="L5978" s="31" t="str">
        <f>IFERROR(__xludf.DUMMYFUNCTION("IF(OR(E5978="""",K5978=""""),"""",IFERROR(IF(K5978="""","""",query('tbl user'!$A$2:$D10975,""SELECT A WHERE D = '""&amp;K5978&amp;""'"")),""USER TIDAK DIKETAHUI""))"),"")</f>
        <v/>
      </c>
    </row>
    <row r="5979">
      <c r="A5979" s="21" t="str">
        <f t="shared" si="3"/>
        <v/>
      </c>
      <c r="B5979" s="38"/>
      <c r="C5979" s="23" t="s">
        <v>1874</v>
      </c>
      <c r="D5979" s="23" t="s">
        <v>58</v>
      </c>
      <c r="E5979" s="24">
        <v>45488.0</v>
      </c>
      <c r="F5979" s="25">
        <v>0.2902777777777778</v>
      </c>
      <c r="G5979" s="25">
        <v>0.7034722222222223</v>
      </c>
      <c r="H5979" s="27">
        <f t="shared" si="4"/>
        <v>0.4131944444</v>
      </c>
      <c r="I5979" s="28">
        <v>2.0</v>
      </c>
      <c r="J5979" s="39" t="s">
        <v>1333</v>
      </c>
      <c r="K5979" s="41"/>
      <c r="L5979" s="31" t="str">
        <f>IFERROR(__xludf.DUMMYFUNCTION("IF(OR(E5979="""",K5979=""""),"""",IFERROR(IF(K5979="""","""",query('tbl user'!$A$2:$D10975,""SELECT A WHERE D = '""&amp;K5979&amp;""'"")),""USER TIDAK DIKETAHUI""))"),"")</f>
        <v/>
      </c>
    </row>
    <row r="5980">
      <c r="A5980" s="21" t="str">
        <f t="shared" si="3"/>
        <v/>
      </c>
      <c r="B5980" s="38"/>
      <c r="C5980" s="23" t="s">
        <v>1875</v>
      </c>
      <c r="D5980" s="23" t="s">
        <v>58</v>
      </c>
      <c r="E5980" s="24">
        <v>45488.0</v>
      </c>
      <c r="F5980" s="25">
        <v>0.24930555555555556</v>
      </c>
      <c r="G5980" s="25">
        <v>0.6354166666666666</v>
      </c>
      <c r="H5980" s="27">
        <f t="shared" si="4"/>
        <v>0.3861111111</v>
      </c>
      <c r="I5980" s="28">
        <v>2.0</v>
      </c>
      <c r="J5980" s="39" t="s">
        <v>916</v>
      </c>
      <c r="K5980" s="41"/>
      <c r="L5980" s="31" t="str">
        <f>IFERROR(__xludf.DUMMYFUNCTION("IF(OR(E5980="""",K5980=""""),"""",IFERROR(IF(K5980="""","""",query('tbl user'!$A$2:$D10975,""SELECT A WHERE D = '""&amp;K5980&amp;""'"")),""USER TIDAK DIKETAHUI""))"),"")</f>
        <v/>
      </c>
    </row>
    <row r="5981">
      <c r="A5981" s="21" t="str">
        <f t="shared" si="3"/>
        <v/>
      </c>
      <c r="B5981" s="38"/>
      <c r="C5981" s="23" t="s">
        <v>1865</v>
      </c>
      <c r="D5981" s="23" t="s">
        <v>58</v>
      </c>
      <c r="E5981" s="24">
        <v>45488.0</v>
      </c>
      <c r="F5981" s="25">
        <v>0.2701388888888889</v>
      </c>
      <c r="G5981" s="25">
        <v>0.6791666666666667</v>
      </c>
      <c r="H5981" s="27">
        <f t="shared" si="4"/>
        <v>0.4090277778</v>
      </c>
      <c r="I5981" s="28">
        <v>2.0</v>
      </c>
      <c r="J5981" s="39" t="s">
        <v>2972</v>
      </c>
      <c r="K5981" s="41"/>
      <c r="L5981" s="31" t="str">
        <f>IFERROR(__xludf.DUMMYFUNCTION("IF(OR(E5981="""",K5981=""""),"""",IFERROR(IF(K5981="""","""",query('tbl user'!$A$2:$D10975,""SELECT A WHERE D = '""&amp;K5981&amp;""'"")),""USER TIDAK DIKETAHUI""))"),"")</f>
        <v/>
      </c>
    </row>
    <row r="5982">
      <c r="A5982" s="21" t="str">
        <f t="shared" si="3"/>
        <v/>
      </c>
      <c r="B5982" s="38"/>
      <c r="C5982" s="23" t="s">
        <v>1881</v>
      </c>
      <c r="D5982" s="23" t="s">
        <v>58</v>
      </c>
      <c r="E5982" s="24">
        <v>45488.0</v>
      </c>
      <c r="F5982" s="25">
        <v>0.21319444444444444</v>
      </c>
      <c r="G5982" s="25">
        <v>0.6465277777777778</v>
      </c>
      <c r="H5982" s="27">
        <f t="shared" si="4"/>
        <v>0.4333333333</v>
      </c>
      <c r="I5982" s="28">
        <v>2.0</v>
      </c>
      <c r="J5982" s="39" t="s">
        <v>1509</v>
      </c>
      <c r="K5982" s="41"/>
      <c r="L5982" s="31" t="str">
        <f>IFERROR(__xludf.DUMMYFUNCTION("IF(OR(E5982="""",K5982=""""),"""",IFERROR(IF(K5982="""","""",query('tbl user'!$A$2:$D10975,""SELECT A WHERE D = '""&amp;K5982&amp;""'"")),""USER TIDAK DIKETAHUI""))"),"")</f>
        <v/>
      </c>
    </row>
    <row r="5983">
      <c r="A5983" s="21" t="str">
        <f t="shared" si="3"/>
        <v/>
      </c>
      <c r="B5983" s="38"/>
      <c r="C5983" s="23" t="s">
        <v>1883</v>
      </c>
      <c r="D5983" s="23" t="s">
        <v>58</v>
      </c>
      <c r="E5983" s="24">
        <v>45488.0</v>
      </c>
      <c r="F5983" s="25">
        <v>0.2833333333333333</v>
      </c>
      <c r="G5983" s="25">
        <v>0.7090277777777778</v>
      </c>
      <c r="H5983" s="27">
        <f t="shared" si="4"/>
        <v>0.4256944444</v>
      </c>
      <c r="I5983" s="28">
        <v>2.0</v>
      </c>
      <c r="J5983" s="39" t="s">
        <v>1349</v>
      </c>
      <c r="K5983" s="41"/>
      <c r="L5983" s="31" t="str">
        <f>IFERROR(__xludf.DUMMYFUNCTION("IF(OR(E5983="""",K5983=""""),"""",IFERROR(IF(K5983="""","""",query('tbl user'!$A$2:$D10975,""SELECT A WHERE D = '""&amp;K5983&amp;""'"")),""USER TIDAK DIKETAHUI""))"),"")</f>
        <v/>
      </c>
    </row>
    <row r="5984">
      <c r="A5984" s="21" t="str">
        <f t="shared" si="3"/>
        <v/>
      </c>
      <c r="B5984" s="38"/>
      <c r="C5984" s="23" t="s">
        <v>1860</v>
      </c>
      <c r="D5984" s="23" t="s">
        <v>58</v>
      </c>
      <c r="E5984" s="24">
        <v>45488.0</v>
      </c>
      <c r="F5984" s="25">
        <v>0.28958333333333336</v>
      </c>
      <c r="G5984" s="25">
        <v>0.6847222222222222</v>
      </c>
      <c r="H5984" s="27">
        <f t="shared" si="4"/>
        <v>0.3951388889</v>
      </c>
      <c r="I5984" s="28">
        <v>2.0</v>
      </c>
      <c r="J5984" s="39" t="s">
        <v>2973</v>
      </c>
      <c r="K5984" s="41"/>
      <c r="L5984" s="31" t="str">
        <f>IFERROR(__xludf.DUMMYFUNCTION("IF(OR(E5984="""",K5984=""""),"""",IFERROR(IF(K5984="""","""",query('tbl user'!$A$2:$D10975,""SELECT A WHERE D = '""&amp;K5984&amp;""'"")),""USER TIDAK DIKETAHUI""))"),"")</f>
        <v/>
      </c>
    </row>
    <row r="5985">
      <c r="A5985" s="21" t="str">
        <f t="shared" si="3"/>
        <v/>
      </c>
      <c r="B5985" s="38"/>
      <c r="C5985" s="23" t="s">
        <v>1884</v>
      </c>
      <c r="D5985" s="23" t="s">
        <v>58</v>
      </c>
      <c r="E5985" s="24">
        <v>45488.0</v>
      </c>
      <c r="F5985" s="25">
        <v>0.22291666666666668</v>
      </c>
      <c r="G5985" s="25">
        <v>0.6458333333333334</v>
      </c>
      <c r="H5985" s="27">
        <f t="shared" si="4"/>
        <v>0.4229166667</v>
      </c>
      <c r="I5985" s="28">
        <v>2.0</v>
      </c>
      <c r="J5985" s="39" t="s">
        <v>2972</v>
      </c>
      <c r="K5985" s="41"/>
      <c r="L5985" s="31" t="str">
        <f>IFERROR(__xludf.DUMMYFUNCTION("IF(OR(E5985="""",K5985=""""),"""",IFERROR(IF(K5985="""","""",query('tbl user'!$A$2:$D10975,""SELECT A WHERE D = '""&amp;K5985&amp;""'"")),""USER TIDAK DIKETAHUI""))"),"")</f>
        <v/>
      </c>
    </row>
    <row r="5986">
      <c r="A5986" s="21" t="str">
        <f t="shared" si="3"/>
        <v/>
      </c>
      <c r="B5986" s="38"/>
      <c r="C5986" s="23" t="s">
        <v>1886</v>
      </c>
      <c r="D5986" s="23" t="s">
        <v>58</v>
      </c>
      <c r="E5986" s="24">
        <v>45488.0</v>
      </c>
      <c r="F5986" s="25">
        <v>0.24930555555555556</v>
      </c>
      <c r="G5986" s="25">
        <v>0.6458333333333334</v>
      </c>
      <c r="H5986" s="27">
        <f t="shared" si="4"/>
        <v>0.3965277778</v>
      </c>
      <c r="I5986" s="28">
        <v>2.0</v>
      </c>
      <c r="J5986" s="39" t="s">
        <v>2972</v>
      </c>
      <c r="K5986" s="41"/>
      <c r="L5986" s="31" t="str">
        <f>IFERROR(__xludf.DUMMYFUNCTION("IF(OR(E5986="""",K5986=""""),"""",IFERROR(IF(K5986="""","""",query('tbl user'!$A$2:$D10975,""SELECT A WHERE D = '""&amp;K5986&amp;""'"")),""USER TIDAK DIKETAHUI""))"),"")</f>
        <v/>
      </c>
    </row>
    <row r="5987">
      <c r="A5987" s="21" t="str">
        <f t="shared" si="3"/>
        <v/>
      </c>
      <c r="B5987" s="38"/>
      <c r="C5987" s="23" t="s">
        <v>1887</v>
      </c>
      <c r="D5987" s="23" t="s">
        <v>58</v>
      </c>
      <c r="E5987" s="24">
        <v>45488.0</v>
      </c>
      <c r="F5987" s="25">
        <v>0.2833333333333333</v>
      </c>
      <c r="G5987" s="25">
        <v>0.7090277777777778</v>
      </c>
      <c r="H5987" s="27">
        <f t="shared" si="4"/>
        <v>0.4256944444</v>
      </c>
      <c r="I5987" s="28">
        <v>2.0</v>
      </c>
      <c r="J5987" s="39" t="s">
        <v>940</v>
      </c>
      <c r="K5987" s="41"/>
      <c r="L5987" s="31" t="str">
        <f>IFERROR(__xludf.DUMMYFUNCTION("IF(OR(E5987="""",K5987=""""),"""",IFERROR(IF(K5987="""","""",query('tbl user'!$A$2:$D10975,""SELECT A WHERE D = '""&amp;K5987&amp;""'"")),""USER TIDAK DIKETAHUI""))"),"")</f>
        <v/>
      </c>
    </row>
    <row r="5988">
      <c r="A5988" s="21" t="str">
        <f t="shared" si="3"/>
        <v/>
      </c>
      <c r="B5988" s="38"/>
      <c r="C5988" s="23" t="s">
        <v>1890</v>
      </c>
      <c r="D5988" s="23" t="s">
        <v>58</v>
      </c>
      <c r="E5988" s="24">
        <v>45488.0</v>
      </c>
      <c r="F5988" s="25">
        <v>0.2423611111111111</v>
      </c>
      <c r="G5988" s="25">
        <v>0.6506944444444445</v>
      </c>
      <c r="H5988" s="27">
        <f t="shared" si="4"/>
        <v>0.4083333333</v>
      </c>
      <c r="I5988" s="28">
        <v>2.0</v>
      </c>
      <c r="J5988" s="39" t="s">
        <v>2972</v>
      </c>
      <c r="K5988" s="41"/>
      <c r="L5988" s="31" t="str">
        <f>IFERROR(__xludf.DUMMYFUNCTION("IF(OR(E5988="""",K5988=""""),"""",IFERROR(IF(K5988="""","""",query('tbl user'!$A$2:$D10975,""SELECT A WHERE D = '""&amp;K5988&amp;""'"")),""USER TIDAK DIKETAHUI""))"),"")</f>
        <v/>
      </c>
    </row>
    <row r="5989">
      <c r="A5989" s="21" t="str">
        <f t="shared" si="3"/>
        <v/>
      </c>
      <c r="B5989" s="38"/>
      <c r="C5989" s="23" t="s">
        <v>1861</v>
      </c>
      <c r="D5989" s="23" t="s">
        <v>58</v>
      </c>
      <c r="E5989" s="24">
        <v>45488.0</v>
      </c>
      <c r="F5989" s="25">
        <v>0.26319444444444445</v>
      </c>
      <c r="G5989" s="25">
        <v>0.6902777777777778</v>
      </c>
      <c r="H5989" s="27">
        <f t="shared" si="4"/>
        <v>0.4270833333</v>
      </c>
      <c r="I5989" s="28">
        <v>2.0</v>
      </c>
      <c r="J5989" s="39" t="s">
        <v>2974</v>
      </c>
      <c r="K5989" s="41"/>
      <c r="L5989" s="31" t="str">
        <f>IFERROR(__xludf.DUMMYFUNCTION("IF(OR(E5989="""",K5989=""""),"""",IFERROR(IF(K5989="""","""",query('tbl user'!$A$2:$D10975,""SELECT A WHERE D = '""&amp;K5989&amp;""'"")),""USER TIDAK DIKETAHUI""))"),"")</f>
        <v/>
      </c>
    </row>
    <row r="5990">
      <c r="A5990" s="21" t="str">
        <f t="shared" si="3"/>
        <v/>
      </c>
      <c r="B5990" s="38"/>
      <c r="C5990" s="23" t="s">
        <v>1950</v>
      </c>
      <c r="D5990" s="23" t="s">
        <v>58</v>
      </c>
      <c r="E5990" s="24">
        <v>45488.0</v>
      </c>
      <c r="F5990" s="25">
        <v>0.21805555555555556</v>
      </c>
      <c r="G5990" s="25">
        <v>0.7402777777777778</v>
      </c>
      <c r="H5990" s="27">
        <f t="shared" si="4"/>
        <v>0.5222222222</v>
      </c>
      <c r="I5990" s="28">
        <v>3.0</v>
      </c>
      <c r="J5990" s="39" t="s">
        <v>55</v>
      </c>
      <c r="K5990" s="41"/>
      <c r="L5990" s="31" t="str">
        <f>IFERROR(__xludf.DUMMYFUNCTION("IF(OR(E5990="""",K5990=""""),"""",IFERROR(IF(K5990="""","""",query('tbl user'!$A$2:$D10975,""SELECT A WHERE D = '""&amp;K5990&amp;""'"")),""USER TIDAK DIKETAHUI""))"),"")</f>
        <v/>
      </c>
    </row>
    <row r="5991">
      <c r="A5991" s="21" t="str">
        <f t="shared" si="3"/>
        <v/>
      </c>
      <c r="B5991" s="38"/>
      <c r="C5991" s="23" t="s">
        <v>1892</v>
      </c>
      <c r="D5991" s="23" t="s">
        <v>58</v>
      </c>
      <c r="E5991" s="24">
        <v>45488.0</v>
      </c>
      <c r="F5991" s="25">
        <v>0.20902777777777778</v>
      </c>
      <c r="G5991" s="25">
        <v>0.7375</v>
      </c>
      <c r="H5991" s="27">
        <f t="shared" si="4"/>
        <v>0.5284722222</v>
      </c>
      <c r="I5991" s="28">
        <v>3.0</v>
      </c>
      <c r="J5991" s="39" t="s">
        <v>55</v>
      </c>
      <c r="K5991" s="41"/>
      <c r="L5991" s="31" t="str">
        <f>IFERROR(__xludf.DUMMYFUNCTION("IF(OR(E5991="""",K5991=""""),"""",IFERROR(IF(K5991="""","""",query('tbl user'!$A$2:$D10975,""SELECT A WHERE D = '""&amp;K5991&amp;""'"")),""USER TIDAK DIKETAHUI""))"),"")</f>
        <v/>
      </c>
    </row>
    <row r="5992">
      <c r="A5992" s="21" t="str">
        <f t="shared" si="3"/>
        <v/>
      </c>
      <c r="B5992" s="38"/>
      <c r="C5992" s="23" t="s">
        <v>1893</v>
      </c>
      <c r="D5992" s="23" t="s">
        <v>58</v>
      </c>
      <c r="E5992" s="24">
        <v>45488.0</v>
      </c>
      <c r="F5992" s="25">
        <v>0.2548611111111111</v>
      </c>
      <c r="G5992" s="25">
        <v>0.7506944444444444</v>
      </c>
      <c r="H5992" s="27">
        <f t="shared" si="4"/>
        <v>0.4958333333</v>
      </c>
      <c r="I5992" s="28">
        <v>3.0</v>
      </c>
      <c r="J5992" s="39" t="s">
        <v>55</v>
      </c>
      <c r="K5992" s="41"/>
      <c r="L5992" s="31" t="str">
        <f>IFERROR(__xludf.DUMMYFUNCTION("IF(OR(E5992="""",K5992=""""),"""",IFERROR(IF(K5992="""","""",query('tbl user'!$A$2:$D10975,""SELECT A WHERE D = '""&amp;K5992&amp;""'"")),""USER TIDAK DIKETAHUI""))"),"")</f>
        <v/>
      </c>
    </row>
    <row r="5993">
      <c r="A5993" s="21" t="str">
        <f t="shared" si="3"/>
        <v/>
      </c>
      <c r="B5993" s="38"/>
      <c r="C5993" s="23" t="s">
        <v>1891</v>
      </c>
      <c r="D5993" s="23" t="s">
        <v>58</v>
      </c>
      <c r="E5993" s="24">
        <v>45488.0</v>
      </c>
      <c r="F5993" s="25">
        <v>0.21666666666666667</v>
      </c>
      <c r="G5993" s="25">
        <v>0.7666666666666667</v>
      </c>
      <c r="H5993" s="27">
        <f t="shared" si="4"/>
        <v>0.55</v>
      </c>
      <c r="I5993" s="28">
        <v>3.0</v>
      </c>
      <c r="J5993" s="39" t="s">
        <v>55</v>
      </c>
      <c r="K5993" s="41"/>
      <c r="L5993" s="31" t="str">
        <f>IFERROR(__xludf.DUMMYFUNCTION("IF(OR(E5993="""",K5993=""""),"""",IFERROR(IF(K5993="""","""",query('tbl user'!$A$2:$D10975,""SELECT A WHERE D = '""&amp;K5993&amp;""'"")),""USER TIDAK DIKETAHUI""))"),"")</f>
        <v/>
      </c>
    </row>
    <row r="5994">
      <c r="A5994" s="21" t="str">
        <f t="shared" si="3"/>
        <v/>
      </c>
      <c r="B5994" s="38"/>
      <c r="C5994" s="23" t="s">
        <v>1911</v>
      </c>
      <c r="D5994" s="23" t="s">
        <v>32</v>
      </c>
      <c r="E5994" s="24">
        <v>45488.0</v>
      </c>
      <c r="F5994" s="25">
        <v>0.2152777777777778</v>
      </c>
      <c r="G5994" s="25">
        <v>0.37569444444444444</v>
      </c>
      <c r="H5994" s="27">
        <f t="shared" si="4"/>
        <v>0.1604166667</v>
      </c>
      <c r="I5994" s="28">
        <v>1.0</v>
      </c>
      <c r="J5994" s="39" t="s">
        <v>2975</v>
      </c>
      <c r="K5994" s="41"/>
      <c r="L5994" s="31" t="str">
        <f>IFERROR(__xludf.DUMMYFUNCTION("IF(OR(E5994="""",K5994=""""),"""",IFERROR(IF(K5994="""","""",query('tbl user'!$A$2:$D10975,""SELECT A WHERE D = '""&amp;K5994&amp;""'"")),""USER TIDAK DIKETAHUI""))"),"")</f>
        <v/>
      </c>
    </row>
    <row r="5995">
      <c r="A5995" s="21" t="str">
        <f t="shared" si="3"/>
        <v/>
      </c>
      <c r="B5995" s="38"/>
      <c r="C5995" s="23" t="s">
        <v>1912</v>
      </c>
      <c r="D5995" s="23" t="s">
        <v>32</v>
      </c>
      <c r="E5995" s="24">
        <v>45488.0</v>
      </c>
      <c r="F5995" s="25">
        <v>0.2520833333333333</v>
      </c>
      <c r="G5995" s="25">
        <v>0.7715277777777778</v>
      </c>
      <c r="H5995" s="27">
        <f t="shared" si="4"/>
        <v>0.5194444444</v>
      </c>
      <c r="I5995" s="28">
        <v>1.0</v>
      </c>
      <c r="J5995" s="39" t="s">
        <v>2976</v>
      </c>
      <c r="K5995" s="41"/>
      <c r="L5995" s="31" t="str">
        <f>IFERROR(__xludf.DUMMYFUNCTION("IF(OR(E5995="""",K5995=""""),"""",IFERROR(IF(K5995="""","""",query('tbl user'!$A$2:$D10975,""SELECT A WHERE D = '""&amp;K5995&amp;""'"")),""USER TIDAK DIKETAHUI""))"),"")</f>
        <v/>
      </c>
    </row>
    <row r="5996">
      <c r="A5996" s="21" t="str">
        <f t="shared" si="3"/>
        <v/>
      </c>
      <c r="B5996" s="38"/>
      <c r="C5996" s="23" t="s">
        <v>1902</v>
      </c>
      <c r="D5996" s="23" t="s">
        <v>32</v>
      </c>
      <c r="E5996" s="24">
        <v>45488.0</v>
      </c>
      <c r="F5996" s="25">
        <v>0.29097222222222224</v>
      </c>
      <c r="G5996" s="28" t="s">
        <v>1817</v>
      </c>
      <c r="H5996" s="27" t="str">
        <f t="shared" si="4"/>
        <v/>
      </c>
      <c r="I5996" s="28">
        <v>1.0</v>
      </c>
      <c r="J5996" s="39" t="s">
        <v>2977</v>
      </c>
      <c r="K5996" s="41"/>
      <c r="L5996" s="31" t="str">
        <f>IFERROR(__xludf.DUMMYFUNCTION("IF(OR(E5996="""",K5996=""""),"""",IFERROR(IF(K5996="""","""",query('tbl user'!$A$2:$D10975,""SELECT A WHERE D = '""&amp;K5996&amp;""'"")),""USER TIDAK DIKETAHUI""))"),"")</f>
        <v/>
      </c>
    </row>
    <row r="5997">
      <c r="A5997" s="21" t="str">
        <f t="shared" si="3"/>
        <v/>
      </c>
      <c r="B5997" s="38"/>
      <c r="C5997" s="23" t="s">
        <v>1898</v>
      </c>
      <c r="D5997" s="23" t="s">
        <v>32</v>
      </c>
      <c r="E5997" s="24">
        <v>45488.0</v>
      </c>
      <c r="F5997" s="25">
        <v>0.275</v>
      </c>
      <c r="G5997" s="25">
        <v>0.6722222222222223</v>
      </c>
      <c r="H5997" s="27">
        <f t="shared" si="4"/>
        <v>0.3972222222</v>
      </c>
      <c r="I5997" s="28">
        <v>3.0</v>
      </c>
      <c r="J5997" s="39" t="s">
        <v>2978</v>
      </c>
      <c r="K5997" s="41"/>
      <c r="L5997" s="31" t="str">
        <f>IFERROR(__xludf.DUMMYFUNCTION("IF(OR(E5997="""",K5997=""""),"""",IFERROR(IF(K5997="""","""",query('tbl user'!$A$2:$D10975,""SELECT A WHERE D = '""&amp;K5997&amp;""'"")),""USER TIDAK DIKETAHUI""))"),"")</f>
        <v/>
      </c>
    </row>
    <row r="5998">
      <c r="A5998" s="21" t="str">
        <f t="shared" si="3"/>
        <v/>
      </c>
      <c r="B5998" s="38"/>
      <c r="C5998" s="23" t="s">
        <v>1959</v>
      </c>
      <c r="D5998" s="23" t="s">
        <v>32</v>
      </c>
      <c r="E5998" s="24">
        <v>45488.0</v>
      </c>
      <c r="F5998" s="25">
        <v>0.34930555555555554</v>
      </c>
      <c r="G5998" s="25">
        <v>0.725</v>
      </c>
      <c r="H5998" s="27">
        <f t="shared" si="4"/>
        <v>0.3756944444</v>
      </c>
      <c r="I5998" s="28">
        <v>3.0</v>
      </c>
      <c r="J5998" s="39" t="s">
        <v>2979</v>
      </c>
      <c r="K5998" s="41"/>
      <c r="L5998" s="31" t="str">
        <f>IFERROR(__xludf.DUMMYFUNCTION("IF(OR(E5998="""",K5998=""""),"""",IFERROR(IF(K5998="""","""",query('tbl user'!$A$2:$D10975,""SELECT A WHERE D = '""&amp;K5998&amp;""'"")),""USER TIDAK DIKETAHUI""))"),"")</f>
        <v/>
      </c>
    </row>
    <row r="5999">
      <c r="A5999" s="21" t="str">
        <f t="shared" si="3"/>
        <v/>
      </c>
      <c r="B5999" s="38"/>
      <c r="C5999" s="23" t="s">
        <v>2252</v>
      </c>
      <c r="D5999" s="23" t="s">
        <v>32</v>
      </c>
      <c r="E5999" s="24">
        <v>45488.0</v>
      </c>
      <c r="F5999" s="25">
        <v>0.2763888888888889</v>
      </c>
      <c r="G5999" s="28" t="s">
        <v>1817</v>
      </c>
      <c r="H5999" s="27" t="str">
        <f t="shared" si="4"/>
        <v/>
      </c>
      <c r="I5999" s="28">
        <v>3.0</v>
      </c>
      <c r="J5999" s="39" t="s">
        <v>2980</v>
      </c>
      <c r="K5999" s="41"/>
      <c r="L5999" s="31" t="str">
        <f>IFERROR(__xludf.DUMMYFUNCTION("IF(OR(E5999="""",K5999=""""),"""",IFERROR(IF(K5999="""","""",query('tbl user'!$A$2:$D10975,""SELECT A WHERE D = '""&amp;K5999&amp;""'"")),""USER TIDAK DIKETAHUI""))"),"")</f>
        <v/>
      </c>
    </row>
    <row r="6000">
      <c r="A6000" s="21" t="str">
        <f t="shared" si="3"/>
        <v/>
      </c>
      <c r="B6000" s="38"/>
      <c r="C6000" s="23" t="s">
        <v>2190</v>
      </c>
      <c r="D6000" s="23" t="s">
        <v>32</v>
      </c>
      <c r="E6000" s="24">
        <v>45488.0</v>
      </c>
      <c r="F6000" s="25">
        <v>0.2798611111111111</v>
      </c>
      <c r="G6000" s="25">
        <v>0.6277777777777778</v>
      </c>
      <c r="H6000" s="27">
        <f t="shared" si="4"/>
        <v>0.3479166667</v>
      </c>
      <c r="I6000" s="28">
        <v>3.0</v>
      </c>
      <c r="J6000" s="39" t="s">
        <v>2981</v>
      </c>
      <c r="K6000" s="41"/>
      <c r="L6000" s="31" t="str">
        <f>IFERROR(__xludf.DUMMYFUNCTION("IF(OR(E6000="""",K6000=""""),"""",IFERROR(IF(K6000="""","""",query('tbl user'!$A$2:$D10975,""SELECT A WHERE D = '""&amp;K6000&amp;""'"")),""USER TIDAK DIKETAHUI""))"),"")</f>
        <v/>
      </c>
    </row>
    <row r="6001">
      <c r="A6001" s="21" t="str">
        <f t="shared" si="3"/>
        <v/>
      </c>
      <c r="B6001" s="38"/>
      <c r="C6001" s="23" t="s">
        <v>1896</v>
      </c>
      <c r="D6001" s="23" t="s">
        <v>32</v>
      </c>
      <c r="E6001" s="24">
        <v>45488.0</v>
      </c>
      <c r="F6001" s="25">
        <v>0.2777777777777778</v>
      </c>
      <c r="G6001" s="25">
        <v>0.7388888888888889</v>
      </c>
      <c r="H6001" s="27">
        <f t="shared" si="4"/>
        <v>0.4611111111</v>
      </c>
      <c r="I6001" s="28">
        <v>3.0</v>
      </c>
      <c r="J6001" s="39" t="s">
        <v>598</v>
      </c>
      <c r="K6001" s="41"/>
      <c r="L6001" s="31" t="str">
        <f>IFERROR(__xludf.DUMMYFUNCTION("IF(OR(E6001="""",K6001=""""),"""",IFERROR(IF(K6001="""","""",query('tbl user'!$A$2:$D10975,""SELECT A WHERE D = '""&amp;K6001&amp;""'"")),""USER TIDAK DIKETAHUI""))"),"")</f>
        <v/>
      </c>
    </row>
    <row r="6002">
      <c r="A6002" s="21" t="str">
        <f t="shared" si="3"/>
        <v/>
      </c>
      <c r="B6002" s="38"/>
      <c r="C6002" s="23" t="s">
        <v>1990</v>
      </c>
      <c r="D6002" s="23" t="s">
        <v>32</v>
      </c>
      <c r="E6002" s="24">
        <v>45488.0</v>
      </c>
      <c r="F6002" s="25">
        <v>0.2833333333333333</v>
      </c>
      <c r="G6002" s="25">
        <v>0.6347222222222222</v>
      </c>
      <c r="H6002" s="27">
        <f t="shared" si="4"/>
        <v>0.3513888889</v>
      </c>
      <c r="I6002" s="28">
        <v>3.0</v>
      </c>
      <c r="J6002" s="39" t="s">
        <v>2982</v>
      </c>
      <c r="K6002" s="41"/>
      <c r="L6002" s="31" t="str">
        <f>IFERROR(__xludf.DUMMYFUNCTION("IF(OR(E6002="""",K6002=""""),"""",IFERROR(IF(K6002="""","""",query('tbl user'!$A$2:$D10975,""SELECT A WHERE D = '""&amp;K6002&amp;""'"")),""USER TIDAK DIKETAHUI""))"),"")</f>
        <v/>
      </c>
    </row>
    <row r="6003">
      <c r="A6003" s="21" t="str">
        <f t="shared" si="3"/>
        <v/>
      </c>
      <c r="B6003" s="38"/>
      <c r="C6003" s="23" t="s">
        <v>1903</v>
      </c>
      <c r="D6003" s="23" t="s">
        <v>32</v>
      </c>
      <c r="E6003" s="24">
        <v>45488.0</v>
      </c>
      <c r="F6003" s="25">
        <v>0.25833333333333336</v>
      </c>
      <c r="G6003" s="25">
        <v>0.625</v>
      </c>
      <c r="H6003" s="27">
        <f t="shared" si="4"/>
        <v>0.3666666667</v>
      </c>
      <c r="I6003" s="28">
        <v>3.0</v>
      </c>
      <c r="J6003" s="39" t="s">
        <v>2983</v>
      </c>
      <c r="K6003" s="41"/>
      <c r="L6003" s="31" t="str">
        <f>IFERROR(__xludf.DUMMYFUNCTION("IF(OR(E6003="""",K6003=""""),"""",IFERROR(IF(K6003="""","""",query('tbl user'!$A$2:$D10975,""SELECT A WHERE D = '""&amp;K6003&amp;""'"")),""USER TIDAK DIKETAHUI""))"),"")</f>
        <v/>
      </c>
    </row>
    <row r="6004">
      <c r="A6004" s="21" t="str">
        <f t="shared" si="3"/>
        <v/>
      </c>
      <c r="B6004" s="38"/>
      <c r="C6004" s="23" t="s">
        <v>1962</v>
      </c>
      <c r="D6004" s="23" t="s">
        <v>32</v>
      </c>
      <c r="E6004" s="24">
        <v>45488.0</v>
      </c>
      <c r="F6004" s="25">
        <v>0.26875</v>
      </c>
      <c r="G6004" s="25">
        <v>0.7493055555555556</v>
      </c>
      <c r="H6004" s="27">
        <f t="shared" si="4"/>
        <v>0.4805555556</v>
      </c>
      <c r="I6004" s="28">
        <v>4.0</v>
      </c>
      <c r="J6004" s="39" t="s">
        <v>55</v>
      </c>
      <c r="K6004" s="41"/>
      <c r="L6004" s="31" t="str">
        <f>IFERROR(__xludf.DUMMYFUNCTION("IF(OR(E6004="""",K6004=""""),"""",IFERROR(IF(K6004="""","""",query('tbl user'!$A$2:$D10975,""SELECT A WHERE D = '""&amp;K6004&amp;""'"")),""USER TIDAK DIKETAHUI""))"),"")</f>
        <v/>
      </c>
    </row>
    <row r="6005">
      <c r="A6005" s="21" t="str">
        <f t="shared" si="3"/>
        <v/>
      </c>
      <c r="B6005" s="38"/>
      <c r="C6005" s="23" t="s">
        <v>2092</v>
      </c>
      <c r="D6005" s="23" t="s">
        <v>32</v>
      </c>
      <c r="E6005" s="24">
        <v>45488.0</v>
      </c>
      <c r="F6005" s="25">
        <v>0.24583333333333332</v>
      </c>
      <c r="G6005" s="25">
        <v>0.725</v>
      </c>
      <c r="H6005" s="27">
        <f t="shared" si="4"/>
        <v>0.4791666667</v>
      </c>
      <c r="I6005" s="28">
        <v>4.0</v>
      </c>
      <c r="J6005" s="39" t="s">
        <v>55</v>
      </c>
      <c r="K6005" s="41"/>
      <c r="L6005" s="31" t="str">
        <f>IFERROR(__xludf.DUMMYFUNCTION("IF(OR(E6005="""",K6005=""""),"""",IFERROR(IF(K6005="""","""",query('tbl user'!$A$2:$D10975,""SELECT A WHERE D = '""&amp;K6005&amp;""'"")),""USER TIDAK DIKETAHUI""))"),"")</f>
        <v/>
      </c>
    </row>
    <row r="6006">
      <c r="A6006" s="21" t="str">
        <f t="shared" si="3"/>
        <v/>
      </c>
      <c r="B6006" s="38"/>
      <c r="C6006" s="23" t="s">
        <v>1964</v>
      </c>
      <c r="D6006" s="23" t="s">
        <v>32</v>
      </c>
      <c r="E6006" s="24">
        <v>45488.0</v>
      </c>
      <c r="F6006" s="25">
        <v>0.2659722222222222</v>
      </c>
      <c r="G6006" s="25">
        <v>0.7423611111111111</v>
      </c>
      <c r="H6006" s="27">
        <f t="shared" si="4"/>
        <v>0.4763888889</v>
      </c>
      <c r="I6006" s="28">
        <v>4.0</v>
      </c>
      <c r="J6006" s="39" t="s">
        <v>55</v>
      </c>
      <c r="K6006" s="41"/>
      <c r="L6006" s="31" t="str">
        <f>IFERROR(__xludf.DUMMYFUNCTION("IF(OR(E6006="""",K6006=""""),"""",IFERROR(IF(K6006="""","""",query('tbl user'!$A$2:$D10975,""SELECT A WHERE D = '""&amp;K6006&amp;""'"")),""USER TIDAK DIKETAHUI""))"),"")</f>
        <v/>
      </c>
    </row>
    <row r="6007">
      <c r="A6007" s="21" t="str">
        <f t="shared" si="3"/>
        <v/>
      </c>
      <c r="B6007" s="38"/>
      <c r="C6007" s="23" t="s">
        <v>1966</v>
      </c>
      <c r="D6007" s="23" t="s">
        <v>32</v>
      </c>
      <c r="E6007" s="24">
        <v>45488.0</v>
      </c>
      <c r="F6007" s="25">
        <v>0.24791666666666667</v>
      </c>
      <c r="G6007" s="25">
        <v>0.7131944444444445</v>
      </c>
      <c r="H6007" s="27">
        <f t="shared" si="4"/>
        <v>0.4652777778</v>
      </c>
      <c r="I6007" s="28">
        <v>4.0</v>
      </c>
      <c r="J6007" s="39" t="s">
        <v>55</v>
      </c>
      <c r="K6007" s="41"/>
      <c r="L6007" s="31" t="str">
        <f>IFERROR(__xludf.DUMMYFUNCTION("IF(OR(E6007="""",K6007=""""),"""",IFERROR(IF(K6007="""","""",query('tbl user'!$A$2:$D10975,""SELECT A WHERE D = '""&amp;K6007&amp;""'"")),""USER TIDAK DIKETAHUI""))"),"")</f>
        <v/>
      </c>
    </row>
    <row r="6008">
      <c r="A6008" s="21" t="str">
        <f t="shared" si="3"/>
        <v/>
      </c>
      <c r="B6008" s="38"/>
      <c r="C6008" s="23" t="s">
        <v>1894</v>
      </c>
      <c r="D6008" s="23" t="s">
        <v>32</v>
      </c>
      <c r="E6008" s="24">
        <v>45488.0</v>
      </c>
      <c r="F6008" s="25">
        <v>0.21319444444444444</v>
      </c>
      <c r="G6008" s="25">
        <v>0.6965277777777777</v>
      </c>
      <c r="H6008" s="27">
        <f t="shared" si="4"/>
        <v>0.4833333333</v>
      </c>
      <c r="I6008" s="28">
        <v>4.0</v>
      </c>
      <c r="J6008" s="39" t="s">
        <v>55</v>
      </c>
      <c r="K6008" s="41"/>
      <c r="L6008" s="31" t="str">
        <f>IFERROR(__xludf.DUMMYFUNCTION("IF(OR(E6008="""",K6008=""""),"""",IFERROR(IF(K6008="""","""",query('tbl user'!$A$2:$D10975,""SELECT A WHERE D = '""&amp;K6008&amp;""'"")),""USER TIDAK DIKETAHUI""))"),"")</f>
        <v/>
      </c>
    </row>
    <row r="6009">
      <c r="A6009" s="21" t="str">
        <f t="shared" si="3"/>
        <v/>
      </c>
      <c r="B6009" s="38"/>
      <c r="C6009" s="23" t="s">
        <v>1967</v>
      </c>
      <c r="D6009" s="23" t="s">
        <v>32</v>
      </c>
      <c r="E6009" s="24">
        <v>45488.0</v>
      </c>
      <c r="F6009" s="25">
        <v>0.24722222222222223</v>
      </c>
      <c r="G6009" s="25">
        <v>0.7270833333333333</v>
      </c>
      <c r="H6009" s="27">
        <f t="shared" si="4"/>
        <v>0.4798611111</v>
      </c>
      <c r="I6009" s="28">
        <v>4.0</v>
      </c>
      <c r="J6009" s="39" t="s">
        <v>55</v>
      </c>
      <c r="K6009" s="41"/>
      <c r="L6009" s="31" t="str">
        <f>IFERROR(__xludf.DUMMYFUNCTION("IF(OR(E6009="""",K6009=""""),"""",IFERROR(IF(K6009="""","""",query('tbl user'!$A$2:$D10975,""SELECT A WHERE D = '""&amp;K6009&amp;""'"")),""USER TIDAK DIKETAHUI""))"),"")</f>
        <v/>
      </c>
    </row>
    <row r="6010">
      <c r="A6010" s="21" t="str">
        <f t="shared" si="3"/>
        <v/>
      </c>
      <c r="B6010" s="38"/>
      <c r="C6010" s="23" t="s">
        <v>1954</v>
      </c>
      <c r="D6010" s="23" t="s">
        <v>32</v>
      </c>
      <c r="E6010" s="24">
        <v>45488.0</v>
      </c>
      <c r="F6010" s="25">
        <v>0.2902777777777778</v>
      </c>
      <c r="G6010" s="25">
        <v>0.7402777777777778</v>
      </c>
      <c r="H6010" s="27">
        <f t="shared" si="4"/>
        <v>0.45</v>
      </c>
      <c r="I6010" s="28">
        <v>4.0</v>
      </c>
      <c r="J6010" s="39" t="s">
        <v>55</v>
      </c>
      <c r="K6010" s="41"/>
      <c r="L6010" s="31" t="str">
        <f>IFERROR(__xludf.DUMMYFUNCTION("IF(OR(E6010="""",K6010=""""),"""",IFERROR(IF(K6010="""","""",query('tbl user'!$A$2:$D10975,""SELECT A WHERE D = '""&amp;K6010&amp;""'"")),""USER TIDAK DIKETAHUI""))"),"")</f>
        <v/>
      </c>
    </row>
    <row r="6011">
      <c r="A6011" s="21" t="str">
        <f t="shared" si="3"/>
        <v/>
      </c>
      <c r="B6011" s="38"/>
      <c r="C6011" s="23" t="s">
        <v>2002</v>
      </c>
      <c r="D6011" s="23" t="s">
        <v>21</v>
      </c>
      <c r="E6011" s="24">
        <v>45489.0</v>
      </c>
      <c r="F6011" s="25">
        <v>0.2722222222222222</v>
      </c>
      <c r="G6011" s="25">
        <v>0.4666666666666667</v>
      </c>
      <c r="H6011" s="27">
        <f t="shared" si="4"/>
        <v>0.1944444444</v>
      </c>
      <c r="I6011" s="28">
        <v>1.0</v>
      </c>
      <c r="J6011" s="39" t="s">
        <v>2984</v>
      </c>
      <c r="K6011" s="41"/>
      <c r="L6011" s="31" t="str">
        <f>IFERROR(__xludf.DUMMYFUNCTION("IF(OR(E6011="""",K6011=""""),"""",IFERROR(IF(K6011="""","""",query('tbl user'!$A$2:$D10975,""SELECT A WHERE D = '""&amp;K6011&amp;""'"")),""USER TIDAK DIKETAHUI""))"),"")</f>
        <v/>
      </c>
    </row>
    <row r="6012">
      <c r="A6012" s="21" t="str">
        <f t="shared" si="3"/>
        <v/>
      </c>
      <c r="B6012" s="38"/>
      <c r="C6012" s="23" t="s">
        <v>2136</v>
      </c>
      <c r="D6012" s="23" t="s">
        <v>21</v>
      </c>
      <c r="E6012" s="24">
        <v>45489.0</v>
      </c>
      <c r="F6012" s="25">
        <v>0.26875</v>
      </c>
      <c r="G6012" s="25">
        <v>0.37916666666666665</v>
      </c>
      <c r="H6012" s="27">
        <f t="shared" si="4"/>
        <v>0.1104166667</v>
      </c>
      <c r="I6012" s="28">
        <v>1.0</v>
      </c>
      <c r="J6012" s="39" t="s">
        <v>2985</v>
      </c>
      <c r="K6012" s="41"/>
      <c r="L6012" s="31" t="str">
        <f>IFERROR(__xludf.DUMMYFUNCTION("IF(OR(E6012="""",K6012=""""),"""",IFERROR(IF(K6012="""","""",query('tbl user'!$A$2:$D10975,""SELECT A WHERE D = '""&amp;K6012&amp;""'"")),""USER TIDAK DIKETAHUI""))"),"")</f>
        <v/>
      </c>
    </row>
    <row r="6013">
      <c r="A6013" s="21" t="str">
        <f t="shared" si="3"/>
        <v/>
      </c>
      <c r="B6013" s="38"/>
      <c r="C6013" s="23" t="s">
        <v>1857</v>
      </c>
      <c r="D6013" s="23" t="s">
        <v>21</v>
      </c>
      <c r="E6013" s="24">
        <v>45489.0</v>
      </c>
      <c r="F6013" s="25">
        <v>0.2548611111111111</v>
      </c>
      <c r="G6013" s="25">
        <v>0.70625</v>
      </c>
      <c r="H6013" s="27">
        <f t="shared" si="4"/>
        <v>0.4513888889</v>
      </c>
      <c r="I6013" s="28">
        <v>1.0</v>
      </c>
      <c r="J6013" s="39" t="s">
        <v>2986</v>
      </c>
      <c r="K6013" s="41"/>
      <c r="L6013" s="31" t="str">
        <f>IFERROR(__xludf.DUMMYFUNCTION("IF(OR(E6013="""",K6013=""""),"""",IFERROR(IF(K6013="""","""",query('tbl user'!$A$2:$D10975,""SELECT A WHERE D = '""&amp;K6013&amp;""'"")),""USER TIDAK DIKETAHUI""))"),"")</f>
        <v/>
      </c>
    </row>
    <row r="6014">
      <c r="A6014" s="21" t="str">
        <f t="shared" si="3"/>
        <v/>
      </c>
      <c r="B6014" s="38"/>
      <c r="C6014" s="23" t="s">
        <v>1928</v>
      </c>
      <c r="D6014" s="23" t="s">
        <v>21</v>
      </c>
      <c r="E6014" s="24">
        <v>45489.0</v>
      </c>
      <c r="F6014" s="25">
        <v>0.28541666666666665</v>
      </c>
      <c r="G6014" s="25">
        <v>0.48541666666666666</v>
      </c>
      <c r="H6014" s="27">
        <f t="shared" si="4"/>
        <v>0.2</v>
      </c>
      <c r="I6014" s="28">
        <v>1.0</v>
      </c>
      <c r="J6014" s="39" t="s">
        <v>2987</v>
      </c>
      <c r="K6014" s="41"/>
      <c r="L6014" s="31" t="str">
        <f>IFERROR(__xludf.DUMMYFUNCTION("IF(OR(E6014="""",K6014=""""),"""",IFERROR(IF(K6014="""","""",query('tbl user'!$A$2:$D10975,""SELECT A WHERE D = '""&amp;K6014&amp;""'"")),""USER TIDAK DIKETAHUI""))"),"")</f>
        <v/>
      </c>
    </row>
    <row r="6015">
      <c r="A6015" s="21" t="str">
        <f t="shared" si="3"/>
        <v/>
      </c>
      <c r="B6015" s="38"/>
      <c r="C6015" s="23" t="s">
        <v>1844</v>
      </c>
      <c r="D6015" s="23" t="s">
        <v>21</v>
      </c>
      <c r="E6015" s="24">
        <v>45489.0</v>
      </c>
      <c r="F6015" s="25">
        <v>0.27361111111111114</v>
      </c>
      <c r="G6015" s="25">
        <v>0.7361111111111112</v>
      </c>
      <c r="H6015" s="27">
        <f t="shared" si="4"/>
        <v>0.4625</v>
      </c>
      <c r="I6015" s="28">
        <v>2.0</v>
      </c>
      <c r="J6015" s="39" t="s">
        <v>2988</v>
      </c>
      <c r="K6015" s="41"/>
      <c r="L6015" s="31" t="str">
        <f>IFERROR(__xludf.DUMMYFUNCTION("IF(OR(E6015="""",K6015=""""),"""",IFERROR(IF(K6015="""","""",query('tbl user'!$A$2:$D10975,""SELECT A WHERE D = '""&amp;K6015&amp;""'"")),""USER TIDAK DIKETAHUI""))"),"")</f>
        <v/>
      </c>
    </row>
    <row r="6016">
      <c r="A6016" s="21" t="str">
        <f t="shared" si="3"/>
        <v/>
      </c>
      <c r="B6016" s="38"/>
      <c r="C6016" s="23" t="s">
        <v>1849</v>
      </c>
      <c r="D6016" s="23" t="s">
        <v>21</v>
      </c>
      <c r="E6016" s="24">
        <v>45489.0</v>
      </c>
      <c r="F6016" s="25">
        <v>0.2611111111111111</v>
      </c>
      <c r="G6016" s="25">
        <v>0.5861111111111111</v>
      </c>
      <c r="H6016" s="27">
        <f t="shared" si="4"/>
        <v>0.325</v>
      </c>
      <c r="I6016" s="28">
        <v>2.0</v>
      </c>
      <c r="J6016" s="39" t="s">
        <v>1463</v>
      </c>
      <c r="K6016" s="41"/>
      <c r="L6016" s="31" t="str">
        <f>IFERROR(__xludf.DUMMYFUNCTION("IF(OR(E6016="""",K6016=""""),"""",IFERROR(IF(K6016="""","""",query('tbl user'!$A$2:$D10975,""SELECT A WHERE D = '""&amp;K6016&amp;""'"")),""USER TIDAK DIKETAHUI""))"),"")</f>
        <v/>
      </c>
    </row>
    <row r="6017">
      <c r="A6017" s="21" t="str">
        <f t="shared" si="3"/>
        <v/>
      </c>
      <c r="B6017" s="38"/>
      <c r="C6017" s="23" t="s">
        <v>1851</v>
      </c>
      <c r="D6017" s="23" t="s">
        <v>21</v>
      </c>
      <c r="E6017" s="24">
        <v>45489.0</v>
      </c>
      <c r="F6017" s="25">
        <v>0.2923611111111111</v>
      </c>
      <c r="G6017" s="25">
        <v>0.675</v>
      </c>
      <c r="H6017" s="27">
        <f t="shared" si="4"/>
        <v>0.3826388889</v>
      </c>
      <c r="I6017" s="28">
        <v>3.0</v>
      </c>
      <c r="J6017" s="39" t="s">
        <v>213</v>
      </c>
      <c r="K6017" s="41"/>
      <c r="L6017" s="31" t="str">
        <f>IFERROR(__xludf.DUMMYFUNCTION("IF(OR(E6017="""",K6017=""""),"""",IFERROR(IF(K6017="""","""",query('tbl user'!$A$2:$D10975,""SELECT A WHERE D = '""&amp;K6017&amp;""'"")),""USER TIDAK DIKETAHUI""))"),"")</f>
        <v/>
      </c>
    </row>
    <row r="6018">
      <c r="A6018" s="21" t="str">
        <f t="shared" si="3"/>
        <v/>
      </c>
      <c r="B6018" s="38"/>
      <c r="C6018" s="23" t="s">
        <v>1920</v>
      </c>
      <c r="D6018" s="23" t="s">
        <v>21</v>
      </c>
      <c r="E6018" s="24">
        <v>45489.0</v>
      </c>
      <c r="F6018" s="25">
        <v>0.2986111111111111</v>
      </c>
      <c r="G6018" s="25">
        <v>0.6875</v>
      </c>
      <c r="H6018" s="27">
        <f t="shared" si="4"/>
        <v>0.3888888889</v>
      </c>
      <c r="I6018" s="28">
        <v>3.0</v>
      </c>
      <c r="J6018" s="39" t="s">
        <v>213</v>
      </c>
      <c r="K6018" s="41"/>
      <c r="L6018" s="31" t="str">
        <f>IFERROR(__xludf.DUMMYFUNCTION("IF(OR(E6018="""",K6018=""""),"""",IFERROR(IF(K6018="""","""",query('tbl user'!$A$2:$D10975,""SELECT A WHERE D = '""&amp;K6018&amp;""'"")),""USER TIDAK DIKETAHUI""))"),"")</f>
        <v/>
      </c>
    </row>
    <row r="6019">
      <c r="A6019" s="21" t="str">
        <f t="shared" si="3"/>
        <v/>
      </c>
      <c r="B6019" s="38"/>
      <c r="C6019" s="23" t="s">
        <v>1830</v>
      </c>
      <c r="D6019" s="23" t="s">
        <v>21</v>
      </c>
      <c r="E6019" s="24">
        <v>45489.0</v>
      </c>
      <c r="F6019" s="25">
        <v>0.25833333333333336</v>
      </c>
      <c r="G6019" s="25">
        <v>0.6541666666666667</v>
      </c>
      <c r="H6019" s="27">
        <f t="shared" si="4"/>
        <v>0.3958333333</v>
      </c>
      <c r="I6019" s="28">
        <v>3.0</v>
      </c>
      <c r="J6019" s="39" t="s">
        <v>2989</v>
      </c>
      <c r="K6019" s="41"/>
      <c r="L6019" s="31" t="str">
        <f>IFERROR(__xludf.DUMMYFUNCTION("IF(OR(E6019="""",K6019=""""),"""",IFERROR(IF(K6019="""","""",query('tbl user'!$A$2:$D10975,""SELECT A WHERE D = '""&amp;K6019&amp;""'"")),""USER TIDAK DIKETAHUI""))"),"")</f>
        <v/>
      </c>
    </row>
    <row r="6020">
      <c r="A6020" s="21" t="str">
        <f t="shared" si="3"/>
        <v/>
      </c>
      <c r="B6020" s="38"/>
      <c r="C6020" s="23" t="s">
        <v>1835</v>
      </c>
      <c r="D6020" s="23" t="s">
        <v>21</v>
      </c>
      <c r="E6020" s="24">
        <v>45489.0</v>
      </c>
      <c r="F6020" s="25">
        <v>0.27361111111111114</v>
      </c>
      <c r="G6020" s="25">
        <v>0.7361111111111112</v>
      </c>
      <c r="H6020" s="27">
        <f t="shared" si="4"/>
        <v>0.4625</v>
      </c>
      <c r="I6020" s="28">
        <v>3.0</v>
      </c>
      <c r="J6020" s="39" t="s">
        <v>2990</v>
      </c>
      <c r="K6020" s="41"/>
      <c r="L6020" s="31" t="str">
        <f>IFERROR(__xludf.DUMMYFUNCTION("IF(OR(E6020="""",K6020=""""),"""",IFERROR(IF(K6020="""","""",query('tbl user'!$A$2:$D10975,""SELECT A WHERE D = '""&amp;K6020&amp;""'"")),""USER TIDAK DIKETAHUI""))"),"")</f>
        <v/>
      </c>
    </row>
    <row r="6021">
      <c r="A6021" s="21" t="str">
        <f t="shared" si="3"/>
        <v/>
      </c>
      <c r="B6021" s="38"/>
      <c r="C6021" s="23" t="s">
        <v>1925</v>
      </c>
      <c r="D6021" s="23" t="s">
        <v>21</v>
      </c>
      <c r="E6021" s="24">
        <v>45489.0</v>
      </c>
      <c r="F6021" s="25">
        <v>0.26875</v>
      </c>
      <c r="G6021" s="25">
        <v>0.6680555555555555</v>
      </c>
      <c r="H6021" s="27">
        <f t="shared" si="4"/>
        <v>0.3993055556</v>
      </c>
      <c r="I6021" s="28">
        <v>3.0</v>
      </c>
      <c r="J6021" s="39" t="s">
        <v>2991</v>
      </c>
      <c r="K6021" s="41"/>
      <c r="L6021" s="31" t="str">
        <f>IFERROR(__xludf.DUMMYFUNCTION("IF(OR(E6021="""",K6021=""""),"""",IFERROR(IF(K6021="""","""",query('tbl user'!$A$2:$D10975,""SELECT A WHERE D = '""&amp;K6021&amp;""'"")),""USER TIDAK DIKETAHUI""))"),"")</f>
        <v/>
      </c>
    </row>
    <row r="6022">
      <c r="A6022" s="21" t="str">
        <f t="shared" si="3"/>
        <v/>
      </c>
      <c r="B6022" s="38"/>
      <c r="C6022" s="23" t="s">
        <v>1837</v>
      </c>
      <c r="D6022" s="23" t="s">
        <v>21</v>
      </c>
      <c r="E6022" s="24">
        <v>45489.0</v>
      </c>
      <c r="F6022" s="25">
        <v>0.26180555555555557</v>
      </c>
      <c r="G6022" s="25">
        <v>0.6458333333333334</v>
      </c>
      <c r="H6022" s="27">
        <f t="shared" si="4"/>
        <v>0.3840277778</v>
      </c>
      <c r="I6022" s="28">
        <v>3.0</v>
      </c>
      <c r="J6022" s="39" t="s">
        <v>2992</v>
      </c>
      <c r="K6022" s="41"/>
      <c r="L6022" s="31" t="str">
        <f>IFERROR(__xludf.DUMMYFUNCTION("IF(OR(E6022="""",K6022=""""),"""",IFERROR(IF(K6022="""","""",query('tbl user'!$A$2:$D10975,""SELECT A WHERE D = '""&amp;K6022&amp;""'"")),""USER TIDAK DIKETAHUI""))"),"")</f>
        <v/>
      </c>
    </row>
    <row r="6023">
      <c r="A6023" s="21" t="str">
        <f t="shared" si="3"/>
        <v/>
      </c>
      <c r="B6023" s="38"/>
      <c r="C6023" s="23" t="s">
        <v>2049</v>
      </c>
      <c r="D6023" s="23" t="s">
        <v>21</v>
      </c>
      <c r="E6023" s="24">
        <v>45489.0</v>
      </c>
      <c r="F6023" s="25">
        <v>0.24305555555555555</v>
      </c>
      <c r="G6023" s="25">
        <v>0.6645833333333333</v>
      </c>
      <c r="H6023" s="27">
        <f t="shared" si="4"/>
        <v>0.4215277778</v>
      </c>
      <c r="I6023" s="28">
        <v>3.0</v>
      </c>
      <c r="J6023" s="39" t="s">
        <v>2993</v>
      </c>
      <c r="K6023" s="41"/>
      <c r="L6023" s="31" t="str">
        <f>IFERROR(__xludf.DUMMYFUNCTION("IF(OR(E6023="""",K6023=""""),"""",IFERROR(IF(K6023="""","""",query('tbl user'!$A$2:$D10975,""SELECT A WHERE D = '""&amp;K6023&amp;""'"")),""USER TIDAK DIKETAHUI""))"),"")</f>
        <v/>
      </c>
    </row>
    <row r="6024">
      <c r="A6024" s="21" t="str">
        <f t="shared" si="3"/>
        <v/>
      </c>
      <c r="B6024" s="38"/>
      <c r="C6024" s="23" t="s">
        <v>1847</v>
      </c>
      <c r="D6024" s="23" t="s">
        <v>21</v>
      </c>
      <c r="E6024" s="24">
        <v>45489.0</v>
      </c>
      <c r="F6024" s="25">
        <v>0.2923611111111111</v>
      </c>
      <c r="G6024" s="25">
        <v>0.6736111111111112</v>
      </c>
      <c r="H6024" s="27">
        <f t="shared" si="4"/>
        <v>0.38125</v>
      </c>
      <c r="I6024" s="28">
        <v>3.0</v>
      </c>
      <c r="J6024" s="39" t="s">
        <v>213</v>
      </c>
      <c r="K6024" s="41"/>
      <c r="L6024" s="31" t="str">
        <f>IFERROR(__xludf.DUMMYFUNCTION("IF(OR(E6024="""",K6024=""""),"""",IFERROR(IF(K6024="""","""",query('tbl user'!$A$2:$D10975,""SELECT A WHERE D = '""&amp;K6024&amp;""'"")),""USER TIDAK DIKETAHUI""))"),"")</f>
        <v/>
      </c>
    </row>
    <row r="6025">
      <c r="A6025" s="21" t="str">
        <f t="shared" si="3"/>
        <v/>
      </c>
      <c r="B6025" s="38"/>
      <c r="C6025" s="23" t="s">
        <v>1850</v>
      </c>
      <c r="D6025" s="23" t="s">
        <v>21</v>
      </c>
      <c r="E6025" s="24">
        <v>45489.0</v>
      </c>
      <c r="F6025" s="25">
        <v>0.24722222222222223</v>
      </c>
      <c r="G6025" s="25">
        <v>0.6784722222222223</v>
      </c>
      <c r="H6025" s="27">
        <f t="shared" si="4"/>
        <v>0.43125</v>
      </c>
      <c r="I6025" s="28">
        <v>3.0</v>
      </c>
      <c r="J6025" s="39" t="s">
        <v>2964</v>
      </c>
      <c r="K6025" s="41"/>
      <c r="L6025" s="31" t="str">
        <f>IFERROR(__xludf.DUMMYFUNCTION("IF(OR(E6025="""",K6025=""""),"""",IFERROR(IF(K6025="""","""",query('tbl user'!$A$2:$D10975,""SELECT A WHERE D = '""&amp;K6025&amp;""'"")),""USER TIDAK DIKETAHUI""))"),"")</f>
        <v/>
      </c>
    </row>
    <row r="6026">
      <c r="A6026" s="21" t="str">
        <f t="shared" si="3"/>
        <v/>
      </c>
      <c r="B6026" s="38"/>
      <c r="C6026" s="23" t="s">
        <v>1845</v>
      </c>
      <c r="D6026" s="23" t="s">
        <v>21</v>
      </c>
      <c r="E6026" s="24">
        <v>45489.0</v>
      </c>
      <c r="F6026" s="25">
        <v>0.24791666666666667</v>
      </c>
      <c r="G6026" s="25">
        <v>0.7111111111111111</v>
      </c>
      <c r="H6026" s="27">
        <f t="shared" si="4"/>
        <v>0.4631944444</v>
      </c>
      <c r="I6026" s="28">
        <v>4.0</v>
      </c>
      <c r="J6026" s="39" t="s">
        <v>213</v>
      </c>
      <c r="K6026" s="41"/>
      <c r="L6026" s="31" t="str">
        <f>IFERROR(__xludf.DUMMYFUNCTION("IF(OR(E6026="""",K6026=""""),"""",IFERROR(IF(K6026="""","""",query('tbl user'!$A$2:$D10975,""SELECT A WHERE D = '""&amp;K6026&amp;""'"")),""USER TIDAK DIKETAHUI""))"),"")</f>
        <v/>
      </c>
    </row>
    <row r="6027">
      <c r="A6027" s="21" t="str">
        <f t="shared" si="3"/>
        <v/>
      </c>
      <c r="B6027" s="38"/>
      <c r="C6027" s="23" t="s">
        <v>1858</v>
      </c>
      <c r="D6027" s="23" t="s">
        <v>21</v>
      </c>
      <c r="E6027" s="24">
        <v>45489.0</v>
      </c>
      <c r="F6027" s="25">
        <v>0.2548611111111111</v>
      </c>
      <c r="G6027" s="25">
        <v>0.7402777777777778</v>
      </c>
      <c r="H6027" s="27">
        <f t="shared" si="4"/>
        <v>0.4854166667</v>
      </c>
      <c r="I6027" s="28">
        <v>4.0</v>
      </c>
      <c r="J6027" s="39" t="s">
        <v>2994</v>
      </c>
      <c r="K6027" s="41"/>
      <c r="L6027" s="31" t="str">
        <f>IFERROR(__xludf.DUMMYFUNCTION("IF(OR(E6027="""",K6027=""""),"""",IFERROR(IF(K6027="""","""",query('tbl user'!$A$2:$D10975,""SELECT A WHERE D = '""&amp;K6027&amp;""'"")),""USER TIDAK DIKETAHUI""))"),"")</f>
        <v/>
      </c>
    </row>
    <row r="6028">
      <c r="A6028" s="21" t="str">
        <f t="shared" si="3"/>
        <v/>
      </c>
      <c r="B6028" s="38"/>
      <c r="C6028" s="23" t="s">
        <v>2005</v>
      </c>
      <c r="D6028" s="23" t="s">
        <v>21</v>
      </c>
      <c r="E6028" s="24">
        <v>45489.0</v>
      </c>
      <c r="F6028" s="25">
        <v>0.24166666666666667</v>
      </c>
      <c r="G6028" s="25">
        <v>0.6944444444444444</v>
      </c>
      <c r="H6028" s="27">
        <f t="shared" si="4"/>
        <v>0.4527777778</v>
      </c>
      <c r="I6028" s="28">
        <v>4.0</v>
      </c>
      <c r="J6028" s="39" t="s">
        <v>2995</v>
      </c>
      <c r="K6028" s="41"/>
      <c r="L6028" s="31" t="str">
        <f>IFERROR(__xludf.DUMMYFUNCTION("IF(OR(E6028="""",K6028=""""),"""",IFERROR(IF(K6028="""","""",query('tbl user'!$A$2:$D10975,""SELECT A WHERE D = '""&amp;K6028&amp;""'"")),""USER TIDAK DIKETAHUI""))"),"")</f>
        <v/>
      </c>
    </row>
    <row r="6029">
      <c r="A6029" s="21" t="str">
        <f t="shared" si="3"/>
        <v/>
      </c>
      <c r="B6029" s="38"/>
      <c r="C6029" s="23" t="s">
        <v>1841</v>
      </c>
      <c r="D6029" s="23" t="s">
        <v>21</v>
      </c>
      <c r="E6029" s="24">
        <v>45489.0</v>
      </c>
      <c r="F6029" s="25">
        <v>0.39791666666666664</v>
      </c>
      <c r="G6029" s="25">
        <v>0.6298611111111111</v>
      </c>
      <c r="H6029" s="27">
        <f t="shared" si="4"/>
        <v>0.2319444444</v>
      </c>
      <c r="I6029" s="28">
        <v>2.0</v>
      </c>
      <c r="J6029" s="39" t="s">
        <v>2996</v>
      </c>
      <c r="K6029" s="41"/>
      <c r="L6029" s="31" t="str">
        <f>IFERROR(__xludf.DUMMYFUNCTION("IF(OR(E6029="""",K6029=""""),"""",IFERROR(IF(K6029="""","""",query('tbl user'!$A$2:$D10975,""SELECT A WHERE D = '""&amp;K6029&amp;""'"")),""USER TIDAK DIKETAHUI""))"),"")</f>
        <v/>
      </c>
    </row>
    <row r="6030">
      <c r="A6030" s="21" t="str">
        <f t="shared" si="3"/>
        <v/>
      </c>
      <c r="B6030" s="38"/>
      <c r="C6030" s="23" t="s">
        <v>1852</v>
      </c>
      <c r="D6030" s="23" t="s">
        <v>21</v>
      </c>
      <c r="E6030" s="24">
        <v>45489.0</v>
      </c>
      <c r="F6030" s="25">
        <v>0.26875</v>
      </c>
      <c r="G6030" s="25">
        <v>0.6895833333333333</v>
      </c>
      <c r="H6030" s="27">
        <f t="shared" si="4"/>
        <v>0.4208333333</v>
      </c>
      <c r="I6030" s="28">
        <v>4.0</v>
      </c>
      <c r="J6030" s="39" t="s">
        <v>2233</v>
      </c>
      <c r="K6030" s="41"/>
      <c r="L6030" s="31" t="str">
        <f>IFERROR(__xludf.DUMMYFUNCTION("IF(OR(E6030="""",K6030=""""),"""",IFERROR(IF(K6030="""","""",query('tbl user'!$A$2:$D10975,""SELECT A WHERE D = '""&amp;K6030&amp;""'"")),""USER TIDAK DIKETAHUI""))"),"")</f>
        <v/>
      </c>
    </row>
    <row r="6031">
      <c r="A6031" s="21" t="str">
        <f t="shared" si="3"/>
        <v/>
      </c>
      <c r="B6031" s="38"/>
      <c r="C6031" s="23" t="s">
        <v>1893</v>
      </c>
      <c r="D6031" s="23" t="s">
        <v>58</v>
      </c>
      <c r="E6031" s="24">
        <v>45489.0</v>
      </c>
      <c r="F6031" s="25">
        <v>0.2423611111111111</v>
      </c>
      <c r="G6031" s="28" t="s">
        <v>1817</v>
      </c>
      <c r="H6031" s="27" t="str">
        <f t="shared" si="4"/>
        <v/>
      </c>
      <c r="I6031" s="28">
        <v>0.0</v>
      </c>
      <c r="J6031" s="39" t="s">
        <v>2997</v>
      </c>
      <c r="K6031" s="41"/>
      <c r="L6031" s="31" t="str">
        <f>IFERROR(__xludf.DUMMYFUNCTION("IF(OR(E6031="""",K6031=""""),"""",IFERROR(IF(K6031="""","""",query('tbl user'!$A$2:$D10975,""SELECT A WHERE D = '""&amp;K6031&amp;""'"")),""USER TIDAK DIKETAHUI""))"),"")</f>
        <v/>
      </c>
    </row>
    <row r="6032">
      <c r="A6032" s="21" t="str">
        <f t="shared" si="3"/>
        <v/>
      </c>
      <c r="B6032" s="38"/>
      <c r="C6032" s="23" t="s">
        <v>1874</v>
      </c>
      <c r="D6032" s="23" t="s">
        <v>58</v>
      </c>
      <c r="E6032" s="24">
        <v>45489.0</v>
      </c>
      <c r="F6032" s="25">
        <v>0.36875</v>
      </c>
      <c r="G6032" s="25">
        <v>0.5881944444444445</v>
      </c>
      <c r="H6032" s="27">
        <f t="shared" si="4"/>
        <v>0.2194444444</v>
      </c>
      <c r="I6032" s="28">
        <v>1.0</v>
      </c>
      <c r="J6032" s="39" t="s">
        <v>2998</v>
      </c>
      <c r="K6032" s="41"/>
      <c r="L6032" s="31" t="str">
        <f>IFERROR(__xludf.DUMMYFUNCTION("IF(OR(E6032="""",K6032=""""),"""",IFERROR(IF(K6032="""","""",query('tbl user'!$A$2:$D10975,""SELECT A WHERE D = '""&amp;K6032&amp;""'"")),""USER TIDAK DIKETAHUI""))"),"")</f>
        <v/>
      </c>
    </row>
    <row r="6033">
      <c r="A6033" s="21" t="str">
        <f t="shared" si="3"/>
        <v/>
      </c>
      <c r="B6033" s="38"/>
      <c r="C6033" s="23" t="s">
        <v>1941</v>
      </c>
      <c r="D6033" s="23" t="s">
        <v>58</v>
      </c>
      <c r="E6033" s="24">
        <v>45489.0</v>
      </c>
      <c r="F6033" s="25">
        <v>0.24375</v>
      </c>
      <c r="G6033" s="28" t="s">
        <v>1817</v>
      </c>
      <c r="H6033" s="27" t="str">
        <f t="shared" si="4"/>
        <v/>
      </c>
      <c r="I6033" s="28">
        <v>1.0</v>
      </c>
      <c r="J6033" s="39" t="s">
        <v>2999</v>
      </c>
      <c r="K6033" s="41"/>
      <c r="L6033" s="31" t="str">
        <f>IFERROR(__xludf.DUMMYFUNCTION("IF(OR(E6033="""",K6033=""""),"""",IFERROR(IF(K6033="""","""",query('tbl user'!$A$2:$D10975,""SELECT A WHERE D = '""&amp;K6033&amp;""'"")),""USER TIDAK DIKETAHUI""))"),"")</f>
        <v/>
      </c>
    </row>
    <row r="6034">
      <c r="A6034" s="21" t="str">
        <f t="shared" si="3"/>
        <v/>
      </c>
      <c r="B6034" s="38"/>
      <c r="C6034" s="23" t="s">
        <v>1869</v>
      </c>
      <c r="D6034" s="23" t="s">
        <v>58</v>
      </c>
      <c r="E6034" s="24">
        <v>45489.0</v>
      </c>
      <c r="F6034" s="25">
        <v>0.24722222222222223</v>
      </c>
      <c r="G6034" s="25">
        <v>0.5277777777777778</v>
      </c>
      <c r="H6034" s="27">
        <f t="shared" si="4"/>
        <v>0.2805555556</v>
      </c>
      <c r="I6034" s="28">
        <v>1.0</v>
      </c>
      <c r="J6034" s="39" t="s">
        <v>3000</v>
      </c>
      <c r="K6034" s="41"/>
      <c r="L6034" s="31" t="str">
        <f>IFERROR(__xludf.DUMMYFUNCTION("IF(OR(E6034="""",K6034=""""),"""",IFERROR(IF(K6034="""","""",query('tbl user'!$A$2:$D10975,""SELECT A WHERE D = '""&amp;K6034&amp;""'"")),""USER TIDAK DIKETAHUI""))"),"")</f>
        <v/>
      </c>
    </row>
    <row r="6035">
      <c r="A6035" s="21" t="str">
        <f t="shared" si="3"/>
        <v/>
      </c>
      <c r="B6035" s="38"/>
      <c r="C6035" s="23" t="s">
        <v>1882</v>
      </c>
      <c r="D6035" s="23" t="s">
        <v>58</v>
      </c>
      <c r="E6035" s="24">
        <v>45489.0</v>
      </c>
      <c r="F6035" s="25">
        <v>0.3472222222222222</v>
      </c>
      <c r="G6035" s="25">
        <v>0.5347222222222222</v>
      </c>
      <c r="H6035" s="27">
        <f t="shared" si="4"/>
        <v>0.1875</v>
      </c>
      <c r="I6035" s="28">
        <v>1.0</v>
      </c>
      <c r="J6035" s="39" t="s">
        <v>3001</v>
      </c>
      <c r="K6035" s="41"/>
      <c r="L6035" s="31" t="str">
        <f>IFERROR(__xludf.DUMMYFUNCTION("IF(OR(E6035="""",K6035=""""),"""",IFERROR(IF(K6035="""","""",query('tbl user'!$A$2:$D10975,""SELECT A WHERE D = '""&amp;K6035&amp;""'"")),""USER TIDAK DIKETAHUI""))"),"")</f>
        <v/>
      </c>
    </row>
    <row r="6036">
      <c r="A6036" s="21" t="str">
        <f t="shared" si="3"/>
        <v/>
      </c>
      <c r="B6036" s="38"/>
      <c r="C6036" s="23" t="s">
        <v>1883</v>
      </c>
      <c r="D6036" s="23" t="s">
        <v>58</v>
      </c>
      <c r="E6036" s="24">
        <v>45489.0</v>
      </c>
      <c r="F6036" s="25">
        <v>0.2743055555555556</v>
      </c>
      <c r="G6036" s="25">
        <v>0.5465277777777777</v>
      </c>
      <c r="H6036" s="27">
        <f t="shared" si="4"/>
        <v>0.2722222222</v>
      </c>
      <c r="I6036" s="28">
        <v>1.0</v>
      </c>
      <c r="J6036" s="39" t="s">
        <v>3002</v>
      </c>
      <c r="K6036" s="41"/>
      <c r="L6036" s="31" t="str">
        <f>IFERROR(__xludf.DUMMYFUNCTION("IF(OR(E6036="""",K6036=""""),"""",IFERROR(IF(K6036="""","""",query('tbl user'!$A$2:$D10975,""SELECT A WHERE D = '""&amp;K6036&amp;""'"")),""USER TIDAK DIKETAHUI""))"),"")</f>
        <v/>
      </c>
    </row>
    <row r="6037">
      <c r="A6037" s="21" t="str">
        <f t="shared" si="3"/>
        <v/>
      </c>
      <c r="B6037" s="38"/>
      <c r="C6037" s="23" t="s">
        <v>1860</v>
      </c>
      <c r="D6037" s="23" t="s">
        <v>58</v>
      </c>
      <c r="E6037" s="24">
        <v>45489.0</v>
      </c>
      <c r="F6037" s="25">
        <v>0.29097222222222224</v>
      </c>
      <c r="G6037" s="25">
        <v>0.5444444444444444</v>
      </c>
      <c r="H6037" s="27">
        <f t="shared" si="4"/>
        <v>0.2534722222</v>
      </c>
      <c r="I6037" s="28">
        <v>1.0</v>
      </c>
      <c r="J6037" s="39" t="s">
        <v>3003</v>
      </c>
      <c r="K6037" s="41"/>
      <c r="L6037" s="31" t="str">
        <f>IFERROR(__xludf.DUMMYFUNCTION("IF(OR(E6037="""",K6037=""""),"""",IFERROR(IF(K6037="""","""",query('tbl user'!$A$2:$D10975,""SELECT A WHERE D = '""&amp;K6037&amp;""'"")),""USER TIDAK DIKETAHUI""))"),"")</f>
        <v/>
      </c>
    </row>
    <row r="6038">
      <c r="A6038" s="21" t="str">
        <f t="shared" si="3"/>
        <v/>
      </c>
      <c r="B6038" s="38"/>
      <c r="C6038" s="23" t="s">
        <v>1890</v>
      </c>
      <c r="D6038" s="23" t="s">
        <v>58</v>
      </c>
      <c r="E6038" s="24">
        <v>45489.0</v>
      </c>
      <c r="F6038" s="25">
        <v>0.25277777777777777</v>
      </c>
      <c r="G6038" s="25">
        <v>0.5263888888888889</v>
      </c>
      <c r="H6038" s="27">
        <f t="shared" si="4"/>
        <v>0.2736111111</v>
      </c>
      <c r="I6038" s="28">
        <v>1.0</v>
      </c>
      <c r="J6038" s="39" t="s">
        <v>3004</v>
      </c>
      <c r="K6038" s="41"/>
      <c r="L6038" s="31" t="str">
        <f>IFERROR(__xludf.DUMMYFUNCTION("IF(OR(E6038="""",K6038=""""),"""",IFERROR(IF(K6038="""","""",query('tbl user'!$A$2:$D10975,""SELECT A WHERE D = '""&amp;K6038&amp;""'"")),""USER TIDAK DIKETAHUI""))"),"")</f>
        <v/>
      </c>
    </row>
    <row r="6039">
      <c r="A6039" s="21" t="str">
        <f t="shared" si="3"/>
        <v/>
      </c>
      <c r="B6039" s="38"/>
      <c r="C6039" s="23" t="s">
        <v>1875</v>
      </c>
      <c r="D6039" s="23" t="s">
        <v>58</v>
      </c>
      <c r="E6039" s="24">
        <v>45489.0</v>
      </c>
      <c r="F6039" s="25">
        <v>0.24444444444444444</v>
      </c>
      <c r="G6039" s="25">
        <v>0.6770833333333334</v>
      </c>
      <c r="H6039" s="27">
        <f t="shared" si="4"/>
        <v>0.4326388889</v>
      </c>
      <c r="I6039" s="28">
        <v>2.0</v>
      </c>
      <c r="J6039" s="39" t="s">
        <v>3005</v>
      </c>
      <c r="K6039" s="41"/>
      <c r="L6039" s="31" t="str">
        <f>IFERROR(__xludf.DUMMYFUNCTION("IF(OR(E6039="""",K6039=""""),"""",IFERROR(IF(K6039="""","""",query('tbl user'!$A$2:$D10975,""SELECT A WHERE D = '""&amp;K6039&amp;""'"")),""USER TIDAK DIKETAHUI""))"),"")</f>
        <v/>
      </c>
    </row>
    <row r="6040">
      <c r="A6040" s="21" t="str">
        <f t="shared" si="3"/>
        <v/>
      </c>
      <c r="B6040" s="38"/>
      <c r="C6040" s="23" t="s">
        <v>1865</v>
      </c>
      <c r="D6040" s="23" t="s">
        <v>58</v>
      </c>
      <c r="E6040" s="24">
        <v>45489.0</v>
      </c>
      <c r="F6040" s="25">
        <v>0.28402777777777777</v>
      </c>
      <c r="G6040" s="25">
        <v>0.6673611111111111</v>
      </c>
      <c r="H6040" s="27">
        <f t="shared" si="4"/>
        <v>0.3833333333</v>
      </c>
      <c r="I6040" s="28">
        <v>2.0</v>
      </c>
      <c r="J6040" s="39" t="s">
        <v>3006</v>
      </c>
      <c r="K6040" s="41"/>
      <c r="L6040" s="31" t="str">
        <f>IFERROR(__xludf.DUMMYFUNCTION("IF(OR(E6040="""",K6040=""""),"""",IFERROR(IF(K6040="""","""",query('tbl user'!$A$2:$D10975,""SELECT A WHERE D = '""&amp;K6040&amp;""'"")),""USER TIDAK DIKETAHUI""))"),"")</f>
        <v/>
      </c>
    </row>
    <row r="6041">
      <c r="A6041" s="21" t="str">
        <f t="shared" si="3"/>
        <v/>
      </c>
      <c r="B6041" s="38"/>
      <c r="C6041" s="23" t="s">
        <v>1948</v>
      </c>
      <c r="D6041" s="23" t="s">
        <v>58</v>
      </c>
      <c r="E6041" s="24">
        <v>45489.0</v>
      </c>
      <c r="F6041" s="25">
        <v>0.3729166666666667</v>
      </c>
      <c r="G6041" s="25">
        <v>0.7291666666666666</v>
      </c>
      <c r="H6041" s="27">
        <f t="shared" si="4"/>
        <v>0.35625</v>
      </c>
      <c r="I6041" s="28">
        <v>2.0</v>
      </c>
      <c r="J6041" s="39" t="s">
        <v>2125</v>
      </c>
      <c r="K6041" s="41"/>
      <c r="L6041" s="31" t="str">
        <f>IFERROR(__xludf.DUMMYFUNCTION("IF(OR(E6041="""",K6041=""""),"""",IFERROR(IF(K6041="""","""",query('tbl user'!$A$2:$D10975,""SELECT A WHERE D = '""&amp;K6041&amp;""'"")),""USER TIDAK DIKETAHUI""))"),"")</f>
        <v/>
      </c>
    </row>
    <row r="6042">
      <c r="A6042" s="21" t="str">
        <f t="shared" si="3"/>
        <v/>
      </c>
      <c r="B6042" s="38"/>
      <c r="C6042" s="23" t="s">
        <v>1879</v>
      </c>
      <c r="D6042" s="23" t="s">
        <v>58</v>
      </c>
      <c r="E6042" s="24">
        <v>45489.0</v>
      </c>
      <c r="F6042" s="25">
        <v>0.25833333333333336</v>
      </c>
      <c r="G6042" s="25">
        <v>0.6541666666666667</v>
      </c>
      <c r="H6042" s="27">
        <f t="shared" si="4"/>
        <v>0.3958333333</v>
      </c>
      <c r="I6042" s="28">
        <v>2.0</v>
      </c>
      <c r="J6042" s="39" t="s">
        <v>3007</v>
      </c>
      <c r="K6042" s="41"/>
      <c r="L6042" s="31" t="str">
        <f>IFERROR(__xludf.DUMMYFUNCTION("IF(OR(E6042="""",K6042=""""),"""",IFERROR(IF(K6042="""","""",query('tbl user'!$A$2:$D10975,""SELECT A WHERE D = '""&amp;K6042&amp;""'"")),""USER TIDAK DIKETAHUI""))"),"")</f>
        <v/>
      </c>
    </row>
    <row r="6043">
      <c r="A6043" s="21" t="str">
        <f t="shared" si="3"/>
        <v/>
      </c>
      <c r="B6043" s="38"/>
      <c r="C6043" s="23" t="s">
        <v>1884</v>
      </c>
      <c r="D6043" s="23" t="s">
        <v>58</v>
      </c>
      <c r="E6043" s="24">
        <v>45489.0</v>
      </c>
      <c r="F6043" s="25">
        <v>0.22013888888888888</v>
      </c>
      <c r="G6043" s="25">
        <v>0.6958333333333333</v>
      </c>
      <c r="H6043" s="27">
        <f t="shared" si="4"/>
        <v>0.4756944444</v>
      </c>
      <c r="I6043" s="28">
        <v>2.0</v>
      </c>
      <c r="J6043" s="39" t="s">
        <v>3008</v>
      </c>
      <c r="K6043" s="41"/>
      <c r="L6043" s="31" t="str">
        <f>IFERROR(__xludf.DUMMYFUNCTION("IF(OR(E6043="""",K6043=""""),"""",IFERROR(IF(K6043="""","""",query('tbl user'!$A$2:$D10975,""SELECT A WHERE D = '""&amp;K6043&amp;""'"")),""USER TIDAK DIKETAHUI""))"),"")</f>
        <v/>
      </c>
    </row>
    <row r="6044">
      <c r="A6044" s="21" t="str">
        <f t="shared" si="3"/>
        <v/>
      </c>
      <c r="B6044" s="38"/>
      <c r="C6044" s="23" t="s">
        <v>1950</v>
      </c>
      <c r="D6044" s="23" t="s">
        <v>58</v>
      </c>
      <c r="E6044" s="24">
        <v>45489.0</v>
      </c>
      <c r="F6044" s="25">
        <v>0.2361111111111111</v>
      </c>
      <c r="G6044" s="25">
        <v>0.6118055555555556</v>
      </c>
      <c r="H6044" s="27">
        <f t="shared" si="4"/>
        <v>0.3756944444</v>
      </c>
      <c r="I6044" s="28">
        <v>2.0</v>
      </c>
      <c r="J6044" s="39" t="s">
        <v>3009</v>
      </c>
      <c r="K6044" s="41"/>
      <c r="L6044" s="31" t="str">
        <f>IFERROR(__xludf.DUMMYFUNCTION("IF(OR(E6044="""",K6044=""""),"""",IFERROR(IF(K6044="""","""",query('tbl user'!$A$2:$D10975,""SELECT A WHERE D = '""&amp;K6044&amp;""'"")),""USER TIDAK DIKETAHUI""))"),"")</f>
        <v/>
      </c>
    </row>
    <row r="6045">
      <c r="A6045" s="21" t="str">
        <f t="shared" si="3"/>
        <v/>
      </c>
      <c r="B6045" s="38"/>
      <c r="C6045" s="23" t="s">
        <v>1863</v>
      </c>
      <c r="D6045" s="23" t="s">
        <v>58</v>
      </c>
      <c r="E6045" s="24">
        <v>45489.0</v>
      </c>
      <c r="F6045" s="25">
        <v>0.2625</v>
      </c>
      <c r="G6045" s="25">
        <v>0.6527777777777778</v>
      </c>
      <c r="H6045" s="27">
        <f t="shared" si="4"/>
        <v>0.3902777778</v>
      </c>
      <c r="I6045" s="28">
        <v>2.0</v>
      </c>
      <c r="J6045" s="39" t="s">
        <v>3010</v>
      </c>
      <c r="K6045" s="41"/>
      <c r="L6045" s="31" t="str">
        <f>IFERROR(__xludf.DUMMYFUNCTION("IF(OR(E6045="""",K6045=""""),"""",IFERROR(IF(K6045="""","""",query('tbl user'!$A$2:$D10975,""SELECT A WHERE D = '""&amp;K6045&amp;""'"")),""USER TIDAK DIKETAHUI""))"),"")</f>
        <v/>
      </c>
    </row>
    <row r="6046">
      <c r="A6046" s="21" t="str">
        <f t="shared" si="3"/>
        <v/>
      </c>
      <c r="B6046" s="38"/>
      <c r="C6046" s="23" t="s">
        <v>1886</v>
      </c>
      <c r="D6046" s="23" t="s">
        <v>58</v>
      </c>
      <c r="E6046" s="24">
        <v>45489.0</v>
      </c>
      <c r="F6046" s="25">
        <v>0.24027777777777778</v>
      </c>
      <c r="G6046" s="25">
        <v>0.6305555555555555</v>
      </c>
      <c r="H6046" s="27">
        <f t="shared" si="4"/>
        <v>0.3902777778</v>
      </c>
      <c r="I6046" s="28">
        <v>2.0</v>
      </c>
      <c r="J6046" s="39" t="s">
        <v>3011</v>
      </c>
      <c r="K6046" s="41"/>
      <c r="L6046" s="31" t="str">
        <f>IFERROR(__xludf.DUMMYFUNCTION("IF(OR(E6046="""",K6046=""""),"""",IFERROR(IF(K6046="""","""",query('tbl user'!$A$2:$D10975,""SELECT A WHERE D = '""&amp;K6046&amp;""'"")),""USER TIDAK DIKETAHUI""))"),"")</f>
        <v/>
      </c>
    </row>
    <row r="6047">
      <c r="A6047" s="21" t="str">
        <f t="shared" si="3"/>
        <v/>
      </c>
      <c r="B6047" s="38"/>
      <c r="C6047" s="23" t="s">
        <v>1887</v>
      </c>
      <c r="D6047" s="23" t="s">
        <v>58</v>
      </c>
      <c r="E6047" s="24">
        <v>45489.0</v>
      </c>
      <c r="F6047" s="25">
        <v>0.2847222222222222</v>
      </c>
      <c r="G6047" s="25">
        <v>0.6895833333333333</v>
      </c>
      <c r="H6047" s="27">
        <f t="shared" si="4"/>
        <v>0.4048611111</v>
      </c>
      <c r="I6047" s="28">
        <v>2.0</v>
      </c>
      <c r="J6047" s="39" t="s">
        <v>3007</v>
      </c>
      <c r="K6047" s="41"/>
      <c r="L6047" s="31" t="str">
        <f>IFERROR(__xludf.DUMMYFUNCTION("IF(OR(E6047="""",K6047=""""),"""",IFERROR(IF(K6047="""","""",query('tbl user'!$A$2:$D10975,""SELECT A WHERE D = '""&amp;K6047&amp;""'"")),""USER TIDAK DIKETAHUI""))"),"")</f>
        <v/>
      </c>
    </row>
    <row r="6048">
      <c r="A6048" s="21" t="str">
        <f t="shared" si="3"/>
        <v/>
      </c>
      <c r="B6048" s="38"/>
      <c r="C6048" s="23" t="s">
        <v>1889</v>
      </c>
      <c r="D6048" s="23" t="s">
        <v>58</v>
      </c>
      <c r="E6048" s="24">
        <v>45489.0</v>
      </c>
      <c r="F6048" s="25">
        <v>0.26875</v>
      </c>
      <c r="G6048" s="25">
        <v>0.6958333333333333</v>
      </c>
      <c r="H6048" s="27">
        <f t="shared" si="4"/>
        <v>0.4270833333</v>
      </c>
      <c r="I6048" s="28">
        <v>2.0</v>
      </c>
      <c r="J6048" s="39" t="s">
        <v>3012</v>
      </c>
      <c r="K6048" s="41"/>
      <c r="L6048" s="31" t="str">
        <f>IFERROR(__xludf.DUMMYFUNCTION("IF(OR(E6048="""",K6048=""""),"""",IFERROR(IF(K6048="""","""",query('tbl user'!$A$2:$D10975,""SELECT A WHERE D = '""&amp;K6048&amp;""'"")),""USER TIDAK DIKETAHUI""))"),"")</f>
        <v/>
      </c>
    </row>
    <row r="6049">
      <c r="A6049" s="21" t="str">
        <f t="shared" si="3"/>
        <v/>
      </c>
      <c r="B6049" s="38"/>
      <c r="C6049" s="23" t="s">
        <v>1871</v>
      </c>
      <c r="D6049" s="23" t="s">
        <v>58</v>
      </c>
      <c r="E6049" s="24">
        <v>45489.0</v>
      </c>
      <c r="F6049" s="25">
        <v>0.2465277777777778</v>
      </c>
      <c r="G6049" s="25">
        <v>0.7041666666666667</v>
      </c>
      <c r="H6049" s="27">
        <f t="shared" si="4"/>
        <v>0.4576388889</v>
      </c>
      <c r="I6049" s="28">
        <v>2.0</v>
      </c>
      <c r="J6049" s="39" t="s">
        <v>3007</v>
      </c>
      <c r="K6049" s="41"/>
      <c r="L6049" s="31" t="str">
        <f>IFERROR(__xludf.DUMMYFUNCTION("IF(OR(E6049="""",K6049=""""),"""",IFERROR(IF(K6049="""","""",query('tbl user'!$A$2:$D10975,""SELECT A WHERE D = '""&amp;K6049&amp;""'"")),""USER TIDAK DIKETAHUI""))"),"")</f>
        <v/>
      </c>
    </row>
    <row r="6050">
      <c r="A6050" s="21" t="str">
        <f t="shared" si="3"/>
        <v/>
      </c>
      <c r="B6050" s="38"/>
      <c r="C6050" s="23" t="s">
        <v>2090</v>
      </c>
      <c r="D6050" s="23" t="s">
        <v>58</v>
      </c>
      <c r="E6050" s="24">
        <v>45489.0</v>
      </c>
      <c r="F6050" s="25">
        <v>0.26875</v>
      </c>
      <c r="G6050" s="25">
        <v>0.6479166666666667</v>
      </c>
      <c r="H6050" s="27">
        <f t="shared" si="4"/>
        <v>0.3791666667</v>
      </c>
      <c r="I6050" s="28">
        <v>2.0</v>
      </c>
      <c r="J6050" s="39" t="s">
        <v>3007</v>
      </c>
      <c r="K6050" s="41"/>
      <c r="L6050" s="31" t="str">
        <f>IFERROR(__xludf.DUMMYFUNCTION("IF(OR(E6050="""",K6050=""""),"""",IFERROR(IF(K6050="""","""",query('tbl user'!$A$2:$D10975,""SELECT A WHERE D = '""&amp;K6050&amp;""'"")),""USER TIDAK DIKETAHUI""))"),"")</f>
        <v/>
      </c>
    </row>
    <row r="6051">
      <c r="A6051" s="21" t="str">
        <f t="shared" si="3"/>
        <v/>
      </c>
      <c r="B6051" s="38"/>
      <c r="C6051" s="23" t="s">
        <v>1861</v>
      </c>
      <c r="D6051" s="23" t="s">
        <v>58</v>
      </c>
      <c r="E6051" s="24">
        <v>45489.0</v>
      </c>
      <c r="F6051" s="25">
        <v>0.26875</v>
      </c>
      <c r="G6051" s="25">
        <v>0.6645833333333333</v>
      </c>
      <c r="H6051" s="27">
        <f t="shared" si="4"/>
        <v>0.3958333333</v>
      </c>
      <c r="I6051" s="28">
        <v>2.0</v>
      </c>
      <c r="J6051" s="39" t="s">
        <v>3007</v>
      </c>
      <c r="K6051" s="41"/>
      <c r="L6051" s="31" t="str">
        <f>IFERROR(__xludf.DUMMYFUNCTION("IF(OR(E6051="""",K6051=""""),"""",IFERROR(IF(K6051="""","""",query('tbl user'!$A$2:$D10975,""SELECT A WHERE D = '""&amp;K6051&amp;""'"")),""USER TIDAK DIKETAHUI""))"),"")</f>
        <v/>
      </c>
    </row>
    <row r="6052">
      <c r="A6052" s="21" t="str">
        <f t="shared" si="3"/>
        <v/>
      </c>
      <c r="B6052" s="38"/>
      <c r="C6052" s="23" t="s">
        <v>1891</v>
      </c>
      <c r="D6052" s="23" t="s">
        <v>58</v>
      </c>
      <c r="E6052" s="24">
        <v>45489.0</v>
      </c>
      <c r="F6052" s="25">
        <v>0.2659722222222222</v>
      </c>
      <c r="G6052" s="25">
        <v>0.6715277777777777</v>
      </c>
      <c r="H6052" s="27">
        <f t="shared" si="4"/>
        <v>0.4055555556</v>
      </c>
      <c r="I6052" s="28">
        <v>2.0</v>
      </c>
      <c r="J6052" s="39" t="s">
        <v>3007</v>
      </c>
      <c r="K6052" s="41"/>
      <c r="L6052" s="31" t="str">
        <f>IFERROR(__xludf.DUMMYFUNCTION("IF(OR(E6052="""",K6052=""""),"""",IFERROR(IF(K6052="""","""",query('tbl user'!$A$2:$D10975,""SELECT A WHERE D = '""&amp;K6052&amp;""'"")),""USER TIDAK DIKETAHUI""))"),"")</f>
        <v/>
      </c>
    </row>
    <row r="6053">
      <c r="A6053" s="21" t="str">
        <f t="shared" si="3"/>
        <v/>
      </c>
      <c r="B6053" s="38"/>
      <c r="C6053" s="23" t="s">
        <v>1881</v>
      </c>
      <c r="D6053" s="23" t="s">
        <v>58</v>
      </c>
      <c r="E6053" s="24">
        <v>45489.0</v>
      </c>
      <c r="F6053" s="25">
        <v>0.21319444444444444</v>
      </c>
      <c r="G6053" s="25">
        <v>0.6541666666666667</v>
      </c>
      <c r="H6053" s="27">
        <f t="shared" si="4"/>
        <v>0.4409722222</v>
      </c>
      <c r="I6053" s="28">
        <v>3.0</v>
      </c>
      <c r="J6053" s="39" t="s">
        <v>245</v>
      </c>
      <c r="K6053" s="41"/>
      <c r="L6053" s="31" t="str">
        <f>IFERROR(__xludf.DUMMYFUNCTION("IF(OR(E6053="""",K6053=""""),"""",IFERROR(IF(K6053="""","""",query('tbl user'!$A$2:$D10975,""SELECT A WHERE D = '""&amp;K6053&amp;""'"")),""USER TIDAK DIKETAHUI""))"),"")</f>
        <v/>
      </c>
    </row>
    <row r="6054">
      <c r="A6054" s="21" t="str">
        <f t="shared" si="3"/>
        <v/>
      </c>
      <c r="B6054" s="38"/>
      <c r="C6054" s="23" t="s">
        <v>1888</v>
      </c>
      <c r="D6054" s="23" t="s">
        <v>58</v>
      </c>
      <c r="E6054" s="24">
        <v>45489.0</v>
      </c>
      <c r="F6054" s="25">
        <v>0.26458333333333334</v>
      </c>
      <c r="G6054" s="25">
        <v>0.7097222222222223</v>
      </c>
      <c r="H6054" s="27">
        <f t="shared" si="4"/>
        <v>0.4451388889</v>
      </c>
      <c r="I6054" s="28">
        <v>3.0</v>
      </c>
      <c r="J6054" s="39" t="s">
        <v>3007</v>
      </c>
      <c r="K6054" s="41"/>
      <c r="L6054" s="31" t="str">
        <f>IFERROR(__xludf.DUMMYFUNCTION("IF(OR(E6054="""",K6054=""""),"""",IFERROR(IF(K6054="""","""",query('tbl user'!$A$2:$D10975,""SELECT A WHERE D = '""&amp;K6054&amp;""'"")),""USER TIDAK DIKETAHUI""))"),"")</f>
        <v/>
      </c>
    </row>
    <row r="6055">
      <c r="A6055" s="21" t="str">
        <f t="shared" si="3"/>
        <v/>
      </c>
      <c r="B6055" s="38"/>
      <c r="C6055" s="23" t="s">
        <v>1892</v>
      </c>
      <c r="D6055" s="23" t="s">
        <v>58</v>
      </c>
      <c r="E6055" s="24">
        <v>45489.0</v>
      </c>
      <c r="F6055" s="25">
        <v>0.2111111111111111</v>
      </c>
      <c r="G6055" s="25">
        <v>0.6875</v>
      </c>
      <c r="H6055" s="27">
        <f t="shared" si="4"/>
        <v>0.4763888889</v>
      </c>
      <c r="I6055" s="28">
        <v>3.0</v>
      </c>
      <c r="J6055" s="39" t="s">
        <v>3007</v>
      </c>
      <c r="K6055" s="41"/>
      <c r="L6055" s="31" t="str">
        <f>IFERROR(__xludf.DUMMYFUNCTION("IF(OR(E6055="""",K6055=""""),"""",IFERROR(IF(K6055="""","""",query('tbl user'!$A$2:$D10975,""SELECT A WHERE D = '""&amp;K6055&amp;""'"")),""USER TIDAK DIKETAHUI""))"),"")</f>
        <v/>
      </c>
    </row>
    <row r="6056">
      <c r="A6056" s="21" t="str">
        <f t="shared" si="3"/>
        <v/>
      </c>
      <c r="B6056" s="38"/>
      <c r="C6056" s="23" t="s">
        <v>1894</v>
      </c>
      <c r="D6056" s="23" t="s">
        <v>32</v>
      </c>
      <c r="E6056" s="24">
        <v>45489.0</v>
      </c>
      <c r="F6056" s="25">
        <v>0.27152777777777776</v>
      </c>
      <c r="G6056" s="28" t="s">
        <v>1817</v>
      </c>
      <c r="H6056" s="27" t="str">
        <f t="shared" si="4"/>
        <v/>
      </c>
      <c r="I6056" s="28">
        <v>1.0</v>
      </c>
      <c r="J6056" s="39" t="s">
        <v>3013</v>
      </c>
      <c r="K6056" s="41"/>
      <c r="L6056" s="31" t="str">
        <f>IFERROR(__xludf.DUMMYFUNCTION("IF(OR(E6056="""",K6056=""""),"""",IFERROR(IF(K6056="""","""",query('tbl user'!$A$2:$D10975,""SELECT A WHERE D = '""&amp;K6056&amp;""'"")),""USER TIDAK DIKETAHUI""))"),"")</f>
        <v/>
      </c>
    </row>
    <row r="6057">
      <c r="A6057" s="21" t="str">
        <f t="shared" si="3"/>
        <v/>
      </c>
      <c r="B6057" s="38"/>
      <c r="C6057" s="23" t="s">
        <v>2252</v>
      </c>
      <c r="D6057" s="23" t="s">
        <v>32</v>
      </c>
      <c r="E6057" s="24">
        <v>45489.0</v>
      </c>
      <c r="F6057" s="25">
        <v>0.3784722222222222</v>
      </c>
      <c r="G6057" s="25">
        <v>0.5326388888888889</v>
      </c>
      <c r="H6057" s="27">
        <f t="shared" si="4"/>
        <v>0.1541666667</v>
      </c>
      <c r="I6057" s="28">
        <v>1.0</v>
      </c>
      <c r="J6057" s="39" t="s">
        <v>3014</v>
      </c>
      <c r="K6057" s="41"/>
      <c r="L6057" s="31" t="str">
        <f>IFERROR(__xludf.DUMMYFUNCTION("IF(OR(E6057="""",K6057=""""),"""",IFERROR(IF(K6057="""","""",query('tbl user'!$A$2:$D10975,""SELECT A WHERE D = '""&amp;K6057&amp;""'"")),""USER TIDAK DIKETAHUI""))"),"")</f>
        <v/>
      </c>
    </row>
    <row r="6058">
      <c r="A6058" s="21" t="str">
        <f t="shared" si="3"/>
        <v/>
      </c>
      <c r="B6058" s="38"/>
      <c r="C6058" s="23" t="s">
        <v>1962</v>
      </c>
      <c r="D6058" s="23" t="s">
        <v>32</v>
      </c>
      <c r="E6058" s="24">
        <v>45489.0</v>
      </c>
      <c r="F6058" s="25">
        <v>0.2847222222222222</v>
      </c>
      <c r="G6058" s="25">
        <v>0.6625</v>
      </c>
      <c r="H6058" s="27">
        <f t="shared" si="4"/>
        <v>0.3777777778</v>
      </c>
      <c r="I6058" s="28">
        <v>2.0</v>
      </c>
      <c r="J6058" s="39" t="s">
        <v>3015</v>
      </c>
      <c r="K6058" s="41"/>
      <c r="L6058" s="31" t="str">
        <f>IFERROR(__xludf.DUMMYFUNCTION("IF(OR(E6058="""",K6058=""""),"""",IFERROR(IF(K6058="""","""",query('tbl user'!$A$2:$D10975,""SELECT A WHERE D = '""&amp;K6058&amp;""'"")),""USER TIDAK DIKETAHUI""))"),"")</f>
        <v/>
      </c>
    </row>
    <row r="6059">
      <c r="A6059" s="21" t="str">
        <f t="shared" si="3"/>
        <v/>
      </c>
      <c r="B6059" s="38"/>
      <c r="C6059" s="23" t="s">
        <v>1990</v>
      </c>
      <c r="D6059" s="23" t="s">
        <v>32</v>
      </c>
      <c r="E6059" s="24">
        <v>45489.0</v>
      </c>
      <c r="F6059" s="25">
        <v>0.29097222222222224</v>
      </c>
      <c r="G6059" s="25">
        <v>0.6763888888888889</v>
      </c>
      <c r="H6059" s="27">
        <f t="shared" si="4"/>
        <v>0.3854166667</v>
      </c>
      <c r="I6059" s="28">
        <v>2.0</v>
      </c>
      <c r="J6059" s="39" t="s">
        <v>3016</v>
      </c>
      <c r="K6059" s="41"/>
      <c r="L6059" s="31" t="str">
        <f>IFERROR(__xludf.DUMMYFUNCTION("IF(OR(E6059="""",K6059=""""),"""",IFERROR(IF(K6059="""","""",query('tbl user'!$A$2:$D10975,""SELECT A WHERE D = '""&amp;K6059&amp;""'"")),""USER TIDAK DIKETAHUI""))"),"")</f>
        <v/>
      </c>
    </row>
    <row r="6060">
      <c r="A6060" s="21" t="str">
        <f t="shared" si="3"/>
        <v/>
      </c>
      <c r="B6060" s="38"/>
      <c r="C6060" s="23" t="s">
        <v>1904</v>
      </c>
      <c r="D6060" s="23" t="s">
        <v>32</v>
      </c>
      <c r="E6060" s="24">
        <v>45489.0</v>
      </c>
      <c r="F6060" s="25">
        <v>0.28194444444444444</v>
      </c>
      <c r="G6060" s="25">
        <v>0.5277777777777778</v>
      </c>
      <c r="H6060" s="27">
        <f t="shared" si="4"/>
        <v>0.2458333333</v>
      </c>
      <c r="I6060" s="28">
        <v>2.0</v>
      </c>
      <c r="J6060" s="39" t="s">
        <v>3017</v>
      </c>
      <c r="K6060" s="41"/>
      <c r="L6060" s="31" t="str">
        <f>IFERROR(__xludf.DUMMYFUNCTION("IF(OR(E6060="""",K6060=""""),"""",IFERROR(IF(K6060="""","""",query('tbl user'!$A$2:$D10975,""SELECT A WHERE D = '""&amp;K6060&amp;""'"")),""USER TIDAK DIKETAHUI""))"),"")</f>
        <v/>
      </c>
    </row>
    <row r="6061">
      <c r="A6061" s="21" t="str">
        <f t="shared" si="3"/>
        <v/>
      </c>
      <c r="B6061" s="38"/>
      <c r="C6061" s="23" t="s">
        <v>1959</v>
      </c>
      <c r="D6061" s="23" t="s">
        <v>32</v>
      </c>
      <c r="E6061" s="24">
        <v>45489.0</v>
      </c>
      <c r="F6061" s="25">
        <v>0.25972222222222224</v>
      </c>
      <c r="G6061" s="25">
        <v>0.6965277777777777</v>
      </c>
      <c r="H6061" s="27">
        <f t="shared" si="4"/>
        <v>0.4368055556</v>
      </c>
      <c r="I6061" s="28">
        <v>3.0</v>
      </c>
      <c r="J6061" s="39" t="s">
        <v>3018</v>
      </c>
      <c r="K6061" s="41"/>
      <c r="L6061" s="31" t="str">
        <f>IFERROR(__xludf.DUMMYFUNCTION("IF(OR(E6061="""",K6061=""""),"""",IFERROR(IF(K6061="""","""",query('tbl user'!$A$2:$D10975,""SELECT A WHERE D = '""&amp;K6061&amp;""'"")),""USER TIDAK DIKETAHUI""))"),"")</f>
        <v/>
      </c>
    </row>
    <row r="6062">
      <c r="A6062" s="21" t="str">
        <f t="shared" si="3"/>
        <v/>
      </c>
      <c r="B6062" s="38"/>
      <c r="C6062" s="23" t="s">
        <v>1913</v>
      </c>
      <c r="D6062" s="23" t="s">
        <v>32</v>
      </c>
      <c r="E6062" s="24">
        <v>45489.0</v>
      </c>
      <c r="F6062" s="25">
        <v>0.2388888888888889</v>
      </c>
      <c r="G6062" s="25">
        <v>0.5597222222222222</v>
      </c>
      <c r="H6062" s="27">
        <f t="shared" si="4"/>
        <v>0.3208333333</v>
      </c>
      <c r="I6062" s="28">
        <v>3.0</v>
      </c>
      <c r="J6062" s="39" t="s">
        <v>3019</v>
      </c>
      <c r="K6062" s="41"/>
      <c r="L6062" s="31" t="str">
        <f>IFERROR(__xludf.DUMMYFUNCTION("IF(OR(E6062="""",K6062=""""),"""",IFERROR(IF(K6062="""","""",query('tbl user'!$A$2:$D10975,""SELECT A WHERE D = '""&amp;K6062&amp;""'"")),""USER TIDAK DIKETAHUI""))"),"")</f>
        <v/>
      </c>
    </row>
    <row r="6063">
      <c r="A6063" s="21" t="str">
        <f t="shared" si="3"/>
        <v/>
      </c>
      <c r="B6063" s="38"/>
      <c r="C6063" s="23" t="s">
        <v>1961</v>
      </c>
      <c r="D6063" s="23" t="s">
        <v>32</v>
      </c>
      <c r="E6063" s="24">
        <v>45489.0</v>
      </c>
      <c r="F6063" s="25">
        <v>0.2965277777777778</v>
      </c>
      <c r="G6063" s="25">
        <v>0.7166666666666667</v>
      </c>
      <c r="H6063" s="27">
        <f t="shared" si="4"/>
        <v>0.4201388889</v>
      </c>
      <c r="I6063" s="28">
        <v>4.0</v>
      </c>
      <c r="J6063" s="39" t="s">
        <v>55</v>
      </c>
      <c r="K6063" s="41"/>
      <c r="L6063" s="31" t="str">
        <f>IFERROR(__xludf.DUMMYFUNCTION("IF(OR(E6063="""",K6063=""""),"""",IFERROR(IF(K6063="""","""",query('tbl user'!$A$2:$D10975,""SELECT A WHERE D = '""&amp;K6063&amp;""'"")),""USER TIDAK DIKETAHUI""))"),"")</f>
        <v/>
      </c>
    </row>
    <row r="6064">
      <c r="A6064" s="21" t="str">
        <f t="shared" si="3"/>
        <v/>
      </c>
      <c r="B6064" s="38"/>
      <c r="C6064" s="23" t="s">
        <v>1957</v>
      </c>
      <c r="D6064" s="23" t="s">
        <v>32</v>
      </c>
      <c r="E6064" s="24">
        <v>45489.0</v>
      </c>
      <c r="F6064" s="25">
        <v>0.2826388888888889</v>
      </c>
      <c r="G6064" s="25">
        <v>0.6854166666666667</v>
      </c>
      <c r="H6064" s="27">
        <f t="shared" si="4"/>
        <v>0.4027777778</v>
      </c>
      <c r="I6064" s="28">
        <v>4.0</v>
      </c>
      <c r="J6064" s="39" t="s">
        <v>55</v>
      </c>
      <c r="K6064" s="41"/>
      <c r="L6064" s="31" t="str">
        <f>IFERROR(__xludf.DUMMYFUNCTION("IF(OR(E6064="""",K6064=""""),"""",IFERROR(IF(K6064="""","""",query('tbl user'!$A$2:$D10975,""SELECT A WHERE D = '""&amp;K6064&amp;""'"")),""USER TIDAK DIKETAHUI""))"),"")</f>
        <v/>
      </c>
    </row>
    <row r="6065">
      <c r="A6065" s="21" t="str">
        <f t="shared" si="3"/>
        <v/>
      </c>
      <c r="B6065" s="38"/>
      <c r="C6065" s="23" t="s">
        <v>2066</v>
      </c>
      <c r="D6065" s="23" t="s">
        <v>32</v>
      </c>
      <c r="E6065" s="24">
        <v>45489.0</v>
      </c>
      <c r="F6065" s="25">
        <v>0.2743055555555556</v>
      </c>
      <c r="G6065" s="25">
        <v>0.7138888888888889</v>
      </c>
      <c r="H6065" s="27">
        <f t="shared" si="4"/>
        <v>0.4395833333</v>
      </c>
      <c r="I6065" s="28">
        <v>4.0</v>
      </c>
      <c r="J6065" s="39" t="s">
        <v>55</v>
      </c>
      <c r="K6065" s="41"/>
      <c r="L6065" s="31" t="str">
        <f>IFERROR(__xludf.DUMMYFUNCTION("IF(OR(E6065="""",K6065=""""),"""",IFERROR(IF(K6065="""","""",query('tbl user'!$A$2:$D10975,""SELECT A WHERE D = '""&amp;K6065&amp;""'"")),""USER TIDAK DIKETAHUI""))"),"")</f>
        <v/>
      </c>
    </row>
    <row r="6066">
      <c r="A6066" s="21" t="str">
        <f t="shared" si="3"/>
        <v/>
      </c>
      <c r="B6066" s="38"/>
      <c r="C6066" s="23" t="s">
        <v>1907</v>
      </c>
      <c r="D6066" s="23" t="s">
        <v>32</v>
      </c>
      <c r="E6066" s="24">
        <v>45489.0</v>
      </c>
      <c r="F6066" s="25">
        <v>0.27569444444444446</v>
      </c>
      <c r="G6066" s="25">
        <v>0.6520833333333333</v>
      </c>
      <c r="H6066" s="27">
        <f t="shared" si="4"/>
        <v>0.3763888889</v>
      </c>
      <c r="I6066" s="28">
        <v>4.0</v>
      </c>
      <c r="J6066" s="39" t="s">
        <v>55</v>
      </c>
      <c r="K6066" s="41"/>
      <c r="L6066" s="31" t="str">
        <f>IFERROR(__xludf.DUMMYFUNCTION("IF(OR(E6066="""",K6066=""""),"""",IFERROR(IF(K6066="""","""",query('tbl user'!$A$2:$D10975,""SELECT A WHERE D = '""&amp;K6066&amp;""'"")),""USER TIDAK DIKETAHUI""))"),"")</f>
        <v/>
      </c>
    </row>
    <row r="6067">
      <c r="A6067" s="21" t="str">
        <f t="shared" si="3"/>
        <v/>
      </c>
      <c r="B6067" s="38"/>
      <c r="C6067" s="23" t="s">
        <v>1908</v>
      </c>
      <c r="D6067" s="23" t="s">
        <v>32</v>
      </c>
      <c r="E6067" s="24">
        <v>45489.0</v>
      </c>
      <c r="F6067" s="25">
        <v>0.2638888888888889</v>
      </c>
      <c r="G6067" s="25">
        <v>0.6805555555555556</v>
      </c>
      <c r="H6067" s="27">
        <f t="shared" si="4"/>
        <v>0.4166666667</v>
      </c>
      <c r="I6067" s="28">
        <v>4.0</v>
      </c>
      <c r="J6067" s="39" t="s">
        <v>55</v>
      </c>
      <c r="K6067" s="41"/>
      <c r="L6067" s="31" t="str">
        <f>IFERROR(__xludf.DUMMYFUNCTION("IF(OR(E6067="""",K6067=""""),"""",IFERROR(IF(K6067="""","""",query('tbl user'!$A$2:$D10975,""SELECT A WHERE D = '""&amp;K6067&amp;""'"")),""USER TIDAK DIKETAHUI""))"),"")</f>
        <v/>
      </c>
    </row>
    <row r="6068">
      <c r="A6068" s="21" t="str">
        <f t="shared" si="3"/>
        <v/>
      </c>
      <c r="B6068" s="38"/>
      <c r="C6068" s="23" t="s">
        <v>1900</v>
      </c>
      <c r="D6068" s="23" t="s">
        <v>32</v>
      </c>
      <c r="E6068" s="24">
        <v>45489.0</v>
      </c>
      <c r="F6068" s="25">
        <v>0.2513888888888889</v>
      </c>
      <c r="G6068" s="25">
        <v>0.6527777777777778</v>
      </c>
      <c r="H6068" s="27">
        <f t="shared" si="4"/>
        <v>0.4013888889</v>
      </c>
      <c r="I6068" s="28">
        <v>4.0</v>
      </c>
      <c r="J6068" s="39" t="s">
        <v>55</v>
      </c>
      <c r="K6068" s="41"/>
      <c r="L6068" s="31" t="str">
        <f>IFERROR(__xludf.DUMMYFUNCTION("IF(OR(E6068="""",K6068=""""),"""",IFERROR(IF(K6068="""","""",query('tbl user'!$A$2:$D10975,""SELECT A WHERE D = '""&amp;K6068&amp;""'"")),""USER TIDAK DIKETAHUI""))"),"")</f>
        <v/>
      </c>
    </row>
    <row r="6069">
      <c r="A6069" s="21" t="str">
        <f t="shared" si="3"/>
        <v/>
      </c>
      <c r="B6069" s="38"/>
      <c r="C6069" s="23" t="s">
        <v>1909</v>
      </c>
      <c r="D6069" s="23" t="s">
        <v>32</v>
      </c>
      <c r="E6069" s="24">
        <v>45489.0</v>
      </c>
      <c r="F6069" s="25">
        <v>0.27291666666666664</v>
      </c>
      <c r="G6069" s="25">
        <v>0.65625</v>
      </c>
      <c r="H6069" s="27">
        <f t="shared" si="4"/>
        <v>0.3833333333</v>
      </c>
      <c r="I6069" s="28">
        <v>4.0</v>
      </c>
      <c r="J6069" s="39" t="s">
        <v>55</v>
      </c>
      <c r="K6069" s="41"/>
      <c r="L6069" s="31" t="str">
        <f>IFERROR(__xludf.DUMMYFUNCTION("IF(OR(E6069="""",K6069=""""),"""",IFERROR(IF(K6069="""","""",query('tbl user'!$A$2:$D10975,""SELECT A WHERE D = '""&amp;K6069&amp;""'"")),""USER TIDAK DIKETAHUI""))"),"")</f>
        <v/>
      </c>
    </row>
    <row r="6070">
      <c r="A6070" s="21" t="str">
        <f t="shared" si="3"/>
        <v/>
      </c>
      <c r="B6070" s="38"/>
      <c r="C6070" s="23" t="s">
        <v>1910</v>
      </c>
      <c r="D6070" s="23" t="s">
        <v>32</v>
      </c>
      <c r="E6070" s="24">
        <v>45489.0</v>
      </c>
      <c r="F6070" s="25">
        <v>0.2388888888888889</v>
      </c>
      <c r="G6070" s="25">
        <v>0.7173611111111111</v>
      </c>
      <c r="H6070" s="27">
        <f t="shared" si="4"/>
        <v>0.4784722222</v>
      </c>
      <c r="I6070" s="28">
        <v>5.0</v>
      </c>
      <c r="J6070" s="39" t="s">
        <v>55</v>
      </c>
      <c r="K6070" s="41"/>
      <c r="L6070" s="31" t="str">
        <f>IFERROR(__xludf.DUMMYFUNCTION("IF(OR(E6070="""",K6070=""""),"""",IFERROR(IF(K6070="""","""",query('tbl user'!$A$2:$D10975,""SELECT A WHERE D = '""&amp;K6070&amp;""'"")),""USER TIDAK DIKETAHUI""))"),"")</f>
        <v/>
      </c>
    </row>
    <row r="6071">
      <c r="A6071" s="21" t="str">
        <f t="shared" si="3"/>
        <v/>
      </c>
      <c r="B6071" s="38"/>
      <c r="C6071" s="23" t="s">
        <v>1851</v>
      </c>
      <c r="D6071" s="23" t="s">
        <v>21</v>
      </c>
      <c r="E6071" s="24">
        <v>45490.0</v>
      </c>
      <c r="F6071" s="25">
        <v>0.2875</v>
      </c>
      <c r="G6071" s="25">
        <v>0.43819444444444444</v>
      </c>
      <c r="H6071" s="27">
        <f t="shared" si="4"/>
        <v>0.1506944444</v>
      </c>
      <c r="I6071" s="28">
        <v>1.0</v>
      </c>
      <c r="J6071" s="39" t="s">
        <v>3020</v>
      </c>
      <c r="K6071" s="41"/>
      <c r="L6071" s="31" t="str">
        <f>IFERROR(__xludf.DUMMYFUNCTION("IF(OR(E6071="""",K6071=""""),"""",IFERROR(IF(K6071="""","""",query('tbl user'!$A$2:$D10975,""SELECT A WHERE D = '""&amp;K6071&amp;""'"")),""USER TIDAK DIKETAHUI""))"),"")</f>
        <v/>
      </c>
    </row>
    <row r="6072">
      <c r="A6072" s="21" t="str">
        <f t="shared" si="3"/>
        <v/>
      </c>
      <c r="B6072" s="38"/>
      <c r="C6072" s="23" t="s">
        <v>2002</v>
      </c>
      <c r="D6072" s="23" t="s">
        <v>21</v>
      </c>
      <c r="E6072" s="24">
        <v>45490.0</v>
      </c>
      <c r="F6072" s="25">
        <v>0.3611111111111111</v>
      </c>
      <c r="G6072" s="25">
        <v>0.725</v>
      </c>
      <c r="H6072" s="27">
        <f t="shared" si="4"/>
        <v>0.3638888889</v>
      </c>
      <c r="I6072" s="28">
        <v>1.0</v>
      </c>
      <c r="J6072" s="39" t="s">
        <v>3021</v>
      </c>
      <c r="K6072" s="41"/>
      <c r="L6072" s="31" t="str">
        <f>IFERROR(__xludf.DUMMYFUNCTION("IF(OR(E6072="""",K6072=""""),"""",IFERROR(IF(K6072="""","""",query('tbl user'!$A$2:$D10975,""SELECT A WHERE D = '""&amp;K6072&amp;""'"")),""USER TIDAK DIKETAHUI""))"),"")</f>
        <v/>
      </c>
    </row>
    <row r="6073">
      <c r="A6073" s="21" t="str">
        <f t="shared" si="3"/>
        <v/>
      </c>
      <c r="B6073" s="38"/>
      <c r="C6073" s="23" t="s">
        <v>1928</v>
      </c>
      <c r="D6073" s="23" t="s">
        <v>21</v>
      </c>
      <c r="E6073" s="24">
        <v>45490.0</v>
      </c>
      <c r="F6073" s="25">
        <v>0.2861111111111111</v>
      </c>
      <c r="G6073" s="25">
        <v>0.4479166666666667</v>
      </c>
      <c r="H6073" s="27">
        <f t="shared" si="4"/>
        <v>0.1618055556</v>
      </c>
      <c r="I6073" s="28">
        <v>1.0</v>
      </c>
      <c r="J6073" s="39" t="s">
        <v>3022</v>
      </c>
      <c r="K6073" s="41"/>
      <c r="L6073" s="31" t="str">
        <f>IFERROR(__xludf.DUMMYFUNCTION("IF(OR(E6073="""",K6073=""""),"""",IFERROR(IF(K6073="""","""",query('tbl user'!$A$2:$D10975,""SELECT A WHERE D = '""&amp;K6073&amp;""'"")),""USER TIDAK DIKETAHUI""))"),"")</f>
        <v/>
      </c>
    </row>
    <row r="6074">
      <c r="A6074" s="21" t="str">
        <f t="shared" si="3"/>
        <v/>
      </c>
      <c r="B6074" s="38"/>
      <c r="C6074" s="23" t="s">
        <v>2628</v>
      </c>
      <c r="D6074" s="23" t="s">
        <v>21</v>
      </c>
      <c r="E6074" s="24">
        <v>45490.0</v>
      </c>
      <c r="F6074" s="25">
        <v>0.2638888888888889</v>
      </c>
      <c r="G6074" s="25">
        <v>0.5208333333333334</v>
      </c>
      <c r="H6074" s="27">
        <f t="shared" si="4"/>
        <v>0.2569444444</v>
      </c>
      <c r="I6074" s="28">
        <v>2.0</v>
      </c>
      <c r="J6074" s="39" t="s">
        <v>3023</v>
      </c>
      <c r="K6074" s="41"/>
      <c r="L6074" s="31" t="str">
        <f>IFERROR(__xludf.DUMMYFUNCTION("IF(OR(E6074="""",K6074=""""),"""",IFERROR(IF(K6074="""","""",query('tbl user'!$A$2:$D10975,""SELECT A WHERE D = '""&amp;K6074&amp;""'"")),""USER TIDAK DIKETAHUI""))"),"")</f>
        <v/>
      </c>
    </row>
    <row r="6075">
      <c r="A6075" s="21" t="str">
        <f t="shared" si="3"/>
        <v/>
      </c>
      <c r="B6075" s="38"/>
      <c r="C6075" s="23" t="s">
        <v>1857</v>
      </c>
      <c r="D6075" s="23" t="s">
        <v>21</v>
      </c>
      <c r="E6075" s="24">
        <v>45490.0</v>
      </c>
      <c r="F6075" s="25">
        <v>0.2923611111111111</v>
      </c>
      <c r="G6075" s="25">
        <v>0.46041666666666664</v>
      </c>
      <c r="H6075" s="27">
        <f t="shared" si="4"/>
        <v>0.1680555556</v>
      </c>
      <c r="I6075" s="28">
        <v>2.0</v>
      </c>
      <c r="J6075" s="39" t="s">
        <v>3024</v>
      </c>
      <c r="K6075" s="41"/>
      <c r="L6075" s="31" t="str">
        <f>IFERROR(__xludf.DUMMYFUNCTION("IF(OR(E6075="""",K6075=""""),"""",IFERROR(IF(K6075="""","""",query('tbl user'!$A$2:$D10975,""SELECT A WHERE D = '""&amp;K6075&amp;""'"")),""USER TIDAK DIKETAHUI""))"),"")</f>
        <v/>
      </c>
    </row>
    <row r="6076">
      <c r="A6076" s="21" t="str">
        <f t="shared" si="3"/>
        <v/>
      </c>
      <c r="B6076" s="38"/>
      <c r="C6076" s="23" t="s">
        <v>1845</v>
      </c>
      <c r="D6076" s="23" t="s">
        <v>21</v>
      </c>
      <c r="E6076" s="24">
        <v>45490.0</v>
      </c>
      <c r="F6076" s="25">
        <v>0.30833333333333335</v>
      </c>
      <c r="G6076" s="25">
        <v>0.5208333333333334</v>
      </c>
      <c r="H6076" s="27">
        <f t="shared" si="4"/>
        <v>0.2125</v>
      </c>
      <c r="I6076" s="28">
        <v>2.0</v>
      </c>
      <c r="J6076" s="39" t="s">
        <v>3025</v>
      </c>
      <c r="K6076" s="41"/>
      <c r="L6076" s="31" t="str">
        <f>IFERROR(__xludf.DUMMYFUNCTION("IF(OR(E6076="""",K6076=""""),"""",IFERROR(IF(K6076="""","""",query('tbl user'!$A$2:$D10975,""SELECT A WHERE D = '""&amp;K6076&amp;""'"")),""USER TIDAK DIKETAHUI""))"),"")</f>
        <v/>
      </c>
    </row>
    <row r="6077">
      <c r="A6077" s="21" t="str">
        <f t="shared" si="3"/>
        <v/>
      </c>
      <c r="B6077" s="38"/>
      <c r="C6077" s="23" t="s">
        <v>2049</v>
      </c>
      <c r="D6077" s="23" t="s">
        <v>21</v>
      </c>
      <c r="E6077" s="24">
        <v>45490.0</v>
      </c>
      <c r="F6077" s="25">
        <v>0.39375</v>
      </c>
      <c r="G6077" s="25">
        <v>0.6847222222222222</v>
      </c>
      <c r="H6077" s="27">
        <f t="shared" si="4"/>
        <v>0.2909722222</v>
      </c>
      <c r="I6077" s="28">
        <v>2.0</v>
      </c>
      <c r="J6077" s="39" t="s">
        <v>3026</v>
      </c>
      <c r="K6077" s="41"/>
      <c r="L6077" s="31" t="str">
        <f>IFERROR(__xludf.DUMMYFUNCTION("IF(OR(E6077="""",K6077=""""),"""",IFERROR(IF(K6077="""","""",query('tbl user'!$A$2:$D10975,""SELECT A WHERE D = '""&amp;K6077&amp;""'"")),""USER TIDAK DIKETAHUI""))"),"")</f>
        <v/>
      </c>
    </row>
    <row r="6078">
      <c r="A6078" s="21" t="str">
        <f t="shared" si="3"/>
        <v/>
      </c>
      <c r="B6078" s="38"/>
      <c r="C6078" s="23" t="s">
        <v>1920</v>
      </c>
      <c r="D6078" s="23" t="s">
        <v>21</v>
      </c>
      <c r="E6078" s="24">
        <v>45490.0</v>
      </c>
      <c r="F6078" s="25">
        <v>0.2881944444444444</v>
      </c>
      <c r="G6078" s="25">
        <v>0.6576388888888889</v>
      </c>
      <c r="H6078" s="27">
        <f t="shared" si="4"/>
        <v>0.3694444444</v>
      </c>
      <c r="I6078" s="28">
        <v>3.0</v>
      </c>
      <c r="J6078" s="39" t="s">
        <v>3027</v>
      </c>
      <c r="K6078" s="41"/>
      <c r="L6078" s="31" t="str">
        <f>IFERROR(__xludf.DUMMYFUNCTION("IF(OR(E6078="""",K6078=""""),"""",IFERROR(IF(K6078="""","""",query('tbl user'!$A$2:$D10975,""SELECT A WHERE D = '""&amp;K6078&amp;""'"")),""USER TIDAK DIKETAHUI""))"),"")</f>
        <v/>
      </c>
    </row>
    <row r="6079">
      <c r="A6079" s="21" t="str">
        <f t="shared" si="3"/>
        <v/>
      </c>
      <c r="B6079" s="38"/>
      <c r="C6079" s="23" t="s">
        <v>1830</v>
      </c>
      <c r="D6079" s="23" t="s">
        <v>21</v>
      </c>
      <c r="E6079" s="24">
        <v>45490.0</v>
      </c>
      <c r="F6079" s="25">
        <v>0.27361111111111114</v>
      </c>
      <c r="G6079" s="25">
        <v>0.6305555555555555</v>
      </c>
      <c r="H6079" s="27">
        <f t="shared" si="4"/>
        <v>0.3569444444</v>
      </c>
      <c r="I6079" s="28">
        <v>3.0</v>
      </c>
      <c r="J6079" s="39" t="s">
        <v>3028</v>
      </c>
      <c r="K6079" s="41"/>
      <c r="L6079" s="31" t="str">
        <f>IFERROR(__xludf.DUMMYFUNCTION("IF(OR(E6079="""",K6079=""""),"""",IFERROR(IF(K6079="""","""",query('tbl user'!$A$2:$D10975,""SELECT A WHERE D = '""&amp;K6079&amp;""'"")),""USER TIDAK DIKETAHUI""))"),"")</f>
        <v/>
      </c>
    </row>
    <row r="6080">
      <c r="A6080" s="21" t="str">
        <f t="shared" si="3"/>
        <v/>
      </c>
      <c r="B6080" s="38"/>
      <c r="C6080" s="23" t="s">
        <v>2136</v>
      </c>
      <c r="D6080" s="23" t="s">
        <v>21</v>
      </c>
      <c r="E6080" s="24">
        <v>45490.0</v>
      </c>
      <c r="F6080" s="25">
        <v>0.25972222222222224</v>
      </c>
      <c r="G6080" s="25">
        <v>0.6229166666666667</v>
      </c>
      <c r="H6080" s="27">
        <f t="shared" si="4"/>
        <v>0.3631944444</v>
      </c>
      <c r="I6080" s="28">
        <v>3.0</v>
      </c>
      <c r="J6080" s="39" t="s">
        <v>3029</v>
      </c>
      <c r="K6080" s="41"/>
      <c r="L6080" s="31" t="str">
        <f>IFERROR(__xludf.DUMMYFUNCTION("IF(OR(E6080="""",K6080=""""),"""",IFERROR(IF(K6080="""","""",query('tbl user'!$A$2:$D10975,""SELECT A WHERE D = '""&amp;K6080&amp;""'"")),""USER TIDAK DIKETAHUI""))"),"")</f>
        <v/>
      </c>
    </row>
    <row r="6081">
      <c r="A6081" s="21" t="str">
        <f t="shared" si="3"/>
        <v/>
      </c>
      <c r="B6081" s="38"/>
      <c r="C6081" s="23" t="s">
        <v>1844</v>
      </c>
      <c r="D6081" s="23" t="s">
        <v>21</v>
      </c>
      <c r="E6081" s="24">
        <v>45490.0</v>
      </c>
      <c r="F6081" s="25">
        <v>0.26875</v>
      </c>
      <c r="G6081" s="25">
        <v>0.6451388888888889</v>
      </c>
      <c r="H6081" s="27">
        <f t="shared" si="4"/>
        <v>0.3763888889</v>
      </c>
      <c r="I6081" s="28">
        <v>3.0</v>
      </c>
      <c r="J6081" s="39" t="s">
        <v>3030</v>
      </c>
      <c r="K6081" s="41"/>
      <c r="L6081" s="31" t="str">
        <f>IFERROR(__xludf.DUMMYFUNCTION("IF(OR(E6081="""",K6081=""""),"""",IFERROR(IF(K6081="""","""",query('tbl user'!$A$2:$D10975,""SELECT A WHERE D = '""&amp;K6081&amp;""'"")),""USER TIDAK DIKETAHUI""))"),"")</f>
        <v/>
      </c>
    </row>
    <row r="6082">
      <c r="A6082" s="21" t="str">
        <f t="shared" si="3"/>
        <v/>
      </c>
      <c r="B6082" s="38"/>
      <c r="C6082" s="23" t="s">
        <v>1835</v>
      </c>
      <c r="D6082" s="23" t="s">
        <v>21</v>
      </c>
      <c r="E6082" s="24">
        <v>45490.0</v>
      </c>
      <c r="F6082" s="25">
        <v>0.27569444444444446</v>
      </c>
      <c r="G6082" s="25">
        <v>0.7243055555555555</v>
      </c>
      <c r="H6082" s="27">
        <f t="shared" si="4"/>
        <v>0.4486111111</v>
      </c>
      <c r="I6082" s="28">
        <v>3.0</v>
      </c>
      <c r="J6082" s="39" t="s">
        <v>213</v>
      </c>
      <c r="K6082" s="41"/>
      <c r="L6082" s="31" t="str">
        <f>IFERROR(__xludf.DUMMYFUNCTION("IF(OR(E6082="""",K6082=""""),"""",IFERROR(IF(K6082="""","""",query('tbl user'!$A$2:$D10975,""SELECT A WHERE D = '""&amp;K6082&amp;""'"")),""USER TIDAK DIKETAHUI""))"),"")</f>
        <v/>
      </c>
    </row>
    <row r="6083">
      <c r="A6083" s="21" t="str">
        <f t="shared" si="3"/>
        <v/>
      </c>
      <c r="B6083" s="38"/>
      <c r="C6083" s="23" t="s">
        <v>1925</v>
      </c>
      <c r="D6083" s="23" t="s">
        <v>21</v>
      </c>
      <c r="E6083" s="24">
        <v>45490.0</v>
      </c>
      <c r="F6083" s="25">
        <v>0.2708333333333333</v>
      </c>
      <c r="G6083" s="25">
        <v>0.6277777777777778</v>
      </c>
      <c r="H6083" s="27">
        <f t="shared" si="4"/>
        <v>0.3569444444</v>
      </c>
      <c r="I6083" s="28">
        <v>3.0</v>
      </c>
      <c r="J6083" s="39" t="s">
        <v>3031</v>
      </c>
      <c r="K6083" s="41"/>
      <c r="L6083" s="31" t="str">
        <f>IFERROR(__xludf.DUMMYFUNCTION("IF(OR(E6083="""",K6083=""""),"""",IFERROR(IF(K6083="""","""",query('tbl user'!$A$2:$D10975,""SELECT A WHERE D = '""&amp;K6083&amp;""'"")),""USER TIDAK DIKETAHUI""))"),"")</f>
        <v/>
      </c>
    </row>
    <row r="6084">
      <c r="A6084" s="21" t="str">
        <f t="shared" si="3"/>
        <v/>
      </c>
      <c r="B6084" s="38"/>
      <c r="C6084" s="23" t="s">
        <v>1837</v>
      </c>
      <c r="D6084" s="23" t="s">
        <v>21</v>
      </c>
      <c r="E6084" s="24">
        <v>45490.0</v>
      </c>
      <c r="F6084" s="25">
        <v>0.2791666666666667</v>
      </c>
      <c r="G6084" s="25">
        <v>0.66875</v>
      </c>
      <c r="H6084" s="27">
        <f t="shared" si="4"/>
        <v>0.3895833333</v>
      </c>
      <c r="I6084" s="28">
        <v>3.0</v>
      </c>
      <c r="J6084" s="39" t="s">
        <v>213</v>
      </c>
      <c r="K6084" s="41"/>
      <c r="L6084" s="31" t="str">
        <f>IFERROR(__xludf.DUMMYFUNCTION("IF(OR(E6084="""",K6084=""""),"""",IFERROR(IF(K6084="""","""",query('tbl user'!$A$2:$D10975,""SELECT A WHERE D = '""&amp;K6084&amp;""'"")),""USER TIDAK DIKETAHUI""))"),"")</f>
        <v/>
      </c>
    </row>
    <row r="6085">
      <c r="A6085" s="21" t="str">
        <f t="shared" si="3"/>
        <v/>
      </c>
      <c r="B6085" s="38"/>
      <c r="C6085" s="23" t="s">
        <v>2005</v>
      </c>
      <c r="D6085" s="23" t="s">
        <v>21</v>
      </c>
      <c r="E6085" s="24">
        <v>45490.0</v>
      </c>
      <c r="F6085" s="25">
        <v>0.36527777777777776</v>
      </c>
      <c r="G6085" s="25">
        <v>0.6923611111111111</v>
      </c>
      <c r="H6085" s="27">
        <f t="shared" si="4"/>
        <v>0.3270833333</v>
      </c>
      <c r="I6085" s="28">
        <v>3.0</v>
      </c>
      <c r="J6085" s="39" t="s">
        <v>3032</v>
      </c>
      <c r="K6085" s="41"/>
      <c r="L6085" s="31" t="str">
        <f>IFERROR(__xludf.DUMMYFUNCTION("IF(OR(E6085="""",K6085=""""),"""",IFERROR(IF(K6085="""","""",query('tbl user'!$A$2:$D10975,""SELECT A WHERE D = '""&amp;K6085&amp;""'"")),""USER TIDAK DIKETAHUI""))"),"")</f>
        <v/>
      </c>
    </row>
    <row r="6086">
      <c r="A6086" s="21" t="str">
        <f t="shared" si="3"/>
        <v/>
      </c>
      <c r="B6086" s="38"/>
      <c r="C6086" s="23" t="s">
        <v>1850</v>
      </c>
      <c r="D6086" s="23" t="s">
        <v>21</v>
      </c>
      <c r="E6086" s="24">
        <v>45490.0</v>
      </c>
      <c r="F6086" s="25">
        <v>0.36666666666666664</v>
      </c>
      <c r="G6086" s="25">
        <v>0.7472222222222222</v>
      </c>
      <c r="H6086" s="27">
        <f t="shared" si="4"/>
        <v>0.3805555556</v>
      </c>
      <c r="I6086" s="28">
        <v>3.0</v>
      </c>
      <c r="J6086" s="39" t="s">
        <v>722</v>
      </c>
      <c r="K6086" s="41"/>
      <c r="L6086" s="31" t="str">
        <f>IFERROR(__xludf.DUMMYFUNCTION("IF(OR(E6086="""",K6086=""""),"""",IFERROR(IF(K6086="""","""",query('tbl user'!$A$2:$D10975,""SELECT A WHERE D = '""&amp;K6086&amp;""'"")),""USER TIDAK DIKETAHUI""))"),"")</f>
        <v/>
      </c>
    </row>
    <row r="6087">
      <c r="A6087" s="21" t="str">
        <f t="shared" si="3"/>
        <v/>
      </c>
      <c r="B6087" s="38"/>
      <c r="C6087" s="23" t="s">
        <v>1847</v>
      </c>
      <c r="D6087" s="23" t="s">
        <v>21</v>
      </c>
      <c r="E6087" s="24">
        <v>45490.0</v>
      </c>
      <c r="F6087" s="25">
        <v>0.2652777777777778</v>
      </c>
      <c r="G6087" s="25">
        <v>0.7229166666666667</v>
      </c>
      <c r="H6087" s="27">
        <f t="shared" si="4"/>
        <v>0.4576388889</v>
      </c>
      <c r="I6087" s="28">
        <v>4.0</v>
      </c>
      <c r="J6087" s="39" t="s">
        <v>213</v>
      </c>
      <c r="K6087" s="41"/>
      <c r="L6087" s="31" t="str">
        <f>IFERROR(__xludf.DUMMYFUNCTION("IF(OR(E6087="""",K6087=""""),"""",IFERROR(IF(K6087="""","""",query('tbl user'!$A$2:$D10975,""SELECT A WHERE D = '""&amp;K6087&amp;""'"")),""USER TIDAK DIKETAHUI""))"),"")</f>
        <v/>
      </c>
    </row>
    <row r="6088">
      <c r="A6088" s="21" t="str">
        <f t="shared" si="3"/>
        <v/>
      </c>
      <c r="B6088" s="38"/>
      <c r="C6088" s="23" t="s">
        <v>1849</v>
      </c>
      <c r="D6088" s="23" t="s">
        <v>21</v>
      </c>
      <c r="E6088" s="24">
        <v>45490.0</v>
      </c>
      <c r="F6088" s="25">
        <v>0.26458333333333334</v>
      </c>
      <c r="G6088" s="25">
        <v>0.7090277777777778</v>
      </c>
      <c r="H6088" s="27">
        <f t="shared" si="4"/>
        <v>0.4444444444</v>
      </c>
      <c r="I6088" s="28">
        <v>4.0</v>
      </c>
      <c r="J6088" s="39" t="s">
        <v>1349</v>
      </c>
      <c r="K6088" s="41"/>
      <c r="L6088" s="31" t="str">
        <f>IFERROR(__xludf.DUMMYFUNCTION("IF(OR(E6088="""",K6088=""""),"""",IFERROR(IF(K6088="""","""",query('tbl user'!$A$2:$D10975,""SELECT A WHERE D = '""&amp;K6088&amp;""'"")),""USER TIDAK DIKETAHUI""))"),"")</f>
        <v/>
      </c>
    </row>
    <row r="6089">
      <c r="A6089" s="21" t="str">
        <f t="shared" si="3"/>
        <v/>
      </c>
      <c r="B6089" s="38"/>
      <c r="C6089" s="23" t="s">
        <v>1841</v>
      </c>
      <c r="D6089" s="23" t="s">
        <v>21</v>
      </c>
      <c r="E6089" s="24">
        <v>45490.0</v>
      </c>
      <c r="F6089" s="25">
        <v>0.28958333333333336</v>
      </c>
      <c r="G6089" s="25">
        <v>0.6881944444444444</v>
      </c>
      <c r="H6089" s="27">
        <f t="shared" si="4"/>
        <v>0.3986111111</v>
      </c>
      <c r="I6089" s="28">
        <v>4.0</v>
      </c>
      <c r="J6089" s="39" t="s">
        <v>2233</v>
      </c>
      <c r="K6089" s="41"/>
      <c r="L6089" s="31" t="str">
        <f>IFERROR(__xludf.DUMMYFUNCTION("IF(OR(E6089="""",K6089=""""),"""",IFERROR(IF(K6089="""","""",query('tbl user'!$A$2:$D10975,""SELECT A WHERE D = '""&amp;K6089&amp;""'"")),""USER TIDAK DIKETAHUI""))"),"")</f>
        <v/>
      </c>
    </row>
    <row r="6090">
      <c r="A6090" s="21" t="str">
        <f t="shared" si="3"/>
        <v/>
      </c>
      <c r="B6090" s="38"/>
      <c r="C6090" s="23" t="s">
        <v>1852</v>
      </c>
      <c r="D6090" s="23" t="s">
        <v>21</v>
      </c>
      <c r="E6090" s="24">
        <v>45490.0</v>
      </c>
      <c r="F6090" s="25">
        <v>0.26666666666666666</v>
      </c>
      <c r="G6090" s="25">
        <v>0.70625</v>
      </c>
      <c r="H6090" s="27">
        <f t="shared" si="4"/>
        <v>0.4395833333</v>
      </c>
      <c r="I6090" s="28">
        <v>5.0</v>
      </c>
      <c r="J6090" s="39" t="s">
        <v>55</v>
      </c>
      <c r="K6090" s="41"/>
      <c r="L6090" s="31" t="str">
        <f>IFERROR(__xludf.DUMMYFUNCTION("IF(OR(E6090="""",K6090=""""),"""",IFERROR(IF(K6090="""","""",query('tbl user'!$A$2:$D10975,""SELECT A WHERE D = '""&amp;K6090&amp;""'"")),""USER TIDAK DIKETAHUI""))"),"")</f>
        <v/>
      </c>
    </row>
    <row r="6091">
      <c r="A6091" s="21" t="str">
        <f t="shared" si="3"/>
        <v/>
      </c>
      <c r="B6091" s="38"/>
      <c r="C6091" s="23" t="s">
        <v>1917</v>
      </c>
      <c r="D6091" s="23" t="s">
        <v>21</v>
      </c>
      <c r="E6091" s="24">
        <v>45490.0</v>
      </c>
      <c r="F6091" s="25">
        <v>0.2763888888888889</v>
      </c>
      <c r="G6091" s="25">
        <v>0.6979166666666666</v>
      </c>
      <c r="H6091" s="27">
        <f t="shared" si="4"/>
        <v>0.4215277778</v>
      </c>
      <c r="I6091" s="28">
        <v>5.0</v>
      </c>
      <c r="J6091" s="39" t="s">
        <v>55</v>
      </c>
      <c r="K6091" s="41"/>
      <c r="L6091" s="31" t="str">
        <f>IFERROR(__xludf.DUMMYFUNCTION("IF(OR(E6091="""",K6091=""""),"""",IFERROR(IF(K6091="""","""",query('tbl user'!$A$2:$D10975,""SELECT A WHERE D = '""&amp;K6091&amp;""'"")),""USER TIDAK DIKETAHUI""))"),"")</f>
        <v/>
      </c>
    </row>
    <row r="6092">
      <c r="A6092" s="21" t="str">
        <f t="shared" si="3"/>
        <v/>
      </c>
      <c r="B6092" s="38"/>
      <c r="C6092" s="23" t="s">
        <v>1875</v>
      </c>
      <c r="D6092" s="23" t="s">
        <v>58</v>
      </c>
      <c r="E6092" s="24">
        <v>45490.0</v>
      </c>
      <c r="F6092" s="25">
        <v>0.46111111111111114</v>
      </c>
      <c r="G6092" s="25">
        <v>0.6694444444444444</v>
      </c>
      <c r="H6092" s="27">
        <f t="shared" si="4"/>
        <v>0.2083333333</v>
      </c>
      <c r="I6092" s="28">
        <v>1.0</v>
      </c>
      <c r="J6092" s="39" t="s">
        <v>3033</v>
      </c>
      <c r="K6092" s="41"/>
      <c r="L6092" s="31" t="str">
        <f>IFERROR(__xludf.DUMMYFUNCTION("IF(OR(E6092="""",K6092=""""),"""",IFERROR(IF(K6092="""","""",query('tbl user'!$A$2:$D10975,""SELECT A WHERE D = '""&amp;K6092&amp;""'"")),""USER TIDAK DIKETAHUI""))"),"")</f>
        <v/>
      </c>
    </row>
    <row r="6093">
      <c r="A6093" s="21" t="str">
        <f t="shared" si="3"/>
        <v/>
      </c>
      <c r="B6093" s="38"/>
      <c r="C6093" s="23" t="s">
        <v>1867</v>
      </c>
      <c r="D6093" s="23" t="s">
        <v>58</v>
      </c>
      <c r="E6093" s="24">
        <v>45490.0</v>
      </c>
      <c r="F6093" s="25">
        <v>0.26875</v>
      </c>
      <c r="G6093" s="25">
        <v>0.5090277777777777</v>
      </c>
      <c r="H6093" s="27">
        <f t="shared" si="4"/>
        <v>0.2402777778</v>
      </c>
      <c r="I6093" s="28">
        <v>1.0</v>
      </c>
      <c r="J6093" s="39" t="s">
        <v>3034</v>
      </c>
      <c r="K6093" s="41"/>
      <c r="L6093" s="31" t="str">
        <f>IFERROR(__xludf.DUMMYFUNCTION("IF(OR(E6093="""",K6093=""""),"""",IFERROR(IF(K6093="""","""",query('tbl user'!$A$2:$D10975,""SELECT A WHERE D = '""&amp;K6093&amp;""'"")),""USER TIDAK DIKETAHUI""))"),"")</f>
        <v/>
      </c>
    </row>
    <row r="6094">
      <c r="A6094" s="21" t="str">
        <f t="shared" si="3"/>
        <v/>
      </c>
      <c r="B6094" s="38"/>
      <c r="C6094" s="23" t="s">
        <v>1948</v>
      </c>
      <c r="D6094" s="23" t="s">
        <v>58</v>
      </c>
      <c r="E6094" s="24">
        <v>45490.0</v>
      </c>
      <c r="F6094" s="25">
        <v>0.29097222222222224</v>
      </c>
      <c r="G6094" s="25">
        <v>0.5305555555555556</v>
      </c>
      <c r="H6094" s="27">
        <f t="shared" si="4"/>
        <v>0.2395833333</v>
      </c>
      <c r="I6094" s="28">
        <v>1.0</v>
      </c>
      <c r="J6094" s="39" t="s">
        <v>3035</v>
      </c>
      <c r="K6094" s="41"/>
      <c r="L6094" s="31" t="str">
        <f>IFERROR(__xludf.DUMMYFUNCTION("IF(OR(E6094="""",K6094=""""),"""",IFERROR(IF(K6094="""","""",query('tbl user'!$A$2:$D10975,""SELECT A WHERE D = '""&amp;K6094&amp;""'"")),""USER TIDAK DIKETAHUI""))"),"")</f>
        <v/>
      </c>
    </row>
    <row r="6095">
      <c r="A6095" s="21" t="str">
        <f t="shared" si="3"/>
        <v/>
      </c>
      <c r="B6095" s="38"/>
      <c r="C6095" s="23" t="s">
        <v>1941</v>
      </c>
      <c r="D6095" s="23" t="s">
        <v>58</v>
      </c>
      <c r="E6095" s="24">
        <v>45490.0</v>
      </c>
      <c r="F6095" s="25">
        <v>0.2777777777777778</v>
      </c>
      <c r="G6095" s="25">
        <v>0.3958333333333333</v>
      </c>
      <c r="H6095" s="27">
        <f t="shared" si="4"/>
        <v>0.1180555556</v>
      </c>
      <c r="I6095" s="28">
        <v>1.0</v>
      </c>
      <c r="J6095" s="39" t="s">
        <v>3036</v>
      </c>
      <c r="K6095" s="41"/>
      <c r="L6095" s="31" t="str">
        <f>IFERROR(__xludf.DUMMYFUNCTION("IF(OR(E6095="""",K6095=""""),"""",IFERROR(IF(K6095="""","""",query('tbl user'!$A$2:$D10975,""SELECT A WHERE D = '""&amp;K6095&amp;""'"")),""USER TIDAK DIKETAHUI""))"),"")</f>
        <v/>
      </c>
    </row>
    <row r="6096">
      <c r="A6096" s="21" t="str">
        <f t="shared" si="3"/>
        <v/>
      </c>
      <c r="B6096" s="38"/>
      <c r="C6096" s="23" t="s">
        <v>1869</v>
      </c>
      <c r="D6096" s="23" t="s">
        <v>58</v>
      </c>
      <c r="E6096" s="24">
        <v>45490.0</v>
      </c>
      <c r="F6096" s="25">
        <v>0.29305555555555557</v>
      </c>
      <c r="G6096" s="25">
        <v>0.7479166666666667</v>
      </c>
      <c r="H6096" s="27">
        <f t="shared" si="4"/>
        <v>0.4548611111</v>
      </c>
      <c r="I6096" s="28">
        <v>2.0</v>
      </c>
      <c r="J6096" s="39" t="s">
        <v>3037</v>
      </c>
      <c r="K6096" s="41"/>
      <c r="L6096" s="31" t="str">
        <f>IFERROR(__xludf.DUMMYFUNCTION("IF(OR(E6096="""",K6096=""""),"""",IFERROR(IF(K6096="""","""",query('tbl user'!$A$2:$D10975,""SELECT A WHERE D = '""&amp;K6096&amp;""'"")),""USER TIDAK DIKETAHUI""))"),"")</f>
        <v/>
      </c>
    </row>
    <row r="6097">
      <c r="A6097" s="21" t="str">
        <f t="shared" si="3"/>
        <v/>
      </c>
      <c r="B6097" s="38"/>
      <c r="C6097" s="23" t="s">
        <v>1884</v>
      </c>
      <c r="D6097" s="23" t="s">
        <v>58</v>
      </c>
      <c r="E6097" s="24">
        <v>45490.0</v>
      </c>
      <c r="F6097" s="25">
        <v>0.49027777777777776</v>
      </c>
      <c r="G6097" s="25">
        <v>0.6694444444444444</v>
      </c>
      <c r="H6097" s="27">
        <f t="shared" si="4"/>
        <v>0.1791666667</v>
      </c>
      <c r="I6097" s="28">
        <v>1.0</v>
      </c>
      <c r="J6097" s="39" t="s">
        <v>3038</v>
      </c>
      <c r="K6097" s="41"/>
      <c r="L6097" s="31" t="str">
        <f>IFERROR(__xludf.DUMMYFUNCTION("IF(OR(E6097="""",K6097=""""),"""",IFERROR(IF(K6097="""","""",query('tbl user'!$A$2:$D10975,""SELECT A WHERE D = '""&amp;K6097&amp;""'"")),""USER TIDAK DIKETAHUI""))"),"")</f>
        <v/>
      </c>
    </row>
    <row r="6098">
      <c r="A6098" s="21" t="str">
        <f t="shared" si="3"/>
        <v/>
      </c>
      <c r="B6098" s="38"/>
      <c r="C6098" s="23" t="s">
        <v>1950</v>
      </c>
      <c r="D6098" s="23" t="s">
        <v>58</v>
      </c>
      <c r="E6098" s="24">
        <v>45490.0</v>
      </c>
      <c r="F6098" s="25">
        <v>0.25972222222222224</v>
      </c>
      <c r="G6098" s="25">
        <v>0.7013888888888888</v>
      </c>
      <c r="H6098" s="27">
        <f t="shared" si="4"/>
        <v>0.4416666667</v>
      </c>
      <c r="I6098" s="28">
        <v>1.0</v>
      </c>
      <c r="J6098" s="39" t="s">
        <v>3039</v>
      </c>
      <c r="K6098" s="41"/>
      <c r="L6098" s="31" t="str">
        <f>IFERROR(__xludf.DUMMYFUNCTION("IF(OR(E6098="""",K6098=""""),"""",IFERROR(IF(K6098="""","""",query('tbl user'!$A$2:$D10975,""SELECT A WHERE D = '""&amp;K6098&amp;""'"")),""USER TIDAK DIKETAHUI""))"),"")</f>
        <v/>
      </c>
    </row>
    <row r="6099">
      <c r="A6099" s="21" t="str">
        <f t="shared" si="3"/>
        <v/>
      </c>
      <c r="B6099" s="38"/>
      <c r="C6099" s="23" t="s">
        <v>1886</v>
      </c>
      <c r="D6099" s="23" t="s">
        <v>58</v>
      </c>
      <c r="E6099" s="24">
        <v>45490.0</v>
      </c>
      <c r="F6099" s="25">
        <v>0.2777777777777778</v>
      </c>
      <c r="G6099" s="25">
        <v>0.47638888888888886</v>
      </c>
      <c r="H6099" s="27">
        <f t="shared" si="4"/>
        <v>0.1986111111</v>
      </c>
      <c r="I6099" s="28">
        <v>1.0</v>
      </c>
      <c r="J6099" s="39" t="s">
        <v>3040</v>
      </c>
      <c r="K6099" s="41"/>
      <c r="L6099" s="31" t="str">
        <f>IFERROR(__xludf.DUMMYFUNCTION("IF(OR(E6099="""",K6099=""""),"""",IFERROR(IF(K6099="""","""",query('tbl user'!$A$2:$D10975,""SELECT A WHERE D = '""&amp;K6099&amp;""'"")),""USER TIDAK DIKETAHUI""))"),"")</f>
        <v/>
      </c>
    </row>
    <row r="6100">
      <c r="A6100" s="21" t="str">
        <f t="shared" si="3"/>
        <v/>
      </c>
      <c r="B6100" s="38"/>
      <c r="C6100" s="23" t="s">
        <v>1893</v>
      </c>
      <c r="D6100" s="23" t="s">
        <v>58</v>
      </c>
      <c r="E6100" s="24">
        <v>45490.0</v>
      </c>
      <c r="F6100" s="25">
        <v>0.4701388888888889</v>
      </c>
      <c r="G6100" s="25">
        <v>0.6625</v>
      </c>
      <c r="H6100" s="27">
        <f t="shared" si="4"/>
        <v>0.1923611111</v>
      </c>
      <c r="I6100" s="28">
        <v>1.0</v>
      </c>
      <c r="J6100" s="39" t="s">
        <v>3041</v>
      </c>
      <c r="K6100" s="41"/>
      <c r="L6100" s="31" t="str">
        <f>IFERROR(__xludf.DUMMYFUNCTION("IF(OR(E6100="""",K6100=""""),"""",IFERROR(IF(K6100="""","""",query('tbl user'!$A$2:$D10975,""SELECT A WHERE D = '""&amp;K6100&amp;""'"")),""USER TIDAK DIKETAHUI""))"),"")</f>
        <v/>
      </c>
    </row>
    <row r="6101">
      <c r="A6101" s="21" t="str">
        <f t="shared" si="3"/>
        <v/>
      </c>
      <c r="B6101" s="38"/>
      <c r="C6101" s="23" t="s">
        <v>1872</v>
      </c>
      <c r="D6101" s="23" t="s">
        <v>58</v>
      </c>
      <c r="E6101" s="24">
        <v>45490.0</v>
      </c>
      <c r="F6101" s="25">
        <v>0.26875</v>
      </c>
      <c r="G6101" s="25">
        <v>0.46597222222222223</v>
      </c>
      <c r="H6101" s="27">
        <f t="shared" si="4"/>
        <v>0.1972222222</v>
      </c>
      <c r="I6101" s="28">
        <v>1.0</v>
      </c>
      <c r="J6101" s="39" t="s">
        <v>3042</v>
      </c>
      <c r="K6101" s="41"/>
      <c r="L6101" s="31" t="str">
        <f>IFERROR(__xludf.DUMMYFUNCTION("IF(OR(E6101="""",K6101=""""),"""",IFERROR(IF(K6101="""","""",query('tbl user'!$A$2:$D10975,""SELECT A WHERE D = '""&amp;K6101&amp;""'"")),""USER TIDAK DIKETAHUI""))"),"")</f>
        <v/>
      </c>
    </row>
    <row r="6102">
      <c r="A6102" s="21" t="str">
        <f t="shared" si="3"/>
        <v/>
      </c>
      <c r="B6102" s="38"/>
      <c r="C6102" s="23" t="s">
        <v>2090</v>
      </c>
      <c r="D6102" s="23" t="s">
        <v>58</v>
      </c>
      <c r="E6102" s="24">
        <v>45490.0</v>
      </c>
      <c r="F6102" s="25">
        <v>0.26180555555555557</v>
      </c>
      <c r="G6102" s="25">
        <v>0.50625</v>
      </c>
      <c r="H6102" s="27">
        <f t="shared" si="4"/>
        <v>0.2444444444</v>
      </c>
      <c r="I6102" s="28">
        <v>1.0</v>
      </c>
      <c r="J6102" s="39" t="s">
        <v>3043</v>
      </c>
      <c r="K6102" s="41"/>
      <c r="L6102" s="31" t="str">
        <f>IFERROR(__xludf.DUMMYFUNCTION("IF(OR(E6102="""",K6102=""""),"""",IFERROR(IF(K6102="""","""",query('tbl user'!$A$2:$D10975,""SELECT A WHERE D = '""&amp;K6102&amp;""'"")),""USER TIDAK DIKETAHUI""))"),"")</f>
        <v/>
      </c>
    </row>
    <row r="6103">
      <c r="A6103" s="21" t="str">
        <f t="shared" si="3"/>
        <v/>
      </c>
      <c r="B6103" s="38"/>
      <c r="C6103" s="23" t="s">
        <v>1865</v>
      </c>
      <c r="D6103" s="23" t="s">
        <v>58</v>
      </c>
      <c r="E6103" s="24">
        <v>45490.0</v>
      </c>
      <c r="F6103" s="25">
        <v>0.28055555555555556</v>
      </c>
      <c r="G6103" s="25">
        <v>0.675</v>
      </c>
      <c r="H6103" s="27">
        <f t="shared" si="4"/>
        <v>0.3944444444</v>
      </c>
      <c r="I6103" s="28">
        <v>2.0</v>
      </c>
      <c r="J6103" s="39" t="s">
        <v>3007</v>
      </c>
      <c r="K6103" s="41"/>
      <c r="L6103" s="31" t="str">
        <f>IFERROR(__xludf.DUMMYFUNCTION("IF(OR(E6103="""",K6103=""""),"""",IFERROR(IF(K6103="""","""",query('tbl user'!$A$2:$D10975,""SELECT A WHERE D = '""&amp;K6103&amp;""'"")),""USER TIDAK DIKETAHUI""))"),"")</f>
        <v/>
      </c>
    </row>
    <row r="6104">
      <c r="A6104" s="21" t="str">
        <f t="shared" si="3"/>
        <v/>
      </c>
      <c r="B6104" s="38"/>
      <c r="C6104" s="23" t="s">
        <v>1879</v>
      </c>
      <c r="D6104" s="23" t="s">
        <v>58</v>
      </c>
      <c r="E6104" s="24">
        <v>45490.0</v>
      </c>
      <c r="F6104" s="25">
        <v>0.2625</v>
      </c>
      <c r="G6104" s="25">
        <v>0.6201388888888889</v>
      </c>
      <c r="H6104" s="27">
        <f t="shared" si="4"/>
        <v>0.3576388889</v>
      </c>
      <c r="I6104" s="28">
        <v>2.0</v>
      </c>
      <c r="J6104" s="39" t="s">
        <v>3044</v>
      </c>
      <c r="K6104" s="41"/>
      <c r="L6104" s="31" t="str">
        <f>IFERROR(__xludf.DUMMYFUNCTION("IF(OR(E6104="""",K6104=""""),"""",IFERROR(IF(K6104="""","""",query('tbl user'!$A$2:$D10975,""SELECT A WHERE D = '""&amp;K6104&amp;""'"")),""USER TIDAK DIKETAHUI""))"),"")</f>
        <v/>
      </c>
    </row>
    <row r="6105">
      <c r="A6105" s="21" t="str">
        <f t="shared" si="3"/>
        <v/>
      </c>
      <c r="B6105" s="38"/>
      <c r="C6105" s="23" t="s">
        <v>1881</v>
      </c>
      <c r="D6105" s="23" t="s">
        <v>58</v>
      </c>
      <c r="E6105" s="24">
        <v>45490.0</v>
      </c>
      <c r="F6105" s="25">
        <v>0.26666666666666666</v>
      </c>
      <c r="G6105" s="25">
        <v>0.7472222222222222</v>
      </c>
      <c r="H6105" s="27">
        <f t="shared" si="4"/>
        <v>0.4805555556</v>
      </c>
      <c r="I6105" s="28">
        <v>2.0</v>
      </c>
      <c r="J6105" s="39" t="s">
        <v>3045</v>
      </c>
      <c r="K6105" s="41"/>
      <c r="L6105" s="31" t="str">
        <f>IFERROR(__xludf.DUMMYFUNCTION("IF(OR(E6105="""",K6105=""""),"""",IFERROR(IF(K6105="""","""",query('tbl user'!$A$2:$D10975,""SELECT A WHERE D = '""&amp;K6105&amp;""'"")),""USER TIDAK DIKETAHUI""))"),"")</f>
        <v/>
      </c>
    </row>
    <row r="6106">
      <c r="A6106" s="21" t="str">
        <f t="shared" si="3"/>
        <v/>
      </c>
      <c r="B6106" s="38"/>
      <c r="C6106" s="23" t="s">
        <v>1860</v>
      </c>
      <c r="D6106" s="23" t="s">
        <v>58</v>
      </c>
      <c r="E6106" s="24">
        <v>45490.0</v>
      </c>
      <c r="F6106" s="25">
        <v>0.2881944444444444</v>
      </c>
      <c r="G6106" s="25">
        <v>0.7361111111111112</v>
      </c>
      <c r="H6106" s="27">
        <f t="shared" si="4"/>
        <v>0.4479166667</v>
      </c>
      <c r="I6106" s="28">
        <v>2.0</v>
      </c>
      <c r="J6106" s="39" t="s">
        <v>3007</v>
      </c>
      <c r="K6106" s="41"/>
      <c r="L6106" s="31" t="str">
        <f>IFERROR(__xludf.DUMMYFUNCTION("IF(OR(E6106="""",K6106=""""),"""",IFERROR(IF(K6106="""","""",query('tbl user'!$A$2:$D10975,""SELECT A WHERE D = '""&amp;K6106&amp;""'"")),""USER TIDAK DIKETAHUI""))"),"")</f>
        <v/>
      </c>
    </row>
    <row r="6107">
      <c r="A6107" s="21" t="str">
        <f t="shared" si="3"/>
        <v/>
      </c>
      <c r="B6107" s="38"/>
      <c r="C6107" s="23" t="s">
        <v>1863</v>
      </c>
      <c r="D6107" s="23" t="s">
        <v>58</v>
      </c>
      <c r="E6107" s="24">
        <v>45490.0</v>
      </c>
      <c r="F6107" s="25">
        <v>0.2652777777777778</v>
      </c>
      <c r="G6107" s="25">
        <v>0.6479166666666667</v>
      </c>
      <c r="H6107" s="27">
        <f t="shared" si="4"/>
        <v>0.3826388889</v>
      </c>
      <c r="I6107" s="28">
        <v>2.0</v>
      </c>
      <c r="J6107" s="39" t="s">
        <v>3007</v>
      </c>
      <c r="K6107" s="41"/>
      <c r="L6107" s="31" t="str">
        <f>IFERROR(__xludf.DUMMYFUNCTION("IF(OR(E6107="""",K6107=""""),"""",IFERROR(IF(K6107="""","""",query('tbl user'!$A$2:$D10975,""SELECT A WHERE D = '""&amp;K6107&amp;""'"")),""USER TIDAK DIKETAHUI""))"),"")</f>
        <v/>
      </c>
    </row>
    <row r="6108">
      <c r="A6108" s="21" t="str">
        <f t="shared" si="3"/>
        <v/>
      </c>
      <c r="B6108" s="38"/>
      <c r="C6108" s="23" t="s">
        <v>1887</v>
      </c>
      <c r="D6108" s="23" t="s">
        <v>58</v>
      </c>
      <c r="E6108" s="24">
        <v>45490.0</v>
      </c>
      <c r="F6108" s="25">
        <v>0.2777777777777778</v>
      </c>
      <c r="G6108" s="25">
        <v>0.6965277777777777</v>
      </c>
      <c r="H6108" s="27">
        <f t="shared" si="4"/>
        <v>0.41875</v>
      </c>
      <c r="I6108" s="28">
        <v>2.0</v>
      </c>
      <c r="J6108" s="39" t="s">
        <v>3046</v>
      </c>
      <c r="K6108" s="41"/>
      <c r="L6108" s="31" t="str">
        <f>IFERROR(__xludf.DUMMYFUNCTION("IF(OR(E6108="""",K6108=""""),"""",IFERROR(IF(K6108="""","""",query('tbl user'!$A$2:$D10975,""SELECT A WHERE D = '""&amp;K6108&amp;""'"")),""USER TIDAK DIKETAHUI""))"),"")</f>
        <v/>
      </c>
    </row>
    <row r="6109">
      <c r="A6109" s="21" t="str">
        <f t="shared" si="3"/>
        <v/>
      </c>
      <c r="B6109" s="38"/>
      <c r="C6109" s="23" t="s">
        <v>1888</v>
      </c>
      <c r="D6109" s="23" t="s">
        <v>58</v>
      </c>
      <c r="E6109" s="24">
        <v>45490.0</v>
      </c>
      <c r="F6109" s="25">
        <v>0.26180555555555557</v>
      </c>
      <c r="G6109" s="25">
        <v>0.5847222222222223</v>
      </c>
      <c r="H6109" s="27">
        <f t="shared" si="4"/>
        <v>0.3229166667</v>
      </c>
      <c r="I6109" s="28">
        <v>2.0</v>
      </c>
      <c r="J6109" s="39" t="s">
        <v>3047</v>
      </c>
      <c r="K6109" s="41"/>
      <c r="L6109" s="31" t="str">
        <f>IFERROR(__xludf.DUMMYFUNCTION("IF(OR(E6109="""",K6109=""""),"""",IFERROR(IF(K6109="""","""",query('tbl user'!$A$2:$D10975,""SELECT A WHERE D = '""&amp;K6109&amp;""'"")),""USER TIDAK DIKETAHUI""))"),"")</f>
        <v/>
      </c>
    </row>
    <row r="6110">
      <c r="A6110" s="21" t="str">
        <f t="shared" si="3"/>
        <v/>
      </c>
      <c r="B6110" s="38"/>
      <c r="C6110" s="23" t="s">
        <v>1889</v>
      </c>
      <c r="D6110" s="23" t="s">
        <v>58</v>
      </c>
      <c r="E6110" s="24">
        <v>45490.0</v>
      </c>
      <c r="F6110" s="25">
        <v>0.26666666666666666</v>
      </c>
      <c r="G6110" s="25">
        <v>0.6729166666666667</v>
      </c>
      <c r="H6110" s="27">
        <f t="shared" si="4"/>
        <v>0.40625</v>
      </c>
      <c r="I6110" s="28">
        <v>2.0</v>
      </c>
      <c r="J6110" s="39" t="s">
        <v>3048</v>
      </c>
      <c r="K6110" s="41"/>
      <c r="L6110" s="31" t="str">
        <f>IFERROR(__xludf.DUMMYFUNCTION("IF(OR(E6110="""",K6110=""""),"""",IFERROR(IF(K6110="""","""",query('tbl user'!$A$2:$D10975,""SELECT A WHERE D = '""&amp;K6110&amp;""'"")),""USER TIDAK DIKETAHUI""))"),"")</f>
        <v/>
      </c>
    </row>
    <row r="6111">
      <c r="A6111" s="21" t="str">
        <f t="shared" si="3"/>
        <v/>
      </c>
      <c r="B6111" s="38"/>
      <c r="C6111" s="23" t="s">
        <v>1892</v>
      </c>
      <c r="D6111" s="23" t="s">
        <v>58</v>
      </c>
      <c r="E6111" s="24">
        <v>45490.0</v>
      </c>
      <c r="F6111" s="25">
        <v>0.2604166666666667</v>
      </c>
      <c r="G6111" s="25">
        <v>0.5972222222222222</v>
      </c>
      <c r="H6111" s="27">
        <f t="shared" si="4"/>
        <v>0.3368055556</v>
      </c>
      <c r="I6111" s="28">
        <v>2.0</v>
      </c>
      <c r="J6111" s="39" t="s">
        <v>3049</v>
      </c>
      <c r="K6111" s="41"/>
      <c r="L6111" s="31" t="str">
        <f>IFERROR(__xludf.DUMMYFUNCTION("IF(OR(E6111="""",K6111=""""),"""",IFERROR(IF(K6111="""","""",query('tbl user'!$A$2:$D10975,""SELECT A WHERE D = '""&amp;K6111&amp;""'"")),""USER TIDAK DIKETAHUI""))"),"")</f>
        <v/>
      </c>
    </row>
    <row r="6112">
      <c r="A6112" s="21" t="str">
        <f t="shared" si="3"/>
        <v/>
      </c>
      <c r="B6112" s="38"/>
      <c r="C6112" s="23" t="s">
        <v>1871</v>
      </c>
      <c r="D6112" s="23" t="s">
        <v>58</v>
      </c>
      <c r="E6112" s="24">
        <v>45490.0</v>
      </c>
      <c r="F6112" s="25">
        <v>0.26458333333333334</v>
      </c>
      <c r="G6112" s="25">
        <v>0.7097222222222223</v>
      </c>
      <c r="H6112" s="27">
        <f t="shared" si="4"/>
        <v>0.4451388889</v>
      </c>
      <c r="I6112" s="28">
        <v>2.0</v>
      </c>
      <c r="J6112" s="39" t="s">
        <v>3007</v>
      </c>
      <c r="K6112" s="41"/>
      <c r="L6112" s="31" t="str">
        <f>IFERROR(__xludf.DUMMYFUNCTION("IF(OR(E6112="""",K6112=""""),"""",IFERROR(IF(K6112="""","""",query('tbl user'!$A$2:$D10975,""SELECT A WHERE D = '""&amp;K6112&amp;""'"")),""USER TIDAK DIKETAHUI""))"),"")</f>
        <v/>
      </c>
    </row>
    <row r="6113">
      <c r="A6113" s="21" t="str">
        <f t="shared" si="3"/>
        <v/>
      </c>
      <c r="B6113" s="38"/>
      <c r="C6113" s="23" t="s">
        <v>1890</v>
      </c>
      <c r="D6113" s="23" t="s">
        <v>58</v>
      </c>
      <c r="E6113" s="24">
        <v>45490.0</v>
      </c>
      <c r="F6113" s="25">
        <v>0.26666666666666666</v>
      </c>
      <c r="G6113" s="25">
        <v>0.7090277777777778</v>
      </c>
      <c r="H6113" s="27">
        <f t="shared" si="4"/>
        <v>0.4423611111</v>
      </c>
      <c r="I6113" s="28">
        <v>2.0</v>
      </c>
      <c r="J6113" s="39" t="s">
        <v>3007</v>
      </c>
      <c r="K6113" s="41"/>
      <c r="L6113" s="31" t="str">
        <f>IFERROR(__xludf.DUMMYFUNCTION("IF(OR(E6113="""",K6113=""""),"""",IFERROR(IF(K6113="""","""",query('tbl user'!$A$2:$D10975,""SELECT A WHERE D = '""&amp;K6113&amp;""'"")),""USER TIDAK DIKETAHUI""))"),"")</f>
        <v/>
      </c>
    </row>
    <row r="6114">
      <c r="A6114" s="21" t="str">
        <f t="shared" si="3"/>
        <v/>
      </c>
      <c r="B6114" s="38"/>
      <c r="C6114" s="23" t="s">
        <v>1861</v>
      </c>
      <c r="D6114" s="23" t="s">
        <v>58</v>
      </c>
      <c r="E6114" s="24">
        <v>45490.0</v>
      </c>
      <c r="F6114" s="25">
        <v>0.26666666666666666</v>
      </c>
      <c r="G6114" s="25">
        <v>0.6486111111111111</v>
      </c>
      <c r="H6114" s="27">
        <f t="shared" si="4"/>
        <v>0.3819444444</v>
      </c>
      <c r="I6114" s="28">
        <v>2.0</v>
      </c>
      <c r="J6114" s="39" t="s">
        <v>3050</v>
      </c>
      <c r="K6114" s="41"/>
      <c r="L6114" s="31" t="str">
        <f>IFERROR(__xludf.DUMMYFUNCTION("IF(OR(E6114="""",K6114=""""),"""",IFERROR(IF(K6114="""","""",query('tbl user'!$A$2:$D10975,""SELECT A WHERE D = '""&amp;K6114&amp;""'"")),""USER TIDAK DIKETAHUI""))"),"")</f>
        <v/>
      </c>
    </row>
    <row r="6115">
      <c r="A6115" s="21" t="str">
        <f t="shared" si="3"/>
        <v/>
      </c>
      <c r="B6115" s="38"/>
      <c r="C6115" s="23" t="s">
        <v>1891</v>
      </c>
      <c r="D6115" s="23" t="s">
        <v>58</v>
      </c>
      <c r="E6115" s="24">
        <v>45490.0</v>
      </c>
      <c r="F6115" s="25">
        <v>0.2611111111111111</v>
      </c>
      <c r="G6115" s="25">
        <v>0.7236111111111111</v>
      </c>
      <c r="H6115" s="27">
        <f t="shared" si="4"/>
        <v>0.4625</v>
      </c>
      <c r="I6115" s="28">
        <v>2.0</v>
      </c>
      <c r="J6115" s="39" t="s">
        <v>3007</v>
      </c>
      <c r="K6115" s="41"/>
      <c r="L6115" s="31" t="str">
        <f>IFERROR(__xludf.DUMMYFUNCTION("IF(OR(E6115="""",K6115=""""),"""",IFERROR(IF(K6115="""","""",query('tbl user'!$A$2:$D10975,""SELECT A WHERE D = '""&amp;K6115&amp;""'"")),""USER TIDAK DIKETAHUI""))"),"")</f>
        <v/>
      </c>
    </row>
    <row r="6116">
      <c r="A6116" s="21" t="str">
        <f t="shared" si="3"/>
        <v/>
      </c>
      <c r="B6116" s="38"/>
      <c r="C6116" s="23" t="s">
        <v>1894</v>
      </c>
      <c r="D6116" s="23" t="s">
        <v>32</v>
      </c>
      <c r="E6116" s="24">
        <v>45490.0</v>
      </c>
      <c r="F6116" s="25">
        <v>0.4326388888888889</v>
      </c>
      <c r="G6116" s="25">
        <v>0.5055555555555555</v>
      </c>
      <c r="H6116" s="27">
        <f t="shared" si="4"/>
        <v>0.07291666667</v>
      </c>
      <c r="I6116" s="28">
        <v>1.0</v>
      </c>
      <c r="J6116" s="39" t="s">
        <v>3051</v>
      </c>
      <c r="K6116" s="41"/>
      <c r="L6116" s="31" t="str">
        <f>IFERROR(__xludf.DUMMYFUNCTION("IF(OR(E6116="""",K6116=""""),"""",IFERROR(IF(K6116="""","""",query('tbl user'!$A$2:$D10975,""SELECT A WHERE D = '""&amp;K6116&amp;""'"")),""USER TIDAK DIKETAHUI""))"),"")</f>
        <v/>
      </c>
    </row>
    <row r="6117">
      <c r="A6117" s="21" t="str">
        <f t="shared" si="3"/>
        <v/>
      </c>
      <c r="B6117" s="38"/>
      <c r="C6117" s="23" t="s">
        <v>1902</v>
      </c>
      <c r="D6117" s="23" t="s">
        <v>32</v>
      </c>
      <c r="E6117" s="24">
        <v>45490.0</v>
      </c>
      <c r="F6117" s="25">
        <v>0.28958333333333336</v>
      </c>
      <c r="G6117" s="25">
        <v>0.5277777777777778</v>
      </c>
      <c r="H6117" s="27">
        <f t="shared" si="4"/>
        <v>0.2381944444</v>
      </c>
      <c r="I6117" s="28">
        <v>2.0</v>
      </c>
      <c r="J6117" s="39" t="s">
        <v>309</v>
      </c>
      <c r="K6117" s="41"/>
      <c r="L6117" s="31" t="str">
        <f>IFERROR(__xludf.DUMMYFUNCTION("IF(OR(E6117="""",K6117=""""),"""",IFERROR(IF(K6117="""","""",query('tbl user'!$A$2:$D10975,""SELECT A WHERE D = '""&amp;K6117&amp;""'"")),""USER TIDAK DIKETAHUI""))"),"")</f>
        <v/>
      </c>
    </row>
    <row r="6118">
      <c r="A6118" s="21" t="str">
        <f t="shared" si="3"/>
        <v/>
      </c>
      <c r="B6118" s="38"/>
      <c r="C6118" s="23" t="s">
        <v>1911</v>
      </c>
      <c r="D6118" s="23" t="s">
        <v>32</v>
      </c>
      <c r="E6118" s="24">
        <v>45490.0</v>
      </c>
      <c r="F6118" s="25">
        <v>0.2881944444444444</v>
      </c>
      <c r="G6118" s="25">
        <v>0.6006944444444444</v>
      </c>
      <c r="H6118" s="27">
        <f t="shared" si="4"/>
        <v>0.3125</v>
      </c>
      <c r="I6118" s="28">
        <v>3.0</v>
      </c>
      <c r="J6118" s="39" t="s">
        <v>3052</v>
      </c>
      <c r="K6118" s="41"/>
      <c r="L6118" s="31" t="str">
        <f>IFERROR(__xludf.DUMMYFUNCTION("IF(OR(E6118="""",K6118=""""),"""",IFERROR(IF(K6118="""","""",query('tbl user'!$A$2:$D10975,""SELECT A WHERE D = '""&amp;K6118&amp;""'"")),""USER TIDAK DIKETAHUI""))"),"")</f>
        <v/>
      </c>
    </row>
    <row r="6119">
      <c r="A6119" s="21" t="str">
        <f t="shared" si="3"/>
        <v/>
      </c>
      <c r="B6119" s="38"/>
      <c r="C6119" s="23" t="s">
        <v>1912</v>
      </c>
      <c r="D6119" s="23" t="s">
        <v>32</v>
      </c>
      <c r="E6119" s="24">
        <v>45490.0</v>
      </c>
      <c r="F6119" s="25">
        <v>0.2604166666666667</v>
      </c>
      <c r="G6119" s="28" t="s">
        <v>1817</v>
      </c>
      <c r="H6119" s="27" t="str">
        <f t="shared" si="4"/>
        <v/>
      </c>
      <c r="I6119" s="28">
        <v>3.0</v>
      </c>
      <c r="J6119" s="39" t="s">
        <v>3053</v>
      </c>
      <c r="K6119" s="41"/>
      <c r="L6119" s="31" t="str">
        <f>IFERROR(__xludf.DUMMYFUNCTION("IF(OR(E6119="""",K6119=""""),"""",IFERROR(IF(K6119="""","""",query('tbl user'!$A$2:$D10975,""SELECT A WHERE D = '""&amp;K6119&amp;""'"")),""USER TIDAK DIKETAHUI""))"),"")</f>
        <v/>
      </c>
    </row>
    <row r="6120">
      <c r="A6120" s="21" t="str">
        <f t="shared" si="3"/>
        <v/>
      </c>
      <c r="B6120" s="38"/>
      <c r="C6120" s="23" t="s">
        <v>1901</v>
      </c>
      <c r="D6120" s="23" t="s">
        <v>32</v>
      </c>
      <c r="E6120" s="24">
        <v>45490.0</v>
      </c>
      <c r="F6120" s="25">
        <v>0.2798611111111111</v>
      </c>
      <c r="G6120" s="25">
        <v>0.7222222222222222</v>
      </c>
      <c r="H6120" s="27">
        <f t="shared" si="4"/>
        <v>0.4423611111</v>
      </c>
      <c r="I6120" s="28">
        <v>4.0</v>
      </c>
      <c r="J6120" s="39" t="s">
        <v>55</v>
      </c>
      <c r="K6120" s="41"/>
      <c r="L6120" s="31" t="str">
        <f>IFERROR(__xludf.DUMMYFUNCTION("IF(OR(E6120="""",K6120=""""),"""",IFERROR(IF(K6120="""","""",query('tbl user'!$A$2:$D10975,""SELECT A WHERE D = '""&amp;K6120&amp;""'"")),""USER TIDAK DIKETAHUI""))"),"")</f>
        <v/>
      </c>
    </row>
    <row r="6121">
      <c r="A6121" s="21" t="str">
        <f t="shared" si="3"/>
        <v/>
      </c>
      <c r="B6121" s="38"/>
      <c r="C6121" s="23" t="s">
        <v>1963</v>
      </c>
      <c r="D6121" s="23" t="s">
        <v>32</v>
      </c>
      <c r="E6121" s="24">
        <v>45490.0</v>
      </c>
      <c r="F6121" s="25">
        <v>0.2604166666666667</v>
      </c>
      <c r="G6121" s="25">
        <v>0.6743055555555556</v>
      </c>
      <c r="H6121" s="27">
        <f t="shared" si="4"/>
        <v>0.4138888889</v>
      </c>
      <c r="I6121" s="28">
        <v>4.0</v>
      </c>
      <c r="J6121" s="39" t="s">
        <v>55</v>
      </c>
      <c r="K6121" s="41"/>
      <c r="L6121" s="31" t="str">
        <f>IFERROR(__xludf.DUMMYFUNCTION("IF(OR(E6121="""",K6121=""""),"""",IFERROR(IF(K6121="""","""",query('tbl user'!$A$2:$D10975,""SELECT A WHERE D = '""&amp;K6121&amp;""'"")),""USER TIDAK DIKETAHUI""))"),"")</f>
        <v/>
      </c>
    </row>
    <row r="6122">
      <c r="A6122" s="21" t="str">
        <f t="shared" si="3"/>
        <v/>
      </c>
      <c r="B6122" s="38"/>
      <c r="C6122" s="23" t="s">
        <v>2092</v>
      </c>
      <c r="D6122" s="23" t="s">
        <v>32</v>
      </c>
      <c r="E6122" s="24">
        <v>45490.0</v>
      </c>
      <c r="F6122" s="25">
        <v>0.2611111111111111</v>
      </c>
      <c r="G6122" s="25">
        <v>0.6694444444444444</v>
      </c>
      <c r="H6122" s="27">
        <f t="shared" si="4"/>
        <v>0.4083333333</v>
      </c>
      <c r="I6122" s="28">
        <v>4.0</v>
      </c>
      <c r="J6122" s="39" t="s">
        <v>55</v>
      </c>
      <c r="K6122" s="41"/>
      <c r="L6122" s="31" t="str">
        <f>IFERROR(__xludf.DUMMYFUNCTION("IF(OR(E6122="""",K6122=""""),"""",IFERROR(IF(K6122="""","""",query('tbl user'!$A$2:$D10975,""SELECT A WHERE D = '""&amp;K6122&amp;""'"")),""USER TIDAK DIKETAHUI""))"),"")</f>
        <v/>
      </c>
    </row>
    <row r="6123">
      <c r="A6123" s="21" t="str">
        <f t="shared" si="3"/>
        <v/>
      </c>
      <c r="B6123" s="38"/>
      <c r="C6123" s="23" t="s">
        <v>1898</v>
      </c>
      <c r="D6123" s="23" t="s">
        <v>32</v>
      </c>
      <c r="E6123" s="24">
        <v>45490.0</v>
      </c>
      <c r="F6123" s="25">
        <v>0.26875</v>
      </c>
      <c r="G6123" s="25">
        <v>0.7090277777777778</v>
      </c>
      <c r="H6123" s="27">
        <f t="shared" si="4"/>
        <v>0.4402777778</v>
      </c>
      <c r="I6123" s="28">
        <v>4.0</v>
      </c>
      <c r="J6123" s="39" t="s">
        <v>55</v>
      </c>
      <c r="K6123" s="41"/>
      <c r="L6123" s="31" t="str">
        <f>IFERROR(__xludf.DUMMYFUNCTION("IF(OR(E6123="""",K6123=""""),"""",IFERROR(IF(K6123="""","""",query('tbl user'!$A$2:$D10975,""SELECT A WHERE D = '""&amp;K6123&amp;""'"")),""USER TIDAK DIKETAHUI""))"),"")</f>
        <v/>
      </c>
    </row>
    <row r="6124">
      <c r="A6124" s="21" t="str">
        <f t="shared" si="3"/>
        <v/>
      </c>
      <c r="B6124" s="38"/>
      <c r="C6124" s="23" t="s">
        <v>1964</v>
      </c>
      <c r="D6124" s="23" t="s">
        <v>32</v>
      </c>
      <c r="E6124" s="24">
        <v>45490.0</v>
      </c>
      <c r="F6124" s="25">
        <v>0.27152777777777776</v>
      </c>
      <c r="G6124" s="25">
        <v>0.7152777777777778</v>
      </c>
      <c r="H6124" s="27">
        <f t="shared" si="4"/>
        <v>0.44375</v>
      </c>
      <c r="I6124" s="28">
        <v>4.0</v>
      </c>
      <c r="J6124" s="39" t="s">
        <v>55</v>
      </c>
      <c r="K6124" s="41"/>
      <c r="L6124" s="31" t="str">
        <f>IFERROR(__xludf.DUMMYFUNCTION("IF(OR(E6124="""",K6124=""""),"""",IFERROR(IF(K6124="""","""",query('tbl user'!$A$2:$D10975,""SELECT A WHERE D = '""&amp;K6124&amp;""'"")),""USER TIDAK DIKETAHUI""))"),"")</f>
        <v/>
      </c>
    </row>
    <row r="6125">
      <c r="A6125" s="21" t="str">
        <f t="shared" si="3"/>
        <v/>
      </c>
      <c r="B6125" s="38"/>
      <c r="C6125" s="23" t="s">
        <v>1959</v>
      </c>
      <c r="D6125" s="23" t="s">
        <v>32</v>
      </c>
      <c r="E6125" s="24">
        <v>45490.0</v>
      </c>
      <c r="F6125" s="25">
        <v>0.2777777777777778</v>
      </c>
      <c r="G6125" s="25">
        <v>0.7236111111111111</v>
      </c>
      <c r="H6125" s="27">
        <f t="shared" si="4"/>
        <v>0.4458333333</v>
      </c>
      <c r="I6125" s="28">
        <v>4.0</v>
      </c>
      <c r="J6125" s="39" t="s">
        <v>55</v>
      </c>
      <c r="K6125" s="41"/>
      <c r="L6125" s="31" t="str">
        <f>IFERROR(__xludf.DUMMYFUNCTION("IF(OR(E6125="""",K6125=""""),"""",IFERROR(IF(K6125="""","""",query('tbl user'!$A$2:$D10975,""SELECT A WHERE D = '""&amp;K6125&amp;""'"")),""USER TIDAK DIKETAHUI""))"),"")</f>
        <v/>
      </c>
    </row>
    <row r="6126">
      <c r="A6126" s="21" t="str">
        <f t="shared" si="3"/>
        <v/>
      </c>
      <c r="B6126" s="38"/>
      <c r="C6126" s="23" t="s">
        <v>1967</v>
      </c>
      <c r="D6126" s="23" t="s">
        <v>32</v>
      </c>
      <c r="E6126" s="24">
        <v>45490.0</v>
      </c>
      <c r="F6126" s="25">
        <v>0.25972222222222224</v>
      </c>
      <c r="G6126" s="25">
        <v>0.6486111111111111</v>
      </c>
      <c r="H6126" s="27">
        <f t="shared" si="4"/>
        <v>0.3888888889</v>
      </c>
      <c r="I6126" s="28">
        <v>4.0</v>
      </c>
      <c r="J6126" s="39" t="s">
        <v>55</v>
      </c>
      <c r="K6126" s="41"/>
      <c r="L6126" s="31" t="str">
        <f>IFERROR(__xludf.DUMMYFUNCTION("IF(OR(E6126="""",K6126=""""),"""",IFERROR(IF(K6126="""","""",query('tbl user'!$A$2:$D10975,""SELECT A WHERE D = '""&amp;K6126&amp;""'"")),""USER TIDAK DIKETAHUI""))"),"")</f>
        <v/>
      </c>
    </row>
    <row r="6127">
      <c r="A6127" s="21" t="str">
        <f t="shared" si="3"/>
        <v/>
      </c>
      <c r="B6127" s="38"/>
      <c r="C6127" s="23" t="s">
        <v>2190</v>
      </c>
      <c r="D6127" s="23" t="s">
        <v>32</v>
      </c>
      <c r="E6127" s="24">
        <v>45490.0</v>
      </c>
      <c r="F6127" s="25">
        <v>0.28958333333333336</v>
      </c>
      <c r="G6127" s="25">
        <v>0.7236111111111111</v>
      </c>
      <c r="H6127" s="27">
        <f t="shared" si="4"/>
        <v>0.4340277778</v>
      </c>
      <c r="I6127" s="28">
        <v>4.0</v>
      </c>
      <c r="J6127" s="39" t="s">
        <v>55</v>
      </c>
      <c r="K6127" s="41"/>
      <c r="L6127" s="31" t="str">
        <f>IFERROR(__xludf.DUMMYFUNCTION("IF(OR(E6127="""",K6127=""""),"""",IFERROR(IF(K6127="""","""",query('tbl user'!$A$2:$D10975,""SELECT A WHERE D = '""&amp;K6127&amp;""'"")),""USER TIDAK DIKETAHUI""))"),"")</f>
        <v/>
      </c>
    </row>
    <row r="6128">
      <c r="A6128" s="21" t="str">
        <f t="shared" si="3"/>
        <v/>
      </c>
      <c r="B6128" s="38"/>
      <c r="C6128" s="23" t="s">
        <v>1896</v>
      </c>
      <c r="D6128" s="23" t="s">
        <v>32</v>
      </c>
      <c r="E6128" s="24">
        <v>45490.0</v>
      </c>
      <c r="F6128" s="25">
        <v>0.27569444444444446</v>
      </c>
      <c r="G6128" s="25">
        <v>0.7451388888888889</v>
      </c>
      <c r="H6128" s="27">
        <f t="shared" si="4"/>
        <v>0.4694444444</v>
      </c>
      <c r="I6128" s="28">
        <v>4.0</v>
      </c>
      <c r="J6128" s="39" t="s">
        <v>55</v>
      </c>
      <c r="K6128" s="41"/>
      <c r="L6128" s="31" t="str">
        <f>IFERROR(__xludf.DUMMYFUNCTION("IF(OR(E6128="""",K6128=""""),"""",IFERROR(IF(K6128="""","""",query('tbl user'!$A$2:$D10975,""SELECT A WHERE D = '""&amp;K6128&amp;""'"")),""USER TIDAK DIKETAHUI""))"),"")</f>
        <v/>
      </c>
    </row>
    <row r="6129">
      <c r="A6129" s="21" t="str">
        <f t="shared" si="3"/>
        <v/>
      </c>
      <c r="B6129" s="38"/>
      <c r="C6129" s="23" t="s">
        <v>1990</v>
      </c>
      <c r="D6129" s="23" t="s">
        <v>32</v>
      </c>
      <c r="E6129" s="24">
        <v>45490.0</v>
      </c>
      <c r="F6129" s="25">
        <v>0.27152777777777776</v>
      </c>
      <c r="G6129" s="25">
        <v>0.6916666666666667</v>
      </c>
      <c r="H6129" s="27">
        <f t="shared" si="4"/>
        <v>0.4201388889</v>
      </c>
      <c r="I6129" s="28">
        <v>4.0</v>
      </c>
      <c r="J6129" s="39" t="s">
        <v>55</v>
      </c>
      <c r="K6129" s="41"/>
      <c r="L6129" s="31" t="str">
        <f>IFERROR(__xludf.DUMMYFUNCTION("IF(OR(E6129="""",K6129=""""),"""",IFERROR(IF(K6129="""","""",query('tbl user'!$A$2:$D10975,""SELECT A WHERE D = '""&amp;K6129&amp;""'"")),""USER TIDAK DIKETAHUI""))"),"")</f>
        <v/>
      </c>
    </row>
    <row r="6130">
      <c r="A6130" s="21" t="str">
        <f t="shared" si="3"/>
        <v/>
      </c>
      <c r="B6130" s="38"/>
      <c r="C6130" s="23" t="s">
        <v>1903</v>
      </c>
      <c r="D6130" s="23" t="s">
        <v>32</v>
      </c>
      <c r="E6130" s="24">
        <v>45490.0</v>
      </c>
      <c r="F6130" s="25">
        <v>0.26319444444444445</v>
      </c>
      <c r="G6130" s="25">
        <v>0.6784722222222223</v>
      </c>
      <c r="H6130" s="27">
        <f t="shared" si="4"/>
        <v>0.4152777778</v>
      </c>
      <c r="I6130" s="28">
        <v>4.0</v>
      </c>
      <c r="J6130" s="39" t="s">
        <v>55</v>
      </c>
      <c r="K6130" s="41"/>
      <c r="L6130" s="31" t="str">
        <f>IFERROR(__xludf.DUMMYFUNCTION("IF(OR(E6130="""",K6130=""""),"""",IFERROR(IF(K6130="""","""",query('tbl user'!$A$2:$D10975,""SELECT A WHERE D = '""&amp;K6130&amp;""'"")),""USER TIDAK DIKETAHUI""))"),"")</f>
        <v/>
      </c>
    </row>
    <row r="6131">
      <c r="A6131" s="21" t="str">
        <f t="shared" si="3"/>
        <v/>
      </c>
      <c r="B6131" s="38"/>
      <c r="C6131" s="23" t="s">
        <v>1954</v>
      </c>
      <c r="D6131" s="23" t="s">
        <v>32</v>
      </c>
      <c r="E6131" s="24">
        <v>45490.0</v>
      </c>
      <c r="F6131" s="25">
        <v>0.2625</v>
      </c>
      <c r="G6131" s="25">
        <v>0.6826388888888889</v>
      </c>
      <c r="H6131" s="27">
        <f t="shared" si="4"/>
        <v>0.4201388889</v>
      </c>
      <c r="I6131" s="28">
        <v>4.0</v>
      </c>
      <c r="J6131" s="39" t="s">
        <v>55</v>
      </c>
      <c r="K6131" s="41"/>
      <c r="L6131" s="31" t="str">
        <f>IFERROR(__xludf.DUMMYFUNCTION("IF(OR(E6131="""",K6131=""""),"""",IFERROR(IF(K6131="""","""",query('tbl user'!$A$2:$D10975,""SELECT A WHERE D = '""&amp;K6131&amp;""'"")),""USER TIDAK DIKETAHUI""))"),"")</f>
        <v/>
      </c>
    </row>
    <row r="6132">
      <c r="A6132" s="21" t="str">
        <f t="shared" si="3"/>
        <v/>
      </c>
      <c r="B6132" s="38"/>
      <c r="C6132" s="23" t="s">
        <v>1966</v>
      </c>
      <c r="D6132" s="23" t="s">
        <v>32</v>
      </c>
      <c r="E6132" s="24">
        <v>45490.0</v>
      </c>
      <c r="F6132" s="25">
        <v>0.2604166666666667</v>
      </c>
      <c r="G6132" s="25">
        <v>0.7465277777777778</v>
      </c>
      <c r="H6132" s="27">
        <f t="shared" si="4"/>
        <v>0.4861111111</v>
      </c>
      <c r="I6132" s="28">
        <v>5.0</v>
      </c>
      <c r="J6132" s="39" t="s">
        <v>55</v>
      </c>
      <c r="K6132" s="41"/>
      <c r="L6132" s="31" t="str">
        <f>IFERROR(__xludf.DUMMYFUNCTION("IF(OR(E6132="""",K6132=""""),"""",IFERROR(IF(K6132="""","""",query('tbl user'!$A$2:$D10975,""SELECT A WHERE D = '""&amp;K6132&amp;""'"")),""USER TIDAK DIKETAHUI""))"),"")</f>
        <v/>
      </c>
    </row>
    <row r="6133">
      <c r="A6133" s="21" t="str">
        <f t="shared" si="3"/>
        <v/>
      </c>
      <c r="B6133" s="38"/>
      <c r="C6133" s="23" t="s">
        <v>1830</v>
      </c>
      <c r="D6133" s="23" t="s">
        <v>21</v>
      </c>
      <c r="E6133" s="24">
        <v>45491.0</v>
      </c>
      <c r="F6133" s="25">
        <v>0.24166666666666667</v>
      </c>
      <c r="G6133" s="25">
        <v>0.48333333333333334</v>
      </c>
      <c r="H6133" s="27">
        <f t="shared" si="4"/>
        <v>0.2416666667</v>
      </c>
      <c r="I6133" s="28">
        <v>1.0</v>
      </c>
      <c r="J6133" s="39" t="s">
        <v>3054</v>
      </c>
      <c r="K6133" s="41"/>
      <c r="L6133" s="31" t="str">
        <f>IFERROR(__xludf.DUMMYFUNCTION("IF(OR(E6133="""",K6133=""""),"""",IFERROR(IF(K6133="""","""",query('tbl user'!$A$2:$D10975,""SELECT A WHERE D = '""&amp;K6133&amp;""'"")),""USER TIDAK DIKETAHUI""))"),"")</f>
        <v/>
      </c>
    </row>
    <row r="6134">
      <c r="A6134" s="21" t="str">
        <f t="shared" si="3"/>
        <v/>
      </c>
      <c r="B6134" s="38"/>
      <c r="C6134" s="23" t="s">
        <v>2136</v>
      </c>
      <c r="D6134" s="23" t="s">
        <v>21</v>
      </c>
      <c r="E6134" s="24">
        <v>45491.0</v>
      </c>
      <c r="F6134" s="25">
        <v>0.2152777777777778</v>
      </c>
      <c r="G6134" s="25">
        <v>0.40069444444444446</v>
      </c>
      <c r="H6134" s="27">
        <f t="shared" si="4"/>
        <v>0.1854166667</v>
      </c>
      <c r="I6134" s="28">
        <v>1.0</v>
      </c>
      <c r="J6134" s="39" t="s">
        <v>3055</v>
      </c>
      <c r="K6134" s="41"/>
      <c r="L6134" s="31" t="str">
        <f>IFERROR(__xludf.DUMMYFUNCTION("IF(OR(E6134="""",K6134=""""),"""",IFERROR(IF(K6134="""","""",query('tbl user'!$A$2:$D10975,""SELECT A WHERE D = '""&amp;K6134&amp;""'"")),""USER TIDAK DIKETAHUI""))"),"")</f>
        <v/>
      </c>
    </row>
    <row r="6135">
      <c r="A6135" s="21" t="str">
        <f t="shared" si="3"/>
        <v/>
      </c>
      <c r="B6135" s="38"/>
      <c r="C6135" s="23" t="s">
        <v>1858</v>
      </c>
      <c r="D6135" s="23" t="s">
        <v>21</v>
      </c>
      <c r="E6135" s="24">
        <v>45491.0</v>
      </c>
      <c r="F6135" s="25">
        <v>0.23194444444444445</v>
      </c>
      <c r="G6135" s="25">
        <v>0.45625</v>
      </c>
      <c r="H6135" s="27">
        <f t="shared" si="4"/>
        <v>0.2243055556</v>
      </c>
      <c r="I6135" s="28">
        <v>1.0</v>
      </c>
      <c r="J6135" s="39" t="s">
        <v>3056</v>
      </c>
      <c r="K6135" s="41"/>
      <c r="L6135" s="31" t="str">
        <f>IFERROR(__xludf.DUMMYFUNCTION("IF(OR(E6135="""",K6135=""""),"""",IFERROR(IF(K6135="""","""",query('tbl user'!$A$2:$D10975,""SELECT A WHERE D = '""&amp;K6135&amp;""'"")),""USER TIDAK DIKETAHUI""))"),"")</f>
        <v/>
      </c>
    </row>
    <row r="6136">
      <c r="A6136" s="21" t="str">
        <f t="shared" si="3"/>
        <v/>
      </c>
      <c r="B6136" s="38"/>
      <c r="C6136" s="23" t="s">
        <v>1928</v>
      </c>
      <c r="D6136" s="23" t="s">
        <v>21</v>
      </c>
      <c r="E6136" s="24">
        <v>45491.0</v>
      </c>
      <c r="F6136" s="25">
        <v>0.46805555555555556</v>
      </c>
      <c r="G6136" s="25">
        <v>0.6305555555555555</v>
      </c>
      <c r="H6136" s="27">
        <f t="shared" si="4"/>
        <v>0.1625</v>
      </c>
      <c r="I6136" s="28">
        <v>1.0</v>
      </c>
      <c r="J6136" s="39" t="s">
        <v>3057</v>
      </c>
      <c r="K6136" s="41"/>
      <c r="L6136" s="31" t="str">
        <f>IFERROR(__xludf.DUMMYFUNCTION("IF(OR(E6136="""",K6136=""""),"""",IFERROR(IF(K6136="""","""",query('tbl user'!$A$2:$D10975,""SELECT A WHERE D = '""&amp;K6136&amp;""'"")),""USER TIDAK DIKETAHUI""))"),"")</f>
        <v/>
      </c>
    </row>
    <row r="6137">
      <c r="A6137" s="21" t="str">
        <f t="shared" si="3"/>
        <v/>
      </c>
      <c r="B6137" s="38"/>
      <c r="C6137" s="23" t="s">
        <v>1844</v>
      </c>
      <c r="D6137" s="23" t="s">
        <v>21</v>
      </c>
      <c r="E6137" s="24">
        <v>45491.0</v>
      </c>
      <c r="F6137" s="25">
        <v>0.2638888888888889</v>
      </c>
      <c r="G6137" s="25">
        <v>0.7152777777777778</v>
      </c>
      <c r="H6137" s="27">
        <f t="shared" si="4"/>
        <v>0.4513888889</v>
      </c>
      <c r="I6137" s="28">
        <v>2.0</v>
      </c>
      <c r="J6137" s="39" t="s">
        <v>3058</v>
      </c>
      <c r="K6137" s="41"/>
      <c r="L6137" s="31" t="str">
        <f>IFERROR(__xludf.DUMMYFUNCTION("IF(OR(E6137="""",K6137=""""),"""",IFERROR(IF(K6137="""","""",query('tbl user'!$A$2:$D10975,""SELECT A WHERE D = '""&amp;K6137&amp;""'"")),""USER TIDAK DIKETAHUI""))"),"")</f>
        <v/>
      </c>
    </row>
    <row r="6138">
      <c r="A6138" s="21" t="str">
        <f t="shared" si="3"/>
        <v/>
      </c>
      <c r="B6138" s="38"/>
      <c r="C6138" s="23" t="s">
        <v>1851</v>
      </c>
      <c r="D6138" s="23" t="s">
        <v>21</v>
      </c>
      <c r="E6138" s="24">
        <v>45491.0</v>
      </c>
      <c r="F6138" s="25">
        <v>0.27291666666666664</v>
      </c>
      <c r="G6138" s="25">
        <v>0.6520833333333333</v>
      </c>
      <c r="H6138" s="27">
        <f t="shared" si="4"/>
        <v>0.3791666667</v>
      </c>
      <c r="I6138" s="28">
        <v>3.0</v>
      </c>
      <c r="J6138" s="39" t="s">
        <v>3059</v>
      </c>
      <c r="K6138" s="41"/>
      <c r="L6138" s="31" t="str">
        <f>IFERROR(__xludf.DUMMYFUNCTION("IF(OR(E6138="""",K6138=""""),"""",IFERROR(IF(K6138="""","""",query('tbl user'!$A$2:$D10975,""SELECT A WHERE D = '""&amp;K6138&amp;""'"")),""USER TIDAK DIKETAHUI""))"),"")</f>
        <v/>
      </c>
    </row>
    <row r="6139">
      <c r="A6139" s="21" t="str">
        <f t="shared" si="3"/>
        <v/>
      </c>
      <c r="B6139" s="38"/>
      <c r="C6139" s="23" t="s">
        <v>1853</v>
      </c>
      <c r="D6139" s="23" t="s">
        <v>21</v>
      </c>
      <c r="E6139" s="24">
        <v>45491.0</v>
      </c>
      <c r="F6139" s="25">
        <v>0.27569444444444446</v>
      </c>
      <c r="G6139" s="25">
        <v>0.6805555555555556</v>
      </c>
      <c r="H6139" s="27">
        <f t="shared" si="4"/>
        <v>0.4048611111</v>
      </c>
      <c r="I6139" s="28">
        <v>3.0</v>
      </c>
      <c r="J6139" s="39" t="s">
        <v>3060</v>
      </c>
      <c r="K6139" s="41"/>
      <c r="L6139" s="31" t="str">
        <f>IFERROR(__xludf.DUMMYFUNCTION("IF(OR(E6139="""",K6139=""""),"""",IFERROR(IF(K6139="""","""",query('tbl user'!$A$2:$D10975,""SELECT A WHERE D = '""&amp;K6139&amp;""'"")),""USER TIDAK DIKETAHUI""))"),"")</f>
        <v/>
      </c>
    </row>
    <row r="6140">
      <c r="A6140" s="21" t="str">
        <f t="shared" si="3"/>
        <v/>
      </c>
      <c r="B6140" s="38"/>
      <c r="C6140" s="23" t="s">
        <v>1920</v>
      </c>
      <c r="D6140" s="23" t="s">
        <v>21</v>
      </c>
      <c r="E6140" s="24">
        <v>45491.0</v>
      </c>
      <c r="F6140" s="25">
        <v>0.28958333333333336</v>
      </c>
      <c r="G6140" s="25">
        <v>0.6659722222222222</v>
      </c>
      <c r="H6140" s="27">
        <f t="shared" si="4"/>
        <v>0.3763888889</v>
      </c>
      <c r="I6140" s="28">
        <v>3.0</v>
      </c>
      <c r="J6140" s="39" t="s">
        <v>3061</v>
      </c>
      <c r="K6140" s="41"/>
      <c r="L6140" s="31" t="str">
        <f>IFERROR(__xludf.DUMMYFUNCTION("IF(OR(E6140="""",K6140=""""),"""",IFERROR(IF(K6140="""","""",query('tbl user'!$A$2:$D10975,""SELECT A WHERE D = '""&amp;K6140&amp;""'"")),""USER TIDAK DIKETAHUI""))"),"")</f>
        <v/>
      </c>
    </row>
    <row r="6141">
      <c r="A6141" s="21" t="str">
        <f t="shared" si="3"/>
        <v/>
      </c>
      <c r="B6141" s="38"/>
      <c r="C6141" s="23" t="s">
        <v>1835</v>
      </c>
      <c r="D6141" s="23" t="s">
        <v>21</v>
      </c>
      <c r="E6141" s="24">
        <v>45491.0</v>
      </c>
      <c r="F6141" s="25">
        <v>0.2708333333333333</v>
      </c>
      <c r="G6141" s="25">
        <v>0.6868055555555556</v>
      </c>
      <c r="H6141" s="27">
        <f t="shared" si="4"/>
        <v>0.4159722222</v>
      </c>
      <c r="I6141" s="28">
        <v>3.0</v>
      </c>
      <c r="J6141" s="39" t="s">
        <v>3060</v>
      </c>
      <c r="K6141" s="41"/>
      <c r="L6141" s="31" t="str">
        <f>IFERROR(__xludf.DUMMYFUNCTION("IF(OR(E6141="""",K6141=""""),"""",IFERROR(IF(K6141="""","""",query('tbl user'!$A$2:$D10975,""SELECT A WHERE D = '""&amp;K6141&amp;""'"")),""USER TIDAK DIKETAHUI""))"),"")</f>
        <v/>
      </c>
    </row>
    <row r="6142">
      <c r="A6142" s="21" t="str">
        <f t="shared" si="3"/>
        <v/>
      </c>
      <c r="B6142" s="38"/>
      <c r="C6142" s="23" t="s">
        <v>1925</v>
      </c>
      <c r="D6142" s="23" t="s">
        <v>21</v>
      </c>
      <c r="E6142" s="24">
        <v>45491.0</v>
      </c>
      <c r="F6142" s="25">
        <v>0.25277777777777777</v>
      </c>
      <c r="G6142" s="25">
        <v>0.6722222222222223</v>
      </c>
      <c r="H6142" s="27">
        <f t="shared" si="4"/>
        <v>0.4194444444</v>
      </c>
      <c r="I6142" s="28">
        <v>3.0</v>
      </c>
      <c r="J6142" s="39" t="s">
        <v>3060</v>
      </c>
      <c r="K6142" s="41"/>
      <c r="L6142" s="31" t="str">
        <f>IFERROR(__xludf.DUMMYFUNCTION("IF(OR(E6142="""",K6142=""""),"""",IFERROR(IF(K6142="""","""",query('tbl user'!$A$2:$D10975,""SELECT A WHERE D = '""&amp;K6142&amp;""'"")),""USER TIDAK DIKETAHUI""))"),"")</f>
        <v/>
      </c>
    </row>
    <row r="6143">
      <c r="A6143" s="21" t="str">
        <f t="shared" si="3"/>
        <v/>
      </c>
      <c r="B6143" s="38"/>
      <c r="C6143" s="23" t="s">
        <v>1857</v>
      </c>
      <c r="D6143" s="23" t="s">
        <v>21</v>
      </c>
      <c r="E6143" s="24">
        <v>45491.0</v>
      </c>
      <c r="F6143" s="25">
        <v>0.27569444444444446</v>
      </c>
      <c r="G6143" s="25">
        <v>0.7020833333333333</v>
      </c>
      <c r="H6143" s="27">
        <f t="shared" si="4"/>
        <v>0.4263888889</v>
      </c>
      <c r="I6143" s="28">
        <v>3.0</v>
      </c>
      <c r="J6143" s="39" t="s">
        <v>3060</v>
      </c>
      <c r="K6143" s="41"/>
      <c r="L6143" s="31" t="str">
        <f>IFERROR(__xludf.DUMMYFUNCTION("IF(OR(E6143="""",K6143=""""),"""",IFERROR(IF(K6143="""","""",query('tbl user'!$A$2:$D10975,""SELECT A WHERE D = '""&amp;K6143&amp;""'"")),""USER TIDAK DIKETAHUI""))"),"")</f>
        <v/>
      </c>
    </row>
    <row r="6144">
      <c r="A6144" s="21" t="str">
        <f t="shared" si="3"/>
        <v/>
      </c>
      <c r="B6144" s="38"/>
      <c r="C6144" s="23" t="s">
        <v>1837</v>
      </c>
      <c r="D6144" s="23" t="s">
        <v>21</v>
      </c>
      <c r="E6144" s="24">
        <v>45491.0</v>
      </c>
      <c r="F6144" s="25">
        <v>0.27361111111111114</v>
      </c>
      <c r="G6144" s="25">
        <v>0.7034722222222223</v>
      </c>
      <c r="H6144" s="27">
        <f t="shared" si="4"/>
        <v>0.4298611111</v>
      </c>
      <c r="I6144" s="28">
        <v>3.0</v>
      </c>
      <c r="J6144" s="39" t="s">
        <v>3062</v>
      </c>
      <c r="K6144" s="41"/>
      <c r="L6144" s="31" t="str">
        <f>IFERROR(__xludf.DUMMYFUNCTION("IF(OR(E6144="""",K6144=""""),"""",IFERROR(IF(K6144="""","""",query('tbl user'!$A$2:$D10975,""SELECT A WHERE D = '""&amp;K6144&amp;""'"")),""USER TIDAK DIKETAHUI""))"),"")</f>
        <v/>
      </c>
    </row>
    <row r="6145">
      <c r="A6145" s="21" t="str">
        <f t="shared" si="3"/>
        <v/>
      </c>
      <c r="B6145" s="38"/>
      <c r="C6145" s="23" t="s">
        <v>1849</v>
      </c>
      <c r="D6145" s="23" t="s">
        <v>21</v>
      </c>
      <c r="E6145" s="24">
        <v>45491.0</v>
      </c>
      <c r="F6145" s="25">
        <v>0.3284722222222222</v>
      </c>
      <c r="G6145" s="25">
        <v>0.70625</v>
      </c>
      <c r="H6145" s="27">
        <f t="shared" si="4"/>
        <v>0.3777777778</v>
      </c>
      <c r="I6145" s="28">
        <v>3.0</v>
      </c>
      <c r="J6145" s="39" t="s">
        <v>3063</v>
      </c>
      <c r="K6145" s="41"/>
      <c r="L6145" s="31" t="str">
        <f>IFERROR(__xludf.DUMMYFUNCTION("IF(OR(E6145="""",K6145=""""),"""",IFERROR(IF(K6145="""","""",query('tbl user'!$A$2:$D10975,""SELECT A WHERE D = '""&amp;K6145&amp;""'"")),""USER TIDAK DIKETAHUI""))"),"")</f>
        <v/>
      </c>
    </row>
    <row r="6146">
      <c r="A6146" s="21" t="str">
        <f t="shared" si="3"/>
        <v/>
      </c>
      <c r="B6146" s="38"/>
      <c r="C6146" s="23" t="s">
        <v>2002</v>
      </c>
      <c r="D6146" s="23" t="s">
        <v>21</v>
      </c>
      <c r="E6146" s="24">
        <v>45491.0</v>
      </c>
      <c r="F6146" s="25">
        <v>0.2638888888888889</v>
      </c>
      <c r="G6146" s="25">
        <v>0.7291666666666666</v>
      </c>
      <c r="H6146" s="27">
        <f t="shared" si="4"/>
        <v>0.4652777778</v>
      </c>
      <c r="I6146" s="28">
        <v>4.0</v>
      </c>
      <c r="J6146" s="39" t="s">
        <v>3060</v>
      </c>
      <c r="K6146" s="41"/>
      <c r="L6146" s="31" t="str">
        <f>IFERROR(__xludf.DUMMYFUNCTION("IF(OR(E6146="""",K6146=""""),"""",IFERROR(IF(K6146="""","""",query('tbl user'!$A$2:$D10975,""SELECT A WHERE D = '""&amp;K6146&amp;""'"")),""USER TIDAK DIKETAHUI""))"),"")</f>
        <v/>
      </c>
    </row>
    <row r="6147">
      <c r="A6147" s="21" t="str">
        <f t="shared" si="3"/>
        <v/>
      </c>
      <c r="B6147" s="38"/>
      <c r="C6147" s="23" t="s">
        <v>1922</v>
      </c>
      <c r="D6147" s="23" t="s">
        <v>21</v>
      </c>
      <c r="E6147" s="24">
        <v>45491.0</v>
      </c>
      <c r="F6147" s="25">
        <v>0.2375</v>
      </c>
      <c r="G6147" s="25">
        <v>0.7416666666666667</v>
      </c>
      <c r="H6147" s="27">
        <f t="shared" si="4"/>
        <v>0.5041666667</v>
      </c>
      <c r="I6147" s="28">
        <v>4.0</v>
      </c>
      <c r="J6147" s="39" t="s">
        <v>3060</v>
      </c>
      <c r="K6147" s="41"/>
      <c r="L6147" s="31" t="str">
        <f>IFERROR(__xludf.DUMMYFUNCTION("IF(OR(E6147="""",K6147=""""),"""",IFERROR(IF(K6147="""","""",query('tbl user'!$A$2:$D10975,""SELECT A WHERE D = '""&amp;K6147&amp;""'"")),""USER TIDAK DIKETAHUI""))"),"")</f>
        <v/>
      </c>
    </row>
    <row r="6148">
      <c r="A6148" s="21" t="str">
        <f t="shared" si="3"/>
        <v/>
      </c>
      <c r="B6148" s="38"/>
      <c r="C6148" s="23" t="s">
        <v>2049</v>
      </c>
      <c r="D6148" s="23" t="s">
        <v>21</v>
      </c>
      <c r="E6148" s="24">
        <v>45491.0</v>
      </c>
      <c r="F6148" s="25">
        <v>0.2222222222222222</v>
      </c>
      <c r="G6148" s="25">
        <v>0.675</v>
      </c>
      <c r="H6148" s="27">
        <f t="shared" si="4"/>
        <v>0.4527777778</v>
      </c>
      <c r="I6148" s="28">
        <v>4.0</v>
      </c>
      <c r="J6148" s="39" t="s">
        <v>3060</v>
      </c>
      <c r="K6148" s="41"/>
      <c r="L6148" s="31" t="str">
        <f>IFERROR(__xludf.DUMMYFUNCTION("IF(OR(E6148="""",K6148=""""),"""",IFERROR(IF(K6148="""","""",query('tbl user'!$A$2:$D10975,""SELECT A WHERE D = '""&amp;K6148&amp;""'"")),""USER TIDAK DIKETAHUI""))"),"")</f>
        <v/>
      </c>
    </row>
    <row r="6149">
      <c r="A6149" s="21" t="str">
        <f t="shared" si="3"/>
        <v/>
      </c>
      <c r="B6149" s="38"/>
      <c r="C6149" s="23" t="s">
        <v>1847</v>
      </c>
      <c r="D6149" s="23" t="s">
        <v>21</v>
      </c>
      <c r="E6149" s="24">
        <v>45491.0</v>
      </c>
      <c r="F6149" s="25">
        <v>0.2361111111111111</v>
      </c>
      <c r="G6149" s="25">
        <v>0.7291666666666666</v>
      </c>
      <c r="H6149" s="27">
        <f t="shared" si="4"/>
        <v>0.4930555556</v>
      </c>
      <c r="I6149" s="28">
        <v>4.0</v>
      </c>
      <c r="J6149" s="39" t="s">
        <v>3060</v>
      </c>
      <c r="K6149" s="41"/>
      <c r="L6149" s="31" t="str">
        <f>IFERROR(__xludf.DUMMYFUNCTION("IF(OR(E6149="""",K6149=""""),"""",IFERROR(IF(K6149="""","""",query('tbl user'!$A$2:$D10975,""SELECT A WHERE D = '""&amp;K6149&amp;""'"")),""USER TIDAK DIKETAHUI""))"),"")</f>
        <v/>
      </c>
    </row>
    <row r="6150">
      <c r="A6150" s="21" t="str">
        <f t="shared" si="3"/>
        <v/>
      </c>
      <c r="B6150" s="38"/>
      <c r="C6150" s="23" t="s">
        <v>1850</v>
      </c>
      <c r="D6150" s="23" t="s">
        <v>21</v>
      </c>
      <c r="E6150" s="24">
        <v>45491.0</v>
      </c>
      <c r="F6150" s="25">
        <v>0.22916666666666666</v>
      </c>
      <c r="G6150" s="25">
        <v>0.7361111111111112</v>
      </c>
      <c r="H6150" s="27">
        <f t="shared" si="4"/>
        <v>0.5069444444</v>
      </c>
      <c r="I6150" s="28">
        <v>4.0</v>
      </c>
      <c r="J6150" s="39" t="s">
        <v>3064</v>
      </c>
      <c r="K6150" s="41"/>
      <c r="L6150" s="31" t="str">
        <f>IFERROR(__xludf.DUMMYFUNCTION("IF(OR(E6150="""",K6150=""""),"""",IFERROR(IF(K6150="""","""",query('tbl user'!$A$2:$D10975,""SELECT A WHERE D = '""&amp;K6150&amp;""'"")),""USER TIDAK DIKETAHUI""))"),"")</f>
        <v/>
      </c>
    </row>
    <row r="6151">
      <c r="A6151" s="21" t="str">
        <f t="shared" si="3"/>
        <v/>
      </c>
      <c r="B6151" s="38"/>
      <c r="C6151" s="23" t="s">
        <v>1852</v>
      </c>
      <c r="D6151" s="23" t="s">
        <v>21</v>
      </c>
      <c r="E6151" s="24">
        <v>45491.0</v>
      </c>
      <c r="F6151" s="25">
        <v>0.23819444444444443</v>
      </c>
      <c r="G6151" s="25">
        <v>0.66875</v>
      </c>
      <c r="H6151" s="27">
        <f t="shared" si="4"/>
        <v>0.4305555556</v>
      </c>
      <c r="I6151" s="28">
        <v>4.0</v>
      </c>
      <c r="J6151" s="39" t="s">
        <v>2233</v>
      </c>
      <c r="K6151" s="41"/>
      <c r="L6151" s="31" t="str">
        <f>IFERROR(__xludf.DUMMYFUNCTION("IF(OR(E6151="""",K6151=""""),"""",IFERROR(IF(K6151="""","""",query('tbl user'!$A$2:$D10975,""SELECT A WHERE D = '""&amp;K6151&amp;""'"")),""USER TIDAK DIKETAHUI""))"),"")</f>
        <v/>
      </c>
    </row>
    <row r="6152">
      <c r="A6152" s="21" t="str">
        <f t="shared" si="3"/>
        <v/>
      </c>
      <c r="B6152" s="38"/>
      <c r="C6152" s="23" t="s">
        <v>1917</v>
      </c>
      <c r="D6152" s="23" t="s">
        <v>21</v>
      </c>
      <c r="E6152" s="24">
        <v>45491.0</v>
      </c>
      <c r="F6152" s="25">
        <v>0.24305555555555555</v>
      </c>
      <c r="G6152" s="25">
        <v>0.6458333333333334</v>
      </c>
      <c r="H6152" s="27">
        <f t="shared" si="4"/>
        <v>0.4027777778</v>
      </c>
      <c r="I6152" s="28">
        <v>4.0</v>
      </c>
      <c r="J6152" s="39" t="s">
        <v>2233</v>
      </c>
      <c r="K6152" s="41"/>
      <c r="L6152" s="31" t="str">
        <f>IFERROR(__xludf.DUMMYFUNCTION("IF(OR(E6152="""",K6152=""""),"""",IFERROR(IF(K6152="""","""",query('tbl user'!$A$2:$D10975,""SELECT A WHERE D = '""&amp;K6152&amp;""'"")),""USER TIDAK DIKETAHUI""))"),"")</f>
        <v/>
      </c>
    </row>
    <row r="6153">
      <c r="A6153" s="21" t="str">
        <f t="shared" si="3"/>
        <v/>
      </c>
      <c r="B6153" s="38"/>
      <c r="C6153" s="23" t="s">
        <v>1841</v>
      </c>
      <c r="D6153" s="23" t="s">
        <v>21</v>
      </c>
      <c r="E6153" s="24">
        <v>45491.0</v>
      </c>
      <c r="F6153" s="25">
        <v>0.25277777777777777</v>
      </c>
      <c r="G6153" s="25">
        <v>0.7041666666666667</v>
      </c>
      <c r="H6153" s="27">
        <f t="shared" si="4"/>
        <v>0.4513888889</v>
      </c>
      <c r="I6153" s="28">
        <v>4.0</v>
      </c>
      <c r="J6153" s="39" t="s">
        <v>3065</v>
      </c>
      <c r="K6153" s="41"/>
      <c r="L6153" s="31" t="str">
        <f>IFERROR(__xludf.DUMMYFUNCTION("IF(OR(E6153="""",K6153=""""),"""",IFERROR(IF(K6153="""","""",query('tbl user'!$A$2:$D10975,""SELECT A WHERE D = '""&amp;K6153&amp;""'"")),""USER TIDAK DIKETAHUI""))"),"")</f>
        <v/>
      </c>
    </row>
    <row r="6154">
      <c r="A6154" s="21" t="str">
        <f t="shared" si="3"/>
        <v/>
      </c>
      <c r="B6154" s="38"/>
      <c r="C6154" s="23" t="s">
        <v>1886</v>
      </c>
      <c r="D6154" s="23" t="s">
        <v>58</v>
      </c>
      <c r="E6154" s="24">
        <v>45491.0</v>
      </c>
      <c r="F6154" s="25">
        <v>0.23958333333333334</v>
      </c>
      <c r="G6154" s="28" t="s">
        <v>3066</v>
      </c>
      <c r="H6154" s="27" t="str">
        <f t="shared" si="4"/>
        <v/>
      </c>
      <c r="I6154" s="28">
        <v>1.0</v>
      </c>
      <c r="J6154" s="39" t="s">
        <v>3067</v>
      </c>
      <c r="K6154" s="41"/>
      <c r="L6154" s="31" t="str">
        <f>IFERROR(__xludf.DUMMYFUNCTION("IF(OR(E6154="""",K6154=""""),"""",IFERROR(IF(K6154="""","""",query('tbl user'!$A$2:$D10975,""SELECT A WHERE D = '""&amp;K6154&amp;""'"")),""USER TIDAK DIKETAHUI""))"),"")</f>
        <v/>
      </c>
    </row>
    <row r="6155">
      <c r="A6155" s="21" t="str">
        <f t="shared" si="3"/>
        <v/>
      </c>
      <c r="B6155" s="38"/>
      <c r="C6155" s="23" t="s">
        <v>1893</v>
      </c>
      <c r="D6155" s="23" t="s">
        <v>58</v>
      </c>
      <c r="E6155" s="24">
        <v>45491.0</v>
      </c>
      <c r="F6155" s="25">
        <v>0.28958333333333336</v>
      </c>
      <c r="G6155" s="25">
        <v>0.5284722222222222</v>
      </c>
      <c r="H6155" s="27">
        <f t="shared" si="4"/>
        <v>0.2388888889</v>
      </c>
      <c r="I6155" s="28">
        <v>1.0</v>
      </c>
      <c r="J6155" s="39" t="s">
        <v>3068</v>
      </c>
      <c r="K6155" s="41"/>
      <c r="L6155" s="31" t="str">
        <f>IFERROR(__xludf.DUMMYFUNCTION("IF(OR(E6155="""",K6155=""""),"""",IFERROR(IF(K6155="""","""",query('tbl user'!$A$2:$D10975,""SELECT A WHERE D = '""&amp;K6155&amp;""'"")),""USER TIDAK DIKETAHUI""))"),"")</f>
        <v/>
      </c>
    </row>
    <row r="6156">
      <c r="A6156" s="21" t="str">
        <f t="shared" si="3"/>
        <v/>
      </c>
      <c r="B6156" s="38"/>
      <c r="C6156" s="23" t="s">
        <v>1890</v>
      </c>
      <c r="D6156" s="23" t="s">
        <v>58</v>
      </c>
      <c r="E6156" s="24">
        <v>45491.0</v>
      </c>
      <c r="F6156" s="25">
        <v>0.22708333333333333</v>
      </c>
      <c r="G6156" s="25">
        <v>0.4861111111111111</v>
      </c>
      <c r="H6156" s="27">
        <f t="shared" si="4"/>
        <v>0.2590277778</v>
      </c>
      <c r="I6156" s="28">
        <v>1.0</v>
      </c>
      <c r="J6156" s="39" t="s">
        <v>3069</v>
      </c>
      <c r="K6156" s="41"/>
      <c r="L6156" s="31" t="str">
        <f>IFERROR(__xludf.DUMMYFUNCTION("IF(OR(E6156="""",K6156=""""),"""",IFERROR(IF(K6156="""","""",query('tbl user'!$A$2:$D10975,""SELECT A WHERE D = '""&amp;K6156&amp;""'"")),""USER TIDAK DIKETAHUI""))"),"")</f>
        <v/>
      </c>
    </row>
    <row r="6157">
      <c r="A6157" s="21" t="str">
        <f t="shared" si="3"/>
        <v/>
      </c>
      <c r="B6157" s="38"/>
      <c r="C6157" s="23" t="s">
        <v>1874</v>
      </c>
      <c r="D6157" s="23" t="s">
        <v>58</v>
      </c>
      <c r="E6157" s="24">
        <v>45491.0</v>
      </c>
      <c r="F6157" s="25">
        <v>0.2548611111111111</v>
      </c>
      <c r="G6157" s="25">
        <v>0.6583333333333333</v>
      </c>
      <c r="H6157" s="27">
        <f t="shared" si="4"/>
        <v>0.4034722222</v>
      </c>
      <c r="I6157" s="28">
        <v>2.0</v>
      </c>
      <c r="J6157" s="39" t="s">
        <v>3070</v>
      </c>
      <c r="K6157" s="41"/>
      <c r="L6157" s="31" t="str">
        <f>IFERROR(__xludf.DUMMYFUNCTION("IF(OR(E6157="""",K6157=""""),"""",IFERROR(IF(K6157="""","""",query('tbl user'!$A$2:$D10975,""SELECT A WHERE D = '""&amp;K6157&amp;""'"")),""USER TIDAK DIKETAHUI""))"),"")</f>
        <v/>
      </c>
    </row>
    <row r="6158">
      <c r="A6158" s="21" t="str">
        <f t="shared" si="3"/>
        <v/>
      </c>
      <c r="B6158" s="38"/>
      <c r="C6158" s="23" t="s">
        <v>1875</v>
      </c>
      <c r="D6158" s="23" t="s">
        <v>58</v>
      </c>
      <c r="E6158" s="24">
        <v>45491.0</v>
      </c>
      <c r="F6158" s="25">
        <v>0.2361111111111111</v>
      </c>
      <c r="G6158" s="25">
        <v>0.5902777777777778</v>
      </c>
      <c r="H6158" s="27">
        <f t="shared" si="4"/>
        <v>0.3541666667</v>
      </c>
      <c r="I6158" s="28">
        <v>2.0</v>
      </c>
      <c r="J6158" s="39" t="s">
        <v>3071</v>
      </c>
      <c r="K6158" s="41"/>
      <c r="L6158" s="31" t="str">
        <f>IFERROR(__xludf.DUMMYFUNCTION("IF(OR(E6158="""",K6158=""""),"""",IFERROR(IF(K6158="""","""",query('tbl user'!$A$2:$D10975,""SELECT A WHERE D = '""&amp;K6158&amp;""'"")),""USER TIDAK DIKETAHUI""))"),"")</f>
        <v/>
      </c>
    </row>
    <row r="6159">
      <c r="A6159" s="21" t="str">
        <f t="shared" si="3"/>
        <v/>
      </c>
      <c r="B6159" s="38"/>
      <c r="C6159" s="23" t="s">
        <v>1865</v>
      </c>
      <c r="D6159" s="23" t="s">
        <v>58</v>
      </c>
      <c r="E6159" s="24">
        <v>45491.0</v>
      </c>
      <c r="F6159" s="25">
        <v>0.25277777777777777</v>
      </c>
      <c r="G6159" s="25">
        <v>0.6527777777777778</v>
      </c>
      <c r="H6159" s="27">
        <f t="shared" si="4"/>
        <v>0.4</v>
      </c>
      <c r="I6159" s="28">
        <v>2.0</v>
      </c>
      <c r="J6159" s="39" t="s">
        <v>3072</v>
      </c>
      <c r="K6159" s="41"/>
      <c r="L6159" s="31" t="str">
        <f>IFERROR(__xludf.DUMMYFUNCTION("IF(OR(E6159="""",K6159=""""),"""",IFERROR(IF(K6159="""","""",query('tbl user'!$A$2:$D10975,""SELECT A WHERE D = '""&amp;K6159&amp;""'"")),""USER TIDAK DIKETAHUI""))"),"")</f>
        <v/>
      </c>
    </row>
    <row r="6160">
      <c r="A6160" s="21" t="str">
        <f t="shared" si="3"/>
        <v/>
      </c>
      <c r="B6160" s="38"/>
      <c r="C6160" s="23" t="s">
        <v>1867</v>
      </c>
      <c r="D6160" s="23" t="s">
        <v>58</v>
      </c>
      <c r="E6160" s="24">
        <v>45491.0</v>
      </c>
      <c r="F6160" s="25">
        <v>0.23958333333333334</v>
      </c>
      <c r="G6160" s="25">
        <v>0.6548611111111111</v>
      </c>
      <c r="H6160" s="27">
        <f t="shared" si="4"/>
        <v>0.4152777778</v>
      </c>
      <c r="I6160" s="28">
        <v>2.0</v>
      </c>
      <c r="J6160" s="39" t="s">
        <v>3073</v>
      </c>
      <c r="K6160" s="41"/>
      <c r="L6160" s="31" t="str">
        <f>IFERROR(__xludf.DUMMYFUNCTION("IF(OR(E6160="""",K6160=""""),"""",IFERROR(IF(K6160="""","""",query('tbl user'!$A$2:$D10975,""SELECT A WHERE D = '""&amp;K6160&amp;""'"")),""USER TIDAK DIKETAHUI""))"),"")</f>
        <v/>
      </c>
    </row>
    <row r="6161">
      <c r="A6161" s="21" t="str">
        <f t="shared" si="3"/>
        <v/>
      </c>
      <c r="B6161" s="38"/>
      <c r="C6161" s="23" t="s">
        <v>1941</v>
      </c>
      <c r="D6161" s="23" t="s">
        <v>58</v>
      </c>
      <c r="E6161" s="24">
        <v>45491.0</v>
      </c>
      <c r="F6161" s="25">
        <v>0.2569444444444444</v>
      </c>
      <c r="G6161" s="25">
        <v>0.6902777777777778</v>
      </c>
      <c r="H6161" s="27">
        <f t="shared" si="4"/>
        <v>0.4333333333</v>
      </c>
      <c r="I6161" s="28">
        <v>2.0</v>
      </c>
      <c r="J6161" s="39" t="s">
        <v>3074</v>
      </c>
      <c r="K6161" s="41"/>
      <c r="L6161" s="31" t="str">
        <f>IFERROR(__xludf.DUMMYFUNCTION("IF(OR(E6161="""",K6161=""""),"""",IFERROR(IF(K6161="""","""",query('tbl user'!$A$2:$D10975,""SELECT A WHERE D = '""&amp;K6161&amp;""'"")),""USER TIDAK DIKETAHUI""))"),"")</f>
        <v/>
      </c>
    </row>
    <row r="6162">
      <c r="A6162" s="21" t="str">
        <f t="shared" si="3"/>
        <v/>
      </c>
      <c r="B6162" s="38"/>
      <c r="C6162" s="23" t="s">
        <v>1863</v>
      </c>
      <c r="D6162" s="23" t="s">
        <v>58</v>
      </c>
      <c r="E6162" s="24">
        <v>45491.0</v>
      </c>
      <c r="F6162" s="25">
        <v>0.22916666666666666</v>
      </c>
      <c r="G6162" s="25">
        <v>0.5979166666666667</v>
      </c>
      <c r="H6162" s="27">
        <f t="shared" si="4"/>
        <v>0.36875</v>
      </c>
      <c r="I6162" s="28">
        <v>2.0</v>
      </c>
      <c r="J6162" s="39" t="s">
        <v>3075</v>
      </c>
      <c r="K6162" s="41"/>
      <c r="L6162" s="31" t="str">
        <f>IFERROR(__xludf.DUMMYFUNCTION("IF(OR(E6162="""",K6162=""""),"""",IFERROR(IF(K6162="""","""",query('tbl user'!$A$2:$D10975,""SELECT A WHERE D = '""&amp;K6162&amp;""'"")),""USER TIDAK DIKETAHUI""))"),"")</f>
        <v/>
      </c>
    </row>
    <row r="6163">
      <c r="A6163" s="21" t="str">
        <f t="shared" si="3"/>
        <v/>
      </c>
      <c r="B6163" s="38"/>
      <c r="C6163" s="23" t="s">
        <v>1887</v>
      </c>
      <c r="D6163" s="23" t="s">
        <v>58</v>
      </c>
      <c r="E6163" s="24">
        <v>45491.0</v>
      </c>
      <c r="F6163" s="25">
        <v>0.2847222222222222</v>
      </c>
      <c r="G6163" s="25">
        <v>0.6590277777777778</v>
      </c>
      <c r="H6163" s="27">
        <f t="shared" si="4"/>
        <v>0.3743055556</v>
      </c>
      <c r="I6163" s="28">
        <v>2.0</v>
      </c>
      <c r="J6163" s="39" t="s">
        <v>3076</v>
      </c>
      <c r="K6163" s="41"/>
      <c r="L6163" s="31" t="str">
        <f>IFERROR(__xludf.DUMMYFUNCTION("IF(OR(E6163="""",K6163=""""),"""",IFERROR(IF(K6163="""","""",query('tbl user'!$A$2:$D10975,""SELECT A WHERE D = '""&amp;K6163&amp;""'"")),""USER TIDAK DIKETAHUI""))"),"")</f>
        <v/>
      </c>
    </row>
    <row r="6164">
      <c r="A6164" s="21" t="str">
        <f t="shared" si="3"/>
        <v/>
      </c>
      <c r="B6164" s="38"/>
      <c r="C6164" s="23" t="s">
        <v>1888</v>
      </c>
      <c r="D6164" s="23" t="s">
        <v>58</v>
      </c>
      <c r="E6164" s="24">
        <v>45491.0</v>
      </c>
      <c r="F6164" s="25">
        <v>0.23819444444444443</v>
      </c>
      <c r="G6164" s="25">
        <v>0.6388888888888888</v>
      </c>
      <c r="H6164" s="27">
        <f t="shared" si="4"/>
        <v>0.4006944444</v>
      </c>
      <c r="I6164" s="28">
        <v>2.0</v>
      </c>
      <c r="J6164" s="39" t="s">
        <v>3077</v>
      </c>
      <c r="K6164" s="41"/>
      <c r="L6164" s="31" t="str">
        <f>IFERROR(__xludf.DUMMYFUNCTION("IF(OR(E6164="""",K6164=""""),"""",IFERROR(IF(K6164="""","""",query('tbl user'!$A$2:$D10975,""SELECT A WHERE D = '""&amp;K6164&amp;""'"")),""USER TIDAK DIKETAHUI""))"),"")</f>
        <v/>
      </c>
    </row>
    <row r="6165">
      <c r="A6165" s="21" t="str">
        <f t="shared" si="3"/>
        <v/>
      </c>
      <c r="B6165" s="38"/>
      <c r="C6165" s="23" t="s">
        <v>1871</v>
      </c>
      <c r="D6165" s="23" t="s">
        <v>58</v>
      </c>
      <c r="E6165" s="24">
        <v>45491.0</v>
      </c>
      <c r="F6165" s="25">
        <v>0.2388888888888889</v>
      </c>
      <c r="G6165" s="25">
        <v>0.6555555555555556</v>
      </c>
      <c r="H6165" s="27">
        <f t="shared" si="4"/>
        <v>0.4166666667</v>
      </c>
      <c r="I6165" s="28">
        <v>2.0</v>
      </c>
      <c r="J6165" s="39" t="s">
        <v>3078</v>
      </c>
      <c r="K6165" s="41"/>
      <c r="L6165" s="31" t="str">
        <f>IFERROR(__xludf.DUMMYFUNCTION("IF(OR(E6165="""",K6165=""""),"""",IFERROR(IF(K6165="""","""",query('tbl user'!$A$2:$D10975,""SELECT A WHERE D = '""&amp;K6165&amp;""'"")),""USER TIDAK DIKETAHUI""))"),"")</f>
        <v/>
      </c>
    </row>
    <row r="6166">
      <c r="A6166" s="21" t="str">
        <f t="shared" si="3"/>
        <v/>
      </c>
      <c r="B6166" s="38"/>
      <c r="C6166" s="23" t="s">
        <v>1872</v>
      </c>
      <c r="D6166" s="23" t="s">
        <v>58</v>
      </c>
      <c r="E6166" s="24">
        <v>45491.0</v>
      </c>
      <c r="F6166" s="25">
        <v>0.24305555555555555</v>
      </c>
      <c r="G6166" s="25">
        <v>0.6604166666666667</v>
      </c>
      <c r="H6166" s="27">
        <f t="shared" si="4"/>
        <v>0.4173611111</v>
      </c>
      <c r="I6166" s="28">
        <v>2.0</v>
      </c>
      <c r="J6166" s="39" t="s">
        <v>3079</v>
      </c>
      <c r="K6166" s="41"/>
      <c r="L6166" s="31" t="str">
        <f>IFERROR(__xludf.DUMMYFUNCTION("IF(OR(E6166="""",K6166=""""),"""",IFERROR(IF(K6166="""","""",query('tbl user'!$A$2:$D10975,""SELECT A WHERE D = '""&amp;K6166&amp;""'"")),""USER TIDAK DIKETAHUI""))"),"")</f>
        <v/>
      </c>
    </row>
    <row r="6167">
      <c r="A6167" s="21" t="str">
        <f t="shared" si="3"/>
        <v/>
      </c>
      <c r="B6167" s="38"/>
      <c r="C6167" s="23" t="s">
        <v>2090</v>
      </c>
      <c r="D6167" s="23" t="s">
        <v>58</v>
      </c>
      <c r="E6167" s="24">
        <v>45491.0</v>
      </c>
      <c r="F6167" s="25">
        <v>0.23402777777777778</v>
      </c>
      <c r="G6167" s="25">
        <v>0.6527777777777778</v>
      </c>
      <c r="H6167" s="27">
        <f t="shared" si="4"/>
        <v>0.41875</v>
      </c>
      <c r="I6167" s="28">
        <v>2.0</v>
      </c>
      <c r="J6167" s="39" t="s">
        <v>3080</v>
      </c>
      <c r="K6167" s="41"/>
      <c r="L6167" s="31" t="str">
        <f>IFERROR(__xludf.DUMMYFUNCTION("IF(OR(E6167="""",K6167=""""),"""",IFERROR(IF(K6167="""","""",query('tbl user'!$A$2:$D10975,""SELECT A WHERE D = '""&amp;K6167&amp;""'"")),""USER TIDAK DIKETAHUI""))"),"")</f>
        <v/>
      </c>
    </row>
    <row r="6168">
      <c r="A6168" s="21" t="str">
        <f t="shared" si="3"/>
        <v/>
      </c>
      <c r="B6168" s="38"/>
      <c r="C6168" s="23" t="s">
        <v>1861</v>
      </c>
      <c r="D6168" s="23" t="s">
        <v>58</v>
      </c>
      <c r="E6168" s="24">
        <v>45491.0</v>
      </c>
      <c r="F6168" s="25">
        <v>0.23194444444444445</v>
      </c>
      <c r="G6168" s="25">
        <v>0.6583333333333333</v>
      </c>
      <c r="H6168" s="27">
        <f t="shared" si="4"/>
        <v>0.4263888889</v>
      </c>
      <c r="I6168" s="28">
        <v>2.0</v>
      </c>
      <c r="J6168" s="39" t="s">
        <v>3080</v>
      </c>
      <c r="K6168" s="41"/>
      <c r="L6168" s="31" t="str">
        <f>IFERROR(__xludf.DUMMYFUNCTION("IF(OR(E6168="""",K6168=""""),"""",IFERROR(IF(K6168="""","""",query('tbl user'!$A$2:$D10975,""SELECT A WHERE D = '""&amp;K6168&amp;""'"")),""USER TIDAK DIKETAHUI""))"),"")</f>
        <v/>
      </c>
    </row>
    <row r="6169">
      <c r="A6169" s="21" t="str">
        <f t="shared" si="3"/>
        <v/>
      </c>
      <c r="B6169" s="38"/>
      <c r="C6169" s="23" t="s">
        <v>1881</v>
      </c>
      <c r="D6169" s="23" t="s">
        <v>58</v>
      </c>
      <c r="E6169" s="24">
        <v>45491.0</v>
      </c>
      <c r="F6169" s="25">
        <v>0.2152777777777778</v>
      </c>
      <c r="G6169" s="25">
        <v>0.6916666666666667</v>
      </c>
      <c r="H6169" s="27">
        <f t="shared" si="4"/>
        <v>0.4763888889</v>
      </c>
      <c r="I6169" s="28">
        <v>3.0</v>
      </c>
      <c r="J6169" s="39" t="s">
        <v>3081</v>
      </c>
      <c r="K6169" s="41"/>
      <c r="L6169" s="31" t="str">
        <f>IFERROR(__xludf.DUMMYFUNCTION("IF(OR(E6169="""",K6169=""""),"""",IFERROR(IF(K6169="""","""",query('tbl user'!$A$2:$D10975,""SELECT A WHERE D = '""&amp;K6169&amp;""'"")),""USER TIDAK DIKETAHUI""))"),"")</f>
        <v/>
      </c>
    </row>
    <row r="6170">
      <c r="A6170" s="21" t="str">
        <f t="shared" si="3"/>
        <v/>
      </c>
      <c r="B6170" s="38"/>
      <c r="C6170" s="23" t="s">
        <v>1882</v>
      </c>
      <c r="D6170" s="23" t="s">
        <v>58</v>
      </c>
      <c r="E6170" s="24">
        <v>45491.0</v>
      </c>
      <c r="F6170" s="25">
        <v>0.21736111111111112</v>
      </c>
      <c r="G6170" s="25">
        <v>0.7041666666666667</v>
      </c>
      <c r="H6170" s="27">
        <f t="shared" si="4"/>
        <v>0.4868055556</v>
      </c>
      <c r="I6170" s="28">
        <v>3.0</v>
      </c>
      <c r="J6170" s="39" t="s">
        <v>3081</v>
      </c>
      <c r="K6170" s="41"/>
      <c r="L6170" s="31" t="str">
        <f>IFERROR(__xludf.DUMMYFUNCTION("IF(OR(E6170="""",K6170=""""),"""",IFERROR(IF(K6170="""","""",query('tbl user'!$A$2:$D10975,""SELECT A WHERE D = '""&amp;K6170&amp;""'"")),""USER TIDAK DIKETAHUI""))"),"")</f>
        <v/>
      </c>
    </row>
    <row r="6171">
      <c r="A6171" s="21" t="str">
        <f t="shared" si="3"/>
        <v/>
      </c>
      <c r="B6171" s="38"/>
      <c r="C6171" s="23" t="s">
        <v>1884</v>
      </c>
      <c r="D6171" s="23" t="s">
        <v>58</v>
      </c>
      <c r="E6171" s="24">
        <v>45491.0</v>
      </c>
      <c r="F6171" s="25">
        <v>0.225</v>
      </c>
      <c r="G6171" s="25">
        <v>0.7305555555555555</v>
      </c>
      <c r="H6171" s="27">
        <f t="shared" si="4"/>
        <v>0.5055555556</v>
      </c>
      <c r="I6171" s="28">
        <v>3.0</v>
      </c>
      <c r="J6171" s="39" t="s">
        <v>3081</v>
      </c>
      <c r="K6171" s="41"/>
      <c r="L6171" s="31" t="str">
        <f>IFERROR(__xludf.DUMMYFUNCTION("IF(OR(E6171="""",K6171=""""),"""",IFERROR(IF(K6171="""","""",query('tbl user'!$A$2:$D10975,""SELECT A WHERE D = '""&amp;K6171&amp;""'"")),""USER TIDAK DIKETAHUI""))"),"")</f>
        <v/>
      </c>
    </row>
    <row r="6172">
      <c r="A6172" s="21" t="str">
        <f t="shared" si="3"/>
        <v/>
      </c>
      <c r="B6172" s="38"/>
      <c r="C6172" s="23" t="s">
        <v>1891</v>
      </c>
      <c r="D6172" s="23" t="s">
        <v>58</v>
      </c>
      <c r="E6172" s="24">
        <v>45491.0</v>
      </c>
      <c r="F6172" s="25">
        <v>0.24791666666666667</v>
      </c>
      <c r="G6172" s="25">
        <v>0.7138888888888889</v>
      </c>
      <c r="H6172" s="27">
        <f t="shared" si="4"/>
        <v>0.4659722222</v>
      </c>
      <c r="I6172" s="28">
        <v>3.0</v>
      </c>
      <c r="J6172" s="39" t="s">
        <v>3081</v>
      </c>
      <c r="K6172" s="41"/>
      <c r="L6172" s="31" t="str">
        <f>IFERROR(__xludf.DUMMYFUNCTION("IF(OR(E6172="""",K6172=""""),"""",IFERROR(IF(K6172="""","""",query('tbl user'!$A$2:$D10975,""SELECT A WHERE D = '""&amp;K6172&amp;""'"")),""USER TIDAK DIKETAHUI""))"),"")</f>
        <v/>
      </c>
    </row>
    <row r="6173">
      <c r="A6173" s="21" t="str">
        <f t="shared" si="3"/>
        <v/>
      </c>
      <c r="B6173" s="38"/>
      <c r="C6173" s="23" t="s">
        <v>1957</v>
      </c>
      <c r="D6173" s="23" t="s">
        <v>32</v>
      </c>
      <c r="E6173" s="24">
        <v>45491.0</v>
      </c>
      <c r="F6173" s="25">
        <v>0.25277777777777777</v>
      </c>
      <c r="G6173" s="25">
        <v>0.41388888888888886</v>
      </c>
      <c r="H6173" s="27">
        <f t="shared" si="4"/>
        <v>0.1611111111</v>
      </c>
      <c r="I6173" s="28">
        <v>1.0</v>
      </c>
      <c r="J6173" s="39" t="s">
        <v>3082</v>
      </c>
      <c r="K6173" s="41"/>
      <c r="L6173" s="31" t="str">
        <f>IFERROR(__xludf.DUMMYFUNCTION("IF(OR(E6173="""",K6173=""""),"""",IFERROR(IF(K6173="""","""",query('tbl user'!$A$2:$D10975,""SELECT A WHERE D = '""&amp;K6173&amp;""'"")),""USER TIDAK DIKETAHUI""))"),"")</f>
        <v/>
      </c>
    </row>
    <row r="6174">
      <c r="A6174" s="21" t="str">
        <f t="shared" si="3"/>
        <v/>
      </c>
      <c r="B6174" s="38"/>
      <c r="C6174" s="23" t="s">
        <v>2190</v>
      </c>
      <c r="D6174" s="23" t="s">
        <v>32</v>
      </c>
      <c r="E6174" s="24">
        <v>45491.0</v>
      </c>
      <c r="F6174" s="25">
        <v>0.4152777777777778</v>
      </c>
      <c r="G6174" s="25">
        <v>0.6576388888888889</v>
      </c>
      <c r="H6174" s="27">
        <f t="shared" si="4"/>
        <v>0.2423611111</v>
      </c>
      <c r="I6174" s="28">
        <v>2.0</v>
      </c>
      <c r="J6174" s="39" t="s">
        <v>3083</v>
      </c>
      <c r="K6174" s="41"/>
      <c r="L6174" s="31" t="str">
        <f>IFERROR(__xludf.DUMMYFUNCTION("IF(OR(E6174="""",K6174=""""),"""",IFERROR(IF(K6174="""","""",query('tbl user'!$A$2:$D10975,""SELECT A WHERE D = '""&amp;K6174&amp;""'"")),""USER TIDAK DIKETAHUI""))"),"")</f>
        <v/>
      </c>
    </row>
    <row r="6175">
      <c r="A6175" s="21" t="str">
        <f t="shared" si="3"/>
        <v/>
      </c>
      <c r="B6175" s="38"/>
      <c r="C6175" s="23" t="s">
        <v>1912</v>
      </c>
      <c r="D6175" s="23" t="s">
        <v>32</v>
      </c>
      <c r="E6175" s="24">
        <v>45491.0</v>
      </c>
      <c r="F6175" s="25">
        <v>0.3958333333333333</v>
      </c>
      <c r="G6175" s="25">
        <v>0.6715277777777777</v>
      </c>
      <c r="H6175" s="27">
        <f t="shared" si="4"/>
        <v>0.2756944444</v>
      </c>
      <c r="I6175" s="28">
        <v>2.0</v>
      </c>
      <c r="J6175" s="39" t="s">
        <v>3084</v>
      </c>
      <c r="K6175" s="41"/>
      <c r="L6175" s="31" t="str">
        <f>IFERROR(__xludf.DUMMYFUNCTION("IF(OR(E6175="""",K6175=""""),"""",IFERROR(IF(K6175="""","""",query('tbl user'!$A$2:$D10975,""SELECT A WHERE D = '""&amp;K6175&amp;""'"")),""USER TIDAK DIKETAHUI""))"),"")</f>
        <v/>
      </c>
    </row>
    <row r="6176">
      <c r="A6176" s="21" t="str">
        <f t="shared" si="3"/>
        <v/>
      </c>
      <c r="B6176" s="38"/>
      <c r="C6176" s="23" t="s">
        <v>2252</v>
      </c>
      <c r="D6176" s="23" t="s">
        <v>32</v>
      </c>
      <c r="E6176" s="24">
        <v>45491.0</v>
      </c>
      <c r="F6176" s="25">
        <v>0.26319444444444445</v>
      </c>
      <c r="G6176" s="25">
        <v>0.6944444444444444</v>
      </c>
      <c r="H6176" s="27">
        <f t="shared" si="4"/>
        <v>0.43125</v>
      </c>
      <c r="I6176" s="28">
        <v>3.0</v>
      </c>
      <c r="J6176" s="39" t="s">
        <v>3085</v>
      </c>
      <c r="K6176" s="41"/>
      <c r="L6176" s="31" t="str">
        <f>IFERROR(__xludf.DUMMYFUNCTION("IF(OR(E6176="""",K6176=""""),"""",IFERROR(IF(K6176="""","""",query('tbl user'!$A$2:$D10975,""SELECT A WHERE D = '""&amp;K6176&amp;""'"")),""USER TIDAK DIKETAHUI""))"),"")</f>
        <v/>
      </c>
    </row>
    <row r="6177">
      <c r="A6177" s="21" t="str">
        <f t="shared" si="3"/>
        <v/>
      </c>
      <c r="B6177" s="38"/>
      <c r="C6177" s="23" t="s">
        <v>1896</v>
      </c>
      <c r="D6177" s="23" t="s">
        <v>32</v>
      </c>
      <c r="E6177" s="24">
        <v>45491.0</v>
      </c>
      <c r="F6177" s="25">
        <v>0.2902777777777778</v>
      </c>
      <c r="G6177" s="25">
        <v>0.6680555555555555</v>
      </c>
      <c r="H6177" s="27">
        <f t="shared" si="4"/>
        <v>0.3777777778</v>
      </c>
      <c r="I6177" s="28">
        <v>3.0</v>
      </c>
      <c r="J6177" s="39" t="s">
        <v>3086</v>
      </c>
      <c r="K6177" s="41"/>
      <c r="L6177" s="31" t="str">
        <f>IFERROR(__xludf.DUMMYFUNCTION("IF(OR(E6177="""",K6177=""""),"""",IFERROR(IF(K6177="""","""",query('tbl user'!$A$2:$D10975,""SELECT A WHERE D = '""&amp;K6177&amp;""'"")),""USER TIDAK DIKETAHUI""))"),"")</f>
        <v/>
      </c>
    </row>
    <row r="6178">
      <c r="A6178" s="21" t="str">
        <f t="shared" si="3"/>
        <v/>
      </c>
      <c r="B6178" s="38"/>
      <c r="C6178" s="23" t="s">
        <v>1904</v>
      </c>
      <c r="D6178" s="23" t="s">
        <v>32</v>
      </c>
      <c r="E6178" s="24">
        <v>45491.0</v>
      </c>
      <c r="F6178" s="25">
        <v>0.27361111111111114</v>
      </c>
      <c r="G6178" s="25">
        <v>0.625</v>
      </c>
      <c r="H6178" s="27">
        <f t="shared" si="4"/>
        <v>0.3513888889</v>
      </c>
      <c r="I6178" s="28">
        <v>3.0</v>
      </c>
      <c r="J6178" s="39" t="s">
        <v>3087</v>
      </c>
      <c r="K6178" s="41"/>
      <c r="L6178" s="31" t="str">
        <f>IFERROR(__xludf.DUMMYFUNCTION("IF(OR(E6178="""",K6178=""""),"""",IFERROR(IF(K6178="""","""",query('tbl user'!$A$2:$D10975,""SELECT A WHERE D = '""&amp;K6178&amp;""'"")),""USER TIDAK DIKETAHUI""))"),"")</f>
        <v/>
      </c>
    </row>
    <row r="6179">
      <c r="A6179" s="21" t="str">
        <f t="shared" si="3"/>
        <v/>
      </c>
      <c r="B6179" s="38"/>
      <c r="C6179" s="23" t="s">
        <v>1954</v>
      </c>
      <c r="D6179" s="23" t="s">
        <v>32</v>
      </c>
      <c r="E6179" s="24">
        <v>45491.0</v>
      </c>
      <c r="F6179" s="25">
        <v>0.2548611111111111</v>
      </c>
      <c r="G6179" s="25">
        <v>0.5979166666666667</v>
      </c>
      <c r="H6179" s="27">
        <f t="shared" si="4"/>
        <v>0.3430555556</v>
      </c>
      <c r="I6179" s="28">
        <v>3.0</v>
      </c>
      <c r="J6179" s="39" t="s">
        <v>3088</v>
      </c>
      <c r="K6179" s="41"/>
      <c r="L6179" s="31" t="str">
        <f>IFERROR(__xludf.DUMMYFUNCTION("IF(OR(E6179="""",K6179=""""),"""",IFERROR(IF(K6179="""","""",query('tbl user'!$A$2:$D10975,""SELECT A WHERE D = '""&amp;K6179&amp;""'"")),""USER TIDAK DIKETAHUI""))"),"")</f>
        <v/>
      </c>
    </row>
    <row r="6180">
      <c r="A6180" s="21" t="str">
        <f t="shared" si="3"/>
        <v/>
      </c>
      <c r="B6180" s="38"/>
      <c r="C6180" s="23" t="s">
        <v>1908</v>
      </c>
      <c r="D6180" s="23" t="s">
        <v>32</v>
      </c>
      <c r="E6180" s="24">
        <v>45491.0</v>
      </c>
      <c r="F6180" s="25">
        <v>0.28958333333333336</v>
      </c>
      <c r="G6180" s="25">
        <v>0.6569444444444444</v>
      </c>
      <c r="H6180" s="27">
        <f t="shared" si="4"/>
        <v>0.3673611111</v>
      </c>
      <c r="I6180" s="28">
        <v>3.0</v>
      </c>
      <c r="J6180" s="39" t="s">
        <v>3089</v>
      </c>
      <c r="K6180" s="41"/>
      <c r="L6180" s="31" t="str">
        <f>IFERROR(__xludf.DUMMYFUNCTION("IF(OR(E6180="""",K6180=""""),"""",IFERROR(IF(K6180="""","""",query('tbl user'!$A$2:$D10975,""SELECT A WHERE D = '""&amp;K6180&amp;""'"")),""USER TIDAK DIKETAHUI""))"),"")</f>
        <v/>
      </c>
    </row>
    <row r="6181">
      <c r="A6181" s="21" t="str">
        <f t="shared" si="3"/>
        <v/>
      </c>
      <c r="B6181" s="38"/>
      <c r="C6181" s="23" t="s">
        <v>1962</v>
      </c>
      <c r="D6181" s="23" t="s">
        <v>32</v>
      </c>
      <c r="E6181" s="24">
        <v>45491.0</v>
      </c>
      <c r="F6181" s="25">
        <v>0.25069444444444444</v>
      </c>
      <c r="G6181" s="25">
        <v>0.6944444444444444</v>
      </c>
      <c r="H6181" s="27">
        <f t="shared" si="4"/>
        <v>0.44375</v>
      </c>
      <c r="I6181" s="28">
        <v>4.0</v>
      </c>
      <c r="J6181" s="39" t="s">
        <v>3090</v>
      </c>
      <c r="K6181" s="41"/>
      <c r="L6181" s="31" t="str">
        <f>IFERROR(__xludf.DUMMYFUNCTION("IF(OR(E6181="""",K6181=""""),"""",IFERROR(IF(K6181="""","""",query('tbl user'!$A$2:$D10975,""SELECT A WHERE D = '""&amp;K6181&amp;""'"")),""USER TIDAK DIKETAHUI""))"),"")</f>
        <v/>
      </c>
    </row>
    <row r="6182">
      <c r="A6182" s="21" t="str">
        <f t="shared" si="3"/>
        <v/>
      </c>
      <c r="B6182" s="38"/>
      <c r="C6182" s="23" t="s">
        <v>2066</v>
      </c>
      <c r="D6182" s="23" t="s">
        <v>32</v>
      </c>
      <c r="E6182" s="24">
        <v>45491.0</v>
      </c>
      <c r="F6182" s="25">
        <v>0.27291666666666664</v>
      </c>
      <c r="G6182" s="25">
        <v>0.7138888888888889</v>
      </c>
      <c r="H6182" s="27">
        <f t="shared" si="4"/>
        <v>0.4409722222</v>
      </c>
      <c r="I6182" s="28">
        <v>4.0</v>
      </c>
      <c r="J6182" s="39" t="s">
        <v>3090</v>
      </c>
      <c r="K6182" s="41"/>
      <c r="L6182" s="31" t="str">
        <f>IFERROR(__xludf.DUMMYFUNCTION("IF(OR(E6182="""",K6182=""""),"""",IFERROR(IF(K6182="""","""",query('tbl user'!$A$2:$D10975,""SELECT A WHERE D = '""&amp;K6182&amp;""'"")),""USER TIDAK DIKETAHUI""))"),"")</f>
        <v/>
      </c>
    </row>
    <row r="6183">
      <c r="A6183" s="21" t="str">
        <f t="shared" si="3"/>
        <v/>
      </c>
      <c r="B6183" s="38"/>
      <c r="C6183" s="23" t="s">
        <v>1959</v>
      </c>
      <c r="D6183" s="23" t="s">
        <v>32</v>
      </c>
      <c r="E6183" s="24">
        <v>45491.0</v>
      </c>
      <c r="F6183" s="25">
        <v>0.2520833333333333</v>
      </c>
      <c r="G6183" s="25">
        <v>0.70625</v>
      </c>
      <c r="H6183" s="27">
        <f t="shared" si="4"/>
        <v>0.4541666667</v>
      </c>
      <c r="I6183" s="28">
        <v>4.0</v>
      </c>
      <c r="J6183" s="39" t="s">
        <v>3090</v>
      </c>
      <c r="K6183" s="41"/>
      <c r="L6183" s="31" t="str">
        <f>IFERROR(__xludf.DUMMYFUNCTION("IF(OR(E6183="""",K6183=""""),"""",IFERROR(IF(K6183="""","""",query('tbl user'!$A$2:$D10975,""SELECT A WHERE D = '""&amp;K6183&amp;""'"")),""USER TIDAK DIKETAHUI""))"),"")</f>
        <v/>
      </c>
    </row>
    <row r="6184">
      <c r="A6184" s="21" t="str">
        <f t="shared" si="3"/>
        <v/>
      </c>
      <c r="B6184" s="38"/>
      <c r="C6184" s="23" t="s">
        <v>1966</v>
      </c>
      <c r="D6184" s="23" t="s">
        <v>32</v>
      </c>
      <c r="E6184" s="24">
        <v>45491.0</v>
      </c>
      <c r="F6184" s="25">
        <v>0.25069444444444444</v>
      </c>
      <c r="G6184" s="25">
        <v>0.7416666666666667</v>
      </c>
      <c r="H6184" s="27">
        <f t="shared" si="4"/>
        <v>0.4909722222</v>
      </c>
      <c r="I6184" s="28">
        <v>4.0</v>
      </c>
      <c r="J6184" s="39" t="s">
        <v>3090</v>
      </c>
      <c r="K6184" s="41"/>
      <c r="L6184" s="31" t="str">
        <f>IFERROR(__xludf.DUMMYFUNCTION("IF(OR(E6184="""",K6184=""""),"""",IFERROR(IF(K6184="""","""",query('tbl user'!$A$2:$D10975,""SELECT A WHERE D = '""&amp;K6184&amp;""'"")),""USER TIDAK DIKETAHUI""))"),"")</f>
        <v/>
      </c>
    </row>
    <row r="6185">
      <c r="A6185" s="21" t="str">
        <f t="shared" si="3"/>
        <v/>
      </c>
      <c r="B6185" s="38"/>
      <c r="C6185" s="23" t="s">
        <v>1894</v>
      </c>
      <c r="D6185" s="23" t="s">
        <v>32</v>
      </c>
      <c r="E6185" s="24">
        <v>45491.0</v>
      </c>
      <c r="F6185" s="25">
        <v>0.2222222222222222</v>
      </c>
      <c r="G6185" s="25">
        <v>0.7305555555555555</v>
      </c>
      <c r="H6185" s="27">
        <f t="shared" si="4"/>
        <v>0.5083333333</v>
      </c>
      <c r="I6185" s="28">
        <v>4.0</v>
      </c>
      <c r="J6185" s="39" t="s">
        <v>3091</v>
      </c>
      <c r="K6185" s="41"/>
      <c r="L6185" s="31" t="str">
        <f>IFERROR(__xludf.DUMMYFUNCTION("IF(OR(E6185="""",K6185=""""),"""",IFERROR(IF(K6185="""","""",query('tbl user'!$A$2:$D10975,""SELECT A WHERE D = '""&amp;K6185&amp;""'"")),""USER TIDAK DIKETAHUI""))"),"")</f>
        <v/>
      </c>
    </row>
    <row r="6186">
      <c r="A6186" s="21" t="str">
        <f t="shared" si="3"/>
        <v/>
      </c>
      <c r="B6186" s="38"/>
      <c r="C6186" s="23" t="s">
        <v>1905</v>
      </c>
      <c r="D6186" s="23" t="s">
        <v>32</v>
      </c>
      <c r="E6186" s="24">
        <v>45491.0</v>
      </c>
      <c r="F6186" s="25">
        <v>0.22430555555555556</v>
      </c>
      <c r="G6186" s="25">
        <v>0.6763888888888889</v>
      </c>
      <c r="H6186" s="27">
        <f t="shared" si="4"/>
        <v>0.4520833333</v>
      </c>
      <c r="I6186" s="28">
        <v>4.0</v>
      </c>
      <c r="J6186" s="39" t="s">
        <v>3090</v>
      </c>
      <c r="K6186" s="41"/>
      <c r="L6186" s="31" t="str">
        <f>IFERROR(__xludf.DUMMYFUNCTION("IF(OR(E6186="""",K6186=""""),"""",IFERROR(IF(K6186="""","""",query('tbl user'!$A$2:$D10975,""SELECT A WHERE D = '""&amp;K6186&amp;""'"")),""USER TIDAK DIKETAHUI""))"),"")</f>
        <v/>
      </c>
    </row>
    <row r="6187">
      <c r="A6187" s="21" t="str">
        <f t="shared" si="3"/>
        <v/>
      </c>
      <c r="B6187" s="38"/>
      <c r="C6187" s="23" t="s">
        <v>1907</v>
      </c>
      <c r="D6187" s="23" t="s">
        <v>32</v>
      </c>
      <c r="E6187" s="24">
        <v>45491.0</v>
      </c>
      <c r="F6187" s="25">
        <v>0.22708333333333333</v>
      </c>
      <c r="G6187" s="25">
        <v>0.6395833333333333</v>
      </c>
      <c r="H6187" s="27">
        <f t="shared" si="4"/>
        <v>0.4125</v>
      </c>
      <c r="I6187" s="28">
        <v>4.0</v>
      </c>
      <c r="J6187" s="39" t="s">
        <v>3092</v>
      </c>
      <c r="K6187" s="41"/>
      <c r="L6187" s="31" t="str">
        <f>IFERROR(__xludf.DUMMYFUNCTION("IF(OR(E6187="""",K6187=""""),"""",IFERROR(IF(K6187="""","""",query('tbl user'!$A$2:$D10975,""SELECT A WHERE D = '""&amp;K6187&amp;""'"")),""USER TIDAK DIKETAHUI""))"),"")</f>
        <v/>
      </c>
    </row>
    <row r="6188">
      <c r="A6188" s="21" t="str">
        <f t="shared" si="3"/>
        <v/>
      </c>
      <c r="B6188" s="38"/>
      <c r="C6188" s="23" t="s">
        <v>1913</v>
      </c>
      <c r="D6188" s="23" t="s">
        <v>32</v>
      </c>
      <c r="E6188" s="24">
        <v>45491.0</v>
      </c>
      <c r="F6188" s="25">
        <v>0.22916666666666666</v>
      </c>
      <c r="G6188" s="25">
        <v>0.6576388888888889</v>
      </c>
      <c r="H6188" s="27">
        <f t="shared" si="4"/>
        <v>0.4284722222</v>
      </c>
      <c r="I6188" s="28">
        <v>4.0</v>
      </c>
      <c r="J6188" s="39" t="s">
        <v>3093</v>
      </c>
      <c r="K6188" s="41"/>
      <c r="L6188" s="31" t="str">
        <f>IFERROR(__xludf.DUMMYFUNCTION("IF(OR(E6188="""",K6188=""""),"""",IFERROR(IF(K6188="""","""",query('tbl user'!$A$2:$D10975,""SELECT A WHERE D = '""&amp;K6188&amp;""'"")),""USER TIDAK DIKETAHUI""))"),"")</f>
        <v/>
      </c>
    </row>
    <row r="6189">
      <c r="A6189" s="21" t="str">
        <f t="shared" si="3"/>
        <v/>
      </c>
      <c r="B6189" s="38"/>
      <c r="C6189" s="23" t="s">
        <v>1900</v>
      </c>
      <c r="D6189" s="23" t="s">
        <v>32</v>
      </c>
      <c r="E6189" s="24">
        <v>45491.0</v>
      </c>
      <c r="F6189" s="25">
        <v>0.23402777777777778</v>
      </c>
      <c r="G6189" s="25">
        <v>0.7173611111111111</v>
      </c>
      <c r="H6189" s="27">
        <f t="shared" si="4"/>
        <v>0.4833333333</v>
      </c>
      <c r="I6189" s="28">
        <v>4.0</v>
      </c>
      <c r="J6189" s="39" t="s">
        <v>3090</v>
      </c>
      <c r="K6189" s="41"/>
      <c r="L6189" s="31" t="str">
        <f>IFERROR(__xludf.DUMMYFUNCTION("IF(OR(E6189="""",K6189=""""),"""",IFERROR(IF(K6189="""","""",query('tbl user'!$A$2:$D10975,""SELECT A WHERE D = '""&amp;K6189&amp;""'"")),""USER TIDAK DIKETAHUI""))"),"")</f>
        <v/>
      </c>
    </row>
    <row r="6190">
      <c r="A6190" s="21" t="str">
        <f t="shared" si="3"/>
        <v/>
      </c>
      <c r="B6190" s="38"/>
      <c r="C6190" s="23" t="s">
        <v>1909</v>
      </c>
      <c r="D6190" s="23" t="s">
        <v>32</v>
      </c>
      <c r="E6190" s="24">
        <v>45491.0</v>
      </c>
      <c r="F6190" s="25">
        <v>0.24583333333333332</v>
      </c>
      <c r="G6190" s="25">
        <v>0.7041666666666667</v>
      </c>
      <c r="H6190" s="27">
        <f t="shared" si="4"/>
        <v>0.4583333333</v>
      </c>
      <c r="I6190" s="28">
        <v>4.0</v>
      </c>
      <c r="J6190" s="39" t="s">
        <v>3090</v>
      </c>
      <c r="K6190" s="41"/>
      <c r="L6190" s="31" t="str">
        <f>IFERROR(__xludf.DUMMYFUNCTION("IF(OR(E6190="""",K6190=""""),"""",IFERROR(IF(K6190="""","""",query('tbl user'!$A$2:$D10975,""SELECT A WHERE D = '""&amp;K6190&amp;""'"")),""USER TIDAK DIKETAHUI""))"),"")</f>
        <v/>
      </c>
    </row>
    <row r="6191">
      <c r="A6191" s="21" t="str">
        <f t="shared" si="3"/>
        <v/>
      </c>
      <c r="B6191" s="38"/>
      <c r="C6191" s="23" t="s">
        <v>2002</v>
      </c>
      <c r="D6191" s="23" t="s">
        <v>21</v>
      </c>
      <c r="E6191" s="24">
        <v>45492.0</v>
      </c>
      <c r="F6191" s="25">
        <v>0.28125</v>
      </c>
      <c r="G6191" s="25">
        <v>0.43125</v>
      </c>
      <c r="H6191" s="27">
        <f t="shared" si="4"/>
        <v>0.15</v>
      </c>
      <c r="I6191" s="28">
        <v>1.0</v>
      </c>
      <c r="J6191" s="39" t="s">
        <v>3094</v>
      </c>
      <c r="K6191" s="41"/>
      <c r="L6191" s="31" t="str">
        <f>IFERROR(__xludf.DUMMYFUNCTION("IF(OR(E6191="""",K6191=""""),"""",IFERROR(IF(K6191="""","""",query('tbl user'!$A$2:$D10975,""SELECT A WHERE D = '""&amp;K6191&amp;""'"")),""USER TIDAK DIKETAHUI""))"),"")</f>
        <v/>
      </c>
    </row>
    <row r="6192">
      <c r="A6192" s="21" t="str">
        <f t="shared" si="3"/>
        <v/>
      </c>
      <c r="B6192" s="38"/>
      <c r="C6192" s="23" t="s">
        <v>1922</v>
      </c>
      <c r="D6192" s="23" t="s">
        <v>21</v>
      </c>
      <c r="E6192" s="24">
        <v>45492.0</v>
      </c>
      <c r="F6192" s="25">
        <v>0.21319444444444444</v>
      </c>
      <c r="G6192" s="25">
        <v>0.4236111111111111</v>
      </c>
      <c r="H6192" s="27">
        <f t="shared" si="4"/>
        <v>0.2104166667</v>
      </c>
      <c r="I6192" s="28">
        <v>1.0</v>
      </c>
      <c r="J6192" s="39" t="s">
        <v>3095</v>
      </c>
      <c r="K6192" s="41"/>
      <c r="L6192" s="31" t="str">
        <f>IFERROR(__xludf.DUMMYFUNCTION("IF(OR(E6192="""",K6192=""""),"""",IFERROR(IF(K6192="""","""",query('tbl user'!$A$2:$D10975,""SELECT A WHERE D = '""&amp;K6192&amp;""'"")),""USER TIDAK DIKETAHUI""))"),"")</f>
        <v/>
      </c>
    </row>
    <row r="6193">
      <c r="A6193" s="21" t="str">
        <f t="shared" si="3"/>
        <v/>
      </c>
      <c r="B6193" s="38"/>
      <c r="C6193" s="23" t="s">
        <v>2628</v>
      </c>
      <c r="D6193" s="23" t="s">
        <v>21</v>
      </c>
      <c r="E6193" s="24">
        <v>45492.0</v>
      </c>
      <c r="F6193" s="25">
        <v>0.2902777777777778</v>
      </c>
      <c r="G6193" s="25">
        <v>0.53125</v>
      </c>
      <c r="H6193" s="27">
        <f t="shared" si="4"/>
        <v>0.2409722222</v>
      </c>
      <c r="I6193" s="28">
        <v>1.0</v>
      </c>
      <c r="J6193" s="39" t="s">
        <v>3096</v>
      </c>
      <c r="K6193" s="41"/>
      <c r="L6193" s="31" t="str">
        <f>IFERROR(__xludf.DUMMYFUNCTION("IF(OR(E6193="""",K6193=""""),"""",IFERROR(IF(K6193="""","""",query('tbl user'!$A$2:$D10975,""SELECT A WHERE D = '""&amp;K6193&amp;""'"")),""USER TIDAK DIKETAHUI""))"),"")</f>
        <v/>
      </c>
    </row>
    <row r="6194">
      <c r="A6194" s="21" t="str">
        <f t="shared" si="3"/>
        <v/>
      </c>
      <c r="B6194" s="38"/>
      <c r="C6194" s="23" t="s">
        <v>1844</v>
      </c>
      <c r="D6194" s="23" t="s">
        <v>21</v>
      </c>
      <c r="E6194" s="24">
        <v>45492.0</v>
      </c>
      <c r="F6194" s="25">
        <v>0.24166666666666667</v>
      </c>
      <c r="G6194" s="25">
        <v>0.4375</v>
      </c>
      <c r="H6194" s="27">
        <f t="shared" si="4"/>
        <v>0.1958333333</v>
      </c>
      <c r="I6194" s="28">
        <v>1.0</v>
      </c>
      <c r="J6194" s="39" t="s">
        <v>3097</v>
      </c>
      <c r="K6194" s="41"/>
      <c r="L6194" s="31" t="str">
        <f>IFERROR(__xludf.DUMMYFUNCTION("IF(OR(E6194="""",K6194=""""),"""",IFERROR(IF(K6194="""","""",query('tbl user'!$A$2:$D10975,""SELECT A WHERE D = '""&amp;K6194&amp;""'"")),""USER TIDAK DIKETAHUI""))"),"")</f>
        <v/>
      </c>
    </row>
    <row r="6195">
      <c r="A6195" s="21" t="str">
        <f t="shared" si="3"/>
        <v/>
      </c>
      <c r="B6195" s="38"/>
      <c r="C6195" s="23" t="s">
        <v>1835</v>
      </c>
      <c r="D6195" s="23" t="s">
        <v>21</v>
      </c>
      <c r="E6195" s="24">
        <v>45492.0</v>
      </c>
      <c r="F6195" s="25">
        <v>0.2361111111111111</v>
      </c>
      <c r="G6195" s="25">
        <v>0.4444444444444444</v>
      </c>
      <c r="H6195" s="27">
        <f t="shared" si="4"/>
        <v>0.2083333333</v>
      </c>
      <c r="I6195" s="28">
        <v>1.0</v>
      </c>
      <c r="J6195" s="39" t="s">
        <v>3098</v>
      </c>
      <c r="K6195" s="41"/>
      <c r="L6195" s="31" t="str">
        <f>IFERROR(__xludf.DUMMYFUNCTION("IF(OR(E6195="""",K6195=""""),"""",IFERROR(IF(K6195="""","""",query('tbl user'!$A$2:$D10975,""SELECT A WHERE D = '""&amp;K6195&amp;""'"")),""USER TIDAK DIKETAHUI""))"),"")</f>
        <v/>
      </c>
    </row>
    <row r="6196">
      <c r="A6196" s="21" t="str">
        <f t="shared" si="3"/>
        <v/>
      </c>
      <c r="B6196" s="38"/>
      <c r="C6196" s="23" t="s">
        <v>1925</v>
      </c>
      <c r="D6196" s="23" t="s">
        <v>21</v>
      </c>
      <c r="E6196" s="24">
        <v>45492.0</v>
      </c>
      <c r="F6196" s="25">
        <v>0.2611111111111111</v>
      </c>
      <c r="G6196" s="25">
        <v>0.44305555555555554</v>
      </c>
      <c r="H6196" s="27">
        <f t="shared" si="4"/>
        <v>0.1819444444</v>
      </c>
      <c r="I6196" s="28">
        <v>1.0</v>
      </c>
      <c r="J6196" s="39" t="s">
        <v>3099</v>
      </c>
      <c r="K6196" s="41"/>
      <c r="L6196" s="31" t="str">
        <f>IFERROR(__xludf.DUMMYFUNCTION("IF(OR(E6196="""",K6196=""""),"""",IFERROR(IF(K6196="""","""",query('tbl user'!$A$2:$D10975,""SELECT A WHERE D = '""&amp;K6196&amp;""'"")),""USER TIDAK DIKETAHUI""))"),"")</f>
        <v/>
      </c>
    </row>
    <row r="6197">
      <c r="A6197" s="21" t="str">
        <f t="shared" si="3"/>
        <v/>
      </c>
      <c r="B6197" s="38"/>
      <c r="C6197" s="23" t="s">
        <v>1857</v>
      </c>
      <c r="D6197" s="23" t="s">
        <v>21</v>
      </c>
      <c r="E6197" s="24">
        <v>45492.0</v>
      </c>
      <c r="F6197" s="25">
        <v>0.24583333333333332</v>
      </c>
      <c r="G6197" s="25">
        <v>0.4444444444444444</v>
      </c>
      <c r="H6197" s="27">
        <f t="shared" si="4"/>
        <v>0.1986111111</v>
      </c>
      <c r="I6197" s="28">
        <v>1.0</v>
      </c>
      <c r="J6197" s="39" t="s">
        <v>3100</v>
      </c>
      <c r="K6197" s="41"/>
      <c r="L6197" s="31" t="str">
        <f>IFERROR(__xludf.DUMMYFUNCTION("IF(OR(E6197="""",K6197=""""),"""",IFERROR(IF(K6197="""","""",query('tbl user'!$A$2:$D10975,""SELECT A WHERE D = '""&amp;K6197&amp;""'"")),""USER TIDAK DIKETAHUI""))"),"")</f>
        <v/>
      </c>
    </row>
    <row r="6198">
      <c r="A6198" s="21" t="str">
        <f t="shared" si="3"/>
        <v/>
      </c>
      <c r="B6198" s="38"/>
      <c r="C6198" s="23" t="s">
        <v>2049</v>
      </c>
      <c r="D6198" s="23" t="s">
        <v>21</v>
      </c>
      <c r="E6198" s="24">
        <v>45492.0</v>
      </c>
      <c r="F6198" s="25">
        <v>0.21805555555555556</v>
      </c>
      <c r="G6198" s="25">
        <v>0.41041666666666665</v>
      </c>
      <c r="H6198" s="27">
        <f t="shared" si="4"/>
        <v>0.1923611111</v>
      </c>
      <c r="I6198" s="28">
        <v>1.0</v>
      </c>
      <c r="J6198" s="39" t="s">
        <v>3101</v>
      </c>
      <c r="K6198" s="41"/>
      <c r="L6198" s="31" t="str">
        <f>IFERROR(__xludf.DUMMYFUNCTION("IF(OR(E6198="""",K6198=""""),"""",IFERROR(IF(K6198="""","""",query('tbl user'!$A$2:$D10975,""SELECT A WHERE D = '""&amp;K6198&amp;""'"")),""USER TIDAK DIKETAHUI""))"),"")</f>
        <v/>
      </c>
    </row>
    <row r="6199">
      <c r="A6199" s="21" t="str">
        <f t="shared" si="3"/>
        <v/>
      </c>
      <c r="B6199" s="38"/>
      <c r="C6199" s="23" t="s">
        <v>1858</v>
      </c>
      <c r="D6199" s="23" t="s">
        <v>21</v>
      </c>
      <c r="E6199" s="24">
        <v>45492.0</v>
      </c>
      <c r="F6199" s="25">
        <v>0.2708333333333333</v>
      </c>
      <c r="G6199" s="25">
        <v>0.44930555555555557</v>
      </c>
      <c r="H6199" s="27">
        <f t="shared" si="4"/>
        <v>0.1784722222</v>
      </c>
      <c r="I6199" s="28">
        <v>1.0</v>
      </c>
      <c r="J6199" s="39" t="s">
        <v>3102</v>
      </c>
      <c r="K6199" s="41"/>
      <c r="L6199" s="31" t="str">
        <f>IFERROR(__xludf.DUMMYFUNCTION("IF(OR(E6199="""",K6199=""""),"""",IFERROR(IF(K6199="""","""",query('tbl user'!$A$2:$D10975,""SELECT A WHERE D = '""&amp;K6199&amp;""'"")),""USER TIDAK DIKETAHUI""))"),"")</f>
        <v/>
      </c>
    </row>
    <row r="6200">
      <c r="A6200" s="21" t="str">
        <f t="shared" si="3"/>
        <v/>
      </c>
      <c r="B6200" s="38"/>
      <c r="C6200" s="23" t="s">
        <v>1847</v>
      </c>
      <c r="D6200" s="23" t="s">
        <v>21</v>
      </c>
      <c r="E6200" s="24">
        <v>45492.0</v>
      </c>
      <c r="F6200" s="25">
        <v>0.28402777777777777</v>
      </c>
      <c r="G6200" s="25">
        <v>0.4388888888888889</v>
      </c>
      <c r="H6200" s="27">
        <f t="shared" si="4"/>
        <v>0.1548611111</v>
      </c>
      <c r="I6200" s="28">
        <v>1.0</v>
      </c>
      <c r="J6200" s="39" t="s">
        <v>3103</v>
      </c>
      <c r="K6200" s="41"/>
      <c r="L6200" s="31" t="str">
        <f>IFERROR(__xludf.DUMMYFUNCTION("IF(OR(E6200="""",K6200=""""),"""",IFERROR(IF(K6200="""","""",query('tbl user'!$A$2:$D10975,""SELECT A WHERE D = '""&amp;K6200&amp;""'"")),""USER TIDAK DIKETAHUI""))"),"")</f>
        <v/>
      </c>
    </row>
    <row r="6201">
      <c r="A6201" s="21" t="str">
        <f t="shared" si="3"/>
        <v/>
      </c>
      <c r="B6201" s="38"/>
      <c r="C6201" s="23" t="s">
        <v>2005</v>
      </c>
      <c r="D6201" s="23" t="s">
        <v>21</v>
      </c>
      <c r="E6201" s="24">
        <v>45492.0</v>
      </c>
      <c r="F6201" s="25">
        <v>0.2222222222222222</v>
      </c>
      <c r="G6201" s="25">
        <v>0.42291666666666666</v>
      </c>
      <c r="H6201" s="27">
        <f t="shared" si="4"/>
        <v>0.2006944444</v>
      </c>
      <c r="I6201" s="28">
        <v>1.0</v>
      </c>
      <c r="J6201" s="39" t="s">
        <v>3104</v>
      </c>
      <c r="K6201" s="41"/>
      <c r="L6201" s="31" t="str">
        <f>IFERROR(__xludf.DUMMYFUNCTION("IF(OR(E6201="""",K6201=""""),"""",IFERROR(IF(K6201="""","""",query('tbl user'!$A$2:$D10975,""SELECT A WHERE D = '""&amp;K6201&amp;""'"")),""USER TIDAK DIKETAHUI""))"),"")</f>
        <v/>
      </c>
    </row>
    <row r="6202">
      <c r="A6202" s="21" t="str">
        <f t="shared" si="3"/>
        <v/>
      </c>
      <c r="B6202" s="38"/>
      <c r="C6202" s="23" t="s">
        <v>1853</v>
      </c>
      <c r="D6202" s="23" t="s">
        <v>21</v>
      </c>
      <c r="E6202" s="24">
        <v>45492.0</v>
      </c>
      <c r="F6202" s="25">
        <v>0.25416666666666665</v>
      </c>
      <c r="G6202" s="25">
        <v>0.6673611111111111</v>
      </c>
      <c r="H6202" s="27">
        <f t="shared" si="4"/>
        <v>0.4131944444</v>
      </c>
      <c r="I6202" s="28">
        <v>2.0</v>
      </c>
      <c r="J6202" s="39" t="s">
        <v>3105</v>
      </c>
      <c r="K6202" s="41"/>
      <c r="L6202" s="31" t="str">
        <f>IFERROR(__xludf.DUMMYFUNCTION("IF(OR(E6202="""",K6202=""""),"""",IFERROR(IF(K6202="""","""",query('tbl user'!$A$2:$D10975,""SELECT A WHERE D = '""&amp;K6202&amp;""'"")),""USER TIDAK DIKETAHUI""))"),"")</f>
        <v/>
      </c>
    </row>
    <row r="6203">
      <c r="A6203" s="21" t="str">
        <f t="shared" si="3"/>
        <v/>
      </c>
      <c r="B6203" s="38"/>
      <c r="C6203" s="23" t="s">
        <v>1830</v>
      </c>
      <c r="D6203" s="23" t="s">
        <v>21</v>
      </c>
      <c r="E6203" s="24">
        <v>45492.0</v>
      </c>
      <c r="F6203" s="25">
        <v>0.25625</v>
      </c>
      <c r="G6203" s="25">
        <v>0.6576388888888889</v>
      </c>
      <c r="H6203" s="27">
        <f t="shared" si="4"/>
        <v>0.4013888889</v>
      </c>
      <c r="I6203" s="28">
        <v>2.0</v>
      </c>
      <c r="J6203" s="39" t="s">
        <v>3106</v>
      </c>
      <c r="K6203" s="41"/>
      <c r="L6203" s="31" t="str">
        <f>IFERROR(__xludf.DUMMYFUNCTION("IF(OR(E6203="""",K6203=""""),"""",IFERROR(IF(K6203="""","""",query('tbl user'!$A$2:$D10975,""SELECT A WHERE D = '""&amp;K6203&amp;""'"")),""USER TIDAK DIKETAHUI""))"),"")</f>
        <v/>
      </c>
    </row>
    <row r="6204">
      <c r="A6204" s="21" t="str">
        <f t="shared" si="3"/>
        <v/>
      </c>
      <c r="B6204" s="38"/>
      <c r="C6204" s="23" t="s">
        <v>1845</v>
      </c>
      <c r="D6204" s="23" t="s">
        <v>21</v>
      </c>
      <c r="E6204" s="24">
        <v>45492.0</v>
      </c>
      <c r="F6204" s="25">
        <v>0.26805555555555555</v>
      </c>
      <c r="G6204" s="25">
        <v>0.6756944444444445</v>
      </c>
      <c r="H6204" s="27">
        <f t="shared" si="4"/>
        <v>0.4076388889</v>
      </c>
      <c r="I6204" s="28">
        <v>2.0</v>
      </c>
      <c r="J6204" s="39" t="s">
        <v>3107</v>
      </c>
      <c r="K6204" s="41"/>
      <c r="L6204" s="31" t="str">
        <f>IFERROR(__xludf.DUMMYFUNCTION("IF(OR(E6204="""",K6204=""""),"""",IFERROR(IF(K6204="""","""",query('tbl user'!$A$2:$D10975,""SELECT A WHERE D = '""&amp;K6204&amp;""'"")),""USER TIDAK DIKETAHUI""))"),"")</f>
        <v/>
      </c>
    </row>
    <row r="6205">
      <c r="A6205" s="21" t="str">
        <f t="shared" si="3"/>
        <v/>
      </c>
      <c r="B6205" s="38"/>
      <c r="C6205" s="23" t="s">
        <v>1849</v>
      </c>
      <c r="D6205" s="23" t="s">
        <v>21</v>
      </c>
      <c r="E6205" s="24">
        <v>45492.0</v>
      </c>
      <c r="F6205" s="25">
        <v>0.25277777777777777</v>
      </c>
      <c r="G6205" s="25">
        <v>0.7340277777777777</v>
      </c>
      <c r="H6205" s="27">
        <f t="shared" si="4"/>
        <v>0.48125</v>
      </c>
      <c r="I6205" s="28">
        <v>2.0</v>
      </c>
      <c r="J6205" s="39" t="s">
        <v>3108</v>
      </c>
      <c r="K6205" s="41"/>
      <c r="L6205" s="31" t="str">
        <f>IFERROR(__xludf.DUMMYFUNCTION("IF(OR(E6205="""",K6205=""""),"""",IFERROR(IF(K6205="""","""",query('tbl user'!$A$2:$D10975,""SELECT A WHERE D = '""&amp;K6205&amp;""'"")),""USER TIDAK DIKETAHUI""))"),"")</f>
        <v/>
      </c>
    </row>
    <row r="6206">
      <c r="A6206" s="21" t="str">
        <f t="shared" si="3"/>
        <v/>
      </c>
      <c r="B6206" s="38"/>
      <c r="C6206" s="23" t="s">
        <v>1928</v>
      </c>
      <c r="D6206" s="23" t="s">
        <v>21</v>
      </c>
      <c r="E6206" s="24">
        <v>45492.0</v>
      </c>
      <c r="F6206" s="25">
        <v>0.22708333333333333</v>
      </c>
      <c r="G6206" s="25">
        <v>0.6756944444444445</v>
      </c>
      <c r="H6206" s="27">
        <f t="shared" si="4"/>
        <v>0.4486111111</v>
      </c>
      <c r="I6206" s="28">
        <v>2.0</v>
      </c>
      <c r="J6206" s="39" t="s">
        <v>3109</v>
      </c>
      <c r="K6206" s="41"/>
      <c r="L6206" s="31" t="str">
        <f>IFERROR(__xludf.DUMMYFUNCTION("IF(OR(E6206="""",K6206=""""),"""",IFERROR(IF(K6206="""","""",query('tbl user'!$A$2:$D10975,""SELECT A WHERE D = '""&amp;K6206&amp;""'"")),""USER TIDAK DIKETAHUI""))"),"")</f>
        <v/>
      </c>
    </row>
    <row r="6207">
      <c r="A6207" s="21" t="str">
        <f t="shared" si="3"/>
        <v/>
      </c>
      <c r="B6207" s="38"/>
      <c r="C6207" s="23" t="s">
        <v>1850</v>
      </c>
      <c r="D6207" s="23" t="s">
        <v>21</v>
      </c>
      <c r="E6207" s="24">
        <v>45492.0</v>
      </c>
      <c r="F6207" s="25">
        <v>0.3194444444444444</v>
      </c>
      <c r="G6207" s="25">
        <v>0.6833333333333333</v>
      </c>
      <c r="H6207" s="27">
        <f t="shared" si="4"/>
        <v>0.3638888889</v>
      </c>
      <c r="I6207" s="28">
        <v>2.0</v>
      </c>
      <c r="J6207" s="39" t="s">
        <v>3110</v>
      </c>
      <c r="K6207" s="41"/>
      <c r="L6207" s="31" t="str">
        <f>IFERROR(__xludf.DUMMYFUNCTION("IF(OR(E6207="""",K6207=""""),"""",IFERROR(IF(K6207="""","""",query('tbl user'!$A$2:$D10975,""SELECT A WHERE D = '""&amp;K6207&amp;""'"")),""USER TIDAK DIKETAHUI""))"),"")</f>
        <v/>
      </c>
    </row>
    <row r="6208">
      <c r="A6208" s="21" t="str">
        <f t="shared" si="3"/>
        <v/>
      </c>
      <c r="B6208" s="38"/>
      <c r="C6208" s="23" t="s">
        <v>1852</v>
      </c>
      <c r="D6208" s="23" t="s">
        <v>21</v>
      </c>
      <c r="E6208" s="24">
        <v>45492.0</v>
      </c>
      <c r="F6208" s="25">
        <v>0.2222222222222222</v>
      </c>
      <c r="G6208" s="25">
        <v>0.6395833333333333</v>
      </c>
      <c r="H6208" s="27">
        <f t="shared" si="4"/>
        <v>0.4173611111</v>
      </c>
      <c r="I6208" s="28">
        <v>2.0</v>
      </c>
      <c r="J6208" s="39" t="s">
        <v>3111</v>
      </c>
      <c r="K6208" s="41"/>
      <c r="L6208" s="31" t="str">
        <f>IFERROR(__xludf.DUMMYFUNCTION("IF(OR(E6208="""",K6208=""""),"""",IFERROR(IF(K6208="""","""",query('tbl user'!$A$2:$D10975,""SELECT A WHERE D = '""&amp;K6208&amp;""'"")),""USER TIDAK DIKETAHUI""))"),"")</f>
        <v/>
      </c>
    </row>
    <row r="6209">
      <c r="A6209" s="21" t="str">
        <f t="shared" si="3"/>
        <v/>
      </c>
      <c r="B6209" s="38"/>
      <c r="C6209" s="23" t="s">
        <v>1917</v>
      </c>
      <c r="D6209" s="23" t="s">
        <v>21</v>
      </c>
      <c r="E6209" s="24">
        <v>45492.0</v>
      </c>
      <c r="F6209" s="25">
        <v>0.24444444444444444</v>
      </c>
      <c r="G6209" s="25">
        <v>0.68125</v>
      </c>
      <c r="H6209" s="27">
        <f t="shared" si="4"/>
        <v>0.4368055556</v>
      </c>
      <c r="I6209" s="28">
        <v>3.0</v>
      </c>
      <c r="J6209" s="39" t="s">
        <v>3107</v>
      </c>
      <c r="K6209" s="41"/>
      <c r="L6209" s="31" t="str">
        <f>IFERROR(__xludf.DUMMYFUNCTION("IF(OR(E6209="""",K6209=""""),"""",IFERROR(IF(K6209="""","""",query('tbl user'!$A$2:$D10975,""SELECT A WHERE D = '""&amp;K6209&amp;""'"")),""USER TIDAK DIKETAHUI""))"),"")</f>
        <v/>
      </c>
    </row>
    <row r="6210">
      <c r="A6210" s="21" t="str">
        <f t="shared" si="3"/>
        <v/>
      </c>
      <c r="B6210" s="38"/>
      <c r="C6210" s="23" t="s">
        <v>1875</v>
      </c>
      <c r="D6210" s="43" t="s">
        <v>58</v>
      </c>
      <c r="E6210" s="44">
        <v>45492.0</v>
      </c>
      <c r="F6210" s="25">
        <v>0.24583333333333332</v>
      </c>
      <c r="G6210" s="25">
        <v>0.6458333333333334</v>
      </c>
      <c r="H6210" s="27">
        <f t="shared" si="4"/>
        <v>0.4</v>
      </c>
      <c r="I6210" s="28">
        <v>1.0</v>
      </c>
      <c r="J6210" s="39" t="s">
        <v>3112</v>
      </c>
      <c r="K6210" s="41"/>
      <c r="L6210" s="31" t="str">
        <f>IFERROR(__xludf.DUMMYFUNCTION("IF(OR(E6210="""",K6210=""""),"""",IFERROR(IF(K6210="""","""",query('tbl user'!$A$2:$D10975,""SELECT A WHERE D = '""&amp;K6210&amp;""'"")),""USER TIDAK DIKETAHUI""))"),"")</f>
        <v/>
      </c>
    </row>
    <row r="6211">
      <c r="A6211" s="21" t="str">
        <f t="shared" si="3"/>
        <v/>
      </c>
      <c r="B6211" s="38"/>
      <c r="C6211" s="23" t="s">
        <v>1882</v>
      </c>
      <c r="D6211" s="43" t="s">
        <v>58</v>
      </c>
      <c r="E6211" s="44">
        <v>45492.0</v>
      </c>
      <c r="F6211" s="25">
        <v>0.21319444444444444</v>
      </c>
      <c r="G6211" s="25">
        <v>0.68125</v>
      </c>
      <c r="H6211" s="27">
        <f t="shared" si="4"/>
        <v>0.4680555556</v>
      </c>
      <c r="I6211" s="28">
        <v>1.0</v>
      </c>
      <c r="J6211" s="39" t="s">
        <v>3113</v>
      </c>
      <c r="K6211" s="41"/>
      <c r="L6211" s="31" t="str">
        <f>IFERROR(__xludf.DUMMYFUNCTION("IF(OR(E6211="""",K6211=""""),"""",IFERROR(IF(K6211="""","""",query('tbl user'!$A$2:$D10975,""SELECT A WHERE D = '""&amp;K6211&amp;""'"")),""USER TIDAK DIKETAHUI""))"),"")</f>
        <v/>
      </c>
    </row>
    <row r="6212">
      <c r="A6212" s="21" t="str">
        <f t="shared" si="3"/>
        <v/>
      </c>
      <c r="B6212" s="38"/>
      <c r="C6212" s="23" t="s">
        <v>1883</v>
      </c>
      <c r="D6212" s="43" t="s">
        <v>58</v>
      </c>
      <c r="E6212" s="44">
        <v>45492.0</v>
      </c>
      <c r="F6212" s="25">
        <v>0.2791666666666667</v>
      </c>
      <c r="G6212" s="25">
        <v>0.5555555555555556</v>
      </c>
      <c r="H6212" s="27">
        <f t="shared" si="4"/>
        <v>0.2763888889</v>
      </c>
      <c r="I6212" s="28">
        <v>1.0</v>
      </c>
      <c r="J6212" s="39" t="s">
        <v>3114</v>
      </c>
      <c r="K6212" s="41"/>
      <c r="L6212" s="31" t="str">
        <f>IFERROR(__xludf.DUMMYFUNCTION("IF(OR(E6212="""",K6212=""""),"""",IFERROR(IF(K6212="""","""",query('tbl user'!$A$2:$D10975,""SELECT A WHERE D = '""&amp;K6212&amp;""'"")),""USER TIDAK DIKETAHUI""))"),"")</f>
        <v/>
      </c>
    </row>
    <row r="6213">
      <c r="A6213" s="21" t="str">
        <f t="shared" si="3"/>
        <v/>
      </c>
      <c r="B6213" s="38"/>
      <c r="C6213" s="23" t="s">
        <v>2090</v>
      </c>
      <c r="D6213" s="43" t="s">
        <v>58</v>
      </c>
      <c r="E6213" s="44">
        <v>45492.0</v>
      </c>
      <c r="F6213" s="25">
        <v>0.2222222222222222</v>
      </c>
      <c r="G6213" s="25">
        <v>0.45902777777777776</v>
      </c>
      <c r="H6213" s="27">
        <f t="shared" si="4"/>
        <v>0.2368055556</v>
      </c>
      <c r="I6213" s="28">
        <v>1.0</v>
      </c>
      <c r="J6213" s="39" t="s">
        <v>3115</v>
      </c>
      <c r="K6213" s="41"/>
      <c r="L6213" s="31" t="str">
        <f>IFERROR(__xludf.DUMMYFUNCTION("IF(OR(E6213="""",K6213=""""),"""",IFERROR(IF(K6213="""","""",query('tbl user'!$A$2:$D10975,""SELECT A WHERE D = '""&amp;K6213&amp;""'"")),""USER TIDAK DIKETAHUI""))"),"")</f>
        <v/>
      </c>
    </row>
    <row r="6214">
      <c r="A6214" s="21" t="str">
        <f t="shared" si="3"/>
        <v/>
      </c>
      <c r="B6214" s="38"/>
      <c r="C6214" s="23" t="s">
        <v>1861</v>
      </c>
      <c r="D6214" s="43" t="s">
        <v>58</v>
      </c>
      <c r="E6214" s="44">
        <v>45492.0</v>
      </c>
      <c r="F6214" s="25">
        <v>0.2590277777777778</v>
      </c>
      <c r="G6214" s="25">
        <v>0.6395833333333333</v>
      </c>
      <c r="H6214" s="27">
        <f t="shared" si="4"/>
        <v>0.3805555556</v>
      </c>
      <c r="I6214" s="28">
        <v>1.0</v>
      </c>
      <c r="J6214" s="39" t="s">
        <v>3116</v>
      </c>
      <c r="K6214" s="41"/>
      <c r="L6214" s="31" t="str">
        <f>IFERROR(__xludf.DUMMYFUNCTION("IF(OR(E6214="""",K6214=""""),"""",IFERROR(IF(K6214="""","""",query('tbl user'!$A$2:$D10975,""SELECT A WHERE D = '""&amp;K6214&amp;""'"")),""USER TIDAK DIKETAHUI""))"),"")</f>
        <v/>
      </c>
    </row>
    <row r="6215">
      <c r="A6215" s="21" t="str">
        <f t="shared" si="3"/>
        <v/>
      </c>
      <c r="B6215" s="38"/>
      <c r="C6215" s="23" t="s">
        <v>1869</v>
      </c>
      <c r="D6215" s="43" t="s">
        <v>58</v>
      </c>
      <c r="E6215" s="44">
        <v>45492.0</v>
      </c>
      <c r="F6215" s="25">
        <v>0.3229166666666667</v>
      </c>
      <c r="G6215" s="25">
        <v>0.7013888888888888</v>
      </c>
      <c r="H6215" s="27">
        <f t="shared" si="4"/>
        <v>0.3784722222</v>
      </c>
      <c r="I6215" s="28">
        <v>2.0</v>
      </c>
      <c r="J6215" s="39" t="s">
        <v>3107</v>
      </c>
      <c r="K6215" s="41"/>
      <c r="L6215" s="31" t="str">
        <f>IFERROR(__xludf.DUMMYFUNCTION("IF(OR(E6215="""",K6215=""""),"""",IFERROR(IF(K6215="""","""",query('tbl user'!$A$2:$D10975,""SELECT A WHERE D = '""&amp;K6215&amp;""'"")),""USER TIDAK DIKETAHUI""))"),"")</f>
        <v/>
      </c>
    </row>
    <row r="6216">
      <c r="A6216" s="21" t="str">
        <f t="shared" si="3"/>
        <v/>
      </c>
      <c r="B6216" s="38"/>
      <c r="C6216" s="23" t="s">
        <v>1879</v>
      </c>
      <c r="D6216" s="43" t="s">
        <v>58</v>
      </c>
      <c r="E6216" s="44">
        <v>45492.0</v>
      </c>
      <c r="F6216" s="25">
        <v>0.2590277777777778</v>
      </c>
      <c r="G6216" s="25">
        <v>0.7340277777777777</v>
      </c>
      <c r="H6216" s="27">
        <f t="shared" si="4"/>
        <v>0.475</v>
      </c>
      <c r="I6216" s="28">
        <v>2.0</v>
      </c>
      <c r="J6216" s="39" t="s">
        <v>3117</v>
      </c>
      <c r="K6216" s="41"/>
      <c r="L6216" s="31" t="str">
        <f>IFERROR(__xludf.DUMMYFUNCTION("IF(OR(E6216="""",K6216=""""),"""",IFERROR(IF(K6216="""","""",query('tbl user'!$A$2:$D10975,""SELECT A WHERE D = '""&amp;K6216&amp;""'"")),""USER TIDAK DIKETAHUI""))"),"")</f>
        <v/>
      </c>
    </row>
    <row r="6217">
      <c r="A6217" s="21" t="str">
        <f t="shared" si="3"/>
        <v/>
      </c>
      <c r="B6217" s="38"/>
      <c r="C6217" s="23" t="s">
        <v>1881</v>
      </c>
      <c r="D6217" s="43" t="s">
        <v>58</v>
      </c>
      <c r="E6217" s="44">
        <v>45492.0</v>
      </c>
      <c r="F6217" s="25">
        <v>0.21597222222222223</v>
      </c>
      <c r="G6217" s="25">
        <v>0.6548611111111111</v>
      </c>
      <c r="H6217" s="27">
        <f t="shared" si="4"/>
        <v>0.4388888889</v>
      </c>
      <c r="I6217" s="28">
        <v>2.0</v>
      </c>
      <c r="J6217" s="39" t="s">
        <v>3118</v>
      </c>
      <c r="K6217" s="41"/>
      <c r="L6217" s="31" t="str">
        <f>IFERROR(__xludf.DUMMYFUNCTION("IF(OR(E6217="""",K6217=""""),"""",IFERROR(IF(K6217="""","""",query('tbl user'!$A$2:$D10975,""SELECT A WHERE D = '""&amp;K6217&amp;""'"")),""USER TIDAK DIKETAHUI""))"),"")</f>
        <v/>
      </c>
    </row>
    <row r="6218">
      <c r="A6218" s="21" t="str">
        <f t="shared" si="3"/>
        <v/>
      </c>
      <c r="B6218" s="38"/>
      <c r="C6218" s="23" t="s">
        <v>1860</v>
      </c>
      <c r="D6218" s="43" t="s">
        <v>58</v>
      </c>
      <c r="E6218" s="44">
        <v>45492.0</v>
      </c>
      <c r="F6218" s="25">
        <v>0.29097222222222224</v>
      </c>
      <c r="G6218" s="25">
        <v>0.6916666666666667</v>
      </c>
      <c r="H6218" s="27">
        <f t="shared" si="4"/>
        <v>0.4006944444</v>
      </c>
      <c r="I6218" s="28">
        <v>2.0</v>
      </c>
      <c r="J6218" s="39" t="s">
        <v>3119</v>
      </c>
      <c r="K6218" s="41"/>
      <c r="L6218" s="31" t="str">
        <f>IFERROR(__xludf.DUMMYFUNCTION("IF(OR(E6218="""",K6218=""""),"""",IFERROR(IF(K6218="""","""",query('tbl user'!$A$2:$D10975,""SELECT A WHERE D = '""&amp;K6218&amp;""'"")),""USER TIDAK DIKETAHUI""))"),"")</f>
        <v/>
      </c>
    </row>
    <row r="6219">
      <c r="A6219" s="21" t="str">
        <f t="shared" si="3"/>
        <v/>
      </c>
      <c r="B6219" s="38"/>
      <c r="C6219" s="23" t="s">
        <v>1884</v>
      </c>
      <c r="D6219" s="43" t="s">
        <v>58</v>
      </c>
      <c r="E6219" s="44">
        <v>45492.0</v>
      </c>
      <c r="F6219" s="25">
        <v>0.21736111111111112</v>
      </c>
      <c r="G6219" s="25">
        <v>0.6541666666666667</v>
      </c>
      <c r="H6219" s="27">
        <f t="shared" si="4"/>
        <v>0.4368055556</v>
      </c>
      <c r="I6219" s="28">
        <v>2.0</v>
      </c>
      <c r="J6219" s="39" t="s">
        <v>3120</v>
      </c>
      <c r="K6219" s="41"/>
      <c r="L6219" s="31" t="str">
        <f>IFERROR(__xludf.DUMMYFUNCTION("IF(OR(E6219="""",K6219=""""),"""",IFERROR(IF(K6219="""","""",query('tbl user'!$A$2:$D10975,""SELECT A WHERE D = '""&amp;K6219&amp;""'"")),""USER TIDAK DIKETAHUI""))"),"")</f>
        <v/>
      </c>
    </row>
    <row r="6220">
      <c r="A6220" s="21" t="str">
        <f t="shared" si="3"/>
        <v/>
      </c>
      <c r="B6220" s="38"/>
      <c r="C6220" s="23" t="s">
        <v>1950</v>
      </c>
      <c r="D6220" s="43" t="s">
        <v>58</v>
      </c>
      <c r="E6220" s="44">
        <v>45492.0</v>
      </c>
      <c r="F6220" s="25">
        <v>0.24027777777777778</v>
      </c>
      <c r="G6220" s="25">
        <v>0.6458333333333334</v>
      </c>
      <c r="H6220" s="27">
        <f t="shared" si="4"/>
        <v>0.4055555556</v>
      </c>
      <c r="I6220" s="28">
        <v>2.0</v>
      </c>
      <c r="J6220" s="39" t="s">
        <v>3121</v>
      </c>
      <c r="K6220" s="41"/>
      <c r="L6220" s="31" t="str">
        <f>IFERROR(__xludf.DUMMYFUNCTION("IF(OR(E6220="""",K6220=""""),"""",IFERROR(IF(K6220="""","""",query('tbl user'!$A$2:$D10975,""SELECT A WHERE D = '""&amp;K6220&amp;""'"")),""USER TIDAK DIKETAHUI""))"),"")</f>
        <v/>
      </c>
    </row>
    <row r="6221">
      <c r="A6221" s="21" t="str">
        <f t="shared" si="3"/>
        <v/>
      </c>
      <c r="B6221" s="38"/>
      <c r="C6221" s="23" t="s">
        <v>1863</v>
      </c>
      <c r="D6221" s="43" t="s">
        <v>58</v>
      </c>
      <c r="E6221" s="44">
        <v>45492.0</v>
      </c>
      <c r="F6221" s="25">
        <v>0.27291666666666664</v>
      </c>
      <c r="G6221" s="25">
        <v>0.7118055555555556</v>
      </c>
      <c r="H6221" s="27">
        <f t="shared" si="4"/>
        <v>0.4388888889</v>
      </c>
      <c r="I6221" s="28">
        <v>2.0</v>
      </c>
      <c r="J6221" s="39" t="s">
        <v>3107</v>
      </c>
      <c r="K6221" s="41"/>
      <c r="L6221" s="31" t="str">
        <f>IFERROR(__xludf.DUMMYFUNCTION("IF(OR(E6221="""",K6221=""""),"""",IFERROR(IF(K6221="""","""",query('tbl user'!$A$2:$D10975,""SELECT A WHERE D = '""&amp;K6221&amp;""'"")),""USER TIDAK DIKETAHUI""))"),"")</f>
        <v/>
      </c>
    </row>
    <row r="6222">
      <c r="A6222" s="21" t="str">
        <f t="shared" si="3"/>
        <v/>
      </c>
      <c r="B6222" s="38"/>
      <c r="C6222" s="23" t="s">
        <v>1887</v>
      </c>
      <c r="D6222" s="43" t="s">
        <v>58</v>
      </c>
      <c r="E6222" s="44">
        <v>45492.0</v>
      </c>
      <c r="F6222" s="25">
        <v>0.275</v>
      </c>
      <c r="G6222" s="25">
        <v>0.7055555555555556</v>
      </c>
      <c r="H6222" s="27">
        <f t="shared" si="4"/>
        <v>0.4305555556</v>
      </c>
      <c r="I6222" s="28">
        <v>2.0</v>
      </c>
      <c r="J6222" s="39" t="s">
        <v>3107</v>
      </c>
      <c r="K6222" s="41"/>
      <c r="L6222" s="31" t="str">
        <f>IFERROR(__xludf.DUMMYFUNCTION("IF(OR(E6222="""",K6222=""""),"""",IFERROR(IF(K6222="""","""",query('tbl user'!$A$2:$D10975,""SELECT A WHERE D = '""&amp;K6222&amp;""'"")),""USER TIDAK DIKETAHUI""))"),"")</f>
        <v/>
      </c>
    </row>
    <row r="6223">
      <c r="A6223" s="21" t="str">
        <f t="shared" si="3"/>
        <v/>
      </c>
      <c r="B6223" s="38"/>
      <c r="C6223" s="23" t="s">
        <v>1888</v>
      </c>
      <c r="D6223" s="43" t="s">
        <v>58</v>
      </c>
      <c r="E6223" s="44">
        <v>45492.0</v>
      </c>
      <c r="F6223" s="25">
        <v>0.25069444444444444</v>
      </c>
      <c r="G6223" s="25">
        <v>0.6611111111111111</v>
      </c>
      <c r="H6223" s="27">
        <f t="shared" si="4"/>
        <v>0.4104166667</v>
      </c>
      <c r="I6223" s="28">
        <v>2.0</v>
      </c>
      <c r="J6223" s="39" t="s">
        <v>3107</v>
      </c>
      <c r="K6223" s="41"/>
      <c r="L6223" s="31" t="str">
        <f>IFERROR(__xludf.DUMMYFUNCTION("IF(OR(E6223="""",K6223=""""),"""",IFERROR(IF(K6223="""","""",query('tbl user'!$A$2:$D10975,""SELECT A WHERE D = '""&amp;K6223&amp;""'"")),""USER TIDAK DIKETAHUI""))"),"")</f>
        <v/>
      </c>
    </row>
    <row r="6224">
      <c r="A6224" s="21" t="str">
        <f t="shared" si="3"/>
        <v/>
      </c>
      <c r="B6224" s="38"/>
      <c r="C6224" s="23" t="s">
        <v>1889</v>
      </c>
      <c r="D6224" s="43" t="s">
        <v>58</v>
      </c>
      <c r="E6224" s="44">
        <v>45492.0</v>
      </c>
      <c r="F6224" s="25">
        <v>0.24166666666666667</v>
      </c>
      <c r="G6224" s="25">
        <v>0.70625</v>
      </c>
      <c r="H6224" s="27">
        <f t="shared" si="4"/>
        <v>0.4645833333</v>
      </c>
      <c r="I6224" s="28">
        <v>2.0</v>
      </c>
      <c r="J6224" s="39" t="s">
        <v>3107</v>
      </c>
      <c r="K6224" s="41"/>
      <c r="L6224" s="31" t="str">
        <f>IFERROR(__xludf.DUMMYFUNCTION("IF(OR(E6224="""",K6224=""""),"""",IFERROR(IF(K6224="""","""",query('tbl user'!$A$2:$D10975,""SELECT A WHERE D = '""&amp;K6224&amp;""'"")),""USER TIDAK DIKETAHUI""))"),"")</f>
        <v/>
      </c>
    </row>
    <row r="6225">
      <c r="A6225" s="21" t="str">
        <f t="shared" si="3"/>
        <v/>
      </c>
      <c r="B6225" s="38"/>
      <c r="C6225" s="23" t="s">
        <v>1893</v>
      </c>
      <c r="D6225" s="43" t="s">
        <v>58</v>
      </c>
      <c r="E6225" s="44">
        <v>45492.0</v>
      </c>
      <c r="F6225" s="25">
        <v>0.26180555555555557</v>
      </c>
      <c r="G6225" s="25">
        <v>0.6618055555555555</v>
      </c>
      <c r="H6225" s="27">
        <f t="shared" si="4"/>
        <v>0.4</v>
      </c>
      <c r="I6225" s="28">
        <v>2.0</v>
      </c>
      <c r="J6225" s="39" t="s">
        <v>3122</v>
      </c>
      <c r="K6225" s="41"/>
      <c r="L6225" s="31" t="str">
        <f>IFERROR(__xludf.DUMMYFUNCTION("IF(OR(E6225="""",K6225=""""),"""",IFERROR(IF(K6225="""","""",query('tbl user'!$A$2:$D10975,""SELECT A WHERE D = '""&amp;K6225&amp;""'"")),""USER TIDAK DIKETAHUI""))"),"")</f>
        <v/>
      </c>
    </row>
    <row r="6226">
      <c r="A6226" s="21" t="str">
        <f t="shared" si="3"/>
        <v/>
      </c>
      <c r="B6226" s="38"/>
      <c r="C6226" s="23" t="s">
        <v>1871</v>
      </c>
      <c r="D6226" s="43" t="s">
        <v>58</v>
      </c>
      <c r="E6226" s="44">
        <v>45492.0</v>
      </c>
      <c r="F6226" s="25">
        <v>0.21805555555555556</v>
      </c>
      <c r="G6226" s="25">
        <v>0.6916666666666667</v>
      </c>
      <c r="H6226" s="27">
        <f t="shared" si="4"/>
        <v>0.4736111111</v>
      </c>
      <c r="I6226" s="28">
        <v>2.0</v>
      </c>
      <c r="J6226" s="39" t="s">
        <v>3107</v>
      </c>
      <c r="K6226" s="41"/>
      <c r="L6226" s="31" t="str">
        <f>IFERROR(__xludf.DUMMYFUNCTION("IF(OR(E6226="""",K6226=""""),"""",IFERROR(IF(K6226="""","""",query('tbl user'!$A$2:$D10975,""SELECT A WHERE D = '""&amp;K6226&amp;""'"")),""USER TIDAK DIKETAHUI""))"),"")</f>
        <v/>
      </c>
    </row>
    <row r="6227">
      <c r="A6227" s="21" t="str">
        <f t="shared" si="3"/>
        <v/>
      </c>
      <c r="B6227" s="38"/>
      <c r="C6227" s="23" t="s">
        <v>1890</v>
      </c>
      <c r="D6227" s="43" t="s">
        <v>58</v>
      </c>
      <c r="E6227" s="44">
        <v>45492.0</v>
      </c>
      <c r="F6227" s="25">
        <v>0.2569444444444444</v>
      </c>
      <c r="G6227" s="25">
        <v>0.7111111111111111</v>
      </c>
      <c r="H6227" s="27">
        <f t="shared" si="4"/>
        <v>0.4541666667</v>
      </c>
      <c r="I6227" s="28">
        <v>2.0</v>
      </c>
      <c r="J6227" s="39" t="s">
        <v>3107</v>
      </c>
      <c r="K6227" s="41"/>
      <c r="L6227" s="31" t="str">
        <f>IFERROR(__xludf.DUMMYFUNCTION("IF(OR(E6227="""",K6227=""""),"""",IFERROR(IF(K6227="""","""",query('tbl user'!$A$2:$D10975,""SELECT A WHERE D = '""&amp;K6227&amp;""'"")),""USER TIDAK DIKETAHUI""))"),"")</f>
        <v/>
      </c>
    </row>
    <row r="6228">
      <c r="A6228" s="21" t="str">
        <f t="shared" si="3"/>
        <v/>
      </c>
      <c r="B6228" s="38"/>
      <c r="C6228" s="23" t="s">
        <v>1891</v>
      </c>
      <c r="D6228" s="43" t="s">
        <v>58</v>
      </c>
      <c r="E6228" s="44">
        <v>45492.0</v>
      </c>
      <c r="F6228" s="25">
        <v>0.22013888888888888</v>
      </c>
      <c r="G6228" s="25">
        <v>0.6555555555555556</v>
      </c>
      <c r="H6228" s="27">
        <f t="shared" si="4"/>
        <v>0.4354166667</v>
      </c>
      <c r="I6228" s="28">
        <v>2.0</v>
      </c>
      <c r="J6228" s="39" t="s">
        <v>3123</v>
      </c>
      <c r="K6228" s="41"/>
      <c r="L6228" s="31" t="str">
        <f>IFERROR(__xludf.DUMMYFUNCTION("IF(OR(E6228="""",K6228=""""),"""",IFERROR(IF(K6228="""","""",query('tbl user'!$A$2:$D10975,""SELECT A WHERE D = '""&amp;K6228&amp;""'"")),""USER TIDAK DIKETAHUI""))"),"")</f>
        <v/>
      </c>
    </row>
    <row r="6229">
      <c r="A6229" s="21" t="str">
        <f t="shared" si="3"/>
        <v/>
      </c>
      <c r="B6229" s="38"/>
      <c r="C6229" s="23" t="s">
        <v>1892</v>
      </c>
      <c r="D6229" s="43" t="s">
        <v>58</v>
      </c>
      <c r="E6229" s="44">
        <v>45492.0</v>
      </c>
      <c r="F6229" s="25">
        <v>0.20625</v>
      </c>
      <c r="G6229" s="25">
        <v>0.7048611111111112</v>
      </c>
      <c r="H6229" s="27">
        <f t="shared" si="4"/>
        <v>0.4986111111</v>
      </c>
      <c r="I6229" s="28">
        <v>3.0</v>
      </c>
      <c r="J6229" s="39" t="s">
        <v>3107</v>
      </c>
      <c r="K6229" s="41"/>
      <c r="L6229" s="31" t="str">
        <f>IFERROR(__xludf.DUMMYFUNCTION("IF(OR(E6229="""",K6229=""""),"""",IFERROR(IF(K6229="""","""",query('tbl user'!$A$2:$D10975,""SELECT A WHERE D = '""&amp;K6229&amp;""'"")),""USER TIDAK DIKETAHUI""))"),"")</f>
        <v/>
      </c>
    </row>
    <row r="6230">
      <c r="A6230" s="21" t="str">
        <f t="shared" si="3"/>
        <v/>
      </c>
      <c r="B6230" s="38"/>
      <c r="C6230" s="23" t="s">
        <v>1910</v>
      </c>
      <c r="D6230" s="43" t="s">
        <v>32</v>
      </c>
      <c r="E6230" s="45">
        <v>45492.0</v>
      </c>
      <c r="F6230" s="25">
        <v>0.2152777777777778</v>
      </c>
      <c r="G6230" s="25">
        <v>0.37569444444444444</v>
      </c>
      <c r="H6230" s="27">
        <f t="shared" si="4"/>
        <v>0.1604166667</v>
      </c>
      <c r="I6230" s="28">
        <v>1.0</v>
      </c>
      <c r="J6230" s="39" t="s">
        <v>3124</v>
      </c>
      <c r="K6230" s="41"/>
      <c r="L6230" s="31" t="str">
        <f>IFERROR(__xludf.DUMMYFUNCTION("IF(OR(E6230="""",K6230=""""),"""",IFERROR(IF(K6230="""","""",query('tbl user'!$A$2:$D10975,""SELECT A WHERE D = '""&amp;K6230&amp;""'"")),""USER TIDAK DIKETAHUI""))"),"")</f>
        <v/>
      </c>
    </row>
    <row r="6231">
      <c r="A6231" s="21" t="str">
        <f t="shared" si="3"/>
        <v/>
      </c>
      <c r="B6231" s="38"/>
      <c r="C6231" s="23" t="s">
        <v>1959</v>
      </c>
      <c r="D6231" s="43" t="s">
        <v>32</v>
      </c>
      <c r="E6231" s="45">
        <v>45492.0</v>
      </c>
      <c r="F6231" s="25">
        <v>0.3333333333333333</v>
      </c>
      <c r="G6231" s="25">
        <v>0.5583333333333333</v>
      </c>
      <c r="H6231" s="27">
        <f t="shared" si="4"/>
        <v>0.225</v>
      </c>
      <c r="I6231" s="28">
        <v>1.0</v>
      </c>
      <c r="J6231" s="39" t="s">
        <v>3125</v>
      </c>
      <c r="K6231" s="41"/>
      <c r="L6231" s="31" t="str">
        <f>IFERROR(__xludf.DUMMYFUNCTION("IF(OR(E6231="""",K6231=""""),"""",IFERROR(IF(K6231="""","""",query('tbl user'!$A$2:$D10975,""SELECT A WHERE D = '""&amp;K6231&amp;""'"")),""USER TIDAK DIKETAHUI""))"),"")</f>
        <v/>
      </c>
    </row>
    <row r="6232">
      <c r="A6232" s="21" t="str">
        <f t="shared" si="3"/>
        <v/>
      </c>
      <c r="B6232" s="38"/>
      <c r="C6232" s="23" t="s">
        <v>2252</v>
      </c>
      <c r="D6232" s="43" t="s">
        <v>32</v>
      </c>
      <c r="E6232" s="45">
        <v>45492.0</v>
      </c>
      <c r="F6232" s="25">
        <v>0.5701388888888889</v>
      </c>
      <c r="G6232" s="25">
        <v>0.7013888888888888</v>
      </c>
      <c r="H6232" s="27">
        <f t="shared" si="4"/>
        <v>0.13125</v>
      </c>
      <c r="I6232" s="28">
        <v>1.0</v>
      </c>
      <c r="J6232" s="39" t="s">
        <v>3126</v>
      </c>
      <c r="K6232" s="41"/>
      <c r="L6232" s="31" t="str">
        <f>IFERROR(__xludf.DUMMYFUNCTION("IF(OR(E6232="""",K6232=""""),"""",IFERROR(IF(K6232="""","""",query('tbl user'!$A$2:$D10975,""SELECT A WHERE D = '""&amp;K6232&amp;""'"")),""USER TIDAK DIKETAHUI""))"),"")</f>
        <v/>
      </c>
    </row>
    <row r="6233">
      <c r="A6233" s="21" t="str">
        <f t="shared" si="3"/>
        <v/>
      </c>
      <c r="B6233" s="38"/>
      <c r="C6233" s="23" t="s">
        <v>1896</v>
      </c>
      <c r="D6233" s="43" t="s">
        <v>32</v>
      </c>
      <c r="E6233" s="45">
        <v>45492.0</v>
      </c>
      <c r="F6233" s="25">
        <v>0.2708333333333333</v>
      </c>
      <c r="G6233" s="25">
        <v>0.4125</v>
      </c>
      <c r="H6233" s="27">
        <f t="shared" si="4"/>
        <v>0.1416666667</v>
      </c>
      <c r="I6233" s="28">
        <v>1.0</v>
      </c>
      <c r="J6233" s="39" t="s">
        <v>3127</v>
      </c>
      <c r="K6233" s="41"/>
      <c r="L6233" s="31" t="str">
        <f>IFERROR(__xludf.DUMMYFUNCTION("IF(OR(E6233="""",K6233=""""),"""",IFERROR(IF(K6233="""","""",query('tbl user'!$A$2:$D10975,""SELECT A WHERE D = '""&amp;K6233&amp;""'"")),""USER TIDAK DIKETAHUI""))"),"")</f>
        <v/>
      </c>
    </row>
    <row r="6234">
      <c r="A6234" s="21" t="str">
        <f t="shared" si="3"/>
        <v/>
      </c>
      <c r="B6234" s="38"/>
      <c r="C6234" s="23" t="s">
        <v>2066</v>
      </c>
      <c r="D6234" s="43" t="s">
        <v>32</v>
      </c>
      <c r="E6234" s="45">
        <v>45492.0</v>
      </c>
      <c r="F6234" s="25">
        <v>0.28958333333333336</v>
      </c>
      <c r="G6234" s="25">
        <v>0.6763888888888889</v>
      </c>
      <c r="H6234" s="27">
        <f t="shared" si="4"/>
        <v>0.3868055556</v>
      </c>
      <c r="I6234" s="28">
        <v>2.0</v>
      </c>
      <c r="J6234" s="39" t="s">
        <v>3107</v>
      </c>
      <c r="K6234" s="41"/>
      <c r="L6234" s="31" t="str">
        <f>IFERROR(__xludf.DUMMYFUNCTION("IF(OR(E6234="""",K6234=""""),"""",IFERROR(IF(K6234="""","""",query('tbl user'!$A$2:$D10975,""SELECT A WHERE D = '""&amp;K6234&amp;""'"")),""USER TIDAK DIKETAHUI""))"),"")</f>
        <v/>
      </c>
    </row>
    <row r="6235">
      <c r="A6235" s="21" t="str">
        <f t="shared" si="3"/>
        <v/>
      </c>
      <c r="B6235" s="38"/>
      <c r="C6235" s="23" t="s">
        <v>1990</v>
      </c>
      <c r="D6235" s="43" t="s">
        <v>32</v>
      </c>
      <c r="E6235" s="45">
        <v>45492.0</v>
      </c>
      <c r="F6235" s="25">
        <v>0.2548611111111111</v>
      </c>
      <c r="G6235" s="25">
        <v>0.6354166666666666</v>
      </c>
      <c r="H6235" s="27">
        <f t="shared" si="4"/>
        <v>0.3805555556</v>
      </c>
      <c r="I6235" s="28">
        <v>2.0</v>
      </c>
      <c r="J6235" s="39" t="s">
        <v>3128</v>
      </c>
      <c r="K6235" s="41"/>
      <c r="L6235" s="31" t="str">
        <f>IFERROR(__xludf.DUMMYFUNCTION("IF(OR(E6235="""",K6235=""""),"""",IFERROR(IF(K6235="""","""",query('tbl user'!$A$2:$D10975,""SELECT A WHERE D = '""&amp;K6235&amp;""'"")),""USER TIDAK DIKETAHUI""))"),"")</f>
        <v/>
      </c>
    </row>
    <row r="6236">
      <c r="A6236" s="21" t="str">
        <f t="shared" si="3"/>
        <v/>
      </c>
      <c r="B6236" s="38"/>
      <c r="C6236" s="23" t="s">
        <v>1904</v>
      </c>
      <c r="D6236" s="43" t="s">
        <v>32</v>
      </c>
      <c r="E6236" s="45">
        <v>45492.0</v>
      </c>
      <c r="F6236" s="25">
        <v>0.2791666666666667</v>
      </c>
      <c r="G6236" s="25">
        <v>0.7131944444444445</v>
      </c>
      <c r="H6236" s="27">
        <f t="shared" si="4"/>
        <v>0.4340277778</v>
      </c>
      <c r="I6236" s="28">
        <v>2.0</v>
      </c>
      <c r="J6236" s="39" t="s">
        <v>3107</v>
      </c>
      <c r="K6236" s="41"/>
      <c r="L6236" s="31" t="str">
        <f>IFERROR(__xludf.DUMMYFUNCTION("IF(OR(E6236="""",K6236=""""),"""",IFERROR(IF(K6236="""","""",query('tbl user'!$A$2:$D10975,""SELECT A WHERE D = '""&amp;K6236&amp;""'"")),""USER TIDAK DIKETAHUI""))"),"")</f>
        <v/>
      </c>
    </row>
    <row r="6237">
      <c r="A6237" s="21" t="str">
        <f t="shared" si="3"/>
        <v/>
      </c>
      <c r="B6237" s="38"/>
      <c r="C6237" s="23" t="s">
        <v>1908</v>
      </c>
      <c r="D6237" s="43" t="s">
        <v>32</v>
      </c>
      <c r="E6237" s="45">
        <v>45492.0</v>
      </c>
      <c r="F6237" s="25">
        <v>0.28402777777777777</v>
      </c>
      <c r="G6237" s="25">
        <v>0.6708333333333333</v>
      </c>
      <c r="H6237" s="27">
        <f t="shared" si="4"/>
        <v>0.3868055556</v>
      </c>
      <c r="I6237" s="28">
        <v>2.0</v>
      </c>
      <c r="J6237" s="39" t="s">
        <v>3107</v>
      </c>
      <c r="K6237" s="41"/>
      <c r="L6237" s="31" t="str">
        <f>IFERROR(__xludf.DUMMYFUNCTION("IF(OR(E6237="""",K6237=""""),"""",IFERROR(IF(K6237="""","""",query('tbl user'!$A$2:$D10975,""SELECT A WHERE D = '""&amp;K6237&amp;""'"")),""USER TIDAK DIKETAHUI""))"),"")</f>
        <v/>
      </c>
    </row>
    <row r="6238">
      <c r="A6238" s="21" t="str">
        <f t="shared" si="3"/>
        <v/>
      </c>
      <c r="B6238" s="38"/>
      <c r="C6238" s="23" t="s">
        <v>1963</v>
      </c>
      <c r="D6238" s="43" t="s">
        <v>32</v>
      </c>
      <c r="E6238" s="45">
        <v>45492.0</v>
      </c>
      <c r="F6238" s="25">
        <v>0.2833333333333333</v>
      </c>
      <c r="G6238" s="25">
        <v>0.6729166666666667</v>
      </c>
      <c r="H6238" s="27">
        <f t="shared" si="4"/>
        <v>0.3895833333</v>
      </c>
      <c r="I6238" s="28">
        <v>3.0</v>
      </c>
      <c r="J6238" s="39" t="s">
        <v>3129</v>
      </c>
      <c r="K6238" s="41"/>
      <c r="L6238" s="31" t="str">
        <f>IFERROR(__xludf.DUMMYFUNCTION("IF(OR(E6238="""",K6238=""""),"""",IFERROR(IF(K6238="""","""",query('tbl user'!$A$2:$D10975,""SELECT A WHERE D = '""&amp;K6238&amp;""'"")),""USER TIDAK DIKETAHUI""))"),"")</f>
        <v/>
      </c>
    </row>
    <row r="6239">
      <c r="A6239" s="21" t="str">
        <f t="shared" si="3"/>
        <v/>
      </c>
      <c r="B6239" s="38"/>
      <c r="C6239" s="23" t="s">
        <v>1911</v>
      </c>
      <c r="D6239" s="43" t="s">
        <v>32</v>
      </c>
      <c r="E6239" s="45">
        <v>45492.0</v>
      </c>
      <c r="F6239" s="25">
        <v>0.22013888888888888</v>
      </c>
      <c r="G6239" s="25">
        <v>0.6569444444444444</v>
      </c>
      <c r="H6239" s="27">
        <f t="shared" si="4"/>
        <v>0.4368055556</v>
      </c>
      <c r="I6239" s="28">
        <v>3.0</v>
      </c>
      <c r="J6239" s="39" t="s">
        <v>3130</v>
      </c>
      <c r="K6239" s="41"/>
      <c r="L6239" s="31" t="str">
        <f>IFERROR(__xludf.DUMMYFUNCTION("IF(OR(E6239="""",K6239=""""),"""",IFERROR(IF(K6239="""","""",query('tbl user'!$A$2:$D10975,""SELECT A WHERE D = '""&amp;K6239&amp;""'"")),""USER TIDAK DIKETAHUI""))"),"")</f>
        <v/>
      </c>
    </row>
    <row r="6240">
      <c r="A6240" s="21" t="str">
        <f t="shared" si="3"/>
        <v/>
      </c>
      <c r="B6240" s="38"/>
      <c r="C6240" s="23" t="s">
        <v>2092</v>
      </c>
      <c r="D6240" s="43" t="s">
        <v>32</v>
      </c>
      <c r="E6240" s="45">
        <v>45492.0</v>
      </c>
      <c r="F6240" s="25">
        <v>0.23194444444444445</v>
      </c>
      <c r="G6240" s="25">
        <v>0.6548611111111111</v>
      </c>
      <c r="H6240" s="27">
        <f t="shared" si="4"/>
        <v>0.4229166667</v>
      </c>
      <c r="I6240" s="28">
        <v>3.0</v>
      </c>
      <c r="J6240" s="39" t="s">
        <v>3131</v>
      </c>
      <c r="K6240" s="41"/>
      <c r="L6240" s="31" t="str">
        <f>IFERROR(__xludf.DUMMYFUNCTION("IF(OR(E6240="""",K6240=""""),"""",IFERROR(IF(K6240="""","""",query('tbl user'!$A$2:$D10975,""SELECT A WHERE D = '""&amp;K6240&amp;""'"")),""USER TIDAK DIKETAHUI""))"),"")</f>
        <v/>
      </c>
    </row>
    <row r="6241">
      <c r="A6241" s="21" t="str">
        <f t="shared" si="3"/>
        <v/>
      </c>
      <c r="B6241" s="38"/>
      <c r="C6241" s="23" t="s">
        <v>2153</v>
      </c>
      <c r="D6241" s="43" t="s">
        <v>32</v>
      </c>
      <c r="E6241" s="45">
        <v>45492.0</v>
      </c>
      <c r="F6241" s="25">
        <v>0.2861111111111111</v>
      </c>
      <c r="G6241" s="25">
        <v>0.6645833333333333</v>
      </c>
      <c r="H6241" s="27">
        <f t="shared" si="4"/>
        <v>0.3784722222</v>
      </c>
      <c r="I6241" s="28">
        <v>3.0</v>
      </c>
      <c r="J6241" s="39" t="s">
        <v>3107</v>
      </c>
      <c r="K6241" s="41"/>
      <c r="L6241" s="31" t="str">
        <f>IFERROR(__xludf.DUMMYFUNCTION("IF(OR(E6241="""",K6241=""""),"""",IFERROR(IF(K6241="""","""",query('tbl user'!$A$2:$D10975,""SELECT A WHERE D = '""&amp;K6241&amp;""'"")),""USER TIDAK DIKETAHUI""))"),"")</f>
        <v/>
      </c>
    </row>
    <row r="6242">
      <c r="A6242" s="21" t="str">
        <f t="shared" si="3"/>
        <v/>
      </c>
      <c r="B6242" s="38"/>
      <c r="C6242" s="23" t="s">
        <v>1967</v>
      </c>
      <c r="D6242" s="43" t="s">
        <v>32</v>
      </c>
      <c r="E6242" s="45">
        <v>45492.0</v>
      </c>
      <c r="F6242" s="25">
        <v>0.22291666666666668</v>
      </c>
      <c r="G6242" s="25">
        <v>0.6659722222222222</v>
      </c>
      <c r="H6242" s="27">
        <f t="shared" si="4"/>
        <v>0.4430555556</v>
      </c>
      <c r="I6242" s="28">
        <v>3.0</v>
      </c>
      <c r="J6242" s="39" t="s">
        <v>3107</v>
      </c>
      <c r="K6242" s="41"/>
      <c r="L6242" s="31" t="str">
        <f>IFERROR(__xludf.DUMMYFUNCTION("IF(OR(E6242="""",K6242=""""),"""",IFERROR(IF(K6242="""","""",query('tbl user'!$A$2:$D10975,""SELECT A WHERE D = '""&amp;K6242&amp;""'"")),""USER TIDAK DIKETAHUI""))"),"")</f>
        <v/>
      </c>
    </row>
    <row r="6243">
      <c r="A6243" s="21" t="str">
        <f t="shared" si="3"/>
        <v/>
      </c>
      <c r="B6243" s="38"/>
      <c r="C6243" s="23" t="s">
        <v>2190</v>
      </c>
      <c r="D6243" s="43" t="s">
        <v>32</v>
      </c>
      <c r="E6243" s="45">
        <v>45492.0</v>
      </c>
      <c r="F6243" s="25">
        <v>0.2569444444444444</v>
      </c>
      <c r="G6243" s="25">
        <v>0.6847222222222222</v>
      </c>
      <c r="H6243" s="27">
        <f t="shared" si="4"/>
        <v>0.4277777778</v>
      </c>
      <c r="I6243" s="28">
        <v>3.0</v>
      </c>
      <c r="J6243" s="39" t="s">
        <v>3132</v>
      </c>
      <c r="K6243" s="41"/>
      <c r="L6243" s="31" t="str">
        <f>IFERROR(__xludf.DUMMYFUNCTION("IF(OR(E6243="""",K6243=""""),"""",IFERROR(IF(K6243="""","""",query('tbl user'!$A$2:$D10975,""SELECT A WHERE D = '""&amp;K6243&amp;""'"")),""USER TIDAK DIKETAHUI""))"),"")</f>
        <v/>
      </c>
    </row>
    <row r="6244">
      <c r="A6244" s="21" t="str">
        <f t="shared" si="3"/>
        <v/>
      </c>
      <c r="B6244" s="38"/>
      <c r="C6244" s="23" t="s">
        <v>1912</v>
      </c>
      <c r="D6244" s="43" t="s">
        <v>32</v>
      </c>
      <c r="E6244" s="45">
        <v>45492.0</v>
      </c>
      <c r="F6244" s="25">
        <v>0.28125</v>
      </c>
      <c r="G6244" s="25">
        <v>0.7354166666666667</v>
      </c>
      <c r="H6244" s="27">
        <f t="shared" si="4"/>
        <v>0.4541666667</v>
      </c>
      <c r="I6244" s="28">
        <v>3.0</v>
      </c>
      <c r="J6244" s="39" t="s">
        <v>3133</v>
      </c>
      <c r="K6244" s="41"/>
      <c r="L6244" s="31" t="str">
        <f>IFERROR(__xludf.DUMMYFUNCTION("IF(OR(E6244="""",K6244=""""),"""",IFERROR(IF(K6244="""","""",query('tbl user'!$A$2:$D10975,""SELECT A WHERE D = '""&amp;K6244&amp;""'"")),""USER TIDAK DIKETAHUI""))"),"")</f>
        <v/>
      </c>
    </row>
    <row r="6245">
      <c r="A6245" s="21" t="str">
        <f t="shared" si="3"/>
        <v/>
      </c>
      <c r="B6245" s="38"/>
      <c r="C6245" s="23" t="s">
        <v>1903</v>
      </c>
      <c r="D6245" s="43" t="s">
        <v>32</v>
      </c>
      <c r="E6245" s="45">
        <v>45492.0</v>
      </c>
      <c r="F6245" s="25">
        <v>0.225</v>
      </c>
      <c r="G6245" s="25">
        <v>0.6645833333333333</v>
      </c>
      <c r="H6245" s="27">
        <f t="shared" si="4"/>
        <v>0.4395833333</v>
      </c>
      <c r="I6245" s="28">
        <v>3.0</v>
      </c>
      <c r="J6245" s="39" t="s">
        <v>3107</v>
      </c>
      <c r="K6245" s="41"/>
      <c r="L6245" s="31" t="str">
        <f>IFERROR(__xludf.DUMMYFUNCTION("IF(OR(E6245="""",K6245=""""),"""",IFERROR(IF(K6245="""","""",query('tbl user'!$A$2:$D10975,""SELECT A WHERE D = '""&amp;K6245&amp;""'"")),""USER TIDAK DIKETAHUI""))"),"")</f>
        <v/>
      </c>
    </row>
    <row r="6246">
      <c r="A6246" s="21" t="str">
        <f t="shared" si="3"/>
        <v/>
      </c>
      <c r="B6246" s="38"/>
      <c r="C6246" s="23" t="s">
        <v>1901</v>
      </c>
      <c r="D6246" s="43" t="s">
        <v>32</v>
      </c>
      <c r="E6246" s="45">
        <v>45492.0</v>
      </c>
      <c r="F6246" s="25">
        <v>0.25416666666666665</v>
      </c>
      <c r="G6246" s="25">
        <v>0.7347222222222223</v>
      </c>
      <c r="H6246" s="27">
        <f t="shared" si="4"/>
        <v>0.4805555556</v>
      </c>
      <c r="I6246" s="28">
        <v>4.0</v>
      </c>
      <c r="J6246" s="39" t="s">
        <v>3107</v>
      </c>
      <c r="K6246" s="41"/>
      <c r="L6246" s="31" t="str">
        <f>IFERROR(__xludf.DUMMYFUNCTION("IF(OR(E6246="""",K6246=""""),"""",IFERROR(IF(K6246="""","""",query('tbl user'!$A$2:$D10975,""SELECT A WHERE D = '""&amp;K6246&amp;""'"")),""USER TIDAK DIKETAHUI""))"),"")</f>
        <v/>
      </c>
    </row>
    <row r="6247">
      <c r="A6247" s="21" t="str">
        <f t="shared" si="3"/>
        <v/>
      </c>
      <c r="B6247" s="38"/>
      <c r="C6247" s="23" t="s">
        <v>1920</v>
      </c>
      <c r="D6247" s="23" t="s">
        <v>21</v>
      </c>
      <c r="E6247" s="46">
        <v>45493.0</v>
      </c>
      <c r="F6247" s="25">
        <v>0.24583333333333332</v>
      </c>
      <c r="G6247" s="25">
        <v>0.5625</v>
      </c>
      <c r="H6247" s="27">
        <f t="shared" si="4"/>
        <v>0.3166666667</v>
      </c>
      <c r="I6247" s="28">
        <v>2.0</v>
      </c>
      <c r="J6247" s="39" t="s">
        <v>3134</v>
      </c>
      <c r="K6247" s="41"/>
      <c r="L6247" s="31" t="str">
        <f>IFERROR(__xludf.DUMMYFUNCTION("IF(OR(E6247="""",K6247=""""),"""",IFERROR(IF(K6247="""","""",query('tbl user'!$A$2:$D10975,""SELECT A WHERE D = '""&amp;K6247&amp;""'"")),""USER TIDAK DIKETAHUI""))"),"")</f>
        <v/>
      </c>
    </row>
    <row r="6248">
      <c r="A6248" s="21" t="str">
        <f t="shared" si="3"/>
        <v/>
      </c>
      <c r="B6248" s="38"/>
      <c r="C6248" s="23" t="s">
        <v>1853</v>
      </c>
      <c r="D6248" s="23" t="s">
        <v>21</v>
      </c>
      <c r="E6248" s="46">
        <v>45493.0</v>
      </c>
      <c r="F6248" s="25">
        <v>0.28194444444444444</v>
      </c>
      <c r="G6248" s="25">
        <v>0.6833333333333333</v>
      </c>
      <c r="H6248" s="27">
        <f t="shared" si="4"/>
        <v>0.4013888889</v>
      </c>
      <c r="I6248" s="28">
        <v>3.0</v>
      </c>
      <c r="J6248" s="39" t="s">
        <v>3135</v>
      </c>
      <c r="K6248" s="41"/>
      <c r="L6248" s="31" t="str">
        <f>IFERROR(__xludf.DUMMYFUNCTION("IF(OR(E6248="""",K6248=""""),"""",IFERROR(IF(K6248="""","""",query('tbl user'!$A$2:$D10975,""SELECT A WHERE D = '""&amp;K6248&amp;""'"")),""USER TIDAK DIKETAHUI""))"),"")</f>
        <v/>
      </c>
    </row>
    <row r="6249">
      <c r="A6249" s="21" t="str">
        <f t="shared" si="3"/>
        <v/>
      </c>
      <c r="B6249" s="38"/>
      <c r="C6249" s="23" t="s">
        <v>1830</v>
      </c>
      <c r="D6249" s="23" t="s">
        <v>21</v>
      </c>
      <c r="E6249" s="46">
        <v>45493.0</v>
      </c>
      <c r="F6249" s="25">
        <v>0.2361111111111111</v>
      </c>
      <c r="G6249" s="25">
        <v>0.6430555555555556</v>
      </c>
      <c r="H6249" s="27">
        <f t="shared" si="4"/>
        <v>0.4069444444</v>
      </c>
      <c r="I6249" s="28">
        <v>3.0</v>
      </c>
      <c r="J6249" s="39" t="s">
        <v>3136</v>
      </c>
      <c r="K6249" s="41"/>
      <c r="L6249" s="31" t="str">
        <f>IFERROR(__xludf.DUMMYFUNCTION("IF(OR(E6249="""",K6249=""""),"""",IFERROR(IF(K6249="""","""",query('tbl user'!$A$2:$D10975,""SELECT A WHERE D = '""&amp;K6249&amp;""'"")),""USER TIDAK DIKETAHUI""))"),"")</f>
        <v/>
      </c>
    </row>
    <row r="6250">
      <c r="A6250" s="21" t="str">
        <f t="shared" si="3"/>
        <v/>
      </c>
      <c r="B6250" s="38"/>
      <c r="C6250" s="23" t="s">
        <v>1844</v>
      </c>
      <c r="D6250" s="23" t="s">
        <v>21</v>
      </c>
      <c r="E6250" s="46">
        <v>45493.0</v>
      </c>
      <c r="F6250" s="25">
        <v>0.26458333333333334</v>
      </c>
      <c r="G6250" s="25">
        <v>0.6805555555555556</v>
      </c>
      <c r="H6250" s="27">
        <f t="shared" si="4"/>
        <v>0.4159722222</v>
      </c>
      <c r="I6250" s="28">
        <v>3.0</v>
      </c>
      <c r="J6250" s="39" t="s">
        <v>3135</v>
      </c>
      <c r="K6250" s="41"/>
      <c r="L6250" s="31" t="str">
        <f>IFERROR(__xludf.DUMMYFUNCTION("IF(OR(E6250="""",K6250=""""),"""",IFERROR(IF(K6250="""","""",query('tbl user'!$A$2:$D10975,""SELECT A WHERE D = '""&amp;K6250&amp;""'"")),""USER TIDAK DIKETAHUI""))"),"")</f>
        <v/>
      </c>
    </row>
    <row r="6251">
      <c r="A6251" s="21" t="str">
        <f t="shared" si="3"/>
        <v/>
      </c>
      <c r="B6251" s="38"/>
      <c r="C6251" s="23" t="s">
        <v>1925</v>
      </c>
      <c r="D6251" s="23" t="s">
        <v>21</v>
      </c>
      <c r="E6251" s="46">
        <v>45493.0</v>
      </c>
      <c r="F6251" s="25">
        <v>0.2590277777777778</v>
      </c>
      <c r="G6251" s="25">
        <v>0.6694444444444444</v>
      </c>
      <c r="H6251" s="27">
        <f t="shared" si="4"/>
        <v>0.4104166667</v>
      </c>
      <c r="I6251" s="28">
        <v>3.0</v>
      </c>
      <c r="J6251" s="39" t="s">
        <v>3135</v>
      </c>
      <c r="K6251" s="41"/>
      <c r="L6251" s="31" t="str">
        <f>IFERROR(__xludf.DUMMYFUNCTION("IF(OR(E6251="""",K6251=""""),"""",IFERROR(IF(K6251="""","""",query('tbl user'!$A$2:$D10975,""SELECT A WHERE D = '""&amp;K6251&amp;""'"")),""USER TIDAK DIKETAHUI""))"),"")</f>
        <v/>
      </c>
    </row>
    <row r="6252">
      <c r="A6252" s="21" t="str">
        <f t="shared" si="3"/>
        <v/>
      </c>
      <c r="B6252" s="38"/>
      <c r="C6252" s="23" t="s">
        <v>1845</v>
      </c>
      <c r="D6252" s="23" t="s">
        <v>21</v>
      </c>
      <c r="E6252" s="46">
        <v>45493.0</v>
      </c>
      <c r="F6252" s="25">
        <v>0.2569444444444444</v>
      </c>
      <c r="G6252" s="25">
        <v>0.6118055555555556</v>
      </c>
      <c r="H6252" s="27">
        <f t="shared" si="4"/>
        <v>0.3548611111</v>
      </c>
      <c r="I6252" s="28">
        <v>3.0</v>
      </c>
      <c r="J6252" s="39" t="s">
        <v>3137</v>
      </c>
      <c r="K6252" s="41"/>
      <c r="L6252" s="31" t="str">
        <f>IFERROR(__xludf.DUMMYFUNCTION("IF(OR(E6252="""",K6252=""""),"""",IFERROR(IF(K6252="""","""",query('tbl user'!$A$2:$D10975,""SELECT A WHERE D = '""&amp;K6252&amp;""'"")),""USER TIDAK DIKETAHUI""))"),"")</f>
        <v/>
      </c>
    </row>
    <row r="6253">
      <c r="A6253" s="21" t="str">
        <f t="shared" si="3"/>
        <v/>
      </c>
      <c r="B6253" s="38"/>
      <c r="C6253" s="23" t="s">
        <v>2049</v>
      </c>
      <c r="D6253" s="23" t="s">
        <v>21</v>
      </c>
      <c r="E6253" s="46">
        <v>45493.0</v>
      </c>
      <c r="F6253" s="25">
        <v>0.29097222222222224</v>
      </c>
      <c r="G6253" s="25">
        <v>0.7090277777777778</v>
      </c>
      <c r="H6253" s="27">
        <f t="shared" si="4"/>
        <v>0.4180555556</v>
      </c>
      <c r="I6253" s="28">
        <v>3.0</v>
      </c>
      <c r="J6253" s="39" t="s">
        <v>1333</v>
      </c>
      <c r="K6253" s="41"/>
      <c r="L6253" s="31" t="str">
        <f>IFERROR(__xludf.DUMMYFUNCTION("IF(OR(E6253="""",K6253=""""),"""",IFERROR(IF(K6253="""","""",query('tbl user'!$A$2:$D10975,""SELECT A WHERE D = '""&amp;K6253&amp;""'"")),""USER TIDAK DIKETAHUI""))"),"")</f>
        <v/>
      </c>
    </row>
    <row r="6254">
      <c r="A6254" s="21" t="str">
        <f t="shared" si="3"/>
        <v/>
      </c>
      <c r="B6254" s="38"/>
      <c r="C6254" s="23" t="s">
        <v>1847</v>
      </c>
      <c r="D6254" s="23" t="s">
        <v>21</v>
      </c>
      <c r="E6254" s="46">
        <v>45493.0</v>
      </c>
      <c r="F6254" s="25">
        <v>0.2375</v>
      </c>
      <c r="G6254" s="25">
        <v>0.7215277777777778</v>
      </c>
      <c r="H6254" s="27">
        <f t="shared" si="4"/>
        <v>0.4840277778</v>
      </c>
      <c r="I6254" s="28">
        <v>3.0</v>
      </c>
      <c r="J6254" s="39" t="s">
        <v>585</v>
      </c>
      <c r="K6254" s="41"/>
      <c r="L6254" s="31" t="str">
        <f>IFERROR(__xludf.DUMMYFUNCTION("IF(OR(E6254="""",K6254=""""),"""",IFERROR(IF(K6254="""","""",query('tbl user'!$A$2:$D10975,""SELECT A WHERE D = '""&amp;K6254&amp;""'"")),""USER TIDAK DIKETAHUI""))"),"")</f>
        <v/>
      </c>
    </row>
    <row r="6255">
      <c r="A6255" s="21" t="str">
        <f t="shared" si="3"/>
        <v/>
      </c>
      <c r="B6255" s="38"/>
      <c r="C6255" s="23" t="s">
        <v>1849</v>
      </c>
      <c r="D6255" s="23" t="s">
        <v>21</v>
      </c>
      <c r="E6255" s="46">
        <v>45493.0</v>
      </c>
      <c r="F6255" s="25">
        <v>0.23402777777777778</v>
      </c>
      <c r="G6255" s="25">
        <v>0.6708333333333333</v>
      </c>
      <c r="H6255" s="27">
        <f t="shared" si="4"/>
        <v>0.4368055556</v>
      </c>
      <c r="I6255" s="28">
        <v>3.0</v>
      </c>
      <c r="J6255" s="39" t="s">
        <v>3135</v>
      </c>
      <c r="K6255" s="41"/>
      <c r="L6255" s="31" t="str">
        <f>IFERROR(__xludf.DUMMYFUNCTION("IF(OR(E6255="""",K6255=""""),"""",IFERROR(IF(K6255="""","""",query('tbl user'!$A$2:$D10975,""SELECT A WHERE D = '""&amp;K6255&amp;""'"")),""USER TIDAK DIKETAHUI""))"),"")</f>
        <v/>
      </c>
    </row>
    <row r="6256">
      <c r="A6256" s="21" t="str">
        <f t="shared" si="3"/>
        <v/>
      </c>
      <c r="B6256" s="38"/>
      <c r="C6256" s="23" t="s">
        <v>1928</v>
      </c>
      <c r="D6256" s="23" t="s">
        <v>21</v>
      </c>
      <c r="E6256" s="46">
        <v>45493.0</v>
      </c>
      <c r="F6256" s="25">
        <v>0.2777777777777778</v>
      </c>
      <c r="G6256" s="25">
        <v>0.6680555555555555</v>
      </c>
      <c r="H6256" s="27">
        <f t="shared" si="4"/>
        <v>0.3902777778</v>
      </c>
      <c r="I6256" s="28">
        <v>3.0</v>
      </c>
      <c r="J6256" s="39" t="s">
        <v>3135</v>
      </c>
      <c r="K6256" s="41"/>
      <c r="L6256" s="31" t="str">
        <f>IFERROR(__xludf.DUMMYFUNCTION("IF(OR(E6256="""",K6256=""""),"""",IFERROR(IF(K6256="""","""",query('tbl user'!$A$2:$D10975,""SELECT A WHERE D = '""&amp;K6256&amp;""'"")),""USER TIDAK DIKETAHUI""))"),"")</f>
        <v/>
      </c>
    </row>
    <row r="6257">
      <c r="A6257" s="21" t="str">
        <f t="shared" si="3"/>
        <v/>
      </c>
      <c r="B6257" s="38"/>
      <c r="C6257" s="23" t="s">
        <v>1850</v>
      </c>
      <c r="D6257" s="23" t="s">
        <v>21</v>
      </c>
      <c r="E6257" s="46">
        <v>45493.0</v>
      </c>
      <c r="F6257" s="25">
        <v>0.2361111111111111</v>
      </c>
      <c r="G6257" s="25">
        <v>0.7375</v>
      </c>
      <c r="H6257" s="27">
        <f t="shared" si="4"/>
        <v>0.5013888889</v>
      </c>
      <c r="I6257" s="28">
        <v>3.0</v>
      </c>
      <c r="J6257" s="39" t="s">
        <v>3138</v>
      </c>
      <c r="K6257" s="41"/>
      <c r="L6257" s="31" t="str">
        <f>IFERROR(__xludf.DUMMYFUNCTION("IF(OR(E6257="""",K6257=""""),"""",IFERROR(IF(K6257="""","""",query('tbl user'!$A$2:$D10975,""SELECT A WHERE D = '""&amp;K6257&amp;""'"")),""USER TIDAK DIKETAHUI""))"),"")</f>
        <v/>
      </c>
    </row>
    <row r="6258">
      <c r="A6258" s="21" t="str">
        <f t="shared" si="3"/>
        <v/>
      </c>
      <c r="B6258" s="38"/>
      <c r="C6258" s="23" t="s">
        <v>1922</v>
      </c>
      <c r="D6258" s="23" t="s">
        <v>21</v>
      </c>
      <c r="E6258" s="46">
        <v>45493.0</v>
      </c>
      <c r="F6258" s="25">
        <v>0.225</v>
      </c>
      <c r="G6258" s="25">
        <v>0.7208333333333333</v>
      </c>
      <c r="H6258" s="27">
        <f t="shared" si="4"/>
        <v>0.4958333333</v>
      </c>
      <c r="I6258" s="28">
        <v>4.0</v>
      </c>
      <c r="J6258" s="39" t="s">
        <v>3135</v>
      </c>
      <c r="K6258" s="41"/>
      <c r="L6258" s="31" t="str">
        <f>IFERROR(__xludf.DUMMYFUNCTION("IF(OR(E6258="""",K6258=""""),"""",IFERROR(IF(K6258="""","""",query('tbl user'!$A$2:$D10975,""SELECT A WHERE D = '""&amp;K6258&amp;""'"")),""USER TIDAK DIKETAHUI""))"),"")</f>
        <v/>
      </c>
    </row>
    <row r="6259">
      <c r="A6259" s="21" t="str">
        <f t="shared" si="3"/>
        <v/>
      </c>
      <c r="B6259" s="38"/>
      <c r="C6259" s="23" t="s">
        <v>2136</v>
      </c>
      <c r="D6259" s="23" t="s">
        <v>21</v>
      </c>
      <c r="E6259" s="46">
        <v>45493.0</v>
      </c>
      <c r="F6259" s="25">
        <v>0.22291666666666668</v>
      </c>
      <c r="G6259" s="25">
        <v>0.6854166666666667</v>
      </c>
      <c r="H6259" s="27">
        <f t="shared" si="4"/>
        <v>0.4625</v>
      </c>
      <c r="I6259" s="28">
        <v>4.0</v>
      </c>
      <c r="J6259" s="39" t="s">
        <v>3139</v>
      </c>
      <c r="K6259" s="41"/>
      <c r="L6259" s="31" t="str">
        <f>IFERROR(__xludf.DUMMYFUNCTION("IF(OR(E6259="""",K6259=""""),"""",IFERROR(IF(K6259="""","""",query('tbl user'!$A$2:$D10975,""SELECT A WHERE D = '""&amp;K6259&amp;""'"")),""USER TIDAK DIKETAHUI""))"),"")</f>
        <v/>
      </c>
    </row>
    <row r="6260">
      <c r="A6260" s="21" t="str">
        <f t="shared" si="3"/>
        <v/>
      </c>
      <c r="B6260" s="38"/>
      <c r="C6260" s="23" t="s">
        <v>1835</v>
      </c>
      <c r="D6260" s="23" t="s">
        <v>21</v>
      </c>
      <c r="E6260" s="46">
        <v>45493.0</v>
      </c>
      <c r="F6260" s="25">
        <v>0.2798611111111111</v>
      </c>
      <c r="G6260" s="25">
        <v>0.7208333333333333</v>
      </c>
      <c r="H6260" s="27">
        <f t="shared" si="4"/>
        <v>0.4409722222</v>
      </c>
      <c r="I6260" s="28">
        <v>4.0</v>
      </c>
      <c r="J6260" s="39" t="s">
        <v>3135</v>
      </c>
      <c r="K6260" s="41"/>
      <c r="L6260" s="31" t="str">
        <f>IFERROR(__xludf.DUMMYFUNCTION("IF(OR(E6260="""",K6260=""""),"""",IFERROR(IF(K6260="""","""",query('tbl user'!$A$2:$D10975,""SELECT A WHERE D = '""&amp;K6260&amp;""'"")),""USER TIDAK DIKETAHUI""))"),"")</f>
        <v/>
      </c>
    </row>
    <row r="6261">
      <c r="A6261" s="21" t="str">
        <f t="shared" si="3"/>
        <v/>
      </c>
      <c r="B6261" s="38"/>
      <c r="C6261" s="23" t="s">
        <v>1837</v>
      </c>
      <c r="D6261" s="23" t="s">
        <v>21</v>
      </c>
      <c r="E6261" s="46">
        <v>45493.0</v>
      </c>
      <c r="F6261" s="25">
        <v>0.26319444444444445</v>
      </c>
      <c r="G6261" s="25">
        <v>0.7208333333333333</v>
      </c>
      <c r="H6261" s="27">
        <f t="shared" si="4"/>
        <v>0.4576388889</v>
      </c>
      <c r="I6261" s="28">
        <v>4.0</v>
      </c>
      <c r="J6261" s="39" t="s">
        <v>3135</v>
      </c>
      <c r="K6261" s="41"/>
      <c r="L6261" s="31" t="str">
        <f>IFERROR(__xludf.DUMMYFUNCTION("IF(OR(E6261="""",K6261=""""),"""",IFERROR(IF(K6261="""","""",query('tbl user'!$A$2:$D10975,""SELECT A WHERE D = '""&amp;K6261&amp;""'"")),""USER TIDAK DIKETAHUI""))"),"")</f>
        <v/>
      </c>
    </row>
    <row r="6262">
      <c r="A6262" s="21" t="str">
        <f t="shared" si="3"/>
        <v/>
      </c>
      <c r="B6262" s="38"/>
      <c r="C6262" s="23" t="s">
        <v>2005</v>
      </c>
      <c r="D6262" s="23" t="s">
        <v>21</v>
      </c>
      <c r="E6262" s="46">
        <v>45493.0</v>
      </c>
      <c r="F6262" s="25">
        <v>0.22916666666666666</v>
      </c>
      <c r="G6262" s="25">
        <v>0.6805555555555556</v>
      </c>
      <c r="H6262" s="27">
        <f t="shared" si="4"/>
        <v>0.4513888889</v>
      </c>
      <c r="I6262" s="28">
        <v>4.0</v>
      </c>
      <c r="J6262" s="39" t="s">
        <v>3140</v>
      </c>
      <c r="K6262" s="41"/>
      <c r="L6262" s="31" t="str">
        <f>IFERROR(__xludf.DUMMYFUNCTION("IF(OR(E6262="""",K6262=""""),"""",IFERROR(IF(K6262="""","""",query('tbl user'!$A$2:$D10975,""SELECT A WHERE D = '""&amp;K6262&amp;""'"")),""USER TIDAK DIKETAHUI""))"),"")</f>
        <v/>
      </c>
    </row>
    <row r="6263">
      <c r="A6263" s="21" t="str">
        <f t="shared" si="3"/>
        <v/>
      </c>
      <c r="B6263" s="38"/>
      <c r="C6263" s="23" t="s">
        <v>1852</v>
      </c>
      <c r="D6263" s="23" t="s">
        <v>21</v>
      </c>
      <c r="E6263" s="46">
        <v>45493.0</v>
      </c>
      <c r="F6263" s="25">
        <v>0.3861111111111111</v>
      </c>
      <c r="G6263" s="25">
        <v>0.41944444444444445</v>
      </c>
      <c r="H6263" s="27">
        <f t="shared" si="4"/>
        <v>0.03333333333</v>
      </c>
      <c r="I6263" s="28">
        <v>1.0</v>
      </c>
      <c r="J6263" s="39" t="s">
        <v>3141</v>
      </c>
      <c r="K6263" s="41"/>
      <c r="L6263" s="31" t="str">
        <f>IFERROR(__xludf.DUMMYFUNCTION("IF(OR(E6263="""",K6263=""""),"""",IFERROR(IF(K6263="""","""",query('tbl user'!$A$2:$D10975,""SELECT A WHERE D = '""&amp;K6263&amp;""'"")),""USER TIDAK DIKETAHUI""))"),"")</f>
        <v/>
      </c>
    </row>
    <row r="6264">
      <c r="A6264" s="21" t="str">
        <f t="shared" si="3"/>
        <v/>
      </c>
      <c r="B6264" s="38"/>
      <c r="C6264" s="23" t="s">
        <v>1917</v>
      </c>
      <c r="D6264" s="23" t="s">
        <v>21</v>
      </c>
      <c r="E6264" s="46">
        <v>45493.0</v>
      </c>
      <c r="F6264" s="25">
        <v>0.23819444444444443</v>
      </c>
      <c r="G6264" s="25">
        <v>0.5555555555555556</v>
      </c>
      <c r="H6264" s="27">
        <f t="shared" si="4"/>
        <v>0.3173611111</v>
      </c>
      <c r="I6264" s="28">
        <v>2.0</v>
      </c>
      <c r="J6264" s="39" t="s">
        <v>3142</v>
      </c>
      <c r="K6264" s="41"/>
      <c r="L6264" s="31" t="str">
        <f>IFERROR(__xludf.DUMMYFUNCTION("IF(OR(E6264="""",K6264=""""),"""",IFERROR(IF(K6264="""","""",query('tbl user'!$A$2:$D10975,""SELECT A WHERE D = '""&amp;K6264&amp;""'"")),""USER TIDAK DIKETAHUI""))"),"")</f>
        <v/>
      </c>
    </row>
    <row r="6265">
      <c r="A6265" s="21" t="str">
        <f t="shared" si="3"/>
        <v/>
      </c>
      <c r="B6265" s="38"/>
      <c r="C6265" s="23" t="s">
        <v>1841</v>
      </c>
      <c r="D6265" s="23" t="s">
        <v>21</v>
      </c>
      <c r="E6265" s="46">
        <v>45493.0</v>
      </c>
      <c r="F6265" s="25">
        <v>0.2875</v>
      </c>
      <c r="G6265" s="25">
        <v>0.6916666666666667</v>
      </c>
      <c r="H6265" s="27">
        <f t="shared" si="4"/>
        <v>0.4041666667</v>
      </c>
      <c r="I6265" s="28">
        <v>4.0</v>
      </c>
      <c r="J6265" s="39" t="s">
        <v>2233</v>
      </c>
      <c r="K6265" s="41"/>
      <c r="L6265" s="31" t="str">
        <f>IFERROR(__xludf.DUMMYFUNCTION("IF(OR(E6265="""",K6265=""""),"""",IFERROR(IF(K6265="""","""",query('tbl user'!$A$2:$D10975,""SELECT A WHERE D = '""&amp;K6265&amp;""'"")),""USER TIDAK DIKETAHUI""))"),"")</f>
        <v/>
      </c>
    </row>
    <row r="6266">
      <c r="A6266" s="21" t="str">
        <f t="shared" si="3"/>
        <v/>
      </c>
      <c r="B6266" s="38"/>
      <c r="C6266" s="23" t="s">
        <v>1948</v>
      </c>
      <c r="D6266" s="23" t="s">
        <v>58</v>
      </c>
      <c r="E6266" s="46">
        <v>45493.0</v>
      </c>
      <c r="F6266" s="25">
        <v>0.32083333333333336</v>
      </c>
      <c r="G6266" s="25">
        <v>0.53125</v>
      </c>
      <c r="H6266" s="27">
        <f t="shared" si="4"/>
        <v>0.2104166667</v>
      </c>
      <c r="I6266" s="28">
        <v>1.0</v>
      </c>
      <c r="J6266" s="39" t="s">
        <v>3143</v>
      </c>
      <c r="K6266" s="41"/>
      <c r="L6266" s="31" t="str">
        <f>IFERROR(__xludf.DUMMYFUNCTION("IF(OR(E6266="""",K6266=""""),"""",IFERROR(IF(K6266="""","""",query('tbl user'!$A$2:$D10975,""SELECT A WHERE D = '""&amp;K6266&amp;""'"")),""USER TIDAK DIKETAHUI""))"),"")</f>
        <v/>
      </c>
    </row>
    <row r="6267">
      <c r="A6267" s="21" t="str">
        <f t="shared" si="3"/>
        <v/>
      </c>
      <c r="B6267" s="38"/>
      <c r="C6267" s="23" t="s">
        <v>1874</v>
      </c>
      <c r="D6267" s="23" t="s">
        <v>58</v>
      </c>
      <c r="E6267" s="46">
        <v>45493.0</v>
      </c>
      <c r="F6267" s="25">
        <v>0.29097222222222224</v>
      </c>
      <c r="G6267" s="25">
        <v>0.6916666666666667</v>
      </c>
      <c r="H6267" s="27">
        <f t="shared" si="4"/>
        <v>0.4006944444</v>
      </c>
      <c r="I6267" s="28">
        <v>2.0</v>
      </c>
      <c r="J6267" s="39" t="s">
        <v>3135</v>
      </c>
      <c r="K6267" s="41"/>
      <c r="L6267" s="31" t="str">
        <f>IFERROR(__xludf.DUMMYFUNCTION("IF(OR(E6267="""",K6267=""""),"""",IFERROR(IF(K6267="""","""",query('tbl user'!$A$2:$D10975,""SELECT A WHERE D = '""&amp;K6267&amp;""'"")),""USER TIDAK DIKETAHUI""))"),"")</f>
        <v/>
      </c>
    </row>
    <row r="6268">
      <c r="A6268" s="21" t="str">
        <f t="shared" si="3"/>
        <v/>
      </c>
      <c r="B6268" s="38"/>
      <c r="C6268" s="23" t="s">
        <v>1865</v>
      </c>
      <c r="D6268" s="23" t="s">
        <v>58</v>
      </c>
      <c r="E6268" s="46">
        <v>45493.0</v>
      </c>
      <c r="F6268" s="25">
        <v>0.2902777777777778</v>
      </c>
      <c r="G6268" s="25">
        <v>0.70625</v>
      </c>
      <c r="H6268" s="27">
        <f t="shared" si="4"/>
        <v>0.4159722222</v>
      </c>
      <c r="I6268" s="28">
        <v>2.0</v>
      </c>
      <c r="J6268" s="39" t="s">
        <v>3135</v>
      </c>
      <c r="K6268" s="41"/>
      <c r="L6268" s="31" t="str">
        <f>IFERROR(__xludf.DUMMYFUNCTION("IF(OR(E6268="""",K6268=""""),"""",IFERROR(IF(K6268="""","""",query('tbl user'!$A$2:$D10975,""SELECT A WHERE D = '""&amp;K6268&amp;""'"")),""USER TIDAK DIKETAHUI""))"),"")</f>
        <v/>
      </c>
    </row>
    <row r="6269">
      <c r="A6269" s="21" t="str">
        <f t="shared" si="3"/>
        <v/>
      </c>
      <c r="B6269" s="38"/>
      <c r="C6269" s="23" t="s">
        <v>1867</v>
      </c>
      <c r="D6269" s="23" t="s">
        <v>58</v>
      </c>
      <c r="E6269" s="46">
        <v>45493.0</v>
      </c>
      <c r="F6269" s="25">
        <v>0.27847222222222223</v>
      </c>
      <c r="G6269" s="25">
        <v>0.6569444444444444</v>
      </c>
      <c r="H6269" s="27">
        <f t="shared" si="4"/>
        <v>0.3784722222</v>
      </c>
      <c r="I6269" s="28">
        <v>2.0</v>
      </c>
      <c r="J6269" s="39" t="s">
        <v>3135</v>
      </c>
      <c r="K6269" s="41"/>
      <c r="L6269" s="31" t="str">
        <f>IFERROR(__xludf.DUMMYFUNCTION("IF(OR(E6269="""",K6269=""""),"""",IFERROR(IF(K6269="""","""",query('tbl user'!$A$2:$D10975,""SELECT A WHERE D = '""&amp;K6269&amp;""'"")),""USER TIDAK DIKETAHUI""))"),"")</f>
        <v/>
      </c>
    </row>
    <row r="6270">
      <c r="A6270" s="21" t="str">
        <f t="shared" si="3"/>
        <v/>
      </c>
      <c r="B6270" s="38"/>
      <c r="C6270" s="23" t="s">
        <v>1941</v>
      </c>
      <c r="D6270" s="23" t="s">
        <v>58</v>
      </c>
      <c r="E6270" s="46">
        <v>45493.0</v>
      </c>
      <c r="F6270" s="25">
        <v>0.23125</v>
      </c>
      <c r="G6270" s="25">
        <v>0.6048611111111111</v>
      </c>
      <c r="H6270" s="27">
        <f t="shared" si="4"/>
        <v>0.3736111111</v>
      </c>
      <c r="I6270" s="28">
        <v>2.0</v>
      </c>
      <c r="J6270" s="39" t="s">
        <v>3144</v>
      </c>
      <c r="K6270" s="41"/>
      <c r="L6270" s="31" t="str">
        <f>IFERROR(__xludf.DUMMYFUNCTION("IF(OR(E6270="""",K6270=""""),"""",IFERROR(IF(K6270="""","""",query('tbl user'!$A$2:$D10975,""SELECT A WHERE D = '""&amp;K6270&amp;""'"")),""USER TIDAK DIKETAHUI""))"),"")</f>
        <v/>
      </c>
    </row>
    <row r="6271">
      <c r="A6271" s="21" t="str">
        <f t="shared" si="3"/>
        <v/>
      </c>
      <c r="B6271" s="38"/>
      <c r="C6271" s="23" t="s">
        <v>1869</v>
      </c>
      <c r="D6271" s="23" t="s">
        <v>58</v>
      </c>
      <c r="E6271" s="46">
        <v>45493.0</v>
      </c>
      <c r="F6271" s="25">
        <v>0.35208333333333336</v>
      </c>
      <c r="G6271" s="25">
        <v>0.70625</v>
      </c>
      <c r="H6271" s="27">
        <f t="shared" si="4"/>
        <v>0.3541666667</v>
      </c>
      <c r="I6271" s="28">
        <v>2.0</v>
      </c>
      <c r="J6271" s="39" t="s">
        <v>3145</v>
      </c>
      <c r="K6271" s="41"/>
      <c r="L6271" s="31" t="str">
        <f>IFERROR(__xludf.DUMMYFUNCTION("IF(OR(E6271="""",K6271=""""),"""",IFERROR(IF(K6271="""","""",query('tbl user'!$A$2:$D10975,""SELECT A WHERE D = '""&amp;K6271&amp;""'"")),""USER TIDAK DIKETAHUI""))"),"")</f>
        <v/>
      </c>
    </row>
    <row r="6272">
      <c r="A6272" s="21" t="str">
        <f t="shared" si="3"/>
        <v/>
      </c>
      <c r="B6272" s="38"/>
      <c r="C6272" s="23" t="s">
        <v>1879</v>
      </c>
      <c r="D6272" s="23" t="s">
        <v>58</v>
      </c>
      <c r="E6272" s="46">
        <v>45493.0</v>
      </c>
      <c r="F6272" s="25">
        <v>0.22916666666666666</v>
      </c>
      <c r="G6272" s="25">
        <v>0.6819444444444445</v>
      </c>
      <c r="H6272" s="27">
        <f t="shared" si="4"/>
        <v>0.4527777778</v>
      </c>
      <c r="I6272" s="28">
        <v>2.0</v>
      </c>
      <c r="J6272" s="39" t="s">
        <v>3146</v>
      </c>
      <c r="K6272" s="41"/>
      <c r="L6272" s="31" t="str">
        <f>IFERROR(__xludf.DUMMYFUNCTION("IF(OR(E6272="""",K6272=""""),"""",IFERROR(IF(K6272="""","""",query('tbl user'!$A$2:$D10975,""SELECT A WHERE D = '""&amp;K6272&amp;""'"")),""USER TIDAK DIKETAHUI""))"),"")</f>
        <v/>
      </c>
    </row>
    <row r="6273">
      <c r="A6273" s="21" t="str">
        <f t="shared" si="3"/>
        <v/>
      </c>
      <c r="B6273" s="38"/>
      <c r="C6273" s="23" t="s">
        <v>1881</v>
      </c>
      <c r="D6273" s="23" t="s">
        <v>58</v>
      </c>
      <c r="E6273" s="46">
        <v>45493.0</v>
      </c>
      <c r="F6273" s="25">
        <v>0.21666666666666667</v>
      </c>
      <c r="G6273" s="25">
        <v>0.6048611111111111</v>
      </c>
      <c r="H6273" s="27">
        <f t="shared" si="4"/>
        <v>0.3881944444</v>
      </c>
      <c r="I6273" s="28">
        <v>2.0</v>
      </c>
      <c r="J6273" s="39" t="s">
        <v>3147</v>
      </c>
      <c r="K6273" s="41"/>
      <c r="L6273" s="31" t="str">
        <f>IFERROR(__xludf.DUMMYFUNCTION("IF(OR(E6273="""",K6273=""""),"""",IFERROR(IF(K6273="""","""",query('tbl user'!$A$2:$D10975,""SELECT A WHERE D = '""&amp;K6273&amp;""'"")),""USER TIDAK DIKETAHUI""))"),"")</f>
        <v/>
      </c>
    </row>
    <row r="6274">
      <c r="A6274" s="21" t="str">
        <f t="shared" si="3"/>
        <v/>
      </c>
      <c r="B6274" s="38"/>
      <c r="C6274" s="23" t="s">
        <v>1883</v>
      </c>
      <c r="D6274" s="23" t="s">
        <v>58</v>
      </c>
      <c r="E6274" s="46">
        <v>45493.0</v>
      </c>
      <c r="F6274" s="25">
        <v>0.2791666666666667</v>
      </c>
      <c r="G6274" s="25">
        <v>0.65625</v>
      </c>
      <c r="H6274" s="27">
        <f t="shared" si="4"/>
        <v>0.3770833333</v>
      </c>
      <c r="I6274" s="28">
        <v>2.0</v>
      </c>
      <c r="J6274" s="39" t="s">
        <v>3135</v>
      </c>
      <c r="K6274" s="41"/>
      <c r="L6274" s="31" t="str">
        <f>IFERROR(__xludf.DUMMYFUNCTION("IF(OR(E6274="""",K6274=""""),"""",IFERROR(IF(K6274="""","""",query('tbl user'!$A$2:$D10975,""SELECT A WHERE D = '""&amp;K6274&amp;""'"")),""USER TIDAK DIKETAHUI""))"),"")</f>
        <v/>
      </c>
    </row>
    <row r="6275">
      <c r="A6275" s="21" t="str">
        <f t="shared" si="3"/>
        <v/>
      </c>
      <c r="B6275" s="38"/>
      <c r="C6275" s="23" t="s">
        <v>1860</v>
      </c>
      <c r="D6275" s="23" t="s">
        <v>58</v>
      </c>
      <c r="E6275" s="46">
        <v>45493.0</v>
      </c>
      <c r="F6275" s="25">
        <v>0.29444444444444445</v>
      </c>
      <c r="G6275" s="25">
        <v>0.6930555555555555</v>
      </c>
      <c r="H6275" s="27">
        <f t="shared" si="4"/>
        <v>0.3986111111</v>
      </c>
      <c r="I6275" s="28">
        <v>2.0</v>
      </c>
      <c r="J6275" s="39" t="s">
        <v>736</v>
      </c>
      <c r="K6275" s="41"/>
      <c r="L6275" s="31" t="str">
        <f>IFERROR(__xludf.DUMMYFUNCTION("IF(OR(E6275="""",K6275=""""),"""",IFERROR(IF(K6275="""","""",query('tbl user'!$A$2:$D10975,""SELECT A WHERE D = '""&amp;K6275&amp;""'"")),""USER TIDAK DIKETAHUI""))"),"")</f>
        <v/>
      </c>
    </row>
    <row r="6276">
      <c r="A6276" s="21" t="str">
        <f t="shared" si="3"/>
        <v/>
      </c>
      <c r="B6276" s="38"/>
      <c r="C6276" s="23" t="s">
        <v>1950</v>
      </c>
      <c r="D6276" s="23" t="s">
        <v>58</v>
      </c>
      <c r="E6276" s="46">
        <v>45493.0</v>
      </c>
      <c r="F6276" s="25">
        <v>0.3472222222222222</v>
      </c>
      <c r="G6276" s="25">
        <v>0.7208333333333333</v>
      </c>
      <c r="H6276" s="27">
        <f t="shared" si="4"/>
        <v>0.3736111111</v>
      </c>
      <c r="I6276" s="28">
        <v>2.0</v>
      </c>
      <c r="J6276" s="39" t="s">
        <v>3148</v>
      </c>
      <c r="K6276" s="41"/>
      <c r="L6276" s="31" t="str">
        <f>IFERROR(__xludf.DUMMYFUNCTION("IF(OR(E6276="""",K6276=""""),"""",IFERROR(IF(K6276="""","""",query('tbl user'!$A$2:$D10975,""SELECT A WHERE D = '""&amp;K6276&amp;""'"")),""USER TIDAK DIKETAHUI""))"),"")</f>
        <v/>
      </c>
    </row>
    <row r="6277">
      <c r="A6277" s="21" t="str">
        <f t="shared" si="3"/>
        <v/>
      </c>
      <c r="B6277" s="38"/>
      <c r="C6277" s="23" t="s">
        <v>1863</v>
      </c>
      <c r="D6277" s="23" t="s">
        <v>58</v>
      </c>
      <c r="E6277" s="46">
        <v>45493.0</v>
      </c>
      <c r="F6277" s="25">
        <v>0.26666666666666666</v>
      </c>
      <c r="G6277" s="25">
        <v>0.6277777777777778</v>
      </c>
      <c r="H6277" s="27">
        <f t="shared" si="4"/>
        <v>0.3611111111</v>
      </c>
      <c r="I6277" s="28">
        <v>2.0</v>
      </c>
      <c r="J6277" s="39" t="s">
        <v>3149</v>
      </c>
      <c r="K6277" s="41"/>
      <c r="L6277" s="31" t="str">
        <f>IFERROR(__xludf.DUMMYFUNCTION("IF(OR(E6277="""",K6277=""""),"""",IFERROR(IF(K6277="""","""",query('tbl user'!$A$2:$D10975,""SELECT A WHERE D = '""&amp;K6277&amp;""'"")),""USER TIDAK DIKETAHUI""))"),"")</f>
        <v/>
      </c>
    </row>
    <row r="6278">
      <c r="A6278" s="21" t="str">
        <f t="shared" si="3"/>
        <v/>
      </c>
      <c r="B6278" s="38"/>
      <c r="C6278" s="23" t="s">
        <v>1887</v>
      </c>
      <c r="D6278" s="23" t="s">
        <v>58</v>
      </c>
      <c r="E6278" s="46">
        <v>45493.0</v>
      </c>
      <c r="F6278" s="25">
        <v>0.27569444444444446</v>
      </c>
      <c r="G6278" s="25">
        <v>0.6597222222222222</v>
      </c>
      <c r="H6278" s="27">
        <f t="shared" si="4"/>
        <v>0.3840277778</v>
      </c>
      <c r="I6278" s="28">
        <v>2.0</v>
      </c>
      <c r="J6278" s="39" t="s">
        <v>3135</v>
      </c>
      <c r="K6278" s="41"/>
      <c r="L6278" s="31" t="str">
        <f>IFERROR(__xludf.DUMMYFUNCTION("IF(OR(E6278="""",K6278=""""),"""",IFERROR(IF(K6278="""","""",query('tbl user'!$A$2:$D10975,""SELECT A WHERE D = '""&amp;K6278&amp;""'"")),""USER TIDAK DIKETAHUI""))"),"")</f>
        <v/>
      </c>
    </row>
    <row r="6279">
      <c r="A6279" s="21" t="str">
        <f t="shared" si="3"/>
        <v/>
      </c>
      <c r="B6279" s="38"/>
      <c r="C6279" s="23" t="s">
        <v>1889</v>
      </c>
      <c r="D6279" s="23" t="s">
        <v>58</v>
      </c>
      <c r="E6279" s="46">
        <v>45493.0</v>
      </c>
      <c r="F6279" s="25">
        <v>0.22708333333333333</v>
      </c>
      <c r="G6279" s="25">
        <v>0.64375</v>
      </c>
      <c r="H6279" s="27">
        <f t="shared" si="4"/>
        <v>0.4166666667</v>
      </c>
      <c r="I6279" s="28">
        <v>2.0</v>
      </c>
      <c r="J6279" s="39" t="s">
        <v>3135</v>
      </c>
      <c r="K6279" s="41"/>
      <c r="L6279" s="31" t="str">
        <f>IFERROR(__xludf.DUMMYFUNCTION("IF(OR(E6279="""",K6279=""""),"""",IFERROR(IF(K6279="""","""",query('tbl user'!$A$2:$D10975,""SELECT A WHERE D = '""&amp;K6279&amp;""'"")),""USER TIDAK DIKETAHUI""))"),"")</f>
        <v/>
      </c>
    </row>
    <row r="6280">
      <c r="A6280" s="21" t="str">
        <f t="shared" si="3"/>
        <v/>
      </c>
      <c r="B6280" s="38"/>
      <c r="C6280" s="23" t="s">
        <v>1892</v>
      </c>
      <c r="D6280" s="23" t="s">
        <v>58</v>
      </c>
      <c r="E6280" s="46">
        <v>45493.0</v>
      </c>
      <c r="F6280" s="25">
        <v>0.20625</v>
      </c>
      <c r="G6280" s="25">
        <v>0.5638888888888889</v>
      </c>
      <c r="H6280" s="27">
        <f t="shared" si="4"/>
        <v>0.3576388889</v>
      </c>
      <c r="I6280" s="28">
        <v>2.0</v>
      </c>
      <c r="J6280" s="39" t="s">
        <v>3150</v>
      </c>
      <c r="K6280" s="41"/>
      <c r="L6280" s="31" t="str">
        <f>IFERROR(__xludf.DUMMYFUNCTION("IF(OR(E6280="""",K6280=""""),"""",IFERROR(IF(K6280="""","""",query('tbl user'!$A$2:$D10975,""SELECT A WHERE D = '""&amp;K6280&amp;""'"")),""USER TIDAK DIKETAHUI""))"),"")</f>
        <v/>
      </c>
    </row>
    <row r="6281">
      <c r="A6281" s="21" t="str">
        <f t="shared" si="3"/>
        <v/>
      </c>
      <c r="B6281" s="38"/>
      <c r="C6281" s="23" t="s">
        <v>1893</v>
      </c>
      <c r="D6281" s="23" t="s">
        <v>58</v>
      </c>
      <c r="E6281" s="46">
        <v>45493.0</v>
      </c>
      <c r="F6281" s="25">
        <v>0.23194444444444445</v>
      </c>
      <c r="G6281" s="25">
        <v>0.6458333333333334</v>
      </c>
      <c r="H6281" s="27">
        <f t="shared" si="4"/>
        <v>0.4138888889</v>
      </c>
      <c r="I6281" s="28">
        <v>2.0</v>
      </c>
      <c r="J6281" s="39" t="s">
        <v>3135</v>
      </c>
      <c r="K6281" s="41"/>
      <c r="L6281" s="31" t="str">
        <f>IFERROR(__xludf.DUMMYFUNCTION("IF(OR(E6281="""",K6281=""""),"""",IFERROR(IF(K6281="""","""",query('tbl user'!$A$2:$D10975,""SELECT A WHERE D = '""&amp;K6281&amp;""'"")),""USER TIDAK DIKETAHUI""))"),"")</f>
        <v/>
      </c>
    </row>
    <row r="6282">
      <c r="A6282" s="21" t="str">
        <f t="shared" si="3"/>
        <v/>
      </c>
      <c r="B6282" s="38"/>
      <c r="C6282" s="23" t="s">
        <v>1871</v>
      </c>
      <c r="D6282" s="23" t="s">
        <v>58</v>
      </c>
      <c r="E6282" s="46">
        <v>45493.0</v>
      </c>
      <c r="F6282" s="25">
        <v>0.2361111111111111</v>
      </c>
      <c r="G6282" s="25">
        <v>0.6805555555555556</v>
      </c>
      <c r="H6282" s="27">
        <f t="shared" si="4"/>
        <v>0.4444444444</v>
      </c>
      <c r="I6282" s="28">
        <v>2.0</v>
      </c>
      <c r="J6282" s="39" t="s">
        <v>3151</v>
      </c>
      <c r="K6282" s="41"/>
      <c r="L6282" s="31" t="str">
        <f>IFERROR(__xludf.DUMMYFUNCTION("IF(OR(E6282="""",K6282=""""),"""",IFERROR(IF(K6282="""","""",query('tbl user'!$A$2:$D10975,""SELECT A WHERE D = '""&amp;K6282&amp;""'"")),""USER TIDAK DIKETAHUI""))"),"")</f>
        <v/>
      </c>
    </row>
    <row r="6283">
      <c r="A6283" s="21" t="str">
        <f t="shared" si="3"/>
        <v/>
      </c>
      <c r="B6283" s="38"/>
      <c r="C6283" s="23" t="s">
        <v>1872</v>
      </c>
      <c r="D6283" s="23" t="s">
        <v>58</v>
      </c>
      <c r="E6283" s="46">
        <v>45493.0</v>
      </c>
      <c r="F6283" s="25">
        <v>0.24375</v>
      </c>
      <c r="G6283" s="25">
        <v>0.6291666666666667</v>
      </c>
      <c r="H6283" s="27">
        <f t="shared" si="4"/>
        <v>0.3854166667</v>
      </c>
      <c r="I6283" s="28">
        <v>2.0</v>
      </c>
      <c r="J6283" s="39" t="s">
        <v>3152</v>
      </c>
      <c r="K6283" s="41"/>
      <c r="L6283" s="31" t="str">
        <f>IFERROR(__xludf.DUMMYFUNCTION("IF(OR(E6283="""",K6283=""""),"""",IFERROR(IF(K6283="""","""",query('tbl user'!$A$2:$D10975,""SELECT A WHERE D = '""&amp;K6283&amp;""'"")),""USER TIDAK DIKETAHUI""))"),"")</f>
        <v/>
      </c>
    </row>
    <row r="6284">
      <c r="A6284" s="21" t="str">
        <f t="shared" si="3"/>
        <v/>
      </c>
      <c r="B6284" s="38"/>
      <c r="C6284" s="23" t="s">
        <v>1890</v>
      </c>
      <c r="D6284" s="23" t="s">
        <v>58</v>
      </c>
      <c r="E6284" s="46">
        <v>45493.0</v>
      </c>
      <c r="F6284" s="25">
        <v>0.25277777777777777</v>
      </c>
      <c r="G6284" s="25">
        <v>0.6590277777777778</v>
      </c>
      <c r="H6284" s="27">
        <f t="shared" si="4"/>
        <v>0.40625</v>
      </c>
      <c r="I6284" s="28">
        <v>2.0</v>
      </c>
      <c r="J6284" s="39" t="s">
        <v>3153</v>
      </c>
      <c r="K6284" s="41"/>
      <c r="L6284" s="31" t="str">
        <f>IFERROR(__xludf.DUMMYFUNCTION("IF(OR(E6284="""",K6284=""""),"""",IFERROR(IF(K6284="""","""",query('tbl user'!$A$2:$D10975,""SELECT A WHERE D = '""&amp;K6284&amp;""'"")),""USER TIDAK DIKETAHUI""))"),"")</f>
        <v/>
      </c>
    </row>
    <row r="6285">
      <c r="A6285" s="21" t="str">
        <f t="shared" si="3"/>
        <v/>
      </c>
      <c r="B6285" s="38"/>
      <c r="C6285" s="23" t="s">
        <v>1861</v>
      </c>
      <c r="D6285" s="23" t="s">
        <v>58</v>
      </c>
      <c r="E6285" s="46">
        <v>45493.0</v>
      </c>
      <c r="F6285" s="25">
        <v>0.26180555555555557</v>
      </c>
      <c r="G6285" s="25">
        <v>0.6673611111111111</v>
      </c>
      <c r="H6285" s="27">
        <f t="shared" si="4"/>
        <v>0.4055555556</v>
      </c>
      <c r="I6285" s="28">
        <v>2.0</v>
      </c>
      <c r="J6285" s="39" t="s">
        <v>3154</v>
      </c>
      <c r="K6285" s="41"/>
      <c r="L6285" s="31" t="str">
        <f>IFERROR(__xludf.DUMMYFUNCTION("IF(OR(E6285="""",K6285=""""),"""",IFERROR(IF(K6285="""","""",query('tbl user'!$A$2:$D10975,""SELECT A WHERE D = '""&amp;K6285&amp;""'"")),""USER TIDAK DIKETAHUI""))"),"")</f>
        <v/>
      </c>
    </row>
    <row r="6286">
      <c r="A6286" s="21" t="str">
        <f t="shared" si="3"/>
        <v/>
      </c>
      <c r="B6286" s="38"/>
      <c r="C6286" s="23" t="s">
        <v>1891</v>
      </c>
      <c r="D6286" s="23" t="s">
        <v>58</v>
      </c>
      <c r="E6286" s="46">
        <v>45493.0</v>
      </c>
      <c r="F6286" s="25">
        <v>0.22013888888888888</v>
      </c>
      <c r="G6286" s="25">
        <v>0.6548611111111111</v>
      </c>
      <c r="H6286" s="27">
        <f t="shared" si="4"/>
        <v>0.4347222222</v>
      </c>
      <c r="I6286" s="28">
        <v>2.0</v>
      </c>
      <c r="J6286" s="39" t="s">
        <v>3135</v>
      </c>
      <c r="K6286" s="41"/>
      <c r="L6286" s="31" t="str">
        <f>IFERROR(__xludf.DUMMYFUNCTION("IF(OR(E6286="""",K6286=""""),"""",IFERROR(IF(K6286="""","""",query('tbl user'!$A$2:$D10975,""SELECT A WHERE D = '""&amp;K6286&amp;""'"")),""USER TIDAK DIKETAHUI""))"),"")</f>
        <v/>
      </c>
    </row>
    <row r="6287">
      <c r="A6287" s="21" t="str">
        <f t="shared" si="3"/>
        <v/>
      </c>
      <c r="B6287" s="38"/>
      <c r="C6287" s="23" t="s">
        <v>1875</v>
      </c>
      <c r="D6287" s="23" t="s">
        <v>58</v>
      </c>
      <c r="E6287" s="46">
        <v>45493.0</v>
      </c>
      <c r="F6287" s="25">
        <v>0.2569444444444444</v>
      </c>
      <c r="G6287" s="25">
        <v>0.7222222222222222</v>
      </c>
      <c r="H6287" s="27">
        <f t="shared" si="4"/>
        <v>0.4652777778</v>
      </c>
      <c r="I6287" s="28">
        <v>3.0</v>
      </c>
      <c r="J6287" s="39" t="s">
        <v>3155</v>
      </c>
      <c r="K6287" s="41"/>
      <c r="L6287" s="31" t="str">
        <f>IFERROR(__xludf.DUMMYFUNCTION("IF(OR(E6287="""",K6287=""""),"""",IFERROR(IF(K6287="""","""",query('tbl user'!$A$2:$D10975,""SELECT A WHERE D = '""&amp;K6287&amp;""'"")),""USER TIDAK DIKETAHUI""))"),"")</f>
        <v/>
      </c>
    </row>
    <row r="6288">
      <c r="A6288" s="21" t="str">
        <f t="shared" si="3"/>
        <v/>
      </c>
      <c r="B6288" s="38"/>
      <c r="C6288" s="23" t="s">
        <v>1882</v>
      </c>
      <c r="D6288" s="23" t="s">
        <v>58</v>
      </c>
      <c r="E6288" s="46">
        <v>45493.0</v>
      </c>
      <c r="F6288" s="25">
        <v>0.21736111111111112</v>
      </c>
      <c r="G6288" s="25">
        <v>0.7256944444444444</v>
      </c>
      <c r="H6288" s="27">
        <f t="shared" si="4"/>
        <v>0.5083333333</v>
      </c>
      <c r="I6288" s="28">
        <v>3.0</v>
      </c>
      <c r="J6288" s="39" t="s">
        <v>3156</v>
      </c>
      <c r="K6288" s="41"/>
      <c r="L6288" s="31" t="str">
        <f>IFERROR(__xludf.DUMMYFUNCTION("IF(OR(E6288="""",K6288=""""),"""",IFERROR(IF(K6288="""","""",query('tbl user'!$A$2:$D10975,""SELECT A WHERE D = '""&amp;K6288&amp;""'"")),""USER TIDAK DIKETAHUI""))"),"")</f>
        <v/>
      </c>
    </row>
    <row r="6289">
      <c r="A6289" s="21" t="str">
        <f t="shared" si="3"/>
        <v/>
      </c>
      <c r="B6289" s="38"/>
      <c r="C6289" s="23" t="s">
        <v>1888</v>
      </c>
      <c r="D6289" s="23" t="s">
        <v>58</v>
      </c>
      <c r="E6289" s="46">
        <v>45493.0</v>
      </c>
      <c r="F6289" s="25">
        <v>0.225</v>
      </c>
      <c r="G6289" s="25">
        <v>0.7291666666666666</v>
      </c>
      <c r="H6289" s="27">
        <f t="shared" si="4"/>
        <v>0.5041666667</v>
      </c>
      <c r="I6289" s="28">
        <v>3.0</v>
      </c>
      <c r="J6289" s="39" t="s">
        <v>3156</v>
      </c>
      <c r="K6289" s="41"/>
      <c r="L6289" s="31" t="str">
        <f>IFERROR(__xludf.DUMMYFUNCTION("IF(OR(E6289="""",K6289=""""),"""",IFERROR(IF(K6289="""","""",query('tbl user'!$A$2:$D10975,""SELECT A WHERE D = '""&amp;K6289&amp;""'"")),""USER TIDAK DIKETAHUI""))"),"")</f>
        <v/>
      </c>
    </row>
    <row r="6290">
      <c r="A6290" s="21" t="str">
        <f t="shared" si="3"/>
        <v/>
      </c>
      <c r="B6290" s="38"/>
      <c r="C6290" s="23" t="s">
        <v>2153</v>
      </c>
      <c r="D6290" s="23" t="s">
        <v>32</v>
      </c>
      <c r="E6290" s="46">
        <v>45493.0</v>
      </c>
      <c r="F6290" s="25">
        <v>0.32569444444444445</v>
      </c>
      <c r="G6290" s="25">
        <v>0.37569444444444444</v>
      </c>
      <c r="H6290" s="27">
        <f t="shared" si="4"/>
        <v>0.05</v>
      </c>
      <c r="I6290" s="28">
        <v>1.0</v>
      </c>
      <c r="J6290" s="39" t="s">
        <v>3157</v>
      </c>
      <c r="K6290" s="41"/>
      <c r="L6290" s="31" t="str">
        <f>IFERROR(__xludf.DUMMYFUNCTION("IF(OR(E6290="""",K6290=""""),"""",IFERROR(IF(K6290="""","""",query('tbl user'!$A$2:$D10975,""SELECT A WHERE D = '""&amp;K6290&amp;""'"")),""USER TIDAK DIKETAHUI""))"),"")</f>
        <v/>
      </c>
    </row>
    <row r="6291">
      <c r="A6291" s="21" t="str">
        <f t="shared" si="3"/>
        <v/>
      </c>
      <c r="B6291" s="38"/>
      <c r="C6291" s="23" t="s">
        <v>2252</v>
      </c>
      <c r="D6291" s="23" t="s">
        <v>32</v>
      </c>
      <c r="E6291" s="46">
        <v>45493.0</v>
      </c>
      <c r="F6291" s="25">
        <v>0.3263888888888889</v>
      </c>
      <c r="G6291" s="25">
        <v>0.6673611111111111</v>
      </c>
      <c r="H6291" s="27">
        <f t="shared" si="4"/>
        <v>0.3409722222</v>
      </c>
      <c r="I6291" s="28">
        <v>3.0</v>
      </c>
      <c r="J6291" s="39" t="s">
        <v>3158</v>
      </c>
      <c r="K6291" s="41"/>
      <c r="L6291" s="31" t="str">
        <f>IFERROR(__xludf.DUMMYFUNCTION("IF(OR(E6291="""",K6291=""""),"""",IFERROR(IF(K6291="""","""",query('tbl user'!$A$2:$D10975,""SELECT A WHERE D = '""&amp;K6291&amp;""'"")),""USER TIDAK DIKETAHUI""))"),"")</f>
        <v/>
      </c>
    </row>
    <row r="6292">
      <c r="A6292" s="21" t="str">
        <f t="shared" si="3"/>
        <v/>
      </c>
      <c r="B6292" s="38"/>
      <c r="C6292" s="23" t="s">
        <v>1962</v>
      </c>
      <c r="D6292" s="23" t="s">
        <v>32</v>
      </c>
      <c r="E6292" s="46">
        <v>45493.0</v>
      </c>
      <c r="F6292" s="25">
        <v>0.2361111111111111</v>
      </c>
      <c r="G6292" s="25">
        <v>0.7263888888888889</v>
      </c>
      <c r="H6292" s="27">
        <f t="shared" si="4"/>
        <v>0.4902777778</v>
      </c>
      <c r="I6292" s="28">
        <v>4.0</v>
      </c>
      <c r="J6292" s="39" t="s">
        <v>55</v>
      </c>
      <c r="K6292" s="41"/>
      <c r="L6292" s="31" t="str">
        <f>IFERROR(__xludf.DUMMYFUNCTION("IF(OR(E6292="""",K6292=""""),"""",IFERROR(IF(K6292="""","""",query('tbl user'!$A$2:$D10975,""SELECT A WHERE D = '""&amp;K6292&amp;""'"")),""USER TIDAK DIKETAHUI""))"),"")</f>
        <v/>
      </c>
    </row>
    <row r="6293">
      <c r="A6293" s="21" t="str">
        <f t="shared" si="3"/>
        <v/>
      </c>
      <c r="B6293" s="38"/>
      <c r="C6293" s="23" t="s">
        <v>1957</v>
      </c>
      <c r="D6293" s="23" t="s">
        <v>32</v>
      </c>
      <c r="E6293" s="46">
        <v>45493.0</v>
      </c>
      <c r="F6293" s="25">
        <v>0.2708333333333333</v>
      </c>
      <c r="G6293" s="25">
        <v>0.7451388888888889</v>
      </c>
      <c r="H6293" s="27">
        <f t="shared" si="4"/>
        <v>0.4743055556</v>
      </c>
      <c r="I6293" s="28">
        <v>4.0</v>
      </c>
      <c r="J6293" s="39" t="s">
        <v>55</v>
      </c>
      <c r="K6293" s="41"/>
      <c r="L6293" s="31" t="str">
        <f>IFERROR(__xludf.DUMMYFUNCTION("IF(OR(E6293="""",K6293=""""),"""",IFERROR(IF(K6293="""","""",query('tbl user'!$A$2:$D10975,""SELECT A WHERE D = '""&amp;K6293&amp;""'"")),""USER TIDAK DIKETAHUI""))"),"")</f>
        <v/>
      </c>
    </row>
    <row r="6294">
      <c r="A6294" s="21" t="str">
        <f t="shared" si="3"/>
        <v/>
      </c>
      <c r="B6294" s="38"/>
      <c r="C6294" s="23" t="s">
        <v>2092</v>
      </c>
      <c r="D6294" s="23" t="s">
        <v>32</v>
      </c>
      <c r="E6294" s="46">
        <v>45493.0</v>
      </c>
      <c r="F6294" s="25">
        <v>0.29097222222222224</v>
      </c>
      <c r="G6294" s="25">
        <v>0.6944444444444444</v>
      </c>
      <c r="H6294" s="27">
        <f t="shared" si="4"/>
        <v>0.4034722222</v>
      </c>
      <c r="I6294" s="28">
        <v>4.0</v>
      </c>
      <c r="J6294" s="39" t="s">
        <v>55</v>
      </c>
      <c r="K6294" s="41"/>
      <c r="L6294" s="31" t="str">
        <f>IFERROR(__xludf.DUMMYFUNCTION("IF(OR(E6294="""",K6294=""""),"""",IFERROR(IF(K6294="""","""",query('tbl user'!$A$2:$D10975,""SELECT A WHERE D = '""&amp;K6294&amp;""'"")),""USER TIDAK DIKETAHUI""))"),"")</f>
        <v/>
      </c>
    </row>
    <row r="6295">
      <c r="A6295" s="21" t="str">
        <f t="shared" si="3"/>
        <v/>
      </c>
      <c r="B6295" s="38"/>
      <c r="C6295" s="23" t="s">
        <v>1964</v>
      </c>
      <c r="D6295" s="23" t="s">
        <v>32</v>
      </c>
      <c r="E6295" s="46">
        <v>45493.0</v>
      </c>
      <c r="F6295" s="25">
        <v>0.23819444444444443</v>
      </c>
      <c r="G6295" s="25">
        <v>0.6388888888888888</v>
      </c>
      <c r="H6295" s="27">
        <f t="shared" si="4"/>
        <v>0.4006944444</v>
      </c>
      <c r="I6295" s="28">
        <v>4.0</v>
      </c>
      <c r="J6295" s="39" t="s">
        <v>3159</v>
      </c>
      <c r="K6295" s="41"/>
      <c r="L6295" s="31" t="str">
        <f>IFERROR(__xludf.DUMMYFUNCTION("IF(OR(E6295="""",K6295=""""),"""",IFERROR(IF(K6295="""","""",query('tbl user'!$A$2:$D10975,""SELECT A WHERE D = '""&amp;K6295&amp;""'"")),""USER TIDAK DIKETAHUI""))"),"")</f>
        <v/>
      </c>
    </row>
    <row r="6296">
      <c r="A6296" s="21" t="str">
        <f t="shared" si="3"/>
        <v/>
      </c>
      <c r="B6296" s="38"/>
      <c r="C6296" s="23" t="s">
        <v>2066</v>
      </c>
      <c r="D6296" s="23" t="s">
        <v>32</v>
      </c>
      <c r="E6296" s="46">
        <v>45493.0</v>
      </c>
      <c r="F6296" s="25">
        <v>0.28125</v>
      </c>
      <c r="G6296" s="25">
        <v>0.6930555555555555</v>
      </c>
      <c r="H6296" s="27">
        <f t="shared" si="4"/>
        <v>0.4118055556</v>
      </c>
      <c r="I6296" s="28">
        <v>4.0</v>
      </c>
      <c r="J6296" s="39" t="s">
        <v>55</v>
      </c>
      <c r="K6296" s="41"/>
      <c r="L6296" s="31" t="str">
        <f>IFERROR(__xludf.DUMMYFUNCTION("IF(OR(E6296="""",K6296=""""),"""",IFERROR(IF(K6296="""","""",query('tbl user'!$A$2:$D10975,""SELECT A WHERE D = '""&amp;K6296&amp;""'"")),""USER TIDAK DIKETAHUI""))"),"")</f>
        <v/>
      </c>
    </row>
    <row r="6297">
      <c r="A6297" s="21" t="str">
        <f t="shared" si="3"/>
        <v/>
      </c>
      <c r="B6297" s="38"/>
      <c r="C6297" s="23" t="s">
        <v>1959</v>
      </c>
      <c r="D6297" s="23" t="s">
        <v>32</v>
      </c>
      <c r="E6297" s="46">
        <v>45493.0</v>
      </c>
      <c r="F6297" s="25">
        <v>0.275</v>
      </c>
      <c r="G6297" s="25">
        <v>0.6833333333333333</v>
      </c>
      <c r="H6297" s="27">
        <f t="shared" si="4"/>
        <v>0.4083333333</v>
      </c>
      <c r="I6297" s="28">
        <v>4.0</v>
      </c>
      <c r="J6297" s="39" t="s">
        <v>55</v>
      </c>
      <c r="K6297" s="41"/>
      <c r="L6297" s="31" t="str">
        <f>IFERROR(__xludf.DUMMYFUNCTION("IF(OR(E6297="""",K6297=""""),"""",IFERROR(IF(K6297="""","""",query('tbl user'!$A$2:$D10975,""SELECT A WHERE D = '""&amp;K6297&amp;""'"")),""USER TIDAK DIKETAHUI""))"),"")</f>
        <v/>
      </c>
    </row>
    <row r="6298">
      <c r="A6298" s="21" t="str">
        <f t="shared" si="3"/>
        <v/>
      </c>
      <c r="B6298" s="38"/>
      <c r="C6298" s="23" t="s">
        <v>1894</v>
      </c>
      <c r="D6298" s="23" t="s">
        <v>32</v>
      </c>
      <c r="E6298" s="46">
        <v>45493.0</v>
      </c>
      <c r="F6298" s="25">
        <v>0.225</v>
      </c>
      <c r="G6298" s="25">
        <v>0.6263888888888889</v>
      </c>
      <c r="H6298" s="27">
        <f t="shared" si="4"/>
        <v>0.4013888889</v>
      </c>
      <c r="I6298" s="28">
        <v>4.0</v>
      </c>
      <c r="J6298" s="39" t="s">
        <v>3160</v>
      </c>
      <c r="K6298" s="41"/>
      <c r="L6298" s="31" t="str">
        <f>IFERROR(__xludf.DUMMYFUNCTION("IF(OR(E6298="""",K6298=""""),"""",IFERROR(IF(K6298="""","""",query('tbl user'!$A$2:$D10975,""SELECT A WHERE D = '""&amp;K6298&amp;""'"")),""USER TIDAK DIKETAHUI""))"),"")</f>
        <v/>
      </c>
    </row>
    <row r="6299">
      <c r="A6299" s="21" t="str">
        <f t="shared" si="3"/>
        <v/>
      </c>
      <c r="B6299" s="38"/>
      <c r="C6299" s="23" t="s">
        <v>1954</v>
      </c>
      <c r="D6299" s="23" t="s">
        <v>32</v>
      </c>
      <c r="E6299" s="46">
        <v>45493.0</v>
      </c>
      <c r="F6299" s="25">
        <v>0.25972222222222224</v>
      </c>
      <c r="G6299" s="25">
        <v>0.6715277777777777</v>
      </c>
      <c r="H6299" s="27">
        <f t="shared" si="4"/>
        <v>0.4118055556</v>
      </c>
      <c r="I6299" s="28">
        <v>4.0</v>
      </c>
      <c r="J6299" s="39" t="s">
        <v>55</v>
      </c>
      <c r="K6299" s="41"/>
      <c r="L6299" s="31" t="str">
        <f>IFERROR(__xludf.DUMMYFUNCTION("IF(OR(E6299="""",K6299=""""),"""",IFERROR(IF(K6299="""","""",query('tbl user'!$A$2:$D10975,""SELECT A WHERE D = '""&amp;K6299&amp;""'"")),""USER TIDAK DIKETAHUI""))"),"")</f>
        <v/>
      </c>
    </row>
    <row r="6300">
      <c r="A6300" s="21" t="str">
        <f t="shared" si="3"/>
        <v/>
      </c>
      <c r="B6300" s="38"/>
      <c r="C6300" s="23" t="s">
        <v>1909</v>
      </c>
      <c r="D6300" s="23" t="s">
        <v>32</v>
      </c>
      <c r="E6300" s="46">
        <v>45493.0</v>
      </c>
      <c r="F6300" s="25">
        <v>0.27291666666666664</v>
      </c>
      <c r="G6300" s="25">
        <v>0.6902777777777778</v>
      </c>
      <c r="H6300" s="27">
        <f t="shared" si="4"/>
        <v>0.4173611111</v>
      </c>
      <c r="I6300" s="28">
        <v>4.0</v>
      </c>
      <c r="J6300" s="39" t="s">
        <v>55</v>
      </c>
      <c r="K6300" s="41"/>
      <c r="L6300" s="31" t="str">
        <f>IFERROR(__xludf.DUMMYFUNCTION("IF(OR(E6300="""",K6300=""""),"""",IFERROR(IF(K6300="""","""",query('tbl user'!$A$2:$D10975,""SELECT A WHERE D = '""&amp;K6300&amp;""'"")),""USER TIDAK DIKETAHUI""))"),"")</f>
        <v/>
      </c>
    </row>
    <row r="6301">
      <c r="A6301" s="21" t="str">
        <f t="shared" si="3"/>
        <v/>
      </c>
      <c r="B6301" s="38"/>
      <c r="C6301" s="23" t="s">
        <v>1966</v>
      </c>
      <c r="D6301" s="23" t="s">
        <v>32</v>
      </c>
      <c r="E6301" s="46">
        <v>45493.0</v>
      </c>
      <c r="F6301" s="25">
        <v>0.26180555555555557</v>
      </c>
      <c r="G6301" s="25">
        <v>0.7222222222222222</v>
      </c>
      <c r="H6301" s="27">
        <f t="shared" si="4"/>
        <v>0.4604166667</v>
      </c>
      <c r="I6301" s="28">
        <v>5.0</v>
      </c>
      <c r="J6301" s="39" t="s">
        <v>55</v>
      </c>
      <c r="K6301" s="41"/>
      <c r="L6301" s="31" t="str">
        <f>IFERROR(__xludf.DUMMYFUNCTION("IF(OR(E6301="""",K6301=""""),"""",IFERROR(IF(K6301="""","""",query('tbl user'!$A$2:$D10975,""SELECT A WHERE D = '""&amp;K6301&amp;""'"")),""USER TIDAK DIKETAHUI""))"),"")</f>
        <v/>
      </c>
    </row>
    <row r="6302">
      <c r="A6302" s="21" t="str">
        <f t="shared" si="3"/>
        <v/>
      </c>
      <c r="B6302" s="38"/>
      <c r="C6302" s="23" t="s">
        <v>1905</v>
      </c>
      <c r="D6302" s="23" t="s">
        <v>32</v>
      </c>
      <c r="E6302" s="46">
        <v>45493.0</v>
      </c>
      <c r="F6302" s="25">
        <v>0.24305555555555555</v>
      </c>
      <c r="G6302" s="25">
        <v>0.7013888888888888</v>
      </c>
      <c r="H6302" s="27">
        <f t="shared" si="4"/>
        <v>0.4583333333</v>
      </c>
      <c r="I6302" s="28">
        <v>5.0</v>
      </c>
      <c r="J6302" s="39" t="s">
        <v>55</v>
      </c>
      <c r="K6302" s="41"/>
      <c r="L6302" s="31" t="str">
        <f>IFERROR(__xludf.DUMMYFUNCTION("IF(OR(E6302="""",K6302=""""),"""",IFERROR(IF(K6302="""","""",query('tbl user'!$A$2:$D10975,""SELECT A WHERE D = '""&amp;K6302&amp;""'"")),""USER TIDAK DIKETAHUI""))"),"")</f>
        <v/>
      </c>
    </row>
    <row r="6303">
      <c r="A6303" s="21" t="str">
        <f t="shared" si="3"/>
        <v/>
      </c>
      <c r="B6303" s="38"/>
      <c r="C6303" s="23" t="s">
        <v>1908</v>
      </c>
      <c r="D6303" s="23" t="s">
        <v>32</v>
      </c>
      <c r="E6303" s="46">
        <v>45493.0</v>
      </c>
      <c r="F6303" s="25">
        <v>0.23402777777777778</v>
      </c>
      <c r="G6303" s="25">
        <v>0.70625</v>
      </c>
      <c r="H6303" s="27">
        <f t="shared" si="4"/>
        <v>0.4722222222</v>
      </c>
      <c r="I6303" s="28">
        <v>5.0</v>
      </c>
      <c r="J6303" s="39" t="s">
        <v>55</v>
      </c>
      <c r="K6303" s="41"/>
      <c r="L6303" s="31" t="str">
        <f>IFERROR(__xludf.DUMMYFUNCTION("IF(OR(E6303="""",K6303=""""),"""",IFERROR(IF(K6303="""","""",query('tbl user'!$A$2:$D10975,""SELECT A WHERE D = '""&amp;K6303&amp;""'"")),""USER TIDAK DIKETAHUI""))"),"")</f>
        <v/>
      </c>
    </row>
    <row r="6304">
      <c r="A6304" s="21" t="str">
        <f t="shared" si="3"/>
        <v/>
      </c>
      <c r="B6304" s="38"/>
      <c r="C6304" s="23" t="s">
        <v>1913</v>
      </c>
      <c r="D6304" s="23" t="s">
        <v>32</v>
      </c>
      <c r="E6304" s="46">
        <v>45493.0</v>
      </c>
      <c r="F6304" s="25">
        <v>0.22291666666666668</v>
      </c>
      <c r="G6304" s="25">
        <v>0.7145833333333333</v>
      </c>
      <c r="H6304" s="27">
        <f t="shared" si="4"/>
        <v>0.4916666667</v>
      </c>
      <c r="I6304" s="28">
        <v>5.0</v>
      </c>
      <c r="J6304" s="39" t="s">
        <v>55</v>
      </c>
      <c r="K6304" s="41"/>
      <c r="L6304" s="31" t="str">
        <f>IFERROR(__xludf.DUMMYFUNCTION("IF(OR(E6304="""",K6304=""""),"""",IFERROR(IF(K6304="""","""",query('tbl user'!$A$2:$D10975,""SELECT A WHERE D = '""&amp;K6304&amp;""'"")),""USER TIDAK DIKETAHUI""))"),"")</f>
        <v/>
      </c>
    </row>
    <row r="6305">
      <c r="A6305" s="21" t="str">
        <f t="shared" si="3"/>
        <v/>
      </c>
      <c r="B6305" s="38"/>
      <c r="C6305" s="23" t="s">
        <v>1900</v>
      </c>
      <c r="D6305" s="23" t="s">
        <v>32</v>
      </c>
      <c r="E6305" s="46">
        <v>45493.0</v>
      </c>
      <c r="F6305" s="25">
        <v>0.26875</v>
      </c>
      <c r="G6305" s="25">
        <v>0.6875</v>
      </c>
      <c r="H6305" s="27">
        <f t="shared" si="4"/>
        <v>0.41875</v>
      </c>
      <c r="I6305" s="28">
        <v>5.0</v>
      </c>
      <c r="J6305" s="39" t="s">
        <v>55</v>
      </c>
      <c r="K6305" s="41"/>
      <c r="L6305" s="31" t="str">
        <f>IFERROR(__xludf.DUMMYFUNCTION("IF(OR(E6305="""",K6305=""""),"""",IFERROR(IF(K6305="""","""",query('tbl user'!$A$2:$D10975,""SELECT A WHERE D = '""&amp;K6305&amp;""'"")),""USER TIDAK DIKETAHUI""))"),"")</f>
        <v/>
      </c>
    </row>
    <row r="6306">
      <c r="A6306" s="21" t="str">
        <f t="shared" si="3"/>
        <v/>
      </c>
      <c r="B6306" s="38"/>
      <c r="C6306" s="23" t="s">
        <v>1830</v>
      </c>
      <c r="D6306" s="23" t="s">
        <v>21</v>
      </c>
      <c r="E6306" s="46">
        <v>45494.0</v>
      </c>
      <c r="F6306" s="25">
        <v>0.2798611111111111</v>
      </c>
      <c r="G6306" s="25">
        <v>0.5138888888888888</v>
      </c>
      <c r="H6306" s="27">
        <f t="shared" si="4"/>
        <v>0.2340277778</v>
      </c>
      <c r="I6306" s="28">
        <v>1.0</v>
      </c>
      <c r="J6306" s="39" t="s">
        <v>3161</v>
      </c>
      <c r="K6306" s="41"/>
      <c r="L6306" s="31" t="str">
        <f>IFERROR(__xludf.DUMMYFUNCTION("IF(OR(E6306="""",K6306=""""),"""",IFERROR(IF(K6306="""","""",query('tbl user'!$A$2:$D10975,""SELECT A WHERE D = '""&amp;K6306&amp;""'"")),""USER TIDAK DIKETAHUI""))"),"")</f>
        <v/>
      </c>
    </row>
    <row r="6307">
      <c r="A6307" s="21" t="str">
        <f t="shared" si="3"/>
        <v/>
      </c>
      <c r="B6307" s="38"/>
      <c r="C6307" s="23" t="s">
        <v>1835</v>
      </c>
      <c r="D6307" s="23" t="s">
        <v>21</v>
      </c>
      <c r="E6307" s="46">
        <v>45494.0</v>
      </c>
      <c r="F6307" s="25">
        <v>0.2513888888888889</v>
      </c>
      <c r="G6307" s="25">
        <v>0.4097222222222222</v>
      </c>
      <c r="H6307" s="27">
        <f t="shared" si="4"/>
        <v>0.1583333333</v>
      </c>
      <c r="I6307" s="28">
        <v>1.0</v>
      </c>
      <c r="J6307" s="39" t="s">
        <v>3162</v>
      </c>
      <c r="K6307" s="41"/>
      <c r="L6307" s="31" t="str">
        <f>IFERROR(__xludf.DUMMYFUNCTION("IF(OR(E6307="""",K6307=""""),"""",IFERROR(IF(K6307="""","""",query('tbl user'!$A$2:$D10975,""SELECT A WHERE D = '""&amp;K6307&amp;""'"")),""USER TIDAK DIKETAHUI""))"),"")</f>
        <v/>
      </c>
    </row>
    <row r="6308">
      <c r="A6308" s="21" t="str">
        <f t="shared" si="3"/>
        <v/>
      </c>
      <c r="B6308" s="38"/>
      <c r="C6308" s="23" t="s">
        <v>1857</v>
      </c>
      <c r="D6308" s="23" t="s">
        <v>21</v>
      </c>
      <c r="E6308" s="46">
        <v>45494.0</v>
      </c>
      <c r="F6308" s="25">
        <v>0.28680555555555554</v>
      </c>
      <c r="G6308" s="25">
        <v>0.45416666666666666</v>
      </c>
      <c r="H6308" s="27">
        <f t="shared" si="4"/>
        <v>0.1673611111</v>
      </c>
      <c r="I6308" s="28">
        <v>1.0</v>
      </c>
      <c r="J6308" s="39" t="s">
        <v>3163</v>
      </c>
      <c r="K6308" s="41"/>
      <c r="L6308" s="31" t="str">
        <f>IFERROR(__xludf.DUMMYFUNCTION("IF(OR(E6308="""",K6308=""""),"""",IFERROR(IF(K6308="""","""",query('tbl user'!$A$2:$D10975,""SELECT A WHERE D = '""&amp;K6308&amp;""'"")),""USER TIDAK DIKETAHUI""))"),"")</f>
        <v/>
      </c>
    </row>
    <row r="6309">
      <c r="A6309" s="21" t="str">
        <f t="shared" si="3"/>
        <v/>
      </c>
      <c r="B6309" s="38"/>
      <c r="C6309" s="23" t="s">
        <v>1858</v>
      </c>
      <c r="D6309" s="23" t="s">
        <v>21</v>
      </c>
      <c r="E6309" s="46">
        <v>45494.0</v>
      </c>
      <c r="F6309" s="25">
        <v>0.3277777777777778</v>
      </c>
      <c r="G6309" s="25">
        <v>0.4847222222222222</v>
      </c>
      <c r="H6309" s="27">
        <f t="shared" si="4"/>
        <v>0.1569444444</v>
      </c>
      <c r="I6309" s="28">
        <v>1.0</v>
      </c>
      <c r="J6309" s="39" t="s">
        <v>3164</v>
      </c>
      <c r="K6309" s="41"/>
      <c r="L6309" s="31" t="str">
        <f>IFERROR(__xludf.DUMMYFUNCTION("IF(OR(E6309="""",K6309=""""),"""",IFERROR(IF(K6309="""","""",query('tbl user'!$A$2:$D10975,""SELECT A WHERE D = '""&amp;K6309&amp;""'"")),""USER TIDAK DIKETAHUI""))"),"")</f>
        <v/>
      </c>
    </row>
    <row r="6310">
      <c r="A6310" s="21" t="str">
        <f t="shared" si="3"/>
        <v/>
      </c>
      <c r="B6310" s="38"/>
      <c r="C6310" s="23" t="s">
        <v>1847</v>
      </c>
      <c r="D6310" s="23" t="s">
        <v>21</v>
      </c>
      <c r="E6310" s="46">
        <v>45494.0</v>
      </c>
      <c r="F6310" s="25">
        <v>0.2777777777777778</v>
      </c>
      <c r="G6310" s="25">
        <v>0.44305555555555554</v>
      </c>
      <c r="H6310" s="27">
        <f t="shared" si="4"/>
        <v>0.1652777778</v>
      </c>
      <c r="I6310" s="28">
        <v>1.0</v>
      </c>
      <c r="J6310" s="39" t="s">
        <v>3165</v>
      </c>
      <c r="K6310" s="41"/>
      <c r="L6310" s="31" t="str">
        <f>IFERROR(__xludf.DUMMYFUNCTION("IF(OR(E6310="""",K6310=""""),"""",IFERROR(IF(K6310="""","""",query('tbl user'!$A$2:$D10975,""SELECT A WHERE D = '""&amp;K6310&amp;""'"")),""USER TIDAK DIKETAHUI""))"),"")</f>
        <v/>
      </c>
    </row>
    <row r="6311">
      <c r="A6311" s="21" t="str">
        <f t="shared" si="3"/>
        <v/>
      </c>
      <c r="B6311" s="38"/>
      <c r="C6311" s="23" t="s">
        <v>1851</v>
      </c>
      <c r="D6311" s="23" t="s">
        <v>21</v>
      </c>
      <c r="E6311" s="46">
        <v>45494.0</v>
      </c>
      <c r="F6311" s="25">
        <v>0.3125</v>
      </c>
      <c r="G6311" s="25">
        <v>0.7048611111111112</v>
      </c>
      <c r="H6311" s="27">
        <f t="shared" si="4"/>
        <v>0.3923611111</v>
      </c>
      <c r="I6311" s="28">
        <v>2.0</v>
      </c>
      <c r="J6311" s="39" t="s">
        <v>3166</v>
      </c>
      <c r="K6311" s="41"/>
      <c r="L6311" s="31" t="str">
        <f>IFERROR(__xludf.DUMMYFUNCTION("IF(OR(E6311="""",K6311=""""),"""",IFERROR(IF(K6311="""","""",query('tbl user'!$A$2:$D10975,""SELECT A WHERE D = '""&amp;K6311&amp;""'"")),""USER TIDAK DIKETAHUI""))"),"")</f>
        <v/>
      </c>
    </row>
    <row r="6312">
      <c r="A6312" s="21" t="str">
        <f t="shared" si="3"/>
        <v/>
      </c>
      <c r="B6312" s="38"/>
      <c r="C6312" s="23" t="s">
        <v>1853</v>
      </c>
      <c r="D6312" s="23" t="s">
        <v>21</v>
      </c>
      <c r="E6312" s="46">
        <v>45494.0</v>
      </c>
      <c r="F6312" s="25">
        <v>0.2743055555555556</v>
      </c>
      <c r="G6312" s="25">
        <v>0.6173611111111111</v>
      </c>
      <c r="H6312" s="27">
        <f t="shared" si="4"/>
        <v>0.3430555556</v>
      </c>
      <c r="I6312" s="28">
        <v>2.0</v>
      </c>
      <c r="J6312" s="39" t="s">
        <v>3167</v>
      </c>
      <c r="K6312" s="41"/>
      <c r="L6312" s="31" t="str">
        <f>IFERROR(__xludf.DUMMYFUNCTION("IF(OR(E6312="""",K6312=""""),"""",IFERROR(IF(K6312="""","""",query('tbl user'!$A$2:$D10975,""SELECT A WHERE D = '""&amp;K6312&amp;""'"")),""USER TIDAK DIKETAHUI""))"),"")</f>
        <v/>
      </c>
    </row>
    <row r="6313">
      <c r="A6313" s="21" t="str">
        <f t="shared" si="3"/>
        <v/>
      </c>
      <c r="B6313" s="38"/>
      <c r="C6313" s="23" t="s">
        <v>2628</v>
      </c>
      <c r="D6313" s="23" t="s">
        <v>21</v>
      </c>
      <c r="E6313" s="46">
        <v>45494.0</v>
      </c>
      <c r="F6313" s="25">
        <v>0.28541666666666665</v>
      </c>
      <c r="G6313" s="25">
        <v>0.6194444444444445</v>
      </c>
      <c r="H6313" s="27">
        <f t="shared" si="4"/>
        <v>0.3340277778</v>
      </c>
      <c r="I6313" s="28">
        <v>2.0</v>
      </c>
      <c r="J6313" s="39" t="s">
        <v>3168</v>
      </c>
      <c r="K6313" s="41"/>
      <c r="L6313" s="31" t="str">
        <f>IFERROR(__xludf.DUMMYFUNCTION("IF(OR(E6313="""",K6313=""""),"""",IFERROR(IF(K6313="""","""",query('tbl user'!$A$2:$D10975,""SELECT A WHERE D = '""&amp;K6313&amp;""'"")),""USER TIDAK DIKETAHUI""))"),"")</f>
        <v/>
      </c>
    </row>
    <row r="6314">
      <c r="A6314" s="21" t="str">
        <f t="shared" si="3"/>
        <v/>
      </c>
      <c r="B6314" s="38"/>
      <c r="C6314" s="23" t="s">
        <v>1844</v>
      </c>
      <c r="D6314" s="23" t="s">
        <v>21</v>
      </c>
      <c r="E6314" s="46">
        <v>45494.0</v>
      </c>
      <c r="F6314" s="25">
        <v>0.2625</v>
      </c>
      <c r="G6314" s="25">
        <v>0.5930555555555556</v>
      </c>
      <c r="H6314" s="27">
        <f t="shared" si="4"/>
        <v>0.3305555556</v>
      </c>
      <c r="I6314" s="28">
        <v>2.0</v>
      </c>
      <c r="J6314" s="39" t="s">
        <v>3169</v>
      </c>
      <c r="K6314" s="41"/>
      <c r="L6314" s="31" t="str">
        <f>IFERROR(__xludf.DUMMYFUNCTION("IF(OR(E6314="""",K6314=""""),"""",IFERROR(IF(K6314="""","""",query('tbl user'!$A$2:$D10975,""SELECT A WHERE D = '""&amp;K6314&amp;""'"")),""USER TIDAK DIKETAHUI""))"),"")</f>
        <v/>
      </c>
    </row>
    <row r="6315">
      <c r="A6315" s="21" t="str">
        <f t="shared" si="3"/>
        <v/>
      </c>
      <c r="B6315" s="38"/>
      <c r="C6315" s="23" t="s">
        <v>1925</v>
      </c>
      <c r="D6315" s="23" t="s">
        <v>21</v>
      </c>
      <c r="E6315" s="46">
        <v>45494.0</v>
      </c>
      <c r="F6315" s="25">
        <v>0.2590277777777778</v>
      </c>
      <c r="G6315" s="25">
        <v>0.5569444444444445</v>
      </c>
      <c r="H6315" s="27">
        <f t="shared" si="4"/>
        <v>0.2979166667</v>
      </c>
      <c r="I6315" s="28">
        <v>2.0</v>
      </c>
      <c r="J6315" s="39" t="s">
        <v>3170</v>
      </c>
      <c r="K6315" s="41"/>
      <c r="L6315" s="31" t="str">
        <f>IFERROR(__xludf.DUMMYFUNCTION("IF(OR(E6315="""",K6315=""""),"""",IFERROR(IF(K6315="""","""",query('tbl user'!$A$2:$D10975,""SELECT A WHERE D = '""&amp;K6315&amp;""'"")),""USER TIDAK DIKETAHUI""))"),"")</f>
        <v/>
      </c>
    </row>
    <row r="6316">
      <c r="A6316" s="21" t="str">
        <f t="shared" si="3"/>
        <v/>
      </c>
      <c r="B6316" s="38"/>
      <c r="C6316" s="23" t="s">
        <v>1845</v>
      </c>
      <c r="D6316" s="23" t="s">
        <v>21</v>
      </c>
      <c r="E6316" s="46">
        <v>45494.0</v>
      </c>
      <c r="F6316" s="25">
        <v>0.2902777777777778</v>
      </c>
      <c r="G6316" s="25">
        <v>0.6493055555555556</v>
      </c>
      <c r="H6316" s="27">
        <f t="shared" si="4"/>
        <v>0.3590277778</v>
      </c>
      <c r="I6316" s="28">
        <v>2.0</v>
      </c>
      <c r="J6316" s="39" t="s">
        <v>3171</v>
      </c>
      <c r="K6316" s="41"/>
      <c r="L6316" s="31" t="str">
        <f>IFERROR(__xludf.DUMMYFUNCTION("IF(OR(E6316="""",K6316=""""),"""",IFERROR(IF(K6316="""","""",query('tbl user'!$A$2:$D10975,""SELECT A WHERE D = '""&amp;K6316&amp;""'"")),""USER TIDAK DIKETAHUI""))"),"")</f>
        <v/>
      </c>
    </row>
    <row r="6317">
      <c r="A6317" s="21" t="str">
        <f t="shared" si="3"/>
        <v/>
      </c>
      <c r="B6317" s="38"/>
      <c r="C6317" s="23" t="s">
        <v>2002</v>
      </c>
      <c r="D6317" s="23" t="s">
        <v>21</v>
      </c>
      <c r="E6317" s="46">
        <v>45494.0</v>
      </c>
      <c r="F6317" s="25">
        <v>0.2875</v>
      </c>
      <c r="G6317" s="25">
        <v>0.6979166666666666</v>
      </c>
      <c r="H6317" s="27">
        <f t="shared" si="4"/>
        <v>0.4104166667</v>
      </c>
      <c r="I6317" s="28">
        <v>3.0</v>
      </c>
      <c r="J6317" s="39" t="s">
        <v>3171</v>
      </c>
      <c r="K6317" s="41"/>
      <c r="L6317" s="31" t="str">
        <f>IFERROR(__xludf.DUMMYFUNCTION("IF(OR(E6317="""",K6317=""""),"""",IFERROR(IF(K6317="""","""",query('tbl user'!$A$2:$D10975,""SELECT A WHERE D = '""&amp;K6317&amp;""'"")),""USER TIDAK DIKETAHUI""))"),"")</f>
        <v/>
      </c>
    </row>
    <row r="6318">
      <c r="A6318" s="21" t="str">
        <f t="shared" si="3"/>
        <v/>
      </c>
      <c r="B6318" s="38"/>
      <c r="C6318" s="23" t="s">
        <v>1922</v>
      </c>
      <c r="D6318" s="23" t="s">
        <v>21</v>
      </c>
      <c r="E6318" s="46">
        <v>45494.0</v>
      </c>
      <c r="F6318" s="25">
        <v>0.27847222222222223</v>
      </c>
      <c r="G6318" s="25">
        <v>0.7097222222222223</v>
      </c>
      <c r="H6318" s="27">
        <f t="shared" si="4"/>
        <v>0.43125</v>
      </c>
      <c r="I6318" s="28">
        <v>3.0</v>
      </c>
      <c r="J6318" s="39" t="s">
        <v>3172</v>
      </c>
      <c r="K6318" s="41"/>
      <c r="L6318" s="31" t="str">
        <f>IFERROR(__xludf.DUMMYFUNCTION("IF(OR(E6318="""",K6318=""""),"""",IFERROR(IF(K6318="""","""",query('tbl user'!$A$2:$D10975,""SELECT A WHERE D = '""&amp;K6318&amp;""'"")),""USER TIDAK DIKETAHUI""))"),"")</f>
        <v/>
      </c>
    </row>
    <row r="6319">
      <c r="A6319" s="21" t="str">
        <f t="shared" si="3"/>
        <v/>
      </c>
      <c r="B6319" s="38"/>
      <c r="C6319" s="23" t="s">
        <v>2136</v>
      </c>
      <c r="D6319" s="23" t="s">
        <v>21</v>
      </c>
      <c r="E6319" s="46">
        <v>45494.0</v>
      </c>
      <c r="F6319" s="25">
        <v>0.3125</v>
      </c>
      <c r="G6319" s="25">
        <v>0.7111111111111111</v>
      </c>
      <c r="H6319" s="27">
        <f t="shared" si="4"/>
        <v>0.3986111111</v>
      </c>
      <c r="I6319" s="28">
        <v>3.0</v>
      </c>
      <c r="J6319" s="39" t="s">
        <v>3171</v>
      </c>
      <c r="K6319" s="41"/>
      <c r="L6319" s="31" t="str">
        <f>IFERROR(__xludf.DUMMYFUNCTION("IF(OR(E6319="""",K6319=""""),"""",IFERROR(IF(K6319="""","""",query('tbl user'!$A$2:$D10975,""SELECT A WHERE D = '""&amp;K6319&amp;""'"")),""USER TIDAK DIKETAHUI""))"),"")</f>
        <v/>
      </c>
    </row>
    <row r="6320">
      <c r="A6320" s="21" t="str">
        <f t="shared" si="3"/>
        <v/>
      </c>
      <c r="B6320" s="38"/>
      <c r="C6320" s="23" t="s">
        <v>1928</v>
      </c>
      <c r="D6320" s="23" t="s">
        <v>21</v>
      </c>
      <c r="E6320" s="46">
        <v>45494.0</v>
      </c>
      <c r="F6320" s="25">
        <v>0.28055555555555556</v>
      </c>
      <c r="G6320" s="25">
        <v>0.6805555555555556</v>
      </c>
      <c r="H6320" s="27">
        <f t="shared" si="4"/>
        <v>0.4</v>
      </c>
      <c r="I6320" s="28">
        <v>3.0</v>
      </c>
      <c r="J6320" s="39" t="s">
        <v>3173</v>
      </c>
      <c r="K6320" s="41"/>
      <c r="L6320" s="31" t="str">
        <f>IFERROR(__xludf.DUMMYFUNCTION("IF(OR(E6320="""",K6320=""""),"""",IFERROR(IF(K6320="""","""",query('tbl user'!$A$2:$D10975,""SELECT A WHERE D = '""&amp;K6320&amp;""'"")),""USER TIDAK DIKETAHUI""))"),"")</f>
        <v/>
      </c>
    </row>
    <row r="6321">
      <c r="A6321" s="21" t="str">
        <f t="shared" si="3"/>
        <v/>
      </c>
      <c r="B6321" s="38"/>
      <c r="C6321" s="23" t="s">
        <v>1837</v>
      </c>
      <c r="D6321" s="23" t="s">
        <v>21</v>
      </c>
      <c r="E6321" s="46">
        <v>45494.0</v>
      </c>
      <c r="F6321" s="25">
        <v>0.2791666666666667</v>
      </c>
      <c r="G6321" s="25">
        <v>0.7027777777777777</v>
      </c>
      <c r="H6321" s="27">
        <f t="shared" si="4"/>
        <v>0.4236111111</v>
      </c>
      <c r="I6321" s="28">
        <v>4.0</v>
      </c>
      <c r="J6321" s="39" t="s">
        <v>3174</v>
      </c>
      <c r="K6321" s="41"/>
      <c r="L6321" s="31" t="str">
        <f>IFERROR(__xludf.DUMMYFUNCTION("IF(OR(E6321="""",K6321=""""),"""",IFERROR(IF(K6321="""","""",query('tbl user'!$A$2:$D10975,""SELECT A WHERE D = '""&amp;K6321&amp;""'"")),""USER TIDAK DIKETAHUI""))"),"")</f>
        <v/>
      </c>
    </row>
    <row r="6322">
      <c r="A6322" s="21" t="str">
        <f t="shared" si="3"/>
        <v/>
      </c>
      <c r="B6322" s="38"/>
      <c r="C6322" s="23" t="s">
        <v>2049</v>
      </c>
      <c r="D6322" s="23" t="s">
        <v>21</v>
      </c>
      <c r="E6322" s="46">
        <v>45494.0</v>
      </c>
      <c r="F6322" s="25">
        <v>0.20069444444444445</v>
      </c>
      <c r="G6322" s="25">
        <v>0.6597222222222222</v>
      </c>
      <c r="H6322" s="27">
        <f t="shared" si="4"/>
        <v>0.4590277778</v>
      </c>
      <c r="I6322" s="28">
        <v>4.0</v>
      </c>
      <c r="J6322" s="39" t="s">
        <v>3175</v>
      </c>
      <c r="K6322" s="41"/>
      <c r="L6322" s="31" t="str">
        <f>IFERROR(__xludf.DUMMYFUNCTION("IF(OR(E6322="""",K6322=""""),"""",IFERROR(IF(K6322="""","""",query('tbl user'!$A$2:$D10975,""SELECT A WHERE D = '""&amp;K6322&amp;""'"")),""USER TIDAK DIKETAHUI""))"),"")</f>
        <v/>
      </c>
    </row>
    <row r="6323">
      <c r="A6323" s="21" t="str">
        <f t="shared" si="3"/>
        <v/>
      </c>
      <c r="B6323" s="38"/>
      <c r="C6323" s="23" t="s">
        <v>1849</v>
      </c>
      <c r="D6323" s="23" t="s">
        <v>21</v>
      </c>
      <c r="E6323" s="46">
        <v>45494.0</v>
      </c>
      <c r="F6323" s="25">
        <v>0.2611111111111111</v>
      </c>
      <c r="G6323" s="25">
        <v>0.7118055555555556</v>
      </c>
      <c r="H6323" s="27">
        <f t="shared" si="4"/>
        <v>0.4506944444</v>
      </c>
      <c r="I6323" s="28">
        <v>4.0</v>
      </c>
      <c r="J6323" s="39" t="s">
        <v>3171</v>
      </c>
      <c r="K6323" s="41"/>
      <c r="L6323" s="31" t="str">
        <f>IFERROR(__xludf.DUMMYFUNCTION("IF(OR(E6323="""",K6323=""""),"""",IFERROR(IF(K6323="""","""",query('tbl user'!$A$2:$D10975,""SELECT A WHERE D = '""&amp;K6323&amp;""'"")),""USER TIDAK DIKETAHUI""))"),"")</f>
        <v/>
      </c>
    </row>
    <row r="6324">
      <c r="A6324" s="21" t="str">
        <f t="shared" si="3"/>
        <v/>
      </c>
      <c r="B6324" s="38"/>
      <c r="C6324" s="23" t="s">
        <v>2005</v>
      </c>
      <c r="D6324" s="23" t="s">
        <v>21</v>
      </c>
      <c r="E6324" s="46">
        <v>45494.0</v>
      </c>
      <c r="F6324" s="25">
        <v>0.2013888888888889</v>
      </c>
      <c r="G6324" s="25">
        <v>0.6715277777777777</v>
      </c>
      <c r="H6324" s="27">
        <f t="shared" si="4"/>
        <v>0.4701388889</v>
      </c>
      <c r="I6324" s="28">
        <v>4.0</v>
      </c>
      <c r="J6324" s="39" t="s">
        <v>3171</v>
      </c>
      <c r="K6324" s="41"/>
      <c r="L6324" s="31" t="str">
        <f>IFERROR(__xludf.DUMMYFUNCTION("IF(OR(E6324="""",K6324=""""),"""",IFERROR(IF(K6324="""","""",query('tbl user'!$A$2:$D10975,""SELECT A WHERE D = '""&amp;K6324&amp;""'"")),""USER TIDAK DIKETAHUI""))"),"")</f>
        <v/>
      </c>
    </row>
    <row r="6325">
      <c r="A6325" s="21" t="str">
        <f t="shared" si="3"/>
        <v/>
      </c>
      <c r="B6325" s="38"/>
      <c r="C6325" s="23" t="s">
        <v>1850</v>
      </c>
      <c r="D6325" s="23" t="s">
        <v>21</v>
      </c>
      <c r="E6325" s="46">
        <v>45494.0</v>
      </c>
      <c r="F6325" s="25">
        <v>0.24305555555555555</v>
      </c>
      <c r="G6325" s="25">
        <v>0.7256944444444444</v>
      </c>
      <c r="H6325" s="27">
        <f t="shared" si="4"/>
        <v>0.4826388889</v>
      </c>
      <c r="I6325" s="28">
        <v>4.0</v>
      </c>
      <c r="J6325" s="39" t="s">
        <v>3171</v>
      </c>
      <c r="K6325" s="41"/>
      <c r="L6325" s="31" t="str">
        <f>IFERROR(__xludf.DUMMYFUNCTION("IF(OR(E6325="""",K6325=""""),"""",IFERROR(IF(K6325="""","""",query('tbl user'!$A$2:$D10975,""SELECT A WHERE D = '""&amp;K6325&amp;""'"")),""USER TIDAK DIKETAHUI""))"),"")</f>
        <v/>
      </c>
    </row>
    <row r="6326">
      <c r="A6326" s="21" t="str">
        <f t="shared" si="3"/>
        <v/>
      </c>
      <c r="B6326" s="38"/>
      <c r="C6326" s="23" t="s">
        <v>1841</v>
      </c>
      <c r="D6326" s="23" t="s">
        <v>21</v>
      </c>
      <c r="E6326" s="46">
        <v>45494.0</v>
      </c>
      <c r="F6326" s="25">
        <v>0.2847222222222222</v>
      </c>
      <c r="G6326" s="25">
        <v>0.5555555555555556</v>
      </c>
      <c r="H6326" s="27">
        <f t="shared" si="4"/>
        <v>0.2708333333</v>
      </c>
      <c r="I6326" s="28">
        <v>2.0</v>
      </c>
      <c r="J6326" s="39" t="s">
        <v>3176</v>
      </c>
      <c r="K6326" s="41"/>
      <c r="L6326" s="31" t="str">
        <f>IFERROR(__xludf.DUMMYFUNCTION("IF(OR(E6326="""",K6326=""""),"""",IFERROR(IF(K6326="""","""",query('tbl user'!$A$2:$D10975,""SELECT A WHERE D = '""&amp;K6326&amp;""'"")),""USER TIDAK DIKETAHUI""))"),"")</f>
        <v/>
      </c>
    </row>
    <row r="6327">
      <c r="A6327" s="21" t="str">
        <f t="shared" si="3"/>
        <v/>
      </c>
      <c r="B6327" s="38"/>
      <c r="C6327" s="23" t="s">
        <v>1874</v>
      </c>
      <c r="D6327" s="43" t="s">
        <v>58</v>
      </c>
      <c r="E6327" s="45">
        <v>45494.0</v>
      </c>
      <c r="F6327" s="25">
        <v>0.2847222222222222</v>
      </c>
      <c r="G6327" s="25">
        <v>0.4736111111111111</v>
      </c>
      <c r="H6327" s="27">
        <f t="shared" si="4"/>
        <v>0.1888888889</v>
      </c>
      <c r="I6327" s="28">
        <v>1.0</v>
      </c>
      <c r="J6327" s="39" t="s">
        <v>3177</v>
      </c>
      <c r="K6327" s="41"/>
      <c r="L6327" s="31" t="str">
        <f>IFERROR(__xludf.DUMMYFUNCTION("IF(OR(E6327="""",K6327=""""),"""",IFERROR(IF(K6327="""","""",query('tbl user'!$A$2:$D10975,""SELECT A WHERE D = '""&amp;K6327&amp;""'"")),""USER TIDAK DIKETAHUI""))"),"")</f>
        <v/>
      </c>
    </row>
    <row r="6328">
      <c r="A6328" s="21" t="str">
        <f t="shared" si="3"/>
        <v/>
      </c>
      <c r="B6328" s="38"/>
      <c r="C6328" s="23" t="s">
        <v>1867</v>
      </c>
      <c r="D6328" s="43" t="s">
        <v>58</v>
      </c>
      <c r="E6328" s="45">
        <v>45494.0</v>
      </c>
      <c r="F6328" s="25">
        <v>0.26666666666666666</v>
      </c>
      <c r="G6328" s="25">
        <v>0.4340277777777778</v>
      </c>
      <c r="H6328" s="27">
        <f t="shared" si="4"/>
        <v>0.1673611111</v>
      </c>
      <c r="I6328" s="28">
        <v>1.0</v>
      </c>
      <c r="J6328" s="39" t="s">
        <v>3178</v>
      </c>
      <c r="K6328" s="41"/>
      <c r="L6328" s="31" t="str">
        <f>IFERROR(__xludf.DUMMYFUNCTION("IF(OR(E6328="""",K6328=""""),"""",IFERROR(IF(K6328="""","""",query('tbl user'!$A$2:$D10975,""SELECT A WHERE D = '""&amp;K6328&amp;""'"")),""USER TIDAK DIKETAHUI""))"),"")</f>
        <v/>
      </c>
    </row>
    <row r="6329">
      <c r="A6329" s="21" t="str">
        <f t="shared" si="3"/>
        <v/>
      </c>
      <c r="B6329" s="38"/>
      <c r="C6329" s="23" t="s">
        <v>1890</v>
      </c>
      <c r="D6329" s="43" t="s">
        <v>58</v>
      </c>
      <c r="E6329" s="45">
        <v>45494.0</v>
      </c>
      <c r="F6329" s="25">
        <v>0.4826388888888889</v>
      </c>
      <c r="G6329" s="25">
        <v>0.7291666666666666</v>
      </c>
      <c r="H6329" s="27">
        <f t="shared" si="4"/>
        <v>0.2465277778</v>
      </c>
      <c r="I6329" s="28">
        <v>1.0</v>
      </c>
      <c r="J6329" s="39" t="s">
        <v>3179</v>
      </c>
      <c r="K6329" s="41"/>
      <c r="L6329" s="31" t="str">
        <f>IFERROR(__xludf.DUMMYFUNCTION("IF(OR(E6329="""",K6329=""""),"""",IFERROR(IF(K6329="""","""",query('tbl user'!$A$2:$D10975,""SELECT A WHERE D = '""&amp;K6329&amp;""'"")),""USER TIDAK DIKETAHUI""))"),"")</f>
        <v/>
      </c>
    </row>
    <row r="6330">
      <c r="A6330" s="21" t="str">
        <f t="shared" si="3"/>
        <v/>
      </c>
      <c r="B6330" s="38"/>
      <c r="C6330" s="23" t="s">
        <v>1865</v>
      </c>
      <c r="D6330" s="43" t="s">
        <v>58</v>
      </c>
      <c r="E6330" s="45">
        <v>45494.0</v>
      </c>
      <c r="F6330" s="25">
        <v>0.3111111111111111</v>
      </c>
      <c r="G6330" s="25">
        <v>0.6909722222222222</v>
      </c>
      <c r="H6330" s="27">
        <f t="shared" si="4"/>
        <v>0.3798611111</v>
      </c>
      <c r="I6330" s="28">
        <v>2.0</v>
      </c>
      <c r="J6330" s="39" t="s">
        <v>3180</v>
      </c>
      <c r="K6330" s="41"/>
      <c r="L6330" s="31" t="str">
        <f>IFERROR(__xludf.DUMMYFUNCTION("IF(OR(E6330="""",K6330=""""),"""",IFERROR(IF(K6330="""","""",query('tbl user'!$A$2:$D10975,""SELECT A WHERE D = '""&amp;K6330&amp;""'"")),""USER TIDAK DIKETAHUI""))"),"")</f>
        <v/>
      </c>
    </row>
    <row r="6331">
      <c r="A6331" s="21" t="str">
        <f t="shared" si="3"/>
        <v/>
      </c>
      <c r="B6331" s="38"/>
      <c r="C6331" s="23" t="s">
        <v>1941</v>
      </c>
      <c r="D6331" s="43" t="s">
        <v>58</v>
      </c>
      <c r="E6331" s="45">
        <v>45494.0</v>
      </c>
      <c r="F6331" s="25">
        <v>0.25763888888888886</v>
      </c>
      <c r="G6331" s="25">
        <v>0.5638888888888889</v>
      </c>
      <c r="H6331" s="27">
        <f t="shared" si="4"/>
        <v>0.30625</v>
      </c>
      <c r="I6331" s="28">
        <v>2.0</v>
      </c>
      <c r="J6331" s="39" t="s">
        <v>3181</v>
      </c>
      <c r="K6331" s="41"/>
      <c r="L6331" s="31" t="str">
        <f>IFERROR(__xludf.DUMMYFUNCTION("IF(OR(E6331="""",K6331=""""),"""",IFERROR(IF(K6331="""","""",query('tbl user'!$A$2:$D10975,""SELECT A WHERE D = '""&amp;K6331&amp;""'"")),""USER TIDAK DIKETAHUI""))"),"")</f>
        <v/>
      </c>
    </row>
    <row r="6332">
      <c r="A6332" s="21" t="str">
        <f t="shared" si="3"/>
        <v/>
      </c>
      <c r="B6332" s="38"/>
      <c r="C6332" s="23" t="s">
        <v>1869</v>
      </c>
      <c r="D6332" s="43" t="s">
        <v>58</v>
      </c>
      <c r="E6332" s="45">
        <v>45494.0</v>
      </c>
      <c r="F6332" s="25">
        <v>0.29097222222222224</v>
      </c>
      <c r="G6332" s="25">
        <v>0.6701388888888888</v>
      </c>
      <c r="H6332" s="27">
        <f t="shared" si="4"/>
        <v>0.3791666667</v>
      </c>
      <c r="I6332" s="28">
        <v>2.0</v>
      </c>
      <c r="J6332" s="39" t="s">
        <v>3182</v>
      </c>
      <c r="K6332" s="41"/>
      <c r="L6332" s="31" t="str">
        <f>IFERROR(__xludf.DUMMYFUNCTION("IF(OR(E6332="""",K6332=""""),"""",IFERROR(IF(K6332="""","""",query('tbl user'!$A$2:$D10975,""SELECT A WHERE D = '""&amp;K6332&amp;""'"")),""USER TIDAK DIKETAHUI""))"),"")</f>
        <v/>
      </c>
    </row>
    <row r="6333">
      <c r="A6333" s="21" t="str">
        <f t="shared" si="3"/>
        <v/>
      </c>
      <c r="B6333" s="38"/>
      <c r="C6333" s="23" t="s">
        <v>1879</v>
      </c>
      <c r="D6333" s="43" t="s">
        <v>58</v>
      </c>
      <c r="E6333" s="45">
        <v>45494.0</v>
      </c>
      <c r="F6333" s="25">
        <v>0.2708333333333333</v>
      </c>
      <c r="G6333" s="25">
        <v>0.6368055555555555</v>
      </c>
      <c r="H6333" s="27">
        <f t="shared" si="4"/>
        <v>0.3659722222</v>
      </c>
      <c r="I6333" s="28">
        <v>2.0</v>
      </c>
      <c r="J6333" s="39" t="s">
        <v>3183</v>
      </c>
      <c r="K6333" s="41"/>
      <c r="L6333" s="31" t="str">
        <f>IFERROR(__xludf.DUMMYFUNCTION("IF(OR(E6333="""",K6333=""""),"""",IFERROR(IF(K6333="""","""",query('tbl user'!$A$2:$D10975,""SELECT A WHERE D = '""&amp;K6333&amp;""'"")),""USER TIDAK DIKETAHUI""))"),"")</f>
        <v/>
      </c>
    </row>
    <row r="6334">
      <c r="A6334" s="21" t="str">
        <f t="shared" si="3"/>
        <v/>
      </c>
      <c r="B6334" s="38"/>
      <c r="C6334" s="23" t="s">
        <v>1882</v>
      </c>
      <c r="D6334" s="43" t="s">
        <v>58</v>
      </c>
      <c r="E6334" s="45">
        <v>45494.0</v>
      </c>
      <c r="F6334" s="25">
        <v>0.23680555555555555</v>
      </c>
      <c r="G6334" s="25">
        <v>0.6430555555555556</v>
      </c>
      <c r="H6334" s="27">
        <f t="shared" si="4"/>
        <v>0.40625</v>
      </c>
      <c r="I6334" s="28">
        <v>2.0</v>
      </c>
      <c r="J6334" s="39" t="s">
        <v>3184</v>
      </c>
      <c r="K6334" s="41"/>
      <c r="L6334" s="31" t="str">
        <f>IFERROR(__xludf.DUMMYFUNCTION("IF(OR(E6334="""",K6334=""""),"""",IFERROR(IF(K6334="""","""",query('tbl user'!$A$2:$D10975,""SELECT A WHERE D = '""&amp;K6334&amp;""'"")),""USER TIDAK DIKETAHUI""))"),"")</f>
        <v/>
      </c>
    </row>
    <row r="6335">
      <c r="A6335" s="21" t="str">
        <f t="shared" si="3"/>
        <v/>
      </c>
      <c r="B6335" s="38"/>
      <c r="C6335" s="23" t="s">
        <v>1883</v>
      </c>
      <c r="D6335" s="43" t="s">
        <v>58</v>
      </c>
      <c r="E6335" s="45">
        <v>45494.0</v>
      </c>
      <c r="F6335" s="25">
        <v>0.2833333333333333</v>
      </c>
      <c r="G6335" s="25">
        <v>0.6569444444444444</v>
      </c>
      <c r="H6335" s="27">
        <f t="shared" si="4"/>
        <v>0.3736111111</v>
      </c>
      <c r="I6335" s="28">
        <v>2.0</v>
      </c>
      <c r="J6335" s="39" t="s">
        <v>3171</v>
      </c>
      <c r="K6335" s="41"/>
      <c r="L6335" s="31" t="str">
        <f>IFERROR(__xludf.DUMMYFUNCTION("IF(OR(E6335="""",K6335=""""),"""",IFERROR(IF(K6335="""","""",query('tbl user'!$A$2:$D10975,""SELECT A WHERE D = '""&amp;K6335&amp;""'"")),""USER TIDAK DIKETAHUI""))"),"")</f>
        <v/>
      </c>
    </row>
    <row r="6336">
      <c r="A6336" s="21" t="str">
        <f t="shared" si="3"/>
        <v/>
      </c>
      <c r="B6336" s="38"/>
      <c r="C6336" s="23" t="s">
        <v>1860</v>
      </c>
      <c r="D6336" s="43" t="s">
        <v>58</v>
      </c>
      <c r="E6336" s="45">
        <v>45494.0</v>
      </c>
      <c r="F6336" s="25">
        <v>0.2902777777777778</v>
      </c>
      <c r="G6336" s="25">
        <v>0.6979166666666666</v>
      </c>
      <c r="H6336" s="27">
        <f t="shared" si="4"/>
        <v>0.4076388889</v>
      </c>
      <c r="I6336" s="28">
        <v>2.0</v>
      </c>
      <c r="J6336" s="39" t="s">
        <v>3171</v>
      </c>
      <c r="K6336" s="41"/>
      <c r="L6336" s="31" t="str">
        <f>IFERROR(__xludf.DUMMYFUNCTION("IF(OR(E6336="""",K6336=""""),"""",IFERROR(IF(K6336="""","""",query('tbl user'!$A$2:$D10975,""SELECT A WHERE D = '""&amp;K6336&amp;""'"")),""USER TIDAK DIKETAHUI""))"),"")</f>
        <v/>
      </c>
    </row>
    <row r="6337">
      <c r="A6337" s="21" t="str">
        <f t="shared" si="3"/>
        <v/>
      </c>
      <c r="B6337" s="38"/>
      <c r="C6337" s="23" t="s">
        <v>1884</v>
      </c>
      <c r="D6337" s="43" t="s">
        <v>58</v>
      </c>
      <c r="E6337" s="45">
        <v>45494.0</v>
      </c>
      <c r="F6337" s="25">
        <v>0.24444444444444444</v>
      </c>
      <c r="G6337" s="25">
        <v>0.5965277777777778</v>
      </c>
      <c r="H6337" s="27">
        <f t="shared" si="4"/>
        <v>0.3520833333</v>
      </c>
      <c r="I6337" s="28">
        <v>2.0</v>
      </c>
      <c r="J6337" s="39" t="s">
        <v>3185</v>
      </c>
      <c r="K6337" s="41"/>
      <c r="L6337" s="31" t="str">
        <f>IFERROR(__xludf.DUMMYFUNCTION("IF(OR(E6337="""",K6337=""""),"""",IFERROR(IF(K6337="""","""",query('tbl user'!$A$2:$D10975,""SELECT A WHERE D = '""&amp;K6337&amp;""'"")),""USER TIDAK DIKETAHUI""))"),"")</f>
        <v/>
      </c>
    </row>
    <row r="6338">
      <c r="A6338" s="21" t="str">
        <f t="shared" si="3"/>
        <v/>
      </c>
      <c r="B6338" s="38"/>
      <c r="C6338" s="23" t="s">
        <v>1950</v>
      </c>
      <c r="D6338" s="43" t="s">
        <v>58</v>
      </c>
      <c r="E6338" s="45">
        <v>45494.0</v>
      </c>
      <c r="F6338" s="25">
        <v>0.23055555555555557</v>
      </c>
      <c r="G6338" s="25">
        <v>0.675</v>
      </c>
      <c r="H6338" s="27">
        <f t="shared" si="4"/>
        <v>0.4444444444</v>
      </c>
      <c r="I6338" s="28">
        <v>2.0</v>
      </c>
      <c r="J6338" s="39" t="s">
        <v>3186</v>
      </c>
      <c r="K6338" s="41"/>
      <c r="L6338" s="31" t="str">
        <f>IFERROR(__xludf.DUMMYFUNCTION("IF(OR(E6338="""",K6338=""""),"""",IFERROR(IF(K6338="""","""",query('tbl user'!$A$2:$D10975,""SELECT A WHERE D = '""&amp;K6338&amp;""'"")),""USER TIDAK DIKETAHUI""))"),"")</f>
        <v/>
      </c>
    </row>
    <row r="6339">
      <c r="A6339" s="21" t="str">
        <f t="shared" si="3"/>
        <v/>
      </c>
      <c r="B6339" s="38"/>
      <c r="C6339" s="23" t="s">
        <v>1863</v>
      </c>
      <c r="D6339" s="43" t="s">
        <v>58</v>
      </c>
      <c r="E6339" s="45">
        <v>45494.0</v>
      </c>
      <c r="F6339" s="25">
        <v>0.275</v>
      </c>
      <c r="G6339" s="25">
        <v>0.5909722222222222</v>
      </c>
      <c r="H6339" s="27">
        <f t="shared" si="4"/>
        <v>0.3159722222</v>
      </c>
      <c r="I6339" s="28">
        <v>2.0</v>
      </c>
      <c r="J6339" s="39" t="s">
        <v>3187</v>
      </c>
      <c r="K6339" s="41"/>
      <c r="L6339" s="31" t="str">
        <f>IFERROR(__xludf.DUMMYFUNCTION("IF(OR(E6339="""",K6339=""""),"""",IFERROR(IF(K6339="""","""",query('tbl user'!$A$2:$D10975,""SELECT A WHERE D = '""&amp;K6339&amp;""'"")),""USER TIDAK DIKETAHUI""))"),"")</f>
        <v/>
      </c>
    </row>
    <row r="6340">
      <c r="A6340" s="21" t="str">
        <f t="shared" si="3"/>
        <v/>
      </c>
      <c r="B6340" s="38"/>
      <c r="C6340" s="23" t="s">
        <v>1887</v>
      </c>
      <c r="D6340" s="43" t="s">
        <v>58</v>
      </c>
      <c r="E6340" s="45">
        <v>45494.0</v>
      </c>
      <c r="F6340" s="25">
        <v>0.2791666666666667</v>
      </c>
      <c r="G6340" s="25">
        <v>0.6840277777777778</v>
      </c>
      <c r="H6340" s="27">
        <f t="shared" si="4"/>
        <v>0.4048611111</v>
      </c>
      <c r="I6340" s="28">
        <v>2.0</v>
      </c>
      <c r="J6340" s="39" t="s">
        <v>3171</v>
      </c>
      <c r="K6340" s="41"/>
      <c r="L6340" s="31" t="str">
        <f>IFERROR(__xludf.DUMMYFUNCTION("IF(OR(E6340="""",K6340=""""),"""",IFERROR(IF(K6340="""","""",query('tbl user'!$A$2:$D10975,""SELECT A WHERE D = '""&amp;K6340&amp;""'"")),""USER TIDAK DIKETAHUI""))"),"")</f>
        <v/>
      </c>
    </row>
    <row r="6341">
      <c r="A6341" s="21" t="str">
        <f t="shared" si="3"/>
        <v/>
      </c>
      <c r="B6341" s="38"/>
      <c r="C6341" s="23" t="s">
        <v>1888</v>
      </c>
      <c r="D6341" s="43" t="s">
        <v>58</v>
      </c>
      <c r="E6341" s="45">
        <v>45494.0</v>
      </c>
      <c r="F6341" s="25">
        <v>0.39444444444444443</v>
      </c>
      <c r="G6341" s="25">
        <v>0.7326388888888888</v>
      </c>
      <c r="H6341" s="27">
        <f t="shared" si="4"/>
        <v>0.3381944444</v>
      </c>
      <c r="I6341" s="28">
        <v>2.0</v>
      </c>
      <c r="J6341" s="39" t="s">
        <v>3188</v>
      </c>
      <c r="K6341" s="41"/>
      <c r="L6341" s="31" t="str">
        <f>IFERROR(__xludf.DUMMYFUNCTION("IF(OR(E6341="""",K6341=""""),"""",IFERROR(IF(K6341="""","""",query('tbl user'!$A$2:$D10975,""SELECT A WHERE D = '""&amp;K6341&amp;""'"")),""USER TIDAK DIKETAHUI""))"),"")</f>
        <v/>
      </c>
    </row>
    <row r="6342">
      <c r="A6342" s="21" t="str">
        <f t="shared" si="3"/>
        <v/>
      </c>
      <c r="B6342" s="38"/>
      <c r="C6342" s="23" t="s">
        <v>1871</v>
      </c>
      <c r="D6342" s="43" t="s">
        <v>58</v>
      </c>
      <c r="E6342" s="45">
        <v>45494.0</v>
      </c>
      <c r="F6342" s="25">
        <v>0.2152777777777778</v>
      </c>
      <c r="G6342" s="25">
        <v>0.6270833333333333</v>
      </c>
      <c r="H6342" s="27">
        <f t="shared" si="4"/>
        <v>0.4118055556</v>
      </c>
      <c r="I6342" s="28">
        <v>2.0</v>
      </c>
      <c r="J6342" s="39" t="s">
        <v>3171</v>
      </c>
      <c r="K6342" s="41"/>
      <c r="L6342" s="31" t="str">
        <f>IFERROR(__xludf.DUMMYFUNCTION("IF(OR(E6342="""",K6342=""""),"""",IFERROR(IF(K6342="""","""",query('tbl user'!$A$2:$D10975,""SELECT A WHERE D = '""&amp;K6342&amp;""'"")),""USER TIDAK DIKETAHUI""))"),"")</f>
        <v/>
      </c>
    </row>
    <row r="6343">
      <c r="A6343" s="21" t="str">
        <f t="shared" si="3"/>
        <v/>
      </c>
      <c r="B6343" s="38"/>
      <c r="C6343" s="23" t="s">
        <v>1872</v>
      </c>
      <c r="D6343" s="43" t="s">
        <v>58</v>
      </c>
      <c r="E6343" s="45">
        <v>45494.0</v>
      </c>
      <c r="F6343" s="25">
        <v>0.25069444444444444</v>
      </c>
      <c r="G6343" s="25">
        <v>0.6104166666666667</v>
      </c>
      <c r="H6343" s="27">
        <f t="shared" si="4"/>
        <v>0.3597222222</v>
      </c>
      <c r="I6343" s="28">
        <v>2.0</v>
      </c>
      <c r="J6343" s="39" t="s">
        <v>3189</v>
      </c>
      <c r="K6343" s="41"/>
      <c r="L6343" s="31" t="str">
        <f>IFERROR(__xludf.DUMMYFUNCTION("IF(OR(E6343="""",K6343=""""),"""",IFERROR(IF(K6343="""","""",query('tbl user'!$A$2:$D10975,""SELECT A WHERE D = '""&amp;K6343&amp;""'"")),""USER TIDAK DIKETAHUI""))"),"")</f>
        <v/>
      </c>
    </row>
    <row r="6344">
      <c r="A6344" s="21" t="str">
        <f t="shared" si="3"/>
        <v/>
      </c>
      <c r="B6344" s="38"/>
      <c r="C6344" s="23" t="s">
        <v>2090</v>
      </c>
      <c r="D6344" s="43" t="s">
        <v>58</v>
      </c>
      <c r="E6344" s="45">
        <v>45494.0</v>
      </c>
      <c r="F6344" s="25">
        <v>0.2861111111111111</v>
      </c>
      <c r="G6344" s="25">
        <v>0.6493055555555556</v>
      </c>
      <c r="H6344" s="27">
        <f t="shared" si="4"/>
        <v>0.3631944444</v>
      </c>
      <c r="I6344" s="28">
        <v>2.0</v>
      </c>
      <c r="J6344" s="39" t="s">
        <v>3190</v>
      </c>
      <c r="K6344" s="41"/>
      <c r="L6344" s="31" t="str">
        <f>IFERROR(__xludf.DUMMYFUNCTION("IF(OR(E6344="""",K6344=""""),"""",IFERROR(IF(K6344="""","""",query('tbl user'!$A$2:$D10975,""SELECT A WHERE D = '""&amp;K6344&amp;""'"")),""USER TIDAK DIKETAHUI""))"),"")</f>
        <v/>
      </c>
    </row>
    <row r="6345">
      <c r="A6345" s="21" t="str">
        <f t="shared" si="3"/>
        <v/>
      </c>
      <c r="B6345" s="38"/>
      <c r="C6345" s="23" t="s">
        <v>1875</v>
      </c>
      <c r="D6345" s="43" t="s">
        <v>58</v>
      </c>
      <c r="E6345" s="45">
        <v>45494.0</v>
      </c>
      <c r="F6345" s="25">
        <v>0.2375</v>
      </c>
      <c r="G6345" s="25">
        <v>0.725</v>
      </c>
      <c r="H6345" s="27">
        <f t="shared" si="4"/>
        <v>0.4875</v>
      </c>
      <c r="I6345" s="28">
        <v>3.0</v>
      </c>
      <c r="J6345" s="39" t="s">
        <v>3191</v>
      </c>
      <c r="K6345" s="41"/>
      <c r="L6345" s="31" t="str">
        <f>IFERROR(__xludf.DUMMYFUNCTION("IF(OR(E6345="""",K6345=""""),"""",IFERROR(IF(K6345="""","""",query('tbl user'!$A$2:$D10975,""SELECT A WHERE D = '""&amp;K6345&amp;""'"")),""USER TIDAK DIKETAHUI""))"),"")</f>
        <v/>
      </c>
    </row>
    <row r="6346">
      <c r="A6346" s="21" t="str">
        <f t="shared" si="3"/>
        <v/>
      </c>
      <c r="B6346" s="38"/>
      <c r="C6346" s="23" t="s">
        <v>1881</v>
      </c>
      <c r="D6346" s="43" t="s">
        <v>58</v>
      </c>
      <c r="E6346" s="45">
        <v>45494.0</v>
      </c>
      <c r="F6346" s="25">
        <v>0.21736111111111112</v>
      </c>
      <c r="G6346" s="25">
        <v>0.7125</v>
      </c>
      <c r="H6346" s="27">
        <f t="shared" si="4"/>
        <v>0.4951388889</v>
      </c>
      <c r="I6346" s="28">
        <v>3.0</v>
      </c>
      <c r="J6346" s="39" t="s">
        <v>3191</v>
      </c>
      <c r="K6346" s="41"/>
      <c r="L6346" s="31" t="str">
        <f>IFERROR(__xludf.DUMMYFUNCTION("IF(OR(E6346="""",K6346=""""),"""",IFERROR(IF(K6346="""","""",query('tbl user'!$A$2:$D10975,""SELECT A WHERE D = '""&amp;K6346&amp;""'"")),""USER TIDAK DIKETAHUI""))"),"")</f>
        <v/>
      </c>
    </row>
    <row r="6347">
      <c r="A6347" s="21" t="str">
        <f t="shared" si="3"/>
        <v/>
      </c>
      <c r="B6347" s="38"/>
      <c r="C6347" s="23" t="s">
        <v>1889</v>
      </c>
      <c r="D6347" s="43" t="s">
        <v>58</v>
      </c>
      <c r="E6347" s="45">
        <v>45494.0</v>
      </c>
      <c r="F6347" s="25">
        <v>0.24305555555555555</v>
      </c>
      <c r="G6347" s="25">
        <v>0.7166666666666667</v>
      </c>
      <c r="H6347" s="27">
        <f t="shared" si="4"/>
        <v>0.4736111111</v>
      </c>
      <c r="I6347" s="28">
        <v>3.0</v>
      </c>
      <c r="J6347" s="39" t="s">
        <v>3191</v>
      </c>
      <c r="K6347" s="41"/>
      <c r="L6347" s="31" t="str">
        <f>IFERROR(__xludf.DUMMYFUNCTION("IF(OR(E6347="""",K6347=""""),"""",IFERROR(IF(K6347="""","""",query('tbl user'!$A$2:$D10975,""SELECT A WHERE D = '""&amp;K6347&amp;""'"")),""USER TIDAK DIKETAHUI""))"),"")</f>
        <v/>
      </c>
    </row>
    <row r="6348">
      <c r="A6348" s="21" t="str">
        <f t="shared" si="3"/>
        <v/>
      </c>
      <c r="B6348" s="38"/>
      <c r="C6348" s="23" t="s">
        <v>1892</v>
      </c>
      <c r="D6348" s="43" t="s">
        <v>58</v>
      </c>
      <c r="E6348" s="45">
        <v>45494.0</v>
      </c>
      <c r="F6348" s="25">
        <v>0.1986111111111111</v>
      </c>
      <c r="G6348" s="25">
        <v>0.6972222222222222</v>
      </c>
      <c r="H6348" s="27">
        <f t="shared" si="4"/>
        <v>0.4986111111</v>
      </c>
      <c r="I6348" s="28">
        <v>3.0</v>
      </c>
      <c r="J6348" s="39" t="s">
        <v>3191</v>
      </c>
      <c r="K6348" s="41"/>
      <c r="L6348" s="31" t="str">
        <f>IFERROR(__xludf.DUMMYFUNCTION("IF(OR(E6348="""",K6348=""""),"""",IFERROR(IF(K6348="""","""",query('tbl user'!$A$2:$D10975,""SELECT A WHERE D = '""&amp;K6348&amp;""'"")),""USER TIDAK DIKETAHUI""))"),"")</f>
        <v/>
      </c>
    </row>
    <row r="6349">
      <c r="A6349" s="21" t="str">
        <f t="shared" si="3"/>
        <v/>
      </c>
      <c r="B6349" s="38"/>
      <c r="C6349" s="23" t="s">
        <v>1893</v>
      </c>
      <c r="D6349" s="43" t="s">
        <v>58</v>
      </c>
      <c r="E6349" s="45">
        <v>45494.0</v>
      </c>
      <c r="F6349" s="25">
        <v>0.23125</v>
      </c>
      <c r="G6349" s="25">
        <v>0.7</v>
      </c>
      <c r="H6349" s="27">
        <f t="shared" si="4"/>
        <v>0.46875</v>
      </c>
      <c r="I6349" s="28">
        <v>3.0</v>
      </c>
      <c r="J6349" s="39" t="s">
        <v>3191</v>
      </c>
      <c r="K6349" s="41"/>
      <c r="L6349" s="31" t="str">
        <f>IFERROR(__xludf.DUMMYFUNCTION("IF(OR(E6349="""",K6349=""""),"""",IFERROR(IF(K6349="""","""",query('tbl user'!$A$2:$D10975,""SELECT A WHERE D = '""&amp;K6349&amp;""'"")),""USER TIDAK DIKETAHUI""))"),"")</f>
        <v/>
      </c>
    </row>
    <row r="6350">
      <c r="A6350" s="21" t="str">
        <f t="shared" si="3"/>
        <v/>
      </c>
      <c r="B6350" s="38"/>
      <c r="C6350" s="23" t="s">
        <v>1911</v>
      </c>
      <c r="D6350" s="23" t="s">
        <v>32</v>
      </c>
      <c r="E6350" s="45">
        <v>45494.0</v>
      </c>
      <c r="F6350" s="25">
        <v>0.22916666666666666</v>
      </c>
      <c r="G6350" s="25">
        <v>0.4423611111111111</v>
      </c>
      <c r="H6350" s="27">
        <f t="shared" si="4"/>
        <v>0.2131944444</v>
      </c>
      <c r="I6350" s="28">
        <v>2.0</v>
      </c>
      <c r="J6350" s="39" t="s">
        <v>3192</v>
      </c>
      <c r="K6350" s="41"/>
      <c r="L6350" s="31" t="str">
        <f>IFERROR(__xludf.DUMMYFUNCTION("IF(OR(E6350="""",K6350=""""),"""",IFERROR(IF(K6350="""","""",query('tbl user'!$A$2:$D10975,""SELECT A WHERE D = '""&amp;K6350&amp;""'"")),""USER TIDAK DIKETAHUI""))"),"")</f>
        <v/>
      </c>
    </row>
    <row r="6351">
      <c r="A6351" s="21" t="str">
        <f t="shared" si="3"/>
        <v/>
      </c>
      <c r="B6351" s="38"/>
      <c r="C6351" s="23" t="s">
        <v>1951</v>
      </c>
      <c r="D6351" s="23" t="s">
        <v>32</v>
      </c>
      <c r="E6351" s="45">
        <v>45494.0</v>
      </c>
      <c r="F6351" s="25">
        <v>0.41041666666666665</v>
      </c>
      <c r="G6351" s="25">
        <v>0.6652777777777777</v>
      </c>
      <c r="H6351" s="27">
        <f t="shared" si="4"/>
        <v>0.2548611111</v>
      </c>
      <c r="I6351" s="28">
        <v>2.0</v>
      </c>
      <c r="J6351" s="39" t="s">
        <v>3193</v>
      </c>
      <c r="K6351" s="41"/>
      <c r="L6351" s="31" t="str">
        <f>IFERROR(__xludf.DUMMYFUNCTION("IF(OR(E6351="""",K6351=""""),"""",IFERROR(IF(K6351="""","""",query('tbl user'!$A$2:$D10975,""SELECT A WHERE D = '""&amp;K6351&amp;""'"")),""USER TIDAK DIKETAHUI""))"),"")</f>
        <v/>
      </c>
    </row>
    <row r="6352">
      <c r="A6352" s="21" t="str">
        <f t="shared" si="3"/>
        <v/>
      </c>
      <c r="B6352" s="38"/>
      <c r="C6352" s="23" t="s">
        <v>1962</v>
      </c>
      <c r="D6352" s="23" t="s">
        <v>32</v>
      </c>
      <c r="E6352" s="45">
        <v>45494.0</v>
      </c>
      <c r="F6352" s="25">
        <v>0.2923611111111111</v>
      </c>
      <c r="G6352" s="25">
        <v>0.6944444444444444</v>
      </c>
      <c r="H6352" s="27">
        <f t="shared" si="4"/>
        <v>0.4020833333</v>
      </c>
      <c r="I6352" s="28">
        <v>3.0</v>
      </c>
      <c r="J6352" s="39" t="s">
        <v>3194</v>
      </c>
      <c r="K6352" s="41"/>
      <c r="L6352" s="31" t="str">
        <f>IFERROR(__xludf.DUMMYFUNCTION("IF(OR(E6352="""",K6352=""""),"""",IFERROR(IF(K6352="""","""",query('tbl user'!$A$2:$D10975,""SELECT A WHERE D = '""&amp;K6352&amp;""'"")),""USER TIDAK DIKETAHUI""))"),"")</f>
        <v/>
      </c>
    </row>
    <row r="6353">
      <c r="A6353" s="21" t="str">
        <f t="shared" si="3"/>
        <v/>
      </c>
      <c r="B6353" s="38"/>
      <c r="C6353" s="23" t="s">
        <v>1963</v>
      </c>
      <c r="D6353" s="23" t="s">
        <v>32</v>
      </c>
      <c r="E6353" s="45">
        <v>45494.0</v>
      </c>
      <c r="F6353" s="25">
        <v>0.2777777777777778</v>
      </c>
      <c r="G6353" s="25">
        <v>0.6416666666666667</v>
      </c>
      <c r="H6353" s="27">
        <f t="shared" si="4"/>
        <v>0.3638888889</v>
      </c>
      <c r="I6353" s="28">
        <v>3.0</v>
      </c>
      <c r="J6353" s="39" t="s">
        <v>3195</v>
      </c>
      <c r="K6353" s="41"/>
      <c r="L6353" s="31" t="str">
        <f>IFERROR(__xludf.DUMMYFUNCTION("IF(OR(E6353="""",K6353=""""),"""",IFERROR(IF(K6353="""","""",query('tbl user'!$A$2:$D10975,""SELECT A WHERE D = '""&amp;K6353&amp;""'"")),""USER TIDAK DIKETAHUI""))"),"")</f>
        <v/>
      </c>
    </row>
    <row r="6354">
      <c r="A6354" s="21" t="str">
        <f t="shared" si="3"/>
        <v/>
      </c>
      <c r="B6354" s="38"/>
      <c r="C6354" s="23" t="s">
        <v>2092</v>
      </c>
      <c r="D6354" s="23" t="s">
        <v>32</v>
      </c>
      <c r="E6354" s="45">
        <v>45494.0</v>
      </c>
      <c r="F6354" s="25">
        <v>0.25069444444444444</v>
      </c>
      <c r="G6354" s="25">
        <v>0.6229166666666667</v>
      </c>
      <c r="H6354" s="27">
        <f t="shared" si="4"/>
        <v>0.3722222222</v>
      </c>
      <c r="I6354" s="28">
        <v>3.0</v>
      </c>
      <c r="J6354" s="39" t="s">
        <v>3196</v>
      </c>
      <c r="K6354" s="41"/>
      <c r="L6354" s="31" t="str">
        <f>IFERROR(__xludf.DUMMYFUNCTION("IF(OR(E6354="""",K6354=""""),"""",IFERROR(IF(K6354="""","""",query('tbl user'!$A$2:$D10975,""SELECT A WHERE D = '""&amp;K6354&amp;""'"")),""USER TIDAK DIKETAHUI""))"),"")</f>
        <v/>
      </c>
    </row>
    <row r="6355">
      <c r="A6355" s="21" t="str">
        <f t="shared" si="3"/>
        <v/>
      </c>
      <c r="B6355" s="38"/>
      <c r="C6355" s="23" t="s">
        <v>2190</v>
      </c>
      <c r="D6355" s="23" t="s">
        <v>32</v>
      </c>
      <c r="E6355" s="45">
        <v>45494.0</v>
      </c>
      <c r="F6355" s="25">
        <v>0.2847222222222222</v>
      </c>
      <c r="G6355" s="25">
        <v>0.6715277777777777</v>
      </c>
      <c r="H6355" s="27">
        <f t="shared" si="4"/>
        <v>0.3868055556</v>
      </c>
      <c r="I6355" s="28">
        <v>3.0</v>
      </c>
      <c r="J6355" s="39" t="s">
        <v>3171</v>
      </c>
      <c r="K6355" s="41"/>
      <c r="L6355" s="31" t="str">
        <f>IFERROR(__xludf.DUMMYFUNCTION("IF(OR(E6355="""",K6355=""""),"""",IFERROR(IF(K6355="""","""",query('tbl user'!$A$2:$D10975,""SELECT A WHERE D = '""&amp;K6355&amp;""'"")),""USER TIDAK DIKETAHUI""))"),"")</f>
        <v/>
      </c>
    </row>
    <row r="6356">
      <c r="A6356" s="21" t="str">
        <f t="shared" si="3"/>
        <v/>
      </c>
      <c r="B6356" s="38"/>
      <c r="C6356" s="23" t="s">
        <v>1896</v>
      </c>
      <c r="D6356" s="23" t="s">
        <v>32</v>
      </c>
      <c r="E6356" s="45">
        <v>45494.0</v>
      </c>
      <c r="F6356" s="25">
        <v>0.2826388888888889</v>
      </c>
      <c r="G6356" s="25">
        <v>0.7243055555555555</v>
      </c>
      <c r="H6356" s="27">
        <f t="shared" si="4"/>
        <v>0.4416666667</v>
      </c>
      <c r="I6356" s="28">
        <v>3.0</v>
      </c>
      <c r="J6356" s="39" t="s">
        <v>3197</v>
      </c>
      <c r="K6356" s="41"/>
      <c r="L6356" s="31" t="str">
        <f>IFERROR(__xludf.DUMMYFUNCTION("IF(OR(E6356="""",K6356=""""),"""",IFERROR(IF(K6356="""","""",query('tbl user'!$A$2:$D10975,""SELECT A WHERE D = '""&amp;K6356&amp;""'"")),""USER TIDAK DIKETAHUI""))"),"")</f>
        <v/>
      </c>
    </row>
    <row r="6357">
      <c r="A6357" s="21" t="str">
        <f t="shared" si="3"/>
        <v/>
      </c>
      <c r="B6357" s="38"/>
      <c r="C6357" s="23" t="s">
        <v>1904</v>
      </c>
      <c r="D6357" s="23" t="s">
        <v>32</v>
      </c>
      <c r="E6357" s="45">
        <v>45494.0</v>
      </c>
      <c r="F6357" s="25">
        <v>0.2652777777777778</v>
      </c>
      <c r="G6357" s="25">
        <v>0.6722222222222223</v>
      </c>
      <c r="H6357" s="27">
        <f t="shared" si="4"/>
        <v>0.4069444444</v>
      </c>
      <c r="I6357" s="28">
        <v>3.0</v>
      </c>
      <c r="J6357" s="39" t="s">
        <v>3171</v>
      </c>
      <c r="K6357" s="41"/>
      <c r="L6357" s="31" t="str">
        <f>IFERROR(__xludf.DUMMYFUNCTION("IF(OR(E6357="""",K6357=""""),"""",IFERROR(IF(K6357="""","""",query('tbl user'!$A$2:$D10975,""SELECT A WHERE D = '""&amp;K6357&amp;""'"")),""USER TIDAK DIKETAHUI""))"),"")</f>
        <v/>
      </c>
    </row>
    <row r="6358">
      <c r="A6358" s="21" t="str">
        <f t="shared" si="3"/>
        <v/>
      </c>
      <c r="B6358" s="38"/>
      <c r="C6358" s="23" t="s">
        <v>1910</v>
      </c>
      <c r="D6358" s="23" t="s">
        <v>32</v>
      </c>
      <c r="E6358" s="45">
        <v>45494.0</v>
      </c>
      <c r="F6358" s="25">
        <v>0.2013888888888889</v>
      </c>
      <c r="G6358" s="25">
        <v>0.6875</v>
      </c>
      <c r="H6358" s="27">
        <f t="shared" si="4"/>
        <v>0.4861111111</v>
      </c>
      <c r="I6358" s="28">
        <v>4.0</v>
      </c>
      <c r="J6358" s="39" t="s">
        <v>3191</v>
      </c>
      <c r="K6358" s="41"/>
      <c r="L6358" s="31" t="str">
        <f>IFERROR(__xludf.DUMMYFUNCTION("IF(OR(E6358="""",K6358=""""),"""",IFERROR(IF(K6358="""","""",query('tbl user'!$A$2:$D10975,""SELECT A WHERE D = '""&amp;K6358&amp;""'"")),""USER TIDAK DIKETAHUI""))"),"")</f>
        <v/>
      </c>
    </row>
    <row r="6359">
      <c r="A6359" s="21" t="str">
        <f t="shared" si="3"/>
        <v/>
      </c>
      <c r="B6359" s="38"/>
      <c r="C6359" s="23" t="s">
        <v>1901</v>
      </c>
      <c r="D6359" s="23" t="s">
        <v>32</v>
      </c>
      <c r="E6359" s="45">
        <v>45494.0</v>
      </c>
      <c r="F6359" s="25">
        <v>0.23402777777777778</v>
      </c>
      <c r="G6359" s="25">
        <v>0.6993055555555555</v>
      </c>
      <c r="H6359" s="27">
        <f t="shared" si="4"/>
        <v>0.4652777778</v>
      </c>
      <c r="I6359" s="28">
        <v>4.0</v>
      </c>
      <c r="J6359" s="39" t="s">
        <v>3191</v>
      </c>
      <c r="K6359" s="41"/>
      <c r="L6359" s="31" t="str">
        <f>IFERROR(__xludf.DUMMYFUNCTION("IF(OR(E6359="""",K6359=""""),"""",IFERROR(IF(K6359="""","""",query('tbl user'!$A$2:$D10975,""SELECT A WHERE D = '""&amp;K6359&amp;""'"")),""USER TIDAK DIKETAHUI""))"),"")</f>
        <v/>
      </c>
    </row>
    <row r="6360">
      <c r="A6360" s="21" t="str">
        <f t="shared" si="3"/>
        <v/>
      </c>
      <c r="B6360" s="38"/>
      <c r="C6360" s="23" t="s">
        <v>1964</v>
      </c>
      <c r="D6360" s="23" t="s">
        <v>32</v>
      </c>
      <c r="E6360" s="45">
        <v>45494.0</v>
      </c>
      <c r="F6360" s="25">
        <v>0.2673611111111111</v>
      </c>
      <c r="G6360" s="25">
        <v>0.7326388888888888</v>
      </c>
      <c r="H6360" s="27">
        <f t="shared" si="4"/>
        <v>0.4652777778</v>
      </c>
      <c r="I6360" s="28">
        <v>4.0</v>
      </c>
      <c r="J6360" s="39" t="s">
        <v>3191</v>
      </c>
      <c r="K6360" s="41"/>
      <c r="L6360" s="31" t="str">
        <f>IFERROR(__xludf.DUMMYFUNCTION("IF(OR(E6360="""",K6360=""""),"""",IFERROR(IF(K6360="""","""",query('tbl user'!$A$2:$D10975,""SELECT A WHERE D = '""&amp;K6360&amp;""'"")),""USER TIDAK DIKETAHUI""))"),"")</f>
        <v/>
      </c>
    </row>
    <row r="6361">
      <c r="A6361" s="21" t="str">
        <f t="shared" si="3"/>
        <v/>
      </c>
      <c r="B6361" s="38"/>
      <c r="C6361" s="23" t="s">
        <v>1967</v>
      </c>
      <c r="D6361" s="23" t="s">
        <v>32</v>
      </c>
      <c r="E6361" s="45">
        <v>45494.0</v>
      </c>
      <c r="F6361" s="25">
        <v>0.23125</v>
      </c>
      <c r="G6361" s="25">
        <v>0.6756944444444445</v>
      </c>
      <c r="H6361" s="27">
        <f t="shared" si="4"/>
        <v>0.4444444444</v>
      </c>
      <c r="I6361" s="28">
        <v>4.0</v>
      </c>
      <c r="J6361" s="39" t="s">
        <v>3191</v>
      </c>
      <c r="K6361" s="41"/>
      <c r="L6361" s="31" t="str">
        <f>IFERROR(__xludf.DUMMYFUNCTION("IF(OR(E6361="""",K6361=""""),"""",IFERROR(IF(K6361="""","""",query('tbl user'!$A$2:$D10975,""SELECT A WHERE D = '""&amp;K6361&amp;""'"")),""USER TIDAK DIKETAHUI""))"),"")</f>
        <v/>
      </c>
    </row>
    <row r="6362">
      <c r="A6362" s="21" t="str">
        <f t="shared" si="3"/>
        <v/>
      </c>
      <c r="B6362" s="38"/>
      <c r="C6362" s="23" t="s">
        <v>1912</v>
      </c>
      <c r="D6362" s="23" t="s">
        <v>32</v>
      </c>
      <c r="E6362" s="45">
        <v>45494.0</v>
      </c>
      <c r="F6362" s="25">
        <v>0.2388888888888889</v>
      </c>
      <c r="G6362" s="25">
        <v>0.6979166666666666</v>
      </c>
      <c r="H6362" s="27">
        <f t="shared" si="4"/>
        <v>0.4590277778</v>
      </c>
      <c r="I6362" s="28">
        <v>4.0</v>
      </c>
      <c r="J6362" s="39" t="s">
        <v>3191</v>
      </c>
      <c r="K6362" s="41"/>
      <c r="L6362" s="31" t="str">
        <f>IFERROR(__xludf.DUMMYFUNCTION("IF(OR(E6362="""",K6362=""""),"""",IFERROR(IF(K6362="""","""",query('tbl user'!$A$2:$D10975,""SELECT A WHERE D = '""&amp;K6362&amp;""'"")),""USER TIDAK DIKETAHUI""))"),"")</f>
        <v/>
      </c>
    </row>
    <row r="6363">
      <c r="A6363" s="21" t="str">
        <f t="shared" si="3"/>
        <v/>
      </c>
      <c r="B6363" s="38"/>
      <c r="C6363" s="23" t="s">
        <v>1903</v>
      </c>
      <c r="D6363" s="23" t="s">
        <v>32</v>
      </c>
      <c r="E6363" s="45">
        <v>45494.0</v>
      </c>
      <c r="F6363" s="25">
        <v>0.20902777777777778</v>
      </c>
      <c r="G6363" s="25">
        <v>0.7173611111111111</v>
      </c>
      <c r="H6363" s="27">
        <f t="shared" si="4"/>
        <v>0.5083333333</v>
      </c>
      <c r="I6363" s="28">
        <v>4.0</v>
      </c>
      <c r="J6363" s="39" t="s">
        <v>3191</v>
      </c>
      <c r="K6363" s="41"/>
      <c r="L6363" s="31" t="str">
        <f>IFERROR(__xludf.DUMMYFUNCTION("IF(OR(E6363="""",K6363=""""),"""",IFERROR(IF(K6363="""","""",query('tbl user'!$A$2:$D10975,""SELECT A WHERE D = '""&amp;K6363&amp;""'"")),""USER TIDAK DIKETAHUI""))"),"")</f>
        <v/>
      </c>
    </row>
    <row r="6364">
      <c r="A6364" s="21" t="str">
        <f t="shared" si="3"/>
        <v/>
      </c>
      <c r="B6364" s="38"/>
      <c r="C6364" s="23" t="s">
        <v>1905</v>
      </c>
      <c r="D6364" s="23" t="s">
        <v>32</v>
      </c>
      <c r="E6364" s="45">
        <v>45494.0</v>
      </c>
      <c r="F6364" s="25">
        <v>0.2361111111111111</v>
      </c>
      <c r="G6364" s="25">
        <v>0.7152777777777778</v>
      </c>
      <c r="H6364" s="27">
        <f t="shared" si="4"/>
        <v>0.4791666667</v>
      </c>
      <c r="I6364" s="28">
        <v>4.0</v>
      </c>
      <c r="J6364" s="39" t="s">
        <v>3191</v>
      </c>
      <c r="K6364" s="41"/>
      <c r="L6364" s="31" t="str">
        <f>IFERROR(__xludf.DUMMYFUNCTION("IF(OR(E6364="""",K6364=""""),"""",IFERROR(IF(K6364="""","""",query('tbl user'!$A$2:$D10975,""SELECT A WHERE D = '""&amp;K6364&amp;""'"")),""USER TIDAK DIKETAHUI""))"),"")</f>
        <v/>
      </c>
    </row>
    <row r="6365">
      <c r="A6365" s="21" t="str">
        <f t="shared" si="3"/>
        <v/>
      </c>
      <c r="B6365" s="38"/>
      <c r="C6365" s="23" t="s">
        <v>1908</v>
      </c>
      <c r="D6365" s="23" t="s">
        <v>32</v>
      </c>
      <c r="E6365" s="45">
        <v>45494.0</v>
      </c>
      <c r="F6365" s="25">
        <v>0.23819444444444443</v>
      </c>
      <c r="G6365" s="25">
        <v>0.6861111111111111</v>
      </c>
      <c r="H6365" s="27">
        <f t="shared" si="4"/>
        <v>0.4479166667</v>
      </c>
      <c r="I6365" s="28">
        <v>4.0</v>
      </c>
      <c r="J6365" s="39" t="s">
        <v>3191</v>
      </c>
      <c r="K6365" s="41"/>
      <c r="L6365" s="31" t="str">
        <f>IFERROR(__xludf.DUMMYFUNCTION("IF(OR(E6365="""",K6365=""""),"""",IFERROR(IF(K6365="""","""",query('tbl user'!$A$2:$D10975,""SELECT A WHERE D = '""&amp;K6365&amp;""'"")),""USER TIDAK DIKETAHUI""))"),"")</f>
        <v/>
      </c>
    </row>
    <row r="6366">
      <c r="A6366" s="21" t="str">
        <f t="shared" si="3"/>
        <v/>
      </c>
      <c r="B6366" s="38"/>
      <c r="C6366" s="23" t="s">
        <v>1913</v>
      </c>
      <c r="D6366" s="23" t="s">
        <v>32</v>
      </c>
      <c r="E6366" s="45">
        <v>45494.0</v>
      </c>
      <c r="F6366" s="25">
        <v>0.23472222222222222</v>
      </c>
      <c r="G6366" s="25">
        <v>0.7222222222222222</v>
      </c>
      <c r="H6366" s="27">
        <f t="shared" si="4"/>
        <v>0.4875</v>
      </c>
      <c r="I6366" s="28">
        <v>4.0</v>
      </c>
      <c r="J6366" s="39" t="s">
        <v>3191</v>
      </c>
      <c r="K6366" s="41"/>
      <c r="L6366" s="31" t="str">
        <f>IFERROR(__xludf.DUMMYFUNCTION("IF(OR(E6366="""",K6366=""""),"""",IFERROR(IF(K6366="""","""",query('tbl user'!$A$2:$D10975,""SELECT A WHERE D = '""&amp;K6366&amp;""'"")),""USER TIDAK DIKETAHUI""))"),"")</f>
        <v/>
      </c>
    </row>
    <row r="6367">
      <c r="A6367" s="21" t="str">
        <f t="shared" si="3"/>
        <v/>
      </c>
      <c r="B6367" s="38"/>
      <c r="C6367" s="23" t="s">
        <v>2628</v>
      </c>
      <c r="D6367" s="23" t="s">
        <v>21</v>
      </c>
      <c r="E6367" s="46">
        <v>45495.0</v>
      </c>
      <c r="F6367" s="25">
        <v>0.2861111111111111</v>
      </c>
      <c r="G6367" s="25">
        <v>0.71875</v>
      </c>
      <c r="H6367" s="27">
        <f t="shared" si="4"/>
        <v>0.4326388889</v>
      </c>
      <c r="I6367" s="28">
        <v>2.0</v>
      </c>
      <c r="J6367" s="39" t="s">
        <v>3198</v>
      </c>
      <c r="K6367" s="41"/>
      <c r="L6367" s="31" t="str">
        <f>IFERROR(__xludf.DUMMYFUNCTION("IF(OR(E6367="""",K6367=""""),"""",IFERROR(IF(K6367="""","""",query('tbl user'!$A$2:$D10975,""SELECT A WHERE D = '""&amp;K6367&amp;""'"")),""USER TIDAK DIKETAHUI""))"),"")</f>
        <v/>
      </c>
    </row>
    <row r="6368">
      <c r="A6368" s="21" t="str">
        <f t="shared" si="3"/>
        <v/>
      </c>
      <c r="B6368" s="38"/>
      <c r="C6368" s="23" t="s">
        <v>1844</v>
      </c>
      <c r="D6368" s="23" t="s">
        <v>21</v>
      </c>
      <c r="E6368" s="46">
        <v>45495.0</v>
      </c>
      <c r="F6368" s="25">
        <v>0.24305555555555555</v>
      </c>
      <c r="G6368" s="25">
        <v>0.5375</v>
      </c>
      <c r="H6368" s="27">
        <f t="shared" si="4"/>
        <v>0.2944444444</v>
      </c>
      <c r="I6368" s="28">
        <v>2.0</v>
      </c>
      <c r="J6368" s="39" t="s">
        <v>3199</v>
      </c>
      <c r="K6368" s="41"/>
      <c r="L6368" s="31" t="str">
        <f>IFERROR(__xludf.DUMMYFUNCTION("IF(OR(E6368="""",K6368=""""),"""",IFERROR(IF(K6368="""","""",query('tbl user'!$A$2:$D10975,""SELECT A WHERE D = '""&amp;K6368&amp;""'"")),""USER TIDAK DIKETAHUI""))"),"")</f>
        <v/>
      </c>
    </row>
    <row r="6369">
      <c r="A6369" s="21" t="str">
        <f t="shared" si="3"/>
        <v/>
      </c>
      <c r="B6369" s="38"/>
      <c r="C6369" s="23" t="s">
        <v>1851</v>
      </c>
      <c r="D6369" s="23" t="s">
        <v>21</v>
      </c>
      <c r="E6369" s="46">
        <v>45495.0</v>
      </c>
      <c r="F6369" s="25">
        <v>0.2847222222222222</v>
      </c>
      <c r="G6369" s="25">
        <v>0.6909722222222222</v>
      </c>
      <c r="H6369" s="27">
        <f t="shared" si="4"/>
        <v>0.40625</v>
      </c>
      <c r="I6369" s="28">
        <v>3.0</v>
      </c>
      <c r="J6369" s="39" t="s">
        <v>3200</v>
      </c>
      <c r="K6369" s="41"/>
      <c r="L6369" s="31" t="str">
        <f>IFERROR(__xludf.DUMMYFUNCTION("IF(OR(E6369="""",K6369=""""),"""",IFERROR(IF(K6369="""","""",query('tbl user'!$A$2:$D10975,""SELECT A WHERE D = '""&amp;K6369&amp;""'"")),""USER TIDAK DIKETAHUI""))"),"")</f>
        <v/>
      </c>
    </row>
    <row r="6370">
      <c r="A6370" s="21" t="str">
        <f t="shared" si="3"/>
        <v/>
      </c>
      <c r="B6370" s="38"/>
      <c r="C6370" s="23" t="s">
        <v>2002</v>
      </c>
      <c r="D6370" s="23" t="s">
        <v>21</v>
      </c>
      <c r="E6370" s="46">
        <v>45495.0</v>
      </c>
      <c r="F6370" s="25">
        <v>0.2625</v>
      </c>
      <c r="G6370" s="25">
        <v>0.71875</v>
      </c>
      <c r="H6370" s="27">
        <f t="shared" si="4"/>
        <v>0.45625</v>
      </c>
      <c r="I6370" s="28">
        <v>3.0</v>
      </c>
      <c r="J6370" s="39" t="s">
        <v>3200</v>
      </c>
      <c r="K6370" s="41"/>
      <c r="L6370" s="31" t="str">
        <f>IFERROR(__xludf.DUMMYFUNCTION("IF(OR(E6370="""",K6370=""""),"""",IFERROR(IF(K6370="""","""",query('tbl user'!$A$2:$D10975,""SELECT A WHERE D = '""&amp;K6370&amp;""'"")),""USER TIDAK DIKETAHUI""))"),"")</f>
        <v/>
      </c>
    </row>
    <row r="6371">
      <c r="A6371" s="21" t="str">
        <f t="shared" si="3"/>
        <v/>
      </c>
      <c r="B6371" s="38"/>
      <c r="C6371" s="23" t="s">
        <v>1853</v>
      </c>
      <c r="D6371" s="23" t="s">
        <v>21</v>
      </c>
      <c r="E6371" s="46">
        <v>45495.0</v>
      </c>
      <c r="F6371" s="25">
        <v>0.26666666666666666</v>
      </c>
      <c r="G6371" s="25">
        <v>0.6743055555555556</v>
      </c>
      <c r="H6371" s="27">
        <f t="shared" si="4"/>
        <v>0.4076388889</v>
      </c>
      <c r="I6371" s="28">
        <v>3.0</v>
      </c>
      <c r="J6371" s="39" t="s">
        <v>3200</v>
      </c>
      <c r="K6371" s="41"/>
      <c r="L6371" s="31" t="str">
        <f>IFERROR(__xludf.DUMMYFUNCTION("IF(OR(E6371="""",K6371=""""),"""",IFERROR(IF(K6371="""","""",query('tbl user'!$A$2:$D10975,""SELECT A WHERE D = '""&amp;K6371&amp;""'"")),""USER TIDAK DIKETAHUI""))"),"")</f>
        <v/>
      </c>
    </row>
    <row r="6372">
      <c r="A6372" s="21" t="str">
        <f t="shared" si="3"/>
        <v/>
      </c>
      <c r="B6372" s="38"/>
      <c r="C6372" s="23" t="s">
        <v>1920</v>
      </c>
      <c r="D6372" s="23" t="s">
        <v>21</v>
      </c>
      <c r="E6372" s="46">
        <v>45495.0</v>
      </c>
      <c r="F6372" s="25">
        <v>0.28958333333333336</v>
      </c>
      <c r="G6372" s="25">
        <v>0.7194444444444444</v>
      </c>
      <c r="H6372" s="27">
        <f t="shared" si="4"/>
        <v>0.4298611111</v>
      </c>
      <c r="I6372" s="28">
        <v>3.0</v>
      </c>
      <c r="J6372" s="39" t="s">
        <v>3200</v>
      </c>
      <c r="K6372" s="41"/>
      <c r="L6372" s="31" t="str">
        <f>IFERROR(__xludf.DUMMYFUNCTION("IF(OR(E6372="""",K6372=""""),"""",IFERROR(IF(K6372="""","""",query('tbl user'!$A$2:$D10975,""SELECT A WHERE D = '""&amp;K6372&amp;""'"")),""USER TIDAK DIKETAHUI""))"),"")</f>
        <v/>
      </c>
    </row>
    <row r="6373">
      <c r="A6373" s="21" t="str">
        <f t="shared" si="3"/>
        <v/>
      </c>
      <c r="B6373" s="38"/>
      <c r="C6373" s="23" t="s">
        <v>1830</v>
      </c>
      <c r="D6373" s="23" t="s">
        <v>21</v>
      </c>
      <c r="E6373" s="46">
        <v>45495.0</v>
      </c>
      <c r="F6373" s="25">
        <v>0.2875</v>
      </c>
      <c r="G6373" s="25">
        <v>0.6923611111111111</v>
      </c>
      <c r="H6373" s="27">
        <f t="shared" si="4"/>
        <v>0.4048611111</v>
      </c>
      <c r="I6373" s="28">
        <v>3.0</v>
      </c>
      <c r="J6373" s="39" t="s">
        <v>3201</v>
      </c>
      <c r="K6373" s="41"/>
      <c r="L6373" s="31" t="str">
        <f>IFERROR(__xludf.DUMMYFUNCTION("IF(OR(E6373="""",K6373=""""),"""",IFERROR(IF(K6373="""","""",query('tbl user'!$A$2:$D10975,""SELECT A WHERE D = '""&amp;K6373&amp;""'"")),""USER TIDAK DIKETAHUI""))"),"")</f>
        <v/>
      </c>
    </row>
    <row r="6374">
      <c r="A6374" s="21" t="str">
        <f t="shared" si="3"/>
        <v/>
      </c>
      <c r="B6374" s="38"/>
      <c r="C6374" s="23" t="s">
        <v>1922</v>
      </c>
      <c r="D6374" s="23" t="s">
        <v>21</v>
      </c>
      <c r="E6374" s="46">
        <v>45495.0</v>
      </c>
      <c r="F6374" s="25">
        <v>0.24097222222222223</v>
      </c>
      <c r="G6374" s="25">
        <v>0.6736111111111112</v>
      </c>
      <c r="H6374" s="27">
        <f t="shared" si="4"/>
        <v>0.4326388889</v>
      </c>
      <c r="I6374" s="28">
        <v>3.0</v>
      </c>
      <c r="J6374" s="39" t="s">
        <v>3202</v>
      </c>
      <c r="K6374" s="41"/>
      <c r="L6374" s="31" t="str">
        <f>IFERROR(__xludf.DUMMYFUNCTION("IF(OR(E6374="""",K6374=""""),"""",IFERROR(IF(K6374="""","""",query('tbl user'!$A$2:$D10975,""SELECT A WHERE D = '""&amp;K6374&amp;""'"")),""USER TIDAK DIKETAHUI""))"),"")</f>
        <v/>
      </c>
    </row>
    <row r="6375">
      <c r="A6375" s="21" t="str">
        <f t="shared" si="3"/>
        <v/>
      </c>
      <c r="B6375" s="38"/>
      <c r="C6375" s="23" t="s">
        <v>1925</v>
      </c>
      <c r="D6375" s="23" t="s">
        <v>21</v>
      </c>
      <c r="E6375" s="46">
        <v>45495.0</v>
      </c>
      <c r="F6375" s="25">
        <v>0.2534722222222222</v>
      </c>
      <c r="G6375" s="25">
        <v>0.6881944444444444</v>
      </c>
      <c r="H6375" s="27">
        <f t="shared" si="4"/>
        <v>0.4347222222</v>
      </c>
      <c r="I6375" s="28">
        <v>3.0</v>
      </c>
      <c r="J6375" s="39" t="s">
        <v>3200</v>
      </c>
      <c r="K6375" s="41"/>
      <c r="L6375" s="31" t="str">
        <f>IFERROR(__xludf.DUMMYFUNCTION("IF(OR(E6375="""",K6375=""""),"""",IFERROR(IF(K6375="""","""",query('tbl user'!$A$2:$D10975,""SELECT A WHERE D = '""&amp;K6375&amp;""'"")),""USER TIDAK DIKETAHUI""))"),"")</f>
        <v/>
      </c>
    </row>
    <row r="6376">
      <c r="A6376" s="21" t="str">
        <f t="shared" si="3"/>
        <v/>
      </c>
      <c r="B6376" s="38"/>
      <c r="C6376" s="23" t="s">
        <v>1857</v>
      </c>
      <c r="D6376" s="23" t="s">
        <v>21</v>
      </c>
      <c r="E6376" s="46">
        <v>45495.0</v>
      </c>
      <c r="F6376" s="25">
        <v>0.2638888888888889</v>
      </c>
      <c r="G6376" s="25">
        <v>0.6743055555555556</v>
      </c>
      <c r="H6376" s="27">
        <f t="shared" si="4"/>
        <v>0.4104166667</v>
      </c>
      <c r="I6376" s="28">
        <v>3.0</v>
      </c>
      <c r="J6376" s="39" t="s">
        <v>3203</v>
      </c>
      <c r="K6376" s="41"/>
      <c r="L6376" s="31" t="str">
        <f>IFERROR(__xludf.DUMMYFUNCTION("IF(OR(E6376="""",K6376=""""),"""",IFERROR(IF(K6376="""","""",query('tbl user'!$A$2:$D10975,""SELECT A WHERE D = '""&amp;K6376&amp;""'"")),""USER TIDAK DIKETAHUI""))"),"")</f>
        <v/>
      </c>
    </row>
    <row r="6377">
      <c r="A6377" s="21" t="str">
        <f t="shared" si="3"/>
        <v/>
      </c>
      <c r="B6377" s="38"/>
      <c r="C6377" s="23" t="s">
        <v>1845</v>
      </c>
      <c r="D6377" s="23" t="s">
        <v>21</v>
      </c>
      <c r="E6377" s="46">
        <v>45495.0</v>
      </c>
      <c r="F6377" s="25">
        <v>0.24375</v>
      </c>
      <c r="G6377" s="25">
        <v>0.6166666666666667</v>
      </c>
      <c r="H6377" s="27">
        <f t="shared" si="4"/>
        <v>0.3729166667</v>
      </c>
      <c r="I6377" s="28">
        <v>3.0</v>
      </c>
      <c r="J6377" s="39" t="s">
        <v>3204</v>
      </c>
      <c r="K6377" s="41"/>
      <c r="L6377" s="31" t="str">
        <f>IFERROR(__xludf.DUMMYFUNCTION("IF(OR(E6377="""",K6377=""""),"""",IFERROR(IF(K6377="""","""",query('tbl user'!$A$2:$D10975,""SELECT A WHERE D = '""&amp;K6377&amp;""'"")),""USER TIDAK DIKETAHUI""))"),"")</f>
        <v/>
      </c>
    </row>
    <row r="6378">
      <c r="A6378" s="21" t="str">
        <f t="shared" si="3"/>
        <v/>
      </c>
      <c r="B6378" s="38"/>
      <c r="C6378" s="23" t="s">
        <v>2049</v>
      </c>
      <c r="D6378" s="23" t="s">
        <v>21</v>
      </c>
      <c r="E6378" s="46">
        <v>45495.0</v>
      </c>
      <c r="F6378" s="25">
        <v>0.2548611111111111</v>
      </c>
      <c r="G6378" s="25">
        <v>0.6819444444444445</v>
      </c>
      <c r="H6378" s="27">
        <f t="shared" si="4"/>
        <v>0.4270833333</v>
      </c>
      <c r="I6378" s="28">
        <v>3.0</v>
      </c>
      <c r="J6378" s="39" t="s">
        <v>3200</v>
      </c>
      <c r="K6378" s="41"/>
      <c r="L6378" s="31" t="str">
        <f>IFERROR(__xludf.DUMMYFUNCTION("IF(OR(E6378="""",K6378=""""),"""",IFERROR(IF(K6378="""","""",query('tbl user'!$A$2:$D10975,""SELECT A WHERE D = '""&amp;K6378&amp;""'"")),""USER TIDAK DIKETAHUI""))"),"")</f>
        <v/>
      </c>
    </row>
    <row r="6379">
      <c r="A6379" s="21" t="str">
        <f t="shared" si="3"/>
        <v/>
      </c>
      <c r="B6379" s="38"/>
      <c r="C6379" s="23" t="s">
        <v>1858</v>
      </c>
      <c r="D6379" s="23" t="s">
        <v>21</v>
      </c>
      <c r="E6379" s="46">
        <v>45495.0</v>
      </c>
      <c r="F6379" s="25">
        <v>0.26319444444444445</v>
      </c>
      <c r="G6379" s="25">
        <v>0.68125</v>
      </c>
      <c r="H6379" s="27">
        <f t="shared" si="4"/>
        <v>0.4180555556</v>
      </c>
      <c r="I6379" s="28">
        <v>3.0</v>
      </c>
      <c r="J6379" s="39" t="s">
        <v>3200</v>
      </c>
      <c r="K6379" s="41"/>
      <c r="L6379" s="31" t="str">
        <f>IFERROR(__xludf.DUMMYFUNCTION("IF(OR(E6379="""",K6379=""""),"""",IFERROR(IF(K6379="""","""",query('tbl user'!$A$2:$D10975,""SELECT A WHERE D = '""&amp;K6379&amp;""'"")),""USER TIDAK DIKETAHUI""))"),"")</f>
        <v/>
      </c>
    </row>
    <row r="6380">
      <c r="A6380" s="21" t="str">
        <f t="shared" si="3"/>
        <v/>
      </c>
      <c r="B6380" s="38"/>
      <c r="C6380" s="23" t="s">
        <v>1847</v>
      </c>
      <c r="D6380" s="23" t="s">
        <v>21</v>
      </c>
      <c r="E6380" s="46">
        <v>45495.0</v>
      </c>
      <c r="F6380" s="25">
        <v>0.2833333333333333</v>
      </c>
      <c r="G6380" s="25">
        <v>0.7027777777777777</v>
      </c>
      <c r="H6380" s="27">
        <f t="shared" si="4"/>
        <v>0.4194444444</v>
      </c>
      <c r="I6380" s="28">
        <v>3.0</v>
      </c>
      <c r="J6380" s="39" t="s">
        <v>3200</v>
      </c>
      <c r="K6380" s="41"/>
      <c r="L6380" s="31" t="str">
        <f>IFERROR(__xludf.DUMMYFUNCTION("IF(OR(E6380="""",K6380=""""),"""",IFERROR(IF(K6380="""","""",query('tbl user'!$A$2:$D10975,""SELECT A WHERE D = '""&amp;K6380&amp;""'"")),""USER TIDAK DIKETAHUI""))"),"")</f>
        <v/>
      </c>
    </row>
    <row r="6381">
      <c r="A6381" s="21" t="str">
        <f t="shared" si="3"/>
        <v/>
      </c>
      <c r="B6381" s="38"/>
      <c r="C6381" s="23" t="s">
        <v>1849</v>
      </c>
      <c r="D6381" s="23" t="s">
        <v>21</v>
      </c>
      <c r="E6381" s="46">
        <v>45495.0</v>
      </c>
      <c r="F6381" s="25">
        <v>0.2875</v>
      </c>
      <c r="G6381" s="25">
        <v>0.6875</v>
      </c>
      <c r="H6381" s="27">
        <f t="shared" si="4"/>
        <v>0.4</v>
      </c>
      <c r="I6381" s="28">
        <v>3.0</v>
      </c>
      <c r="J6381" s="39" t="s">
        <v>3200</v>
      </c>
      <c r="K6381" s="41"/>
      <c r="L6381" s="31" t="str">
        <f>IFERROR(__xludf.DUMMYFUNCTION("IF(OR(E6381="""",K6381=""""),"""",IFERROR(IF(K6381="""","""",query('tbl user'!$A$2:$D10975,""SELECT A WHERE D = '""&amp;K6381&amp;""'"")),""USER TIDAK DIKETAHUI""))"),"")</f>
        <v/>
      </c>
    </row>
    <row r="6382">
      <c r="A6382" s="21" t="str">
        <f t="shared" si="3"/>
        <v/>
      </c>
      <c r="B6382" s="38"/>
      <c r="C6382" s="23" t="s">
        <v>2005</v>
      </c>
      <c r="D6382" s="23" t="s">
        <v>21</v>
      </c>
      <c r="E6382" s="46">
        <v>45495.0</v>
      </c>
      <c r="F6382" s="25">
        <v>0.26180555555555557</v>
      </c>
      <c r="G6382" s="25">
        <v>0.6680555555555555</v>
      </c>
      <c r="H6382" s="27">
        <f t="shared" si="4"/>
        <v>0.40625</v>
      </c>
      <c r="I6382" s="28">
        <v>3.0</v>
      </c>
      <c r="J6382" s="39" t="s">
        <v>3200</v>
      </c>
      <c r="K6382" s="41"/>
      <c r="L6382" s="31" t="str">
        <f>IFERROR(__xludf.DUMMYFUNCTION("IF(OR(E6382="""",K6382=""""),"""",IFERROR(IF(K6382="""","""",query('tbl user'!$A$2:$D10975,""SELECT A WHERE D = '""&amp;K6382&amp;""'"")),""USER TIDAK DIKETAHUI""))"),"")</f>
        <v/>
      </c>
    </row>
    <row r="6383">
      <c r="A6383" s="21" t="str">
        <f t="shared" si="3"/>
        <v/>
      </c>
      <c r="B6383" s="38"/>
      <c r="C6383" s="23" t="s">
        <v>1928</v>
      </c>
      <c r="D6383" s="23" t="s">
        <v>21</v>
      </c>
      <c r="E6383" s="46">
        <v>45495.0</v>
      </c>
      <c r="F6383" s="25">
        <v>0.24444444444444444</v>
      </c>
      <c r="G6383" s="25">
        <v>0.7020833333333333</v>
      </c>
      <c r="H6383" s="27">
        <f t="shared" si="4"/>
        <v>0.4576388889</v>
      </c>
      <c r="I6383" s="28">
        <v>3.0</v>
      </c>
      <c r="J6383" s="39" t="s">
        <v>3200</v>
      </c>
      <c r="K6383" s="41"/>
      <c r="L6383" s="31" t="str">
        <f>IFERROR(__xludf.DUMMYFUNCTION("IF(OR(E6383="""",K6383=""""),"""",IFERROR(IF(K6383="""","""",query('tbl user'!$A$2:$D10975,""SELECT A WHERE D = '""&amp;K6383&amp;""'"")),""USER TIDAK DIKETAHUI""))"),"")</f>
        <v/>
      </c>
    </row>
    <row r="6384">
      <c r="A6384" s="21" t="str">
        <f t="shared" si="3"/>
        <v/>
      </c>
      <c r="B6384" s="38"/>
      <c r="C6384" s="23" t="s">
        <v>2136</v>
      </c>
      <c r="D6384" s="23" t="s">
        <v>21</v>
      </c>
      <c r="E6384" s="46">
        <v>45495.0</v>
      </c>
      <c r="F6384" s="25">
        <v>0.2861111111111111</v>
      </c>
      <c r="G6384" s="25">
        <v>0.7791666666666667</v>
      </c>
      <c r="H6384" s="27">
        <f t="shared" si="4"/>
        <v>0.4930555556</v>
      </c>
      <c r="I6384" s="28">
        <v>4.0</v>
      </c>
      <c r="J6384" s="39" t="s">
        <v>3200</v>
      </c>
      <c r="K6384" s="41"/>
      <c r="L6384" s="31" t="str">
        <f>IFERROR(__xludf.DUMMYFUNCTION("IF(OR(E6384="""",K6384=""""),"""",IFERROR(IF(K6384="""","""",query('tbl user'!$A$2:$D10975,""SELECT A WHERE D = '""&amp;K6384&amp;""'"")),""USER TIDAK DIKETAHUI""))"),"")</f>
        <v/>
      </c>
    </row>
    <row r="6385">
      <c r="A6385" s="21" t="str">
        <f t="shared" si="3"/>
        <v/>
      </c>
      <c r="B6385" s="38"/>
      <c r="C6385" s="23" t="s">
        <v>1835</v>
      </c>
      <c r="D6385" s="23" t="s">
        <v>21</v>
      </c>
      <c r="E6385" s="46">
        <v>45495.0</v>
      </c>
      <c r="F6385" s="25">
        <v>0.22291666666666668</v>
      </c>
      <c r="G6385" s="25">
        <v>0.7805555555555556</v>
      </c>
      <c r="H6385" s="27">
        <f t="shared" si="4"/>
        <v>0.5576388889</v>
      </c>
      <c r="I6385" s="28">
        <v>4.0</v>
      </c>
      <c r="J6385" s="39" t="s">
        <v>3200</v>
      </c>
      <c r="K6385" s="41"/>
      <c r="L6385" s="31" t="str">
        <f>IFERROR(__xludf.DUMMYFUNCTION("IF(OR(E6385="""",K6385=""""),"""",IFERROR(IF(K6385="""","""",query('tbl user'!$A$2:$D10975,""SELECT A WHERE D = '""&amp;K6385&amp;""'"")),""USER TIDAK DIKETAHUI""))"),"")</f>
        <v/>
      </c>
    </row>
    <row r="6386">
      <c r="A6386" s="21" t="str">
        <f t="shared" si="3"/>
        <v/>
      </c>
      <c r="B6386" s="38"/>
      <c r="C6386" s="23" t="s">
        <v>1837</v>
      </c>
      <c r="D6386" s="23" t="s">
        <v>21</v>
      </c>
      <c r="E6386" s="46">
        <v>45495.0</v>
      </c>
      <c r="F6386" s="25">
        <v>0.25555555555555554</v>
      </c>
      <c r="G6386" s="25">
        <v>0.7638888888888888</v>
      </c>
      <c r="H6386" s="27">
        <f t="shared" si="4"/>
        <v>0.5083333333</v>
      </c>
      <c r="I6386" s="28">
        <v>4.0</v>
      </c>
      <c r="J6386" s="39" t="s">
        <v>3200</v>
      </c>
      <c r="K6386" s="41"/>
      <c r="L6386" s="31" t="str">
        <f>IFERROR(__xludf.DUMMYFUNCTION("IF(OR(E6386="""",K6386=""""),"""",IFERROR(IF(K6386="""","""",query('tbl user'!$A$2:$D10975,""SELECT A WHERE D = '""&amp;K6386&amp;""'"")),""USER TIDAK DIKETAHUI""))"),"")</f>
        <v/>
      </c>
    </row>
    <row r="6387">
      <c r="A6387" s="21" t="str">
        <f t="shared" si="3"/>
        <v/>
      </c>
      <c r="B6387" s="38"/>
      <c r="C6387" s="23" t="s">
        <v>1850</v>
      </c>
      <c r="D6387" s="23" t="s">
        <v>21</v>
      </c>
      <c r="E6387" s="46">
        <v>45495.0</v>
      </c>
      <c r="F6387" s="25">
        <v>0.2826388888888889</v>
      </c>
      <c r="G6387" s="25">
        <v>0.7791666666666667</v>
      </c>
      <c r="H6387" s="27">
        <f t="shared" si="4"/>
        <v>0.4965277778</v>
      </c>
      <c r="I6387" s="28">
        <v>4.0</v>
      </c>
      <c r="J6387" s="39" t="s">
        <v>3205</v>
      </c>
      <c r="K6387" s="41"/>
      <c r="L6387" s="31" t="str">
        <f>IFERROR(__xludf.DUMMYFUNCTION("IF(OR(E6387="""",K6387=""""),"""",IFERROR(IF(K6387="""","""",query('tbl user'!$A$2:$D10975,""SELECT A WHERE D = '""&amp;K6387&amp;""'"")),""USER TIDAK DIKETAHUI""))"),"")</f>
        <v/>
      </c>
    </row>
    <row r="6388">
      <c r="A6388" s="21" t="str">
        <f t="shared" si="3"/>
        <v/>
      </c>
      <c r="B6388" s="38"/>
      <c r="C6388" s="23" t="s">
        <v>1874</v>
      </c>
      <c r="D6388" s="43" t="s">
        <v>58</v>
      </c>
      <c r="E6388" s="45">
        <v>45495.0</v>
      </c>
      <c r="F6388" s="25">
        <v>0.27847222222222223</v>
      </c>
      <c r="G6388" s="25">
        <v>0.5444444444444444</v>
      </c>
      <c r="H6388" s="27">
        <f t="shared" si="4"/>
        <v>0.2659722222</v>
      </c>
      <c r="I6388" s="28">
        <v>1.0</v>
      </c>
      <c r="J6388" s="39" t="s">
        <v>3206</v>
      </c>
      <c r="K6388" s="41"/>
      <c r="L6388" s="31" t="str">
        <f>IFERROR(__xludf.DUMMYFUNCTION("IF(OR(E6388="""",K6388=""""),"""",IFERROR(IF(K6388="""","""",query('tbl user'!$A$2:$D10975,""SELECT A WHERE D = '""&amp;K6388&amp;""'"")),""USER TIDAK DIKETAHUI""))"),"")</f>
        <v/>
      </c>
    </row>
    <row r="6389">
      <c r="A6389" s="21" t="str">
        <f t="shared" si="3"/>
        <v/>
      </c>
      <c r="B6389" s="38"/>
      <c r="C6389" s="23" t="s">
        <v>1872</v>
      </c>
      <c r="D6389" s="43" t="s">
        <v>58</v>
      </c>
      <c r="E6389" s="45">
        <v>45495.0</v>
      </c>
      <c r="F6389" s="25">
        <v>0.46041666666666664</v>
      </c>
      <c r="G6389" s="25">
        <v>0.6895833333333333</v>
      </c>
      <c r="H6389" s="27">
        <f t="shared" si="4"/>
        <v>0.2291666667</v>
      </c>
      <c r="I6389" s="28">
        <v>1.0</v>
      </c>
      <c r="J6389" s="39" t="s">
        <v>3207</v>
      </c>
      <c r="K6389" s="41"/>
      <c r="L6389" s="31" t="str">
        <f>IFERROR(__xludf.DUMMYFUNCTION("IF(OR(E6389="""",K6389=""""),"""",IFERROR(IF(K6389="""","""",query('tbl user'!$A$2:$D10975,""SELECT A WHERE D = '""&amp;K6389&amp;""'"")),""USER TIDAK DIKETAHUI""))"),"")</f>
        <v/>
      </c>
    </row>
    <row r="6390">
      <c r="A6390" s="21" t="str">
        <f t="shared" si="3"/>
        <v/>
      </c>
      <c r="B6390" s="38"/>
      <c r="C6390" s="23" t="s">
        <v>1865</v>
      </c>
      <c r="D6390" s="43" t="s">
        <v>58</v>
      </c>
      <c r="E6390" s="45">
        <v>45495.0</v>
      </c>
      <c r="F6390" s="25">
        <v>0.24305555555555555</v>
      </c>
      <c r="G6390" s="25">
        <v>0.6152777777777778</v>
      </c>
      <c r="H6390" s="27">
        <f t="shared" si="4"/>
        <v>0.3722222222</v>
      </c>
      <c r="I6390" s="28">
        <v>2.0</v>
      </c>
      <c r="J6390" s="39" t="s">
        <v>3208</v>
      </c>
      <c r="K6390" s="41"/>
      <c r="L6390" s="31" t="str">
        <f>IFERROR(__xludf.DUMMYFUNCTION("IF(OR(E6390="""",K6390=""""),"""",IFERROR(IF(K6390="""","""",query('tbl user'!$A$2:$D10975,""SELECT A WHERE D = '""&amp;K6390&amp;""'"")),""USER TIDAK DIKETAHUI""))"),"")</f>
        <v/>
      </c>
    </row>
    <row r="6391">
      <c r="A6391" s="21" t="str">
        <f t="shared" si="3"/>
        <v/>
      </c>
      <c r="B6391" s="38"/>
      <c r="C6391" s="23" t="s">
        <v>1867</v>
      </c>
      <c r="D6391" s="43" t="s">
        <v>58</v>
      </c>
      <c r="E6391" s="45">
        <v>45495.0</v>
      </c>
      <c r="F6391" s="25">
        <v>0.31319444444444444</v>
      </c>
      <c r="G6391" s="25">
        <v>0.6902777777777778</v>
      </c>
      <c r="H6391" s="27">
        <f t="shared" si="4"/>
        <v>0.3770833333</v>
      </c>
      <c r="I6391" s="28">
        <v>2.0</v>
      </c>
      <c r="J6391" s="39" t="s">
        <v>3209</v>
      </c>
      <c r="K6391" s="41"/>
      <c r="L6391" s="31" t="str">
        <f>IFERROR(__xludf.DUMMYFUNCTION("IF(OR(E6391="""",K6391=""""),"""",IFERROR(IF(K6391="""","""",query('tbl user'!$A$2:$D10975,""SELECT A WHERE D = '""&amp;K6391&amp;""'"")),""USER TIDAK DIKETAHUI""))"),"")</f>
        <v/>
      </c>
    </row>
    <row r="6392">
      <c r="A6392" s="21" t="str">
        <f t="shared" si="3"/>
        <v/>
      </c>
      <c r="B6392" s="38"/>
      <c r="C6392" s="23" t="s">
        <v>1948</v>
      </c>
      <c r="D6392" s="43" t="s">
        <v>58</v>
      </c>
      <c r="E6392" s="45">
        <v>45495.0</v>
      </c>
      <c r="F6392" s="25">
        <v>0.24027777777777778</v>
      </c>
      <c r="G6392" s="25">
        <v>0.61875</v>
      </c>
      <c r="H6392" s="27">
        <f t="shared" si="4"/>
        <v>0.3784722222</v>
      </c>
      <c r="I6392" s="28">
        <v>2.0</v>
      </c>
      <c r="J6392" s="39" t="s">
        <v>3210</v>
      </c>
      <c r="K6392" s="41"/>
      <c r="L6392" s="31" t="str">
        <f>IFERROR(__xludf.DUMMYFUNCTION("IF(OR(E6392="""",K6392=""""),"""",IFERROR(IF(K6392="""","""",query('tbl user'!$A$2:$D10975,""SELECT A WHERE D = '""&amp;K6392&amp;""'"")),""USER TIDAK DIKETAHUI""))"),"")</f>
        <v/>
      </c>
    </row>
    <row r="6393">
      <c r="A6393" s="21" t="str">
        <f t="shared" si="3"/>
        <v/>
      </c>
      <c r="B6393" s="38"/>
      <c r="C6393" s="23" t="s">
        <v>1869</v>
      </c>
      <c r="D6393" s="43" t="s">
        <v>58</v>
      </c>
      <c r="E6393" s="45">
        <v>45495.0</v>
      </c>
      <c r="F6393" s="25">
        <v>0.36875</v>
      </c>
      <c r="G6393" s="25">
        <v>0.7743055555555556</v>
      </c>
      <c r="H6393" s="27">
        <f t="shared" si="4"/>
        <v>0.4055555556</v>
      </c>
      <c r="I6393" s="28">
        <v>2.0</v>
      </c>
      <c r="J6393" s="39" t="s">
        <v>3211</v>
      </c>
      <c r="K6393" s="41"/>
      <c r="L6393" s="31" t="str">
        <f>IFERROR(__xludf.DUMMYFUNCTION("IF(OR(E6393="""",K6393=""""),"""",IFERROR(IF(K6393="""","""",query('tbl user'!$A$2:$D10975,""SELECT A WHERE D = '""&amp;K6393&amp;""'"")),""USER TIDAK DIKETAHUI""))"),"")</f>
        <v/>
      </c>
    </row>
    <row r="6394">
      <c r="A6394" s="21" t="str">
        <f t="shared" si="3"/>
        <v/>
      </c>
      <c r="B6394" s="38"/>
      <c r="C6394" s="23" t="s">
        <v>1879</v>
      </c>
      <c r="D6394" s="43" t="s">
        <v>58</v>
      </c>
      <c r="E6394" s="45">
        <v>45495.0</v>
      </c>
      <c r="F6394" s="25">
        <v>0.2388888888888889</v>
      </c>
      <c r="G6394" s="25">
        <v>0.6347222222222222</v>
      </c>
      <c r="H6394" s="27">
        <f t="shared" si="4"/>
        <v>0.3958333333</v>
      </c>
      <c r="I6394" s="28">
        <v>2.0</v>
      </c>
      <c r="J6394" s="39" t="s">
        <v>3212</v>
      </c>
      <c r="K6394" s="41"/>
      <c r="L6394" s="31" t="str">
        <f>IFERROR(__xludf.DUMMYFUNCTION("IF(OR(E6394="""",K6394=""""),"""",IFERROR(IF(K6394="""","""",query('tbl user'!$A$2:$D10975,""SELECT A WHERE D = '""&amp;K6394&amp;""'"")),""USER TIDAK DIKETAHUI""))"),"")</f>
        <v/>
      </c>
    </row>
    <row r="6395">
      <c r="A6395" s="21" t="str">
        <f t="shared" si="3"/>
        <v/>
      </c>
      <c r="B6395" s="38"/>
      <c r="C6395" s="23" t="s">
        <v>1881</v>
      </c>
      <c r="D6395" s="43" t="s">
        <v>58</v>
      </c>
      <c r="E6395" s="45">
        <v>45495.0</v>
      </c>
      <c r="F6395" s="25">
        <v>0.22291666666666668</v>
      </c>
      <c r="G6395" s="25">
        <v>0.6333333333333333</v>
      </c>
      <c r="H6395" s="27">
        <f t="shared" si="4"/>
        <v>0.4104166667</v>
      </c>
      <c r="I6395" s="28">
        <v>2.0</v>
      </c>
      <c r="J6395" s="39" t="s">
        <v>3200</v>
      </c>
      <c r="K6395" s="41"/>
      <c r="L6395" s="31" t="str">
        <f>IFERROR(__xludf.DUMMYFUNCTION("IF(OR(E6395="""",K6395=""""),"""",IFERROR(IF(K6395="""","""",query('tbl user'!$A$2:$D10975,""SELECT A WHERE D = '""&amp;K6395&amp;""'"")),""USER TIDAK DIKETAHUI""))"),"")</f>
        <v/>
      </c>
    </row>
    <row r="6396">
      <c r="A6396" s="21" t="str">
        <f t="shared" si="3"/>
        <v/>
      </c>
      <c r="B6396" s="38"/>
      <c r="C6396" s="23" t="s">
        <v>1883</v>
      </c>
      <c r="D6396" s="43" t="s">
        <v>58</v>
      </c>
      <c r="E6396" s="45">
        <v>45495.0</v>
      </c>
      <c r="F6396" s="25">
        <v>0.2881944444444444</v>
      </c>
      <c r="G6396" s="25">
        <v>0.7743055555555556</v>
      </c>
      <c r="H6396" s="27">
        <f t="shared" si="4"/>
        <v>0.4861111111</v>
      </c>
      <c r="I6396" s="28">
        <v>2.0</v>
      </c>
      <c r="J6396" s="39" t="s">
        <v>3200</v>
      </c>
      <c r="K6396" s="41"/>
      <c r="L6396" s="31" t="str">
        <f>IFERROR(__xludf.DUMMYFUNCTION("IF(OR(E6396="""",K6396=""""),"""",IFERROR(IF(K6396="""","""",query('tbl user'!$A$2:$D10975,""SELECT A WHERE D = '""&amp;K6396&amp;""'"")),""USER TIDAK DIKETAHUI""))"),"")</f>
        <v/>
      </c>
    </row>
    <row r="6397">
      <c r="A6397" s="21" t="str">
        <f t="shared" si="3"/>
        <v/>
      </c>
      <c r="B6397" s="38"/>
      <c r="C6397" s="23" t="s">
        <v>1860</v>
      </c>
      <c r="D6397" s="43" t="s">
        <v>58</v>
      </c>
      <c r="E6397" s="45">
        <v>45495.0</v>
      </c>
      <c r="F6397" s="25">
        <v>0.28958333333333336</v>
      </c>
      <c r="G6397" s="25">
        <v>0.7708333333333334</v>
      </c>
      <c r="H6397" s="27">
        <f t="shared" si="4"/>
        <v>0.48125</v>
      </c>
      <c r="I6397" s="28">
        <v>2.0</v>
      </c>
      <c r="J6397" s="39" t="s">
        <v>3200</v>
      </c>
      <c r="K6397" s="41"/>
      <c r="L6397" s="31" t="str">
        <f>IFERROR(__xludf.DUMMYFUNCTION("IF(OR(E6397="""",K6397=""""),"""",IFERROR(IF(K6397="""","""",query('tbl user'!$A$2:$D10975,""SELECT A WHERE D = '""&amp;K6397&amp;""'"")),""USER TIDAK DIKETAHUI""))"),"")</f>
        <v/>
      </c>
    </row>
    <row r="6398">
      <c r="A6398" s="21" t="str">
        <f t="shared" si="3"/>
        <v/>
      </c>
      <c r="B6398" s="38"/>
      <c r="C6398" s="23" t="s">
        <v>1950</v>
      </c>
      <c r="D6398" s="43" t="s">
        <v>58</v>
      </c>
      <c r="E6398" s="45">
        <v>45495.0</v>
      </c>
      <c r="F6398" s="25">
        <v>0.2701388888888889</v>
      </c>
      <c r="G6398" s="25">
        <v>0.6763888888888889</v>
      </c>
      <c r="H6398" s="27">
        <f t="shared" si="4"/>
        <v>0.40625</v>
      </c>
      <c r="I6398" s="28">
        <v>2.0</v>
      </c>
      <c r="J6398" s="39" t="s">
        <v>3200</v>
      </c>
      <c r="K6398" s="41"/>
      <c r="L6398" s="31" t="str">
        <f>IFERROR(__xludf.DUMMYFUNCTION("IF(OR(E6398="""",K6398=""""),"""",IFERROR(IF(K6398="""","""",query('tbl user'!$A$2:$D10975,""SELECT A WHERE D = '""&amp;K6398&amp;""'"")),""USER TIDAK DIKETAHUI""))"),"")</f>
        <v/>
      </c>
    </row>
    <row r="6399">
      <c r="A6399" s="21" t="str">
        <f t="shared" si="3"/>
        <v/>
      </c>
      <c r="B6399" s="38"/>
      <c r="C6399" s="23" t="s">
        <v>1863</v>
      </c>
      <c r="D6399" s="43" t="s">
        <v>58</v>
      </c>
      <c r="E6399" s="45">
        <v>45495.0</v>
      </c>
      <c r="F6399" s="25">
        <v>0.27152777777777776</v>
      </c>
      <c r="G6399" s="25">
        <v>0.7611111111111111</v>
      </c>
      <c r="H6399" s="27">
        <f t="shared" si="4"/>
        <v>0.4895833333</v>
      </c>
      <c r="I6399" s="28">
        <v>2.0</v>
      </c>
      <c r="J6399" s="39" t="s">
        <v>3200</v>
      </c>
      <c r="K6399" s="41"/>
      <c r="L6399" s="31" t="str">
        <f>IFERROR(__xludf.DUMMYFUNCTION("IF(OR(E6399="""",K6399=""""),"""",IFERROR(IF(K6399="""","""",query('tbl user'!$A$2:$D10975,""SELECT A WHERE D = '""&amp;K6399&amp;""'"")),""USER TIDAK DIKETAHUI""))"),"")</f>
        <v/>
      </c>
    </row>
    <row r="6400">
      <c r="A6400" s="21" t="str">
        <f t="shared" si="3"/>
        <v/>
      </c>
      <c r="B6400" s="38"/>
      <c r="C6400" s="23" t="s">
        <v>1886</v>
      </c>
      <c r="D6400" s="43" t="s">
        <v>58</v>
      </c>
      <c r="E6400" s="45">
        <v>45495.0</v>
      </c>
      <c r="F6400" s="25">
        <v>0.29097222222222224</v>
      </c>
      <c r="G6400" s="25">
        <v>0.7597222222222222</v>
      </c>
      <c r="H6400" s="27">
        <f t="shared" si="4"/>
        <v>0.46875</v>
      </c>
      <c r="I6400" s="28">
        <v>2.0</v>
      </c>
      <c r="J6400" s="39" t="s">
        <v>3213</v>
      </c>
      <c r="K6400" s="41"/>
      <c r="L6400" s="31" t="str">
        <f>IFERROR(__xludf.DUMMYFUNCTION("IF(OR(E6400="""",K6400=""""),"""",IFERROR(IF(K6400="""","""",query('tbl user'!$A$2:$D10975,""SELECT A WHERE D = '""&amp;K6400&amp;""'"")),""USER TIDAK DIKETAHUI""))"),"")</f>
        <v/>
      </c>
    </row>
    <row r="6401">
      <c r="A6401" s="21" t="str">
        <f t="shared" si="3"/>
        <v/>
      </c>
      <c r="B6401" s="38"/>
      <c r="C6401" s="23" t="s">
        <v>1887</v>
      </c>
      <c r="D6401" s="43" t="s">
        <v>58</v>
      </c>
      <c r="E6401" s="45">
        <v>45495.0</v>
      </c>
      <c r="F6401" s="25">
        <v>0.27569444444444446</v>
      </c>
      <c r="G6401" s="25">
        <v>0.7583333333333333</v>
      </c>
      <c r="H6401" s="27">
        <f t="shared" si="4"/>
        <v>0.4826388889</v>
      </c>
      <c r="I6401" s="28">
        <v>2.0</v>
      </c>
      <c r="J6401" s="39" t="s">
        <v>3214</v>
      </c>
      <c r="K6401" s="41"/>
      <c r="L6401" s="31" t="str">
        <f>IFERROR(__xludf.DUMMYFUNCTION("IF(OR(E6401="""",K6401=""""),"""",IFERROR(IF(K6401="""","""",query('tbl user'!$A$2:$D10975,""SELECT A WHERE D = '""&amp;K6401&amp;""'"")),""USER TIDAK DIKETAHUI""))"),"")</f>
        <v/>
      </c>
    </row>
    <row r="6402">
      <c r="A6402" s="21" t="str">
        <f t="shared" si="3"/>
        <v/>
      </c>
      <c r="B6402" s="38"/>
      <c r="C6402" s="23" t="s">
        <v>1888</v>
      </c>
      <c r="D6402" s="43" t="s">
        <v>58</v>
      </c>
      <c r="E6402" s="45">
        <v>45495.0</v>
      </c>
      <c r="F6402" s="25">
        <v>0.24513888888888888</v>
      </c>
      <c r="G6402" s="25">
        <v>0.7666666666666667</v>
      </c>
      <c r="H6402" s="27">
        <f t="shared" si="4"/>
        <v>0.5215277778</v>
      </c>
      <c r="I6402" s="28">
        <v>2.0</v>
      </c>
      <c r="J6402" s="39" t="s">
        <v>3215</v>
      </c>
      <c r="K6402" s="41"/>
      <c r="L6402" s="31" t="str">
        <f>IFERROR(__xludf.DUMMYFUNCTION("IF(OR(E6402="""",K6402=""""),"""",IFERROR(IF(K6402="""","""",query('tbl user'!$A$2:$D10975,""SELECT A WHERE D = '""&amp;K6402&amp;""'"")),""USER TIDAK DIKETAHUI""))"),"")</f>
        <v/>
      </c>
    </row>
    <row r="6403">
      <c r="A6403" s="21" t="str">
        <f t="shared" si="3"/>
        <v/>
      </c>
      <c r="B6403" s="38"/>
      <c r="C6403" s="23" t="s">
        <v>1889</v>
      </c>
      <c r="D6403" s="43" t="s">
        <v>58</v>
      </c>
      <c r="E6403" s="45">
        <v>45495.0</v>
      </c>
      <c r="F6403" s="25">
        <v>0.24305555555555555</v>
      </c>
      <c r="G6403" s="25">
        <v>0.6680555555555555</v>
      </c>
      <c r="H6403" s="27">
        <f t="shared" si="4"/>
        <v>0.425</v>
      </c>
      <c r="I6403" s="28">
        <v>2.0</v>
      </c>
      <c r="J6403" s="39" t="s">
        <v>3200</v>
      </c>
      <c r="K6403" s="41"/>
      <c r="L6403" s="31" t="str">
        <f>IFERROR(__xludf.DUMMYFUNCTION("IF(OR(E6403="""",K6403=""""),"""",IFERROR(IF(K6403="""","""",query('tbl user'!$A$2:$D10975,""SELECT A WHERE D = '""&amp;K6403&amp;""'"")),""USER TIDAK DIKETAHUI""))"),"")</f>
        <v/>
      </c>
    </row>
    <row r="6404">
      <c r="A6404" s="21" t="str">
        <f t="shared" si="3"/>
        <v/>
      </c>
      <c r="B6404" s="38"/>
      <c r="C6404" s="23" t="s">
        <v>1871</v>
      </c>
      <c r="D6404" s="43" t="s">
        <v>58</v>
      </c>
      <c r="E6404" s="45">
        <v>45495.0</v>
      </c>
      <c r="F6404" s="25">
        <v>0.20972222222222223</v>
      </c>
      <c r="G6404" s="25">
        <v>0.7</v>
      </c>
      <c r="H6404" s="27">
        <f t="shared" si="4"/>
        <v>0.4902777778</v>
      </c>
      <c r="I6404" s="28">
        <v>2.0</v>
      </c>
      <c r="J6404" s="39" t="s">
        <v>3200</v>
      </c>
      <c r="K6404" s="41"/>
      <c r="L6404" s="31" t="str">
        <f>IFERROR(__xludf.DUMMYFUNCTION("IF(OR(E6404="""",K6404=""""),"""",IFERROR(IF(K6404="""","""",query('tbl user'!$A$2:$D10975,""SELECT A WHERE D = '""&amp;K6404&amp;""'"")),""USER TIDAK DIKETAHUI""))"),"")</f>
        <v/>
      </c>
    </row>
    <row r="6405">
      <c r="A6405" s="21" t="str">
        <f t="shared" si="3"/>
        <v/>
      </c>
      <c r="B6405" s="38"/>
      <c r="C6405" s="23" t="s">
        <v>2090</v>
      </c>
      <c r="D6405" s="43" t="s">
        <v>58</v>
      </c>
      <c r="E6405" s="45">
        <v>45495.0</v>
      </c>
      <c r="F6405" s="25">
        <v>0.2708333333333333</v>
      </c>
      <c r="G6405" s="25">
        <v>0.6951388888888889</v>
      </c>
      <c r="H6405" s="27">
        <f t="shared" si="4"/>
        <v>0.4243055556</v>
      </c>
      <c r="I6405" s="28">
        <v>2.0</v>
      </c>
      <c r="J6405" s="39" t="s">
        <v>3200</v>
      </c>
      <c r="K6405" s="41"/>
      <c r="L6405" s="31" t="str">
        <f>IFERROR(__xludf.DUMMYFUNCTION("IF(OR(E6405="""",K6405=""""),"""",IFERROR(IF(K6405="""","""",query('tbl user'!$A$2:$D10975,""SELECT A WHERE D = '""&amp;K6405&amp;""'"")),""USER TIDAK DIKETAHUI""))"),"")</f>
        <v/>
      </c>
    </row>
    <row r="6406">
      <c r="A6406" s="21" t="str">
        <f t="shared" si="3"/>
        <v/>
      </c>
      <c r="B6406" s="38"/>
      <c r="C6406" s="23" t="s">
        <v>1890</v>
      </c>
      <c r="D6406" s="43" t="s">
        <v>58</v>
      </c>
      <c r="E6406" s="45">
        <v>45495.0</v>
      </c>
      <c r="F6406" s="25">
        <v>0.2326388888888889</v>
      </c>
      <c r="G6406" s="25">
        <v>0.7027777777777777</v>
      </c>
      <c r="H6406" s="27">
        <f t="shared" si="4"/>
        <v>0.4701388889</v>
      </c>
      <c r="I6406" s="28">
        <v>2.0</v>
      </c>
      <c r="J6406" s="39" t="s">
        <v>3200</v>
      </c>
      <c r="K6406" s="41"/>
      <c r="L6406" s="31" t="str">
        <f>IFERROR(__xludf.DUMMYFUNCTION("IF(OR(E6406="""",K6406=""""),"""",IFERROR(IF(K6406="""","""",query('tbl user'!$A$2:$D10975,""SELECT A WHERE D = '""&amp;K6406&amp;""'"")),""USER TIDAK DIKETAHUI""))"),"")</f>
        <v/>
      </c>
    </row>
    <row r="6407">
      <c r="A6407" s="21" t="str">
        <f t="shared" si="3"/>
        <v/>
      </c>
      <c r="B6407" s="38"/>
      <c r="C6407" s="23" t="s">
        <v>1861</v>
      </c>
      <c r="D6407" s="43" t="s">
        <v>58</v>
      </c>
      <c r="E6407" s="45">
        <v>45495.0</v>
      </c>
      <c r="F6407" s="25">
        <v>0.26180555555555557</v>
      </c>
      <c r="G6407" s="25">
        <v>0.7152777777777778</v>
      </c>
      <c r="H6407" s="27">
        <f t="shared" si="4"/>
        <v>0.4534722222</v>
      </c>
      <c r="I6407" s="28">
        <v>2.0</v>
      </c>
      <c r="J6407" s="39" t="s">
        <v>3200</v>
      </c>
      <c r="K6407" s="41"/>
      <c r="L6407" s="31" t="str">
        <f>IFERROR(__xludf.DUMMYFUNCTION("IF(OR(E6407="""",K6407=""""),"""",IFERROR(IF(K6407="""","""",query('tbl user'!$A$2:$D10975,""SELECT A WHERE D = '""&amp;K6407&amp;""'"")),""USER TIDAK DIKETAHUI""))"),"")</f>
        <v/>
      </c>
    </row>
    <row r="6408">
      <c r="A6408" s="21" t="str">
        <f t="shared" si="3"/>
        <v/>
      </c>
      <c r="B6408" s="38"/>
      <c r="C6408" s="23" t="s">
        <v>1875</v>
      </c>
      <c r="D6408" s="43" t="s">
        <v>58</v>
      </c>
      <c r="E6408" s="45">
        <v>45495.0</v>
      </c>
      <c r="F6408" s="25">
        <v>0.23055555555555557</v>
      </c>
      <c r="G6408" s="25">
        <v>0.7736111111111111</v>
      </c>
      <c r="H6408" s="27">
        <f t="shared" si="4"/>
        <v>0.5430555556</v>
      </c>
      <c r="I6408" s="28">
        <v>3.0</v>
      </c>
      <c r="J6408" s="39" t="s">
        <v>3216</v>
      </c>
      <c r="K6408" s="41"/>
      <c r="L6408" s="31" t="str">
        <f>IFERROR(__xludf.DUMMYFUNCTION("IF(OR(E6408="""",K6408=""""),"""",IFERROR(IF(K6408="""","""",query('tbl user'!$A$2:$D10975,""SELECT A WHERE D = '""&amp;K6408&amp;""'"")),""USER TIDAK DIKETAHUI""))"),"")</f>
        <v/>
      </c>
    </row>
    <row r="6409">
      <c r="A6409" s="21" t="str">
        <f t="shared" si="3"/>
        <v/>
      </c>
      <c r="B6409" s="38"/>
      <c r="C6409" s="23" t="s">
        <v>1884</v>
      </c>
      <c r="D6409" s="43" t="s">
        <v>58</v>
      </c>
      <c r="E6409" s="45">
        <v>45495.0</v>
      </c>
      <c r="F6409" s="25">
        <v>0.22847222222222222</v>
      </c>
      <c r="G6409" s="25">
        <v>0.7791666666666667</v>
      </c>
      <c r="H6409" s="27">
        <f t="shared" si="4"/>
        <v>0.5506944444</v>
      </c>
      <c r="I6409" s="28">
        <v>3.0</v>
      </c>
      <c r="J6409" s="39" t="s">
        <v>3216</v>
      </c>
      <c r="K6409" s="41"/>
      <c r="L6409" s="31" t="str">
        <f>IFERROR(__xludf.DUMMYFUNCTION("IF(OR(E6409="""",K6409=""""),"""",IFERROR(IF(K6409="""","""",query('tbl user'!$A$2:$D10975,""SELECT A WHERE D = '""&amp;K6409&amp;""'"")),""USER TIDAK DIKETAHUI""))"),"")</f>
        <v/>
      </c>
    </row>
    <row r="6410">
      <c r="A6410" s="21" t="str">
        <f t="shared" si="3"/>
        <v/>
      </c>
      <c r="B6410" s="38"/>
      <c r="C6410" s="23" t="s">
        <v>1892</v>
      </c>
      <c r="D6410" s="43" t="s">
        <v>58</v>
      </c>
      <c r="E6410" s="45">
        <v>45495.0</v>
      </c>
      <c r="F6410" s="25">
        <v>0.20208333333333334</v>
      </c>
      <c r="G6410" s="25">
        <v>0.7659722222222223</v>
      </c>
      <c r="H6410" s="27">
        <f t="shared" si="4"/>
        <v>0.5638888889</v>
      </c>
      <c r="I6410" s="28">
        <v>3.0</v>
      </c>
      <c r="J6410" s="39" t="s">
        <v>3216</v>
      </c>
      <c r="K6410" s="41"/>
      <c r="L6410" s="31" t="str">
        <f>IFERROR(__xludf.DUMMYFUNCTION("IF(OR(E6410="""",K6410=""""),"""",IFERROR(IF(K6410="""","""",query('tbl user'!$A$2:$D10975,""SELECT A WHERE D = '""&amp;K6410&amp;""'"")),""USER TIDAK DIKETAHUI""))"),"")</f>
        <v/>
      </c>
    </row>
    <row r="6411">
      <c r="A6411" s="21" t="str">
        <f t="shared" si="3"/>
        <v/>
      </c>
      <c r="B6411" s="38"/>
      <c r="C6411" s="23" t="s">
        <v>1893</v>
      </c>
      <c r="D6411" s="43" t="s">
        <v>58</v>
      </c>
      <c r="E6411" s="45">
        <v>45495.0</v>
      </c>
      <c r="F6411" s="25">
        <v>0.2048611111111111</v>
      </c>
      <c r="G6411" s="25">
        <v>0.7763888888888889</v>
      </c>
      <c r="H6411" s="27">
        <f t="shared" si="4"/>
        <v>0.5715277778</v>
      </c>
      <c r="I6411" s="28">
        <v>3.0</v>
      </c>
      <c r="J6411" s="39" t="s">
        <v>3216</v>
      </c>
      <c r="K6411" s="41"/>
      <c r="L6411" s="31" t="str">
        <f>IFERROR(__xludf.DUMMYFUNCTION("IF(OR(E6411="""",K6411=""""),"""",IFERROR(IF(K6411="""","""",query('tbl user'!$A$2:$D10975,""SELECT A WHERE D = '""&amp;K6411&amp;""'"")),""USER TIDAK DIKETAHUI""))"),"")</f>
        <v/>
      </c>
    </row>
    <row r="6412">
      <c r="A6412" s="21" t="str">
        <f t="shared" si="3"/>
        <v/>
      </c>
      <c r="B6412" s="38"/>
      <c r="C6412" s="23" t="s">
        <v>1891</v>
      </c>
      <c r="D6412" s="43" t="s">
        <v>58</v>
      </c>
      <c r="E6412" s="45">
        <v>45495.0</v>
      </c>
      <c r="F6412" s="25">
        <v>0.225</v>
      </c>
      <c r="G6412" s="25">
        <v>0.78125</v>
      </c>
      <c r="H6412" s="27">
        <f t="shared" si="4"/>
        <v>0.55625</v>
      </c>
      <c r="I6412" s="28">
        <v>3.0</v>
      </c>
      <c r="J6412" s="39" t="s">
        <v>3216</v>
      </c>
      <c r="K6412" s="41"/>
      <c r="L6412" s="31" t="str">
        <f>IFERROR(__xludf.DUMMYFUNCTION("IF(OR(E6412="""",K6412=""""),"""",IFERROR(IF(K6412="""","""",query('tbl user'!$A$2:$D10975,""SELECT A WHERE D = '""&amp;K6412&amp;""'"")),""USER TIDAK DIKETAHUI""))"),"")</f>
        <v/>
      </c>
    </row>
    <row r="6413">
      <c r="A6413" s="21" t="str">
        <f t="shared" si="3"/>
        <v/>
      </c>
      <c r="B6413" s="38"/>
      <c r="C6413" s="23" t="s">
        <v>1851</v>
      </c>
      <c r="D6413" s="23" t="s">
        <v>21</v>
      </c>
      <c r="E6413" s="46">
        <v>45496.0</v>
      </c>
      <c r="F6413" s="25">
        <v>0.28958333333333336</v>
      </c>
      <c r="G6413" s="25">
        <v>0.7430555555555556</v>
      </c>
      <c r="H6413" s="27">
        <f t="shared" si="4"/>
        <v>0.4534722222</v>
      </c>
      <c r="I6413" s="28">
        <v>1.0</v>
      </c>
      <c r="J6413" s="39" t="s">
        <v>3217</v>
      </c>
      <c r="K6413" s="41"/>
      <c r="L6413" s="31" t="str">
        <f>IFERROR(__xludf.DUMMYFUNCTION("IF(OR(E6413="""",K6413=""""),"""",IFERROR(IF(K6413="""","""",query('tbl user'!$A$2:$D10975,""SELECT A WHERE D = '""&amp;K6413&amp;""'"")),""USER TIDAK DIKETAHUI""))"),"")</f>
        <v/>
      </c>
    </row>
    <row r="6414">
      <c r="A6414" s="21" t="str">
        <f t="shared" si="3"/>
        <v/>
      </c>
      <c r="B6414" s="38"/>
      <c r="C6414" s="23" t="s">
        <v>1837</v>
      </c>
      <c r="D6414" s="23" t="s">
        <v>21</v>
      </c>
      <c r="E6414" s="46">
        <v>45496.0</v>
      </c>
      <c r="F6414" s="25">
        <v>0.2611111111111111</v>
      </c>
      <c r="G6414" s="25">
        <v>0.46111111111111114</v>
      </c>
      <c r="H6414" s="27">
        <f t="shared" si="4"/>
        <v>0.2</v>
      </c>
      <c r="I6414" s="28">
        <v>1.0</v>
      </c>
      <c r="J6414" s="39" t="s">
        <v>3218</v>
      </c>
      <c r="K6414" s="41"/>
      <c r="L6414" s="31" t="str">
        <f>IFERROR(__xludf.DUMMYFUNCTION("IF(OR(E6414="""",K6414=""""),"""",IFERROR(IF(K6414="""","""",query('tbl user'!$A$2:$D10975,""SELECT A WHERE D = '""&amp;K6414&amp;""'"")),""USER TIDAK DIKETAHUI""))"),"")</f>
        <v/>
      </c>
    </row>
    <row r="6415">
      <c r="A6415" s="21" t="str">
        <f t="shared" si="3"/>
        <v/>
      </c>
      <c r="B6415" s="38"/>
      <c r="C6415" s="23" t="s">
        <v>1853</v>
      </c>
      <c r="D6415" s="23" t="s">
        <v>21</v>
      </c>
      <c r="E6415" s="46">
        <v>45496.0</v>
      </c>
      <c r="F6415" s="25">
        <v>0.28055555555555556</v>
      </c>
      <c r="G6415" s="25">
        <v>0.5798611111111112</v>
      </c>
      <c r="H6415" s="27">
        <f t="shared" si="4"/>
        <v>0.2993055556</v>
      </c>
      <c r="I6415" s="28">
        <v>2.0</v>
      </c>
      <c r="J6415" s="39" t="s">
        <v>3219</v>
      </c>
      <c r="K6415" s="41"/>
      <c r="L6415" s="31" t="str">
        <f>IFERROR(__xludf.DUMMYFUNCTION("IF(OR(E6415="""",K6415=""""),"""",IFERROR(IF(K6415="""","""",query('tbl user'!$A$2:$D10975,""SELECT A WHERE D = '""&amp;K6415&amp;""'"")),""USER TIDAK DIKETAHUI""))"),"")</f>
        <v/>
      </c>
    </row>
    <row r="6416">
      <c r="A6416" s="21" t="str">
        <f t="shared" si="3"/>
        <v/>
      </c>
      <c r="B6416" s="38"/>
      <c r="C6416" s="23" t="s">
        <v>1920</v>
      </c>
      <c r="D6416" s="23" t="s">
        <v>21</v>
      </c>
      <c r="E6416" s="46">
        <v>45496.0</v>
      </c>
      <c r="F6416" s="25">
        <v>0.2875</v>
      </c>
      <c r="G6416" s="25">
        <v>0.5909722222222222</v>
      </c>
      <c r="H6416" s="27">
        <f t="shared" si="4"/>
        <v>0.3034722222</v>
      </c>
      <c r="I6416" s="28">
        <v>2.0</v>
      </c>
      <c r="J6416" s="39" t="s">
        <v>3220</v>
      </c>
      <c r="K6416" s="41"/>
      <c r="L6416" s="31" t="str">
        <f>IFERROR(__xludf.DUMMYFUNCTION("IF(OR(E6416="""",K6416=""""),"""",IFERROR(IF(K6416="""","""",query('tbl user'!$A$2:$D10975,""SELECT A WHERE D = '""&amp;K6416&amp;""'"")),""USER TIDAK DIKETAHUI""))"),"")</f>
        <v/>
      </c>
    </row>
    <row r="6417">
      <c r="A6417" s="21" t="str">
        <f t="shared" si="3"/>
        <v/>
      </c>
      <c r="B6417" s="38"/>
      <c r="C6417" s="23" t="s">
        <v>1922</v>
      </c>
      <c r="D6417" s="23" t="s">
        <v>21</v>
      </c>
      <c r="E6417" s="46">
        <v>45496.0</v>
      </c>
      <c r="F6417" s="25">
        <v>0.23958333333333334</v>
      </c>
      <c r="G6417" s="25">
        <v>0.7479166666666667</v>
      </c>
      <c r="H6417" s="27">
        <f t="shared" si="4"/>
        <v>0.5083333333</v>
      </c>
      <c r="I6417" s="28">
        <v>2.0</v>
      </c>
      <c r="J6417" s="39" t="s">
        <v>3221</v>
      </c>
      <c r="K6417" s="41"/>
      <c r="L6417" s="31" t="str">
        <f>IFERROR(__xludf.DUMMYFUNCTION("IF(OR(E6417="""",K6417=""""),"""",IFERROR(IF(K6417="""","""",query('tbl user'!$A$2:$D10975,""SELECT A WHERE D = '""&amp;K6417&amp;""'"")),""USER TIDAK DIKETAHUI""))"),"")</f>
        <v/>
      </c>
    </row>
    <row r="6418">
      <c r="A6418" s="21" t="str">
        <f t="shared" si="3"/>
        <v/>
      </c>
      <c r="B6418" s="38"/>
      <c r="C6418" s="23" t="s">
        <v>1849</v>
      </c>
      <c r="D6418" s="23" t="s">
        <v>21</v>
      </c>
      <c r="E6418" s="46">
        <v>45496.0</v>
      </c>
      <c r="F6418" s="25">
        <v>0.2548611111111111</v>
      </c>
      <c r="G6418" s="25">
        <v>0.5541666666666667</v>
      </c>
      <c r="H6418" s="27">
        <f t="shared" si="4"/>
        <v>0.2993055556</v>
      </c>
      <c r="I6418" s="28">
        <v>2.0</v>
      </c>
      <c r="J6418" s="39" t="s">
        <v>3222</v>
      </c>
      <c r="K6418" s="41"/>
      <c r="L6418" s="31" t="str">
        <f>IFERROR(__xludf.DUMMYFUNCTION("IF(OR(E6418="""",K6418=""""),"""",IFERROR(IF(K6418="""","""",query('tbl user'!$A$2:$D10975,""SELECT A WHERE D = '""&amp;K6418&amp;""'"")),""USER TIDAK DIKETAHUI""))"),"")</f>
        <v/>
      </c>
    </row>
    <row r="6419">
      <c r="A6419" s="21" t="str">
        <f t="shared" si="3"/>
        <v/>
      </c>
      <c r="B6419" s="38"/>
      <c r="C6419" s="23" t="s">
        <v>2002</v>
      </c>
      <c r="D6419" s="23" t="s">
        <v>21</v>
      </c>
      <c r="E6419" s="46">
        <v>45496.0</v>
      </c>
      <c r="F6419" s="25">
        <v>0.2604166666666667</v>
      </c>
      <c r="G6419" s="25">
        <v>0.68125</v>
      </c>
      <c r="H6419" s="27">
        <f t="shared" si="4"/>
        <v>0.4208333333</v>
      </c>
      <c r="I6419" s="28">
        <v>3.0</v>
      </c>
      <c r="J6419" s="39" t="s">
        <v>3200</v>
      </c>
      <c r="K6419" s="41"/>
      <c r="L6419" s="31" t="str">
        <f>IFERROR(__xludf.DUMMYFUNCTION("IF(OR(E6419="""",K6419=""""),"""",IFERROR(IF(K6419="""","""",query('tbl user'!$A$2:$D10975,""SELECT A WHERE D = '""&amp;K6419&amp;""'"")),""USER TIDAK DIKETAHUI""))"),"")</f>
        <v/>
      </c>
    </row>
    <row r="6420">
      <c r="A6420" s="21" t="str">
        <f t="shared" si="3"/>
        <v/>
      </c>
      <c r="B6420" s="38"/>
      <c r="C6420" s="23" t="s">
        <v>1830</v>
      </c>
      <c r="D6420" s="23" t="s">
        <v>21</v>
      </c>
      <c r="E6420" s="46">
        <v>45496.0</v>
      </c>
      <c r="F6420" s="25">
        <v>0.24513888888888888</v>
      </c>
      <c r="G6420" s="25">
        <v>0.6701388888888888</v>
      </c>
      <c r="H6420" s="27">
        <f t="shared" si="4"/>
        <v>0.425</v>
      </c>
      <c r="I6420" s="28">
        <v>3.0</v>
      </c>
      <c r="J6420" s="39" t="s">
        <v>3223</v>
      </c>
      <c r="K6420" s="41"/>
      <c r="L6420" s="31" t="str">
        <f>IFERROR(__xludf.DUMMYFUNCTION("IF(OR(E6420="""",K6420=""""),"""",IFERROR(IF(K6420="""","""",query('tbl user'!$A$2:$D10975,""SELECT A WHERE D = '""&amp;K6420&amp;""'"")),""USER TIDAK DIKETAHUI""))"),"")</f>
        <v/>
      </c>
    </row>
    <row r="6421">
      <c r="A6421" s="21" t="str">
        <f t="shared" si="3"/>
        <v/>
      </c>
      <c r="B6421" s="38"/>
      <c r="C6421" s="23" t="s">
        <v>2628</v>
      </c>
      <c r="D6421" s="23" t="s">
        <v>21</v>
      </c>
      <c r="E6421" s="46">
        <v>45496.0</v>
      </c>
      <c r="F6421" s="25">
        <v>0.2569444444444444</v>
      </c>
      <c r="G6421" s="25">
        <v>0.7569444444444444</v>
      </c>
      <c r="H6421" s="27">
        <f t="shared" si="4"/>
        <v>0.5</v>
      </c>
      <c r="I6421" s="28">
        <v>3.0</v>
      </c>
      <c r="J6421" s="39" t="s">
        <v>3224</v>
      </c>
      <c r="K6421" s="41"/>
      <c r="L6421" s="31" t="str">
        <f>IFERROR(__xludf.DUMMYFUNCTION("IF(OR(E6421="""",K6421=""""),"""",IFERROR(IF(K6421="""","""",query('tbl user'!$A$2:$D10975,""SELECT A WHERE D = '""&amp;K6421&amp;""'"")),""USER TIDAK DIKETAHUI""))"),"")</f>
        <v/>
      </c>
    </row>
    <row r="6422">
      <c r="A6422" s="21" t="str">
        <f t="shared" si="3"/>
        <v/>
      </c>
      <c r="B6422" s="38"/>
      <c r="C6422" s="23" t="s">
        <v>1844</v>
      </c>
      <c r="D6422" s="23" t="s">
        <v>21</v>
      </c>
      <c r="E6422" s="46">
        <v>45496.0</v>
      </c>
      <c r="F6422" s="25">
        <v>0.2222222222222222</v>
      </c>
      <c r="G6422" s="25">
        <v>0.65625</v>
      </c>
      <c r="H6422" s="27">
        <f t="shared" si="4"/>
        <v>0.4340277778</v>
      </c>
      <c r="I6422" s="28">
        <v>3.0</v>
      </c>
      <c r="J6422" s="39" t="s">
        <v>3200</v>
      </c>
      <c r="K6422" s="41"/>
      <c r="L6422" s="31" t="str">
        <f>IFERROR(__xludf.DUMMYFUNCTION("IF(OR(E6422="""",K6422=""""),"""",IFERROR(IF(K6422="""","""",query('tbl user'!$A$2:$D10975,""SELECT A WHERE D = '""&amp;K6422&amp;""'"")),""USER TIDAK DIKETAHUI""))"),"")</f>
        <v/>
      </c>
    </row>
    <row r="6423">
      <c r="A6423" s="21" t="str">
        <f t="shared" si="3"/>
        <v/>
      </c>
      <c r="B6423" s="38"/>
      <c r="C6423" s="23" t="s">
        <v>1857</v>
      </c>
      <c r="D6423" s="23" t="s">
        <v>21</v>
      </c>
      <c r="E6423" s="46">
        <v>45496.0</v>
      </c>
      <c r="F6423" s="25">
        <v>0.3277777777777778</v>
      </c>
      <c r="G6423" s="25">
        <v>0.6784722222222223</v>
      </c>
      <c r="H6423" s="27">
        <f t="shared" si="4"/>
        <v>0.3506944444</v>
      </c>
      <c r="I6423" s="28">
        <v>3.0</v>
      </c>
      <c r="J6423" s="39" t="s">
        <v>3225</v>
      </c>
      <c r="K6423" s="41"/>
      <c r="L6423" s="31" t="str">
        <f>IFERROR(__xludf.DUMMYFUNCTION("IF(OR(E6423="""",K6423=""""),"""",IFERROR(IF(K6423="""","""",query('tbl user'!$A$2:$D10975,""SELECT A WHERE D = '""&amp;K6423&amp;""'"")),""USER TIDAK DIKETAHUI""))"),"")</f>
        <v/>
      </c>
    </row>
    <row r="6424">
      <c r="A6424" s="21" t="str">
        <f t="shared" si="3"/>
        <v/>
      </c>
      <c r="B6424" s="38"/>
      <c r="C6424" s="23" t="s">
        <v>1845</v>
      </c>
      <c r="D6424" s="23" t="s">
        <v>21</v>
      </c>
      <c r="E6424" s="46">
        <v>45496.0</v>
      </c>
      <c r="F6424" s="25">
        <v>0.23402777777777778</v>
      </c>
      <c r="G6424" s="25">
        <v>0.6180555555555556</v>
      </c>
      <c r="H6424" s="27">
        <f t="shared" si="4"/>
        <v>0.3840277778</v>
      </c>
      <c r="I6424" s="28">
        <v>3.0</v>
      </c>
      <c r="J6424" s="39" t="s">
        <v>3226</v>
      </c>
      <c r="K6424" s="41"/>
      <c r="L6424" s="31" t="str">
        <f>IFERROR(__xludf.DUMMYFUNCTION("IF(OR(E6424="""",K6424=""""),"""",IFERROR(IF(K6424="""","""",query('tbl user'!$A$2:$D10975,""SELECT A WHERE D = '""&amp;K6424&amp;""'"")),""USER TIDAK DIKETAHUI""))"),"")</f>
        <v/>
      </c>
    </row>
    <row r="6425">
      <c r="A6425" s="21" t="str">
        <f t="shared" si="3"/>
        <v/>
      </c>
      <c r="B6425" s="38"/>
      <c r="C6425" s="23" t="s">
        <v>2049</v>
      </c>
      <c r="D6425" s="23" t="s">
        <v>21</v>
      </c>
      <c r="E6425" s="46">
        <v>45496.0</v>
      </c>
      <c r="F6425" s="25">
        <v>0.2222222222222222</v>
      </c>
      <c r="G6425" s="25">
        <v>0.6145833333333334</v>
      </c>
      <c r="H6425" s="27">
        <f t="shared" si="4"/>
        <v>0.3923611111</v>
      </c>
      <c r="I6425" s="28">
        <v>3.0</v>
      </c>
      <c r="J6425" s="39" t="s">
        <v>3227</v>
      </c>
      <c r="K6425" s="41"/>
      <c r="L6425" s="31" t="str">
        <f>IFERROR(__xludf.DUMMYFUNCTION("IF(OR(E6425="""",K6425=""""),"""",IFERROR(IF(K6425="""","""",query('tbl user'!$A$2:$D10975,""SELECT A WHERE D = '""&amp;K6425&amp;""'"")),""USER TIDAK DIKETAHUI""))"),"")</f>
        <v/>
      </c>
    </row>
    <row r="6426">
      <c r="A6426" s="21" t="str">
        <f t="shared" si="3"/>
        <v/>
      </c>
      <c r="B6426" s="38"/>
      <c r="C6426" s="23" t="s">
        <v>2005</v>
      </c>
      <c r="D6426" s="23" t="s">
        <v>21</v>
      </c>
      <c r="E6426" s="46">
        <v>45496.0</v>
      </c>
      <c r="F6426" s="25">
        <v>0.2763888888888889</v>
      </c>
      <c r="G6426" s="25">
        <v>0.6645833333333333</v>
      </c>
      <c r="H6426" s="27">
        <f t="shared" si="4"/>
        <v>0.3881944444</v>
      </c>
      <c r="I6426" s="28">
        <v>3.0</v>
      </c>
      <c r="J6426" s="39" t="s">
        <v>3228</v>
      </c>
      <c r="K6426" s="41"/>
      <c r="L6426" s="31" t="str">
        <f>IFERROR(__xludf.DUMMYFUNCTION("IF(OR(E6426="""",K6426=""""),"""",IFERROR(IF(K6426="""","""",query('tbl user'!$A$2:$D10975,""SELECT A WHERE D = '""&amp;K6426&amp;""'"")),""USER TIDAK DIKETAHUI""))"),"")</f>
        <v/>
      </c>
    </row>
    <row r="6427">
      <c r="A6427" s="21" t="str">
        <f t="shared" si="3"/>
        <v/>
      </c>
      <c r="B6427" s="38"/>
      <c r="C6427" s="23" t="s">
        <v>1928</v>
      </c>
      <c r="D6427" s="23" t="s">
        <v>21</v>
      </c>
      <c r="E6427" s="46">
        <v>45496.0</v>
      </c>
      <c r="F6427" s="25">
        <v>0.2881944444444444</v>
      </c>
      <c r="G6427" s="25">
        <v>0.6673611111111111</v>
      </c>
      <c r="H6427" s="27">
        <f t="shared" si="4"/>
        <v>0.3791666667</v>
      </c>
      <c r="I6427" s="28">
        <v>3.0</v>
      </c>
      <c r="J6427" s="39" t="s">
        <v>3229</v>
      </c>
      <c r="K6427" s="41"/>
      <c r="L6427" s="31" t="str">
        <f>IFERROR(__xludf.DUMMYFUNCTION("IF(OR(E6427="""",K6427=""""),"""",IFERROR(IF(K6427="""","""",query('tbl user'!$A$2:$D10975,""SELECT A WHERE D = '""&amp;K6427&amp;""'"")),""USER TIDAK DIKETAHUI""))"),"")</f>
        <v/>
      </c>
    </row>
    <row r="6428">
      <c r="A6428" s="21" t="str">
        <f t="shared" si="3"/>
        <v/>
      </c>
      <c r="B6428" s="38"/>
      <c r="C6428" s="23" t="s">
        <v>1850</v>
      </c>
      <c r="D6428" s="23" t="s">
        <v>21</v>
      </c>
      <c r="E6428" s="46">
        <v>45496.0</v>
      </c>
      <c r="F6428" s="25">
        <v>0.3659722222222222</v>
      </c>
      <c r="G6428" s="25">
        <v>0.6819444444444445</v>
      </c>
      <c r="H6428" s="27">
        <f t="shared" si="4"/>
        <v>0.3159722222</v>
      </c>
      <c r="I6428" s="28">
        <v>3.0</v>
      </c>
      <c r="J6428" s="39" t="s">
        <v>3230</v>
      </c>
      <c r="K6428" s="41"/>
      <c r="L6428" s="31" t="str">
        <f>IFERROR(__xludf.DUMMYFUNCTION("IF(OR(E6428="""",K6428=""""),"""",IFERROR(IF(K6428="""","""",query('tbl user'!$A$2:$D10975,""SELECT A WHERE D = '""&amp;K6428&amp;""'"")),""USER TIDAK DIKETAHUI""))"),"")</f>
        <v/>
      </c>
    </row>
    <row r="6429">
      <c r="A6429" s="21" t="str">
        <f t="shared" si="3"/>
        <v/>
      </c>
      <c r="B6429" s="38"/>
      <c r="C6429" s="23" t="s">
        <v>2136</v>
      </c>
      <c r="D6429" s="23" t="s">
        <v>21</v>
      </c>
      <c r="E6429" s="46">
        <v>45496.0</v>
      </c>
      <c r="F6429" s="25">
        <v>0.24027777777777778</v>
      </c>
      <c r="G6429" s="25">
        <v>0.7326388888888888</v>
      </c>
      <c r="H6429" s="27">
        <f t="shared" si="4"/>
        <v>0.4923611111</v>
      </c>
      <c r="I6429" s="28">
        <v>4.0</v>
      </c>
      <c r="J6429" s="39" t="s">
        <v>3231</v>
      </c>
      <c r="K6429" s="41"/>
      <c r="L6429" s="31" t="str">
        <f>IFERROR(__xludf.DUMMYFUNCTION("IF(OR(E6429="""",K6429=""""),"""",IFERROR(IF(K6429="""","""",query('tbl user'!$A$2:$D10975,""SELECT A WHERE D = '""&amp;K6429&amp;""'"")),""USER TIDAK DIKETAHUI""))"),"")</f>
        <v/>
      </c>
    </row>
    <row r="6430">
      <c r="A6430" s="21" t="str">
        <f t="shared" si="3"/>
        <v/>
      </c>
      <c r="B6430" s="38"/>
      <c r="C6430" s="23" t="s">
        <v>1835</v>
      </c>
      <c r="D6430" s="23" t="s">
        <v>21</v>
      </c>
      <c r="E6430" s="46">
        <v>45496.0</v>
      </c>
      <c r="F6430" s="25">
        <v>0.22708333333333333</v>
      </c>
      <c r="G6430" s="25">
        <v>0.7222222222222222</v>
      </c>
      <c r="H6430" s="27">
        <f t="shared" si="4"/>
        <v>0.4951388889</v>
      </c>
      <c r="I6430" s="28">
        <v>4.0</v>
      </c>
      <c r="J6430" s="39" t="s">
        <v>3232</v>
      </c>
      <c r="K6430" s="41"/>
      <c r="L6430" s="31" t="str">
        <f>IFERROR(__xludf.DUMMYFUNCTION("IF(OR(E6430="""",K6430=""""),"""",IFERROR(IF(K6430="""","""",query('tbl user'!$A$2:$D10975,""SELECT A WHERE D = '""&amp;K6430&amp;""'"")),""USER TIDAK DIKETAHUI""))"),"")</f>
        <v/>
      </c>
    </row>
    <row r="6431">
      <c r="A6431" s="21" t="str">
        <f t="shared" si="3"/>
        <v/>
      </c>
      <c r="B6431" s="38"/>
      <c r="C6431" s="23" t="s">
        <v>1858</v>
      </c>
      <c r="D6431" s="23" t="s">
        <v>21</v>
      </c>
      <c r="E6431" s="46">
        <v>45496.0</v>
      </c>
      <c r="F6431" s="25">
        <v>0.2465277777777778</v>
      </c>
      <c r="G6431" s="25">
        <v>0.6770833333333334</v>
      </c>
      <c r="H6431" s="27">
        <f t="shared" si="4"/>
        <v>0.4305555556</v>
      </c>
      <c r="I6431" s="28">
        <v>4.0</v>
      </c>
      <c r="J6431" s="39" t="s">
        <v>3200</v>
      </c>
      <c r="K6431" s="41"/>
      <c r="L6431" s="31" t="str">
        <f>IFERROR(__xludf.DUMMYFUNCTION("IF(OR(E6431="""",K6431=""""),"""",IFERROR(IF(K6431="""","""",query('tbl user'!$A$2:$D10975,""SELECT A WHERE D = '""&amp;K6431&amp;""'"")),""USER TIDAK DIKETAHUI""))"),"")</f>
        <v/>
      </c>
    </row>
    <row r="6432">
      <c r="A6432" s="21" t="str">
        <f t="shared" si="3"/>
        <v/>
      </c>
      <c r="B6432" s="38"/>
      <c r="C6432" s="23" t="s">
        <v>1847</v>
      </c>
      <c r="D6432" s="23" t="s">
        <v>21</v>
      </c>
      <c r="E6432" s="46">
        <v>45496.0</v>
      </c>
      <c r="F6432" s="25">
        <v>0.26458333333333334</v>
      </c>
      <c r="G6432" s="25">
        <v>0.7326388888888888</v>
      </c>
      <c r="H6432" s="27">
        <f t="shared" si="4"/>
        <v>0.4680555556</v>
      </c>
      <c r="I6432" s="28">
        <v>4.0</v>
      </c>
      <c r="J6432" s="39" t="s">
        <v>3233</v>
      </c>
      <c r="K6432" s="41"/>
      <c r="L6432" s="31" t="str">
        <f>IFERROR(__xludf.DUMMYFUNCTION("IF(OR(E6432="""",K6432=""""),"""",IFERROR(IF(K6432="""","""",query('tbl user'!$A$2:$D10975,""SELECT A WHERE D = '""&amp;K6432&amp;""'"")),""USER TIDAK DIKETAHUI""))"),"")</f>
        <v/>
      </c>
    </row>
    <row r="6433">
      <c r="A6433" s="21" t="str">
        <f t="shared" si="3"/>
        <v/>
      </c>
      <c r="B6433" s="38"/>
      <c r="C6433" s="23" t="s">
        <v>1829</v>
      </c>
      <c r="D6433" s="23" t="s">
        <v>21</v>
      </c>
      <c r="E6433" s="46">
        <v>45496.0</v>
      </c>
      <c r="F6433" s="25">
        <v>0.29444444444444445</v>
      </c>
      <c r="G6433" s="25">
        <v>0.6958333333333333</v>
      </c>
      <c r="H6433" s="27">
        <f t="shared" si="4"/>
        <v>0.4013888889</v>
      </c>
      <c r="I6433" s="28">
        <v>4.0</v>
      </c>
      <c r="J6433" s="39" t="s">
        <v>3234</v>
      </c>
      <c r="K6433" s="41"/>
      <c r="L6433" s="31" t="str">
        <f>IFERROR(__xludf.DUMMYFUNCTION("IF(OR(E6433="""",K6433=""""),"""",IFERROR(IF(K6433="""","""",query('tbl user'!$A$2:$D10975,""SELECT A WHERE D = '""&amp;K6433&amp;""'"")),""USER TIDAK DIKETAHUI""))"),"")</f>
        <v/>
      </c>
    </row>
    <row r="6434">
      <c r="A6434" s="21" t="str">
        <f t="shared" si="3"/>
        <v/>
      </c>
      <c r="B6434" s="38"/>
      <c r="C6434" s="23" t="s">
        <v>1841</v>
      </c>
      <c r="D6434" s="23" t="s">
        <v>21</v>
      </c>
      <c r="E6434" s="46">
        <v>45496.0</v>
      </c>
      <c r="F6434" s="25">
        <v>0.28958333333333336</v>
      </c>
      <c r="G6434" s="25">
        <v>0.6805555555555556</v>
      </c>
      <c r="H6434" s="27">
        <f t="shared" si="4"/>
        <v>0.3909722222</v>
      </c>
      <c r="I6434" s="28">
        <v>4.0</v>
      </c>
      <c r="J6434" s="39" t="s">
        <v>3200</v>
      </c>
      <c r="K6434" s="41"/>
      <c r="L6434" s="31" t="str">
        <f>IFERROR(__xludf.DUMMYFUNCTION("IF(OR(E6434="""",K6434=""""),"""",IFERROR(IF(K6434="""","""",query('tbl user'!$A$2:$D10975,""SELECT A WHERE D = '""&amp;K6434&amp;""'"")),""USER TIDAK DIKETAHUI""))"),"")</f>
        <v/>
      </c>
    </row>
    <row r="6435">
      <c r="A6435" s="21" t="str">
        <f t="shared" si="3"/>
        <v/>
      </c>
      <c r="B6435" s="38"/>
      <c r="C6435" s="23" t="s">
        <v>1865</v>
      </c>
      <c r="D6435" s="23" t="s">
        <v>58</v>
      </c>
      <c r="E6435" s="46">
        <v>45496.0</v>
      </c>
      <c r="F6435" s="25">
        <v>0.2638888888888889</v>
      </c>
      <c r="G6435" s="28" t="s">
        <v>1817</v>
      </c>
      <c r="H6435" s="27" t="str">
        <f t="shared" si="4"/>
        <v/>
      </c>
      <c r="I6435" s="28">
        <v>1.0</v>
      </c>
      <c r="J6435" s="39" t="s">
        <v>3235</v>
      </c>
      <c r="K6435" s="41"/>
      <c r="L6435" s="31" t="str">
        <f>IFERROR(__xludf.DUMMYFUNCTION("IF(OR(E6435="""",K6435=""""),"""",IFERROR(IF(K6435="""","""",query('tbl user'!$A$2:$D10975,""SELECT A WHERE D = '""&amp;K6435&amp;""'"")),""USER TIDAK DIKETAHUI""))"),"")</f>
        <v/>
      </c>
    </row>
    <row r="6436">
      <c r="A6436" s="21" t="str">
        <f t="shared" si="3"/>
        <v/>
      </c>
      <c r="B6436" s="38"/>
      <c r="C6436" s="23" t="s">
        <v>1948</v>
      </c>
      <c r="D6436" s="23" t="s">
        <v>58</v>
      </c>
      <c r="E6436" s="46">
        <v>45496.0</v>
      </c>
      <c r="F6436" s="25">
        <v>0.26180555555555557</v>
      </c>
      <c r="G6436" s="25">
        <v>0.6875</v>
      </c>
      <c r="H6436" s="27">
        <f t="shared" si="4"/>
        <v>0.4256944444</v>
      </c>
      <c r="I6436" s="28">
        <v>1.0</v>
      </c>
      <c r="J6436" s="39" t="s">
        <v>3236</v>
      </c>
      <c r="K6436" s="41"/>
      <c r="L6436" s="31" t="str">
        <f>IFERROR(__xludf.DUMMYFUNCTION("IF(OR(E6436="""",K6436=""""),"""",IFERROR(IF(K6436="""","""",query('tbl user'!$A$2:$D10975,""SELECT A WHERE D = '""&amp;K6436&amp;""'"")),""USER TIDAK DIKETAHUI""))"),"")</f>
        <v/>
      </c>
    </row>
    <row r="6437">
      <c r="A6437" s="21" t="str">
        <f t="shared" si="3"/>
        <v/>
      </c>
      <c r="B6437" s="38"/>
      <c r="C6437" s="23" t="s">
        <v>1882</v>
      </c>
      <c r="D6437" s="23" t="s">
        <v>58</v>
      </c>
      <c r="E6437" s="46">
        <v>45496.0</v>
      </c>
      <c r="F6437" s="25">
        <v>0.28958333333333336</v>
      </c>
      <c r="G6437" s="25">
        <v>0.5013888888888889</v>
      </c>
      <c r="H6437" s="27">
        <f t="shared" si="4"/>
        <v>0.2118055556</v>
      </c>
      <c r="I6437" s="28">
        <v>1.0</v>
      </c>
      <c r="J6437" s="39" t="s">
        <v>3237</v>
      </c>
      <c r="K6437" s="41"/>
      <c r="L6437" s="31" t="str">
        <f>IFERROR(__xludf.DUMMYFUNCTION("IF(OR(E6437="""",K6437=""""),"""",IFERROR(IF(K6437="""","""",query('tbl user'!$A$2:$D10975,""SELECT A WHERE D = '""&amp;K6437&amp;""'"")),""USER TIDAK DIKETAHUI""))"),"")</f>
        <v/>
      </c>
    </row>
    <row r="6438">
      <c r="A6438" s="21" t="str">
        <f t="shared" si="3"/>
        <v/>
      </c>
      <c r="B6438" s="38"/>
      <c r="C6438" s="23" t="s">
        <v>1883</v>
      </c>
      <c r="D6438" s="23" t="s">
        <v>58</v>
      </c>
      <c r="E6438" s="46">
        <v>45496.0</v>
      </c>
      <c r="F6438" s="25">
        <v>0.3645833333333333</v>
      </c>
      <c r="G6438" s="25">
        <v>0.5763888888888888</v>
      </c>
      <c r="H6438" s="27">
        <f t="shared" si="4"/>
        <v>0.2118055556</v>
      </c>
      <c r="I6438" s="28">
        <v>1.0</v>
      </c>
      <c r="J6438" s="39" t="s">
        <v>3238</v>
      </c>
      <c r="K6438" s="41"/>
      <c r="L6438" s="31" t="str">
        <f>IFERROR(__xludf.DUMMYFUNCTION("IF(OR(E6438="""",K6438=""""),"""",IFERROR(IF(K6438="""","""",query('tbl user'!$A$2:$D10975,""SELECT A WHERE D = '""&amp;K6438&amp;""'"")),""USER TIDAK DIKETAHUI""))"),"")</f>
        <v/>
      </c>
    </row>
    <row r="6439">
      <c r="A6439" s="21" t="str">
        <f t="shared" si="3"/>
        <v/>
      </c>
      <c r="B6439" s="38"/>
      <c r="C6439" s="23" t="s">
        <v>1888</v>
      </c>
      <c r="D6439" s="23" t="s">
        <v>58</v>
      </c>
      <c r="E6439" s="46">
        <v>45496.0</v>
      </c>
      <c r="F6439" s="25">
        <v>0.2569444444444444</v>
      </c>
      <c r="G6439" s="25">
        <v>0.6875</v>
      </c>
      <c r="H6439" s="27">
        <f t="shared" si="4"/>
        <v>0.4305555556</v>
      </c>
      <c r="I6439" s="28">
        <v>1.0</v>
      </c>
      <c r="J6439" s="39" t="s">
        <v>3239</v>
      </c>
      <c r="K6439" s="41"/>
      <c r="L6439" s="31" t="str">
        <f>IFERROR(__xludf.DUMMYFUNCTION("IF(OR(E6439="""",K6439=""""),"""",IFERROR(IF(K6439="""","""",query('tbl user'!$A$2:$D10975,""SELECT A WHERE D = '""&amp;K6439&amp;""'"")),""USER TIDAK DIKETAHUI""))"),"")</f>
        <v/>
      </c>
    </row>
    <row r="6440">
      <c r="A6440" s="21" t="str">
        <f t="shared" si="3"/>
        <v/>
      </c>
      <c r="B6440" s="38"/>
      <c r="C6440" s="23" t="s">
        <v>1893</v>
      </c>
      <c r="D6440" s="23" t="s">
        <v>58</v>
      </c>
      <c r="E6440" s="46">
        <v>45496.0</v>
      </c>
      <c r="F6440" s="25">
        <v>0.21805555555555556</v>
      </c>
      <c r="G6440" s="25">
        <v>0.5555555555555556</v>
      </c>
      <c r="H6440" s="27">
        <f t="shared" si="4"/>
        <v>0.3375</v>
      </c>
      <c r="I6440" s="28">
        <v>1.0</v>
      </c>
      <c r="J6440" s="39" t="s">
        <v>3240</v>
      </c>
      <c r="K6440" s="41"/>
      <c r="L6440" s="31" t="str">
        <f>IFERROR(__xludf.DUMMYFUNCTION("IF(OR(E6440="""",K6440=""""),"""",IFERROR(IF(K6440="""","""",query('tbl user'!$A$2:$D10975,""SELECT A WHERE D = '""&amp;K6440&amp;""'"")),""USER TIDAK DIKETAHUI""))"),"")</f>
        <v/>
      </c>
    </row>
    <row r="6441">
      <c r="A6441" s="21" t="str">
        <f t="shared" si="3"/>
        <v/>
      </c>
      <c r="B6441" s="38"/>
      <c r="C6441" s="23" t="s">
        <v>2090</v>
      </c>
      <c r="D6441" s="23" t="s">
        <v>58</v>
      </c>
      <c r="E6441" s="46">
        <v>45496.0</v>
      </c>
      <c r="F6441" s="25">
        <v>0.2722222222222222</v>
      </c>
      <c r="G6441" s="25">
        <v>0.5805555555555556</v>
      </c>
      <c r="H6441" s="27">
        <f t="shared" si="4"/>
        <v>0.3083333333</v>
      </c>
      <c r="I6441" s="28">
        <v>1.0</v>
      </c>
      <c r="J6441" s="39" t="s">
        <v>3241</v>
      </c>
      <c r="K6441" s="41"/>
      <c r="L6441" s="31" t="str">
        <f>IFERROR(__xludf.DUMMYFUNCTION("IF(OR(E6441="""",K6441=""""),"""",IFERROR(IF(K6441="""","""",query('tbl user'!$A$2:$D10975,""SELECT A WHERE D = '""&amp;K6441&amp;""'"")),""USER TIDAK DIKETAHUI""))"),"")</f>
        <v/>
      </c>
    </row>
    <row r="6442">
      <c r="A6442" s="21" t="str">
        <f t="shared" si="3"/>
        <v/>
      </c>
      <c r="B6442" s="38"/>
      <c r="C6442" s="23" t="s">
        <v>1874</v>
      </c>
      <c r="D6442" s="23" t="s">
        <v>58</v>
      </c>
      <c r="E6442" s="46">
        <v>45496.0</v>
      </c>
      <c r="F6442" s="25">
        <v>0.2777777777777778</v>
      </c>
      <c r="G6442" s="25">
        <v>0.6611111111111111</v>
      </c>
      <c r="H6442" s="27">
        <f t="shared" si="4"/>
        <v>0.3833333333</v>
      </c>
      <c r="I6442" s="28">
        <v>2.0</v>
      </c>
      <c r="J6442" s="39" t="s">
        <v>3200</v>
      </c>
      <c r="K6442" s="41"/>
      <c r="L6442" s="31" t="str">
        <f>IFERROR(__xludf.DUMMYFUNCTION("IF(OR(E6442="""",K6442=""""),"""",IFERROR(IF(K6442="""","""",query('tbl user'!$A$2:$D10975,""SELECT A WHERE D = '""&amp;K6442&amp;""'"")),""USER TIDAK DIKETAHUI""))"),"")</f>
        <v/>
      </c>
    </row>
    <row r="6443">
      <c r="A6443" s="21" t="str">
        <f t="shared" si="3"/>
        <v/>
      </c>
      <c r="B6443" s="38"/>
      <c r="C6443" s="23" t="s">
        <v>1869</v>
      </c>
      <c r="D6443" s="23" t="s">
        <v>58</v>
      </c>
      <c r="E6443" s="46">
        <v>45496.0</v>
      </c>
      <c r="F6443" s="25">
        <v>0.2847222222222222</v>
      </c>
      <c r="G6443" s="25">
        <v>0.6972222222222222</v>
      </c>
      <c r="H6443" s="27">
        <f t="shared" si="4"/>
        <v>0.4125</v>
      </c>
      <c r="I6443" s="28">
        <v>2.0</v>
      </c>
      <c r="J6443" s="39" t="s">
        <v>3242</v>
      </c>
      <c r="K6443" s="41"/>
      <c r="L6443" s="31" t="str">
        <f>IFERROR(__xludf.DUMMYFUNCTION("IF(OR(E6443="""",K6443=""""),"""",IFERROR(IF(K6443="""","""",query('tbl user'!$A$2:$D10975,""SELECT A WHERE D = '""&amp;K6443&amp;""'"")),""USER TIDAK DIKETAHUI""))"),"")</f>
        <v/>
      </c>
    </row>
    <row r="6444">
      <c r="A6444" s="21" t="str">
        <f t="shared" si="3"/>
        <v/>
      </c>
      <c r="B6444" s="38"/>
      <c r="C6444" s="23" t="s">
        <v>1879</v>
      </c>
      <c r="D6444" s="23" t="s">
        <v>58</v>
      </c>
      <c r="E6444" s="46">
        <v>45496.0</v>
      </c>
      <c r="F6444" s="25">
        <v>0.2375</v>
      </c>
      <c r="G6444" s="25">
        <v>0.6576388888888889</v>
      </c>
      <c r="H6444" s="27">
        <f t="shared" si="4"/>
        <v>0.4201388889</v>
      </c>
      <c r="I6444" s="28">
        <v>2.0</v>
      </c>
      <c r="J6444" s="39" t="s">
        <v>3243</v>
      </c>
      <c r="K6444" s="41"/>
      <c r="L6444" s="31" t="str">
        <f>IFERROR(__xludf.DUMMYFUNCTION("IF(OR(E6444="""",K6444=""""),"""",IFERROR(IF(K6444="""","""",query('tbl user'!$A$2:$D10975,""SELECT A WHERE D = '""&amp;K6444&amp;""'"")),""USER TIDAK DIKETAHUI""))"),"")</f>
        <v/>
      </c>
    </row>
    <row r="6445">
      <c r="A6445" s="21" t="str">
        <f t="shared" si="3"/>
        <v/>
      </c>
      <c r="B6445" s="38"/>
      <c r="C6445" s="23" t="s">
        <v>1860</v>
      </c>
      <c r="D6445" s="23" t="s">
        <v>58</v>
      </c>
      <c r="E6445" s="46">
        <v>45496.0</v>
      </c>
      <c r="F6445" s="25">
        <v>0.28888888888888886</v>
      </c>
      <c r="G6445" s="25">
        <v>0.6888888888888889</v>
      </c>
      <c r="H6445" s="27">
        <f t="shared" si="4"/>
        <v>0.4</v>
      </c>
      <c r="I6445" s="28">
        <v>2.0</v>
      </c>
      <c r="J6445" s="39" t="s">
        <v>3200</v>
      </c>
      <c r="K6445" s="41"/>
      <c r="L6445" s="31" t="str">
        <f>IFERROR(__xludf.DUMMYFUNCTION("IF(OR(E6445="""",K6445=""""),"""",IFERROR(IF(K6445="""","""",query('tbl user'!$A$2:$D10975,""SELECT A WHERE D = '""&amp;K6445&amp;""'"")),""USER TIDAK DIKETAHUI""))"),"")</f>
        <v/>
      </c>
    </row>
    <row r="6446">
      <c r="A6446" s="21" t="str">
        <f t="shared" si="3"/>
        <v/>
      </c>
      <c r="B6446" s="38"/>
      <c r="C6446" s="23" t="s">
        <v>1884</v>
      </c>
      <c r="D6446" s="23" t="s">
        <v>58</v>
      </c>
      <c r="E6446" s="46">
        <v>45496.0</v>
      </c>
      <c r="F6446" s="25">
        <v>0.23055555555555557</v>
      </c>
      <c r="G6446" s="25">
        <v>0.70625</v>
      </c>
      <c r="H6446" s="27">
        <f t="shared" si="4"/>
        <v>0.4756944444</v>
      </c>
      <c r="I6446" s="28">
        <v>2.0</v>
      </c>
      <c r="J6446" s="39" t="s">
        <v>3244</v>
      </c>
      <c r="K6446" s="41"/>
      <c r="L6446" s="31" t="str">
        <f>IFERROR(__xludf.DUMMYFUNCTION("IF(OR(E6446="""",K6446=""""),"""",IFERROR(IF(K6446="""","""",query('tbl user'!$A$2:$D10975,""SELECT A WHERE D = '""&amp;K6446&amp;""'"")),""USER TIDAK DIKETAHUI""))"),"")</f>
        <v/>
      </c>
    </row>
    <row r="6447">
      <c r="A6447" s="21" t="str">
        <f t="shared" si="3"/>
        <v/>
      </c>
      <c r="B6447" s="38"/>
      <c r="C6447" s="23" t="s">
        <v>1863</v>
      </c>
      <c r="D6447" s="23" t="s">
        <v>58</v>
      </c>
      <c r="E6447" s="46">
        <v>45496.0</v>
      </c>
      <c r="F6447" s="25">
        <v>0.25625</v>
      </c>
      <c r="G6447" s="25">
        <v>0.6236111111111111</v>
      </c>
      <c r="H6447" s="27">
        <f t="shared" si="4"/>
        <v>0.3673611111</v>
      </c>
      <c r="I6447" s="28">
        <v>2.0</v>
      </c>
      <c r="J6447" s="39" t="s">
        <v>3245</v>
      </c>
      <c r="K6447" s="41"/>
      <c r="L6447" s="31" t="str">
        <f>IFERROR(__xludf.DUMMYFUNCTION("IF(OR(E6447="""",K6447=""""),"""",IFERROR(IF(K6447="""","""",query('tbl user'!$A$2:$D10975,""SELECT A WHERE D = '""&amp;K6447&amp;""'"")),""USER TIDAK DIKETAHUI""))"),"")</f>
        <v/>
      </c>
    </row>
    <row r="6448">
      <c r="A6448" s="21" t="str">
        <f t="shared" si="3"/>
        <v/>
      </c>
      <c r="B6448" s="38"/>
      <c r="C6448" s="23" t="s">
        <v>1886</v>
      </c>
      <c r="D6448" s="23" t="s">
        <v>58</v>
      </c>
      <c r="E6448" s="46">
        <v>45496.0</v>
      </c>
      <c r="F6448" s="25">
        <v>0.24166666666666667</v>
      </c>
      <c r="G6448" s="25">
        <v>0.6236111111111111</v>
      </c>
      <c r="H6448" s="27">
        <f t="shared" si="4"/>
        <v>0.3819444444</v>
      </c>
      <c r="I6448" s="28">
        <v>2.0</v>
      </c>
      <c r="J6448" s="39" t="s">
        <v>3200</v>
      </c>
      <c r="K6448" s="41"/>
      <c r="L6448" s="31" t="str">
        <f>IFERROR(__xludf.DUMMYFUNCTION("IF(OR(E6448="""",K6448=""""),"""",IFERROR(IF(K6448="""","""",query('tbl user'!$A$2:$D10975,""SELECT A WHERE D = '""&amp;K6448&amp;""'"")),""USER TIDAK DIKETAHUI""))"),"")</f>
        <v/>
      </c>
    </row>
    <row r="6449">
      <c r="A6449" s="21" t="str">
        <f t="shared" si="3"/>
        <v/>
      </c>
      <c r="B6449" s="38"/>
      <c r="C6449" s="23" t="s">
        <v>1887</v>
      </c>
      <c r="D6449" s="23" t="s">
        <v>58</v>
      </c>
      <c r="E6449" s="46">
        <v>45496.0</v>
      </c>
      <c r="F6449" s="25">
        <v>0.39861111111111114</v>
      </c>
      <c r="G6449" s="25">
        <v>0.7666666666666667</v>
      </c>
      <c r="H6449" s="27">
        <f t="shared" si="4"/>
        <v>0.3680555556</v>
      </c>
      <c r="I6449" s="28">
        <v>2.0</v>
      </c>
      <c r="J6449" s="39" t="s">
        <v>3200</v>
      </c>
      <c r="K6449" s="41"/>
      <c r="L6449" s="31" t="str">
        <f>IFERROR(__xludf.DUMMYFUNCTION("IF(OR(E6449="""",K6449=""""),"""",IFERROR(IF(K6449="""","""",query('tbl user'!$A$2:$D10975,""SELECT A WHERE D = '""&amp;K6449&amp;""'"")),""USER TIDAK DIKETAHUI""))"),"")</f>
        <v/>
      </c>
    </row>
    <row r="6450">
      <c r="A6450" s="21" t="str">
        <f t="shared" si="3"/>
        <v/>
      </c>
      <c r="B6450" s="38"/>
      <c r="C6450" s="23" t="s">
        <v>1889</v>
      </c>
      <c r="D6450" s="23" t="s">
        <v>58</v>
      </c>
      <c r="E6450" s="46">
        <v>45496.0</v>
      </c>
      <c r="F6450" s="25">
        <v>0.2513888888888889</v>
      </c>
      <c r="G6450" s="25">
        <v>0.6166666666666667</v>
      </c>
      <c r="H6450" s="27">
        <f t="shared" si="4"/>
        <v>0.3652777778</v>
      </c>
      <c r="I6450" s="28">
        <v>2.0</v>
      </c>
      <c r="J6450" s="39" t="s">
        <v>3246</v>
      </c>
      <c r="K6450" s="41"/>
      <c r="L6450" s="31" t="str">
        <f>IFERROR(__xludf.DUMMYFUNCTION("IF(OR(E6450="""",K6450=""""),"""",IFERROR(IF(K6450="""","""",query('tbl user'!$A$2:$D10975,""SELECT A WHERE D = '""&amp;K6450&amp;""'"")),""USER TIDAK DIKETAHUI""))"),"")</f>
        <v/>
      </c>
    </row>
    <row r="6451">
      <c r="A6451" s="21" t="str">
        <f t="shared" si="3"/>
        <v/>
      </c>
      <c r="B6451" s="38"/>
      <c r="C6451" s="23" t="s">
        <v>1871</v>
      </c>
      <c r="D6451" s="23" t="s">
        <v>58</v>
      </c>
      <c r="E6451" s="46">
        <v>45496.0</v>
      </c>
      <c r="F6451" s="25">
        <v>0.2388888888888889</v>
      </c>
      <c r="G6451" s="25">
        <v>0.6888888888888889</v>
      </c>
      <c r="H6451" s="27">
        <f t="shared" si="4"/>
        <v>0.45</v>
      </c>
      <c r="I6451" s="28">
        <v>2.0</v>
      </c>
      <c r="J6451" s="39" t="s">
        <v>3200</v>
      </c>
      <c r="K6451" s="41"/>
      <c r="L6451" s="31" t="str">
        <f>IFERROR(__xludf.DUMMYFUNCTION("IF(OR(E6451="""",K6451=""""),"""",IFERROR(IF(K6451="""","""",query('tbl user'!$A$2:$D10975,""SELECT A WHERE D = '""&amp;K6451&amp;""'"")),""USER TIDAK DIKETAHUI""))"),"")</f>
        <v/>
      </c>
    </row>
    <row r="6452">
      <c r="A6452" s="21" t="str">
        <f t="shared" si="3"/>
        <v/>
      </c>
      <c r="B6452" s="38"/>
      <c r="C6452" s="23" t="s">
        <v>1872</v>
      </c>
      <c r="D6452" s="23" t="s">
        <v>58</v>
      </c>
      <c r="E6452" s="46">
        <v>45496.0</v>
      </c>
      <c r="F6452" s="25">
        <v>0.23194444444444445</v>
      </c>
      <c r="G6452" s="28" t="s">
        <v>1817</v>
      </c>
      <c r="H6452" s="27" t="str">
        <f t="shared" si="4"/>
        <v/>
      </c>
      <c r="I6452" s="28">
        <v>2.0</v>
      </c>
      <c r="J6452" s="39" t="s">
        <v>3247</v>
      </c>
      <c r="K6452" s="41"/>
      <c r="L6452" s="31" t="str">
        <f>IFERROR(__xludf.DUMMYFUNCTION("IF(OR(E6452="""",K6452=""""),"""",IFERROR(IF(K6452="""","""",query('tbl user'!$A$2:$D10975,""SELECT A WHERE D = '""&amp;K6452&amp;""'"")),""USER TIDAK DIKETAHUI""))"),"")</f>
        <v/>
      </c>
    </row>
    <row r="6453">
      <c r="A6453" s="21" t="str">
        <f t="shared" si="3"/>
        <v/>
      </c>
      <c r="B6453" s="38"/>
      <c r="C6453" s="23" t="s">
        <v>1890</v>
      </c>
      <c r="D6453" s="23" t="s">
        <v>58</v>
      </c>
      <c r="E6453" s="46">
        <v>45496.0</v>
      </c>
      <c r="F6453" s="25">
        <v>0.24027777777777778</v>
      </c>
      <c r="G6453" s="25">
        <v>0.6972222222222222</v>
      </c>
      <c r="H6453" s="27">
        <f t="shared" si="4"/>
        <v>0.4569444444</v>
      </c>
      <c r="I6453" s="28">
        <v>2.0</v>
      </c>
      <c r="J6453" s="39" t="s">
        <v>3200</v>
      </c>
      <c r="K6453" s="41"/>
      <c r="L6453" s="31" t="str">
        <f>IFERROR(__xludf.DUMMYFUNCTION("IF(OR(E6453="""",K6453=""""),"""",IFERROR(IF(K6453="""","""",query('tbl user'!$A$2:$D10975,""SELECT A WHERE D = '""&amp;K6453&amp;""'"")),""USER TIDAK DIKETAHUI""))"),"")</f>
        <v/>
      </c>
    </row>
    <row r="6454">
      <c r="A6454" s="21" t="str">
        <f t="shared" si="3"/>
        <v/>
      </c>
      <c r="B6454" s="38"/>
      <c r="C6454" s="23" t="s">
        <v>1861</v>
      </c>
      <c r="D6454" s="23" t="s">
        <v>58</v>
      </c>
      <c r="E6454" s="46">
        <v>45496.0</v>
      </c>
      <c r="F6454" s="25">
        <v>0.2611111111111111</v>
      </c>
      <c r="G6454" s="25">
        <v>0.6604166666666667</v>
      </c>
      <c r="H6454" s="27">
        <f t="shared" si="4"/>
        <v>0.3993055556</v>
      </c>
      <c r="I6454" s="28">
        <v>2.0</v>
      </c>
      <c r="J6454" s="39" t="s">
        <v>3248</v>
      </c>
      <c r="K6454" s="41"/>
      <c r="L6454" s="31" t="str">
        <f>IFERROR(__xludf.DUMMYFUNCTION("IF(OR(E6454="""",K6454=""""),"""",IFERROR(IF(K6454="""","""",query('tbl user'!$A$2:$D10975,""SELECT A WHERE D = '""&amp;K6454&amp;""'"")),""USER TIDAK DIKETAHUI""))"),"")</f>
        <v/>
      </c>
    </row>
    <row r="6455">
      <c r="A6455" s="21" t="str">
        <f t="shared" si="3"/>
        <v/>
      </c>
      <c r="B6455" s="38"/>
      <c r="C6455" s="23" t="s">
        <v>1891</v>
      </c>
      <c r="D6455" s="23" t="s">
        <v>58</v>
      </c>
      <c r="E6455" s="46">
        <v>45496.0</v>
      </c>
      <c r="F6455" s="25">
        <v>0.22083333333333333</v>
      </c>
      <c r="G6455" s="25">
        <v>0.71875</v>
      </c>
      <c r="H6455" s="27">
        <f t="shared" si="4"/>
        <v>0.4979166667</v>
      </c>
      <c r="I6455" s="28">
        <v>2.0</v>
      </c>
      <c r="J6455" s="39" t="s">
        <v>3249</v>
      </c>
      <c r="K6455" s="41"/>
      <c r="L6455" s="31" t="str">
        <f>IFERROR(__xludf.DUMMYFUNCTION("IF(OR(E6455="""",K6455=""""),"""",IFERROR(IF(K6455="""","""",query('tbl user'!$A$2:$D10975,""SELECT A WHERE D = '""&amp;K6455&amp;""'"")),""USER TIDAK DIKETAHUI""))"),"")</f>
        <v/>
      </c>
    </row>
    <row r="6456">
      <c r="A6456" s="21" t="str">
        <f t="shared" si="3"/>
        <v/>
      </c>
      <c r="B6456" s="38"/>
      <c r="C6456" s="23" t="s">
        <v>1881</v>
      </c>
      <c r="D6456" s="23" t="s">
        <v>58</v>
      </c>
      <c r="E6456" s="46">
        <v>45496.0</v>
      </c>
      <c r="F6456" s="25">
        <v>0.20833333333333334</v>
      </c>
      <c r="G6456" s="25">
        <v>0.7159722222222222</v>
      </c>
      <c r="H6456" s="27">
        <f t="shared" si="4"/>
        <v>0.5076388889</v>
      </c>
      <c r="I6456" s="28">
        <v>3.0</v>
      </c>
      <c r="J6456" s="39" t="s">
        <v>3250</v>
      </c>
      <c r="K6456" s="41"/>
      <c r="L6456" s="31" t="str">
        <f>IFERROR(__xludf.DUMMYFUNCTION("IF(OR(E6456="""",K6456=""""),"""",IFERROR(IF(K6456="""","""",query('tbl user'!$A$2:$D10975,""SELECT A WHERE D = '""&amp;K6456&amp;""'"")),""USER TIDAK DIKETAHUI""))"),"")</f>
        <v/>
      </c>
    </row>
    <row r="6457">
      <c r="A6457" s="21" t="str">
        <f t="shared" si="3"/>
        <v/>
      </c>
      <c r="B6457" s="38"/>
      <c r="C6457" s="23" t="s">
        <v>1950</v>
      </c>
      <c r="D6457" s="23" t="s">
        <v>58</v>
      </c>
      <c r="E6457" s="46">
        <v>45496.0</v>
      </c>
      <c r="F6457" s="25">
        <v>0.23402777777777778</v>
      </c>
      <c r="G6457" s="25">
        <v>0.7236111111111111</v>
      </c>
      <c r="H6457" s="27">
        <f t="shared" si="4"/>
        <v>0.4895833333</v>
      </c>
      <c r="I6457" s="28">
        <v>3.0</v>
      </c>
      <c r="J6457" s="39" t="s">
        <v>3216</v>
      </c>
      <c r="K6457" s="41"/>
      <c r="L6457" s="31" t="str">
        <f>IFERROR(__xludf.DUMMYFUNCTION("IF(OR(E6457="""",K6457=""""),"""",IFERROR(IF(K6457="""","""",query('tbl user'!$A$2:$D10975,""SELECT A WHERE D = '""&amp;K6457&amp;""'"")),""USER TIDAK DIKETAHUI""))"),"")</f>
        <v/>
      </c>
    </row>
    <row r="6458">
      <c r="A6458" s="21" t="str">
        <f t="shared" si="3"/>
        <v/>
      </c>
      <c r="B6458" s="38"/>
      <c r="C6458" s="23" t="s">
        <v>1892</v>
      </c>
      <c r="D6458" s="23" t="s">
        <v>58</v>
      </c>
      <c r="E6458" s="46">
        <v>45496.0</v>
      </c>
      <c r="F6458" s="25">
        <v>0.20694444444444443</v>
      </c>
      <c r="G6458" s="25">
        <v>0.6993055555555555</v>
      </c>
      <c r="H6458" s="27">
        <f t="shared" si="4"/>
        <v>0.4923611111</v>
      </c>
      <c r="I6458" s="28">
        <v>3.0</v>
      </c>
      <c r="J6458" s="39" t="s">
        <v>3216</v>
      </c>
      <c r="K6458" s="41"/>
      <c r="L6458" s="31" t="str">
        <f>IFERROR(__xludf.DUMMYFUNCTION("IF(OR(E6458="""",K6458=""""),"""",IFERROR(IF(K6458="""","""",query('tbl user'!$A$2:$D10975,""SELECT A WHERE D = '""&amp;K6458&amp;""'"")),""USER TIDAK DIKETAHUI""))"),"")</f>
        <v/>
      </c>
    </row>
    <row r="6459">
      <c r="A6459" s="21" t="str">
        <f t="shared" si="3"/>
        <v/>
      </c>
      <c r="B6459" s="38"/>
      <c r="C6459" s="23" t="s">
        <v>1961</v>
      </c>
      <c r="D6459" s="23" t="s">
        <v>32</v>
      </c>
      <c r="E6459" s="46">
        <v>45496.0</v>
      </c>
      <c r="F6459" s="25">
        <v>0.2798611111111111</v>
      </c>
      <c r="G6459" s="25">
        <v>0.5555555555555556</v>
      </c>
      <c r="H6459" s="27">
        <f t="shared" si="4"/>
        <v>0.2756944444</v>
      </c>
      <c r="I6459" s="28">
        <v>2.0</v>
      </c>
      <c r="J6459" s="39" t="s">
        <v>3251</v>
      </c>
      <c r="K6459" s="41"/>
      <c r="L6459" s="31" t="str">
        <f>IFERROR(__xludf.DUMMYFUNCTION("IF(OR(E6459="""",K6459=""""),"""",IFERROR(IF(K6459="""","""",query('tbl user'!$A$2:$D10975,""SELECT A WHERE D = '""&amp;K6459&amp;""'"")),""USER TIDAK DIKETAHUI""))"),"")</f>
        <v/>
      </c>
    </row>
    <row r="6460">
      <c r="A6460" s="21" t="str">
        <f t="shared" si="3"/>
        <v/>
      </c>
      <c r="B6460" s="38"/>
      <c r="C6460" s="23" t="s">
        <v>1911</v>
      </c>
      <c r="D6460" s="23" t="s">
        <v>32</v>
      </c>
      <c r="E6460" s="46">
        <v>45496.0</v>
      </c>
      <c r="F6460" s="25">
        <v>0.2375</v>
      </c>
      <c r="G6460" s="25">
        <v>0.45208333333333334</v>
      </c>
      <c r="H6460" s="27">
        <f t="shared" si="4"/>
        <v>0.2145833333</v>
      </c>
      <c r="I6460" s="28">
        <v>2.0</v>
      </c>
      <c r="J6460" s="39" t="s">
        <v>3252</v>
      </c>
      <c r="K6460" s="41"/>
      <c r="L6460" s="31" t="str">
        <f>IFERROR(__xludf.DUMMYFUNCTION("IF(OR(E6460="""",K6460=""""),"""",IFERROR(IF(K6460="""","""",query('tbl user'!$A$2:$D10975,""SELECT A WHERE D = '""&amp;K6460&amp;""'"")),""USER TIDAK DIKETAHUI""))"),"")</f>
        <v/>
      </c>
    </row>
    <row r="6461">
      <c r="A6461" s="21" t="str">
        <f t="shared" si="3"/>
        <v/>
      </c>
      <c r="B6461" s="38"/>
      <c r="C6461" s="23" t="s">
        <v>1894</v>
      </c>
      <c r="D6461" s="23" t="s">
        <v>32</v>
      </c>
      <c r="E6461" s="46">
        <v>45496.0</v>
      </c>
      <c r="F6461" s="25">
        <v>0.3229166666666667</v>
      </c>
      <c r="G6461" s="25">
        <v>0.6875</v>
      </c>
      <c r="H6461" s="27">
        <f t="shared" si="4"/>
        <v>0.3645833333</v>
      </c>
      <c r="I6461" s="28">
        <v>3.0</v>
      </c>
      <c r="J6461" s="39" t="s">
        <v>3253</v>
      </c>
      <c r="K6461" s="41"/>
      <c r="L6461" s="31" t="str">
        <f>IFERROR(__xludf.DUMMYFUNCTION("IF(OR(E6461="""",K6461=""""),"""",IFERROR(IF(K6461="""","""",query('tbl user'!$A$2:$D10975,""SELECT A WHERE D = '""&amp;K6461&amp;""'"")),""USER TIDAK DIKETAHUI""))"),"")</f>
        <v/>
      </c>
    </row>
    <row r="6462">
      <c r="A6462" s="21" t="str">
        <f t="shared" si="3"/>
        <v/>
      </c>
      <c r="B6462" s="38"/>
      <c r="C6462" s="23" t="s">
        <v>1904</v>
      </c>
      <c r="D6462" s="23" t="s">
        <v>32</v>
      </c>
      <c r="E6462" s="46">
        <v>45496.0</v>
      </c>
      <c r="F6462" s="25">
        <v>0.27361111111111114</v>
      </c>
      <c r="G6462" s="25">
        <v>0.6166666666666667</v>
      </c>
      <c r="H6462" s="27">
        <f t="shared" si="4"/>
        <v>0.3430555556</v>
      </c>
      <c r="I6462" s="28">
        <v>3.0</v>
      </c>
      <c r="J6462" s="39" t="s">
        <v>3254</v>
      </c>
      <c r="K6462" s="41"/>
      <c r="L6462" s="31" t="str">
        <f>IFERROR(__xludf.DUMMYFUNCTION("IF(OR(E6462="""",K6462=""""),"""",IFERROR(IF(K6462="""","""",query('tbl user'!$A$2:$D10975,""SELECT A WHERE D = '""&amp;K6462&amp;""'"")),""USER TIDAK DIKETAHUI""))"),"")</f>
        <v/>
      </c>
    </row>
    <row r="6463">
      <c r="A6463" s="21" t="str">
        <f t="shared" si="3"/>
        <v/>
      </c>
      <c r="B6463" s="38"/>
      <c r="C6463" s="23" t="s">
        <v>1907</v>
      </c>
      <c r="D6463" s="23" t="s">
        <v>32</v>
      </c>
      <c r="E6463" s="46">
        <v>45496.0</v>
      </c>
      <c r="F6463" s="25">
        <v>0.28888888888888886</v>
      </c>
      <c r="G6463" s="25">
        <v>0.6736111111111112</v>
      </c>
      <c r="H6463" s="27">
        <f t="shared" si="4"/>
        <v>0.3847222222</v>
      </c>
      <c r="I6463" s="28">
        <v>3.0</v>
      </c>
      <c r="J6463" s="39" t="s">
        <v>3255</v>
      </c>
      <c r="K6463" s="41"/>
      <c r="L6463" s="31" t="str">
        <f>IFERROR(__xludf.DUMMYFUNCTION("IF(OR(E6463="""",K6463=""""),"""",IFERROR(IF(K6463="""","""",query('tbl user'!$A$2:$D10975,""SELECT A WHERE D = '""&amp;K6463&amp;""'"")),""USER TIDAK DIKETAHUI""))"),"")</f>
        <v/>
      </c>
    </row>
    <row r="6464">
      <c r="A6464" s="21" t="str">
        <f t="shared" si="3"/>
        <v/>
      </c>
      <c r="B6464" s="38"/>
      <c r="C6464" s="23" t="s">
        <v>1962</v>
      </c>
      <c r="D6464" s="23" t="s">
        <v>32</v>
      </c>
      <c r="E6464" s="46">
        <v>45496.0</v>
      </c>
      <c r="F6464" s="25">
        <v>0.2465277777777778</v>
      </c>
      <c r="G6464" s="25">
        <v>0.6680555555555555</v>
      </c>
      <c r="H6464" s="27">
        <f t="shared" si="4"/>
        <v>0.4215277778</v>
      </c>
      <c r="I6464" s="28">
        <v>4.0</v>
      </c>
      <c r="J6464" s="39" t="s">
        <v>3256</v>
      </c>
      <c r="K6464" s="41"/>
      <c r="L6464" s="31" t="str">
        <f>IFERROR(__xludf.DUMMYFUNCTION("IF(OR(E6464="""",K6464=""""),"""",IFERROR(IF(K6464="""","""",query('tbl user'!$A$2:$D10975,""SELECT A WHERE D = '""&amp;K6464&amp;""'"")),""USER TIDAK DIKETAHUI""))"),"")</f>
        <v/>
      </c>
    </row>
    <row r="6465">
      <c r="A6465" s="21" t="str">
        <f t="shared" si="3"/>
        <v/>
      </c>
      <c r="B6465" s="38"/>
      <c r="C6465" s="23" t="s">
        <v>1957</v>
      </c>
      <c r="D6465" s="23" t="s">
        <v>32</v>
      </c>
      <c r="E6465" s="46">
        <v>45496.0</v>
      </c>
      <c r="F6465" s="25">
        <v>0.25763888888888886</v>
      </c>
      <c r="G6465" s="25">
        <v>0.6944444444444444</v>
      </c>
      <c r="H6465" s="27">
        <f t="shared" si="4"/>
        <v>0.4368055556</v>
      </c>
      <c r="I6465" s="28">
        <v>4.0</v>
      </c>
      <c r="J6465" s="39" t="s">
        <v>3216</v>
      </c>
      <c r="K6465" s="41"/>
      <c r="L6465" s="31" t="str">
        <f>IFERROR(__xludf.DUMMYFUNCTION("IF(OR(E6465="""",K6465=""""),"""",IFERROR(IF(K6465="""","""",query('tbl user'!$A$2:$D10975,""SELECT A WHERE D = '""&amp;K6465&amp;""'"")),""USER TIDAK DIKETAHUI""))"),"")</f>
        <v/>
      </c>
    </row>
    <row r="6466">
      <c r="A6466" s="21" t="str">
        <f t="shared" si="3"/>
        <v/>
      </c>
      <c r="B6466" s="38"/>
      <c r="C6466" s="23" t="s">
        <v>1959</v>
      </c>
      <c r="D6466" s="23" t="s">
        <v>32</v>
      </c>
      <c r="E6466" s="46">
        <v>45496.0</v>
      </c>
      <c r="F6466" s="25">
        <v>0.23194444444444445</v>
      </c>
      <c r="G6466" s="25">
        <v>0.6923611111111111</v>
      </c>
      <c r="H6466" s="27">
        <f t="shared" si="4"/>
        <v>0.4604166667</v>
      </c>
      <c r="I6466" s="28">
        <v>4.0</v>
      </c>
      <c r="J6466" s="39" t="s">
        <v>3216</v>
      </c>
      <c r="K6466" s="41"/>
      <c r="L6466" s="31" t="str">
        <f>IFERROR(__xludf.DUMMYFUNCTION("IF(OR(E6466="""",K6466=""""),"""",IFERROR(IF(K6466="""","""",query('tbl user'!$A$2:$D10975,""SELECT A WHERE D = '""&amp;K6466&amp;""'"")),""USER TIDAK DIKETAHUI""))"),"")</f>
        <v/>
      </c>
    </row>
    <row r="6467">
      <c r="A6467" s="21" t="str">
        <f t="shared" si="3"/>
        <v/>
      </c>
      <c r="B6467" s="38"/>
      <c r="C6467" s="23" t="s">
        <v>1966</v>
      </c>
      <c r="D6467" s="23" t="s">
        <v>32</v>
      </c>
      <c r="E6467" s="46">
        <v>45496.0</v>
      </c>
      <c r="F6467" s="25">
        <v>0.2881944444444444</v>
      </c>
      <c r="G6467" s="25">
        <v>0.7111111111111111</v>
      </c>
      <c r="H6467" s="27">
        <f t="shared" si="4"/>
        <v>0.4229166667</v>
      </c>
      <c r="I6467" s="28">
        <v>4.0</v>
      </c>
      <c r="J6467" s="39" t="s">
        <v>3216</v>
      </c>
      <c r="K6467" s="41"/>
      <c r="L6467" s="31" t="str">
        <f>IFERROR(__xludf.DUMMYFUNCTION("IF(OR(E6467="""",K6467=""""),"""",IFERROR(IF(K6467="""","""",query('tbl user'!$A$2:$D10975,""SELECT A WHERE D = '""&amp;K6467&amp;""'"")),""USER TIDAK DIKETAHUI""))"),"")</f>
        <v/>
      </c>
    </row>
    <row r="6468">
      <c r="A6468" s="21" t="str">
        <f t="shared" si="3"/>
        <v/>
      </c>
      <c r="B6468" s="38"/>
      <c r="C6468" s="23" t="s">
        <v>1967</v>
      </c>
      <c r="D6468" s="23" t="s">
        <v>32</v>
      </c>
      <c r="E6468" s="46">
        <v>45496.0</v>
      </c>
      <c r="F6468" s="25">
        <v>0.23680555555555555</v>
      </c>
      <c r="G6468" s="25">
        <v>0.71875</v>
      </c>
      <c r="H6468" s="27">
        <f t="shared" si="4"/>
        <v>0.4819444444</v>
      </c>
      <c r="I6468" s="28">
        <v>4.0</v>
      </c>
      <c r="J6468" s="39" t="s">
        <v>3257</v>
      </c>
      <c r="K6468" s="41"/>
      <c r="L6468" s="31" t="str">
        <f>IFERROR(__xludf.DUMMYFUNCTION("IF(OR(E6468="""",K6468=""""),"""",IFERROR(IF(K6468="""","""",query('tbl user'!$A$2:$D10975,""SELECT A WHERE D = '""&amp;K6468&amp;""'"")),""USER TIDAK DIKETAHUI""))"),"")</f>
        <v/>
      </c>
    </row>
    <row r="6469">
      <c r="A6469" s="21" t="str">
        <f t="shared" si="3"/>
        <v/>
      </c>
      <c r="B6469" s="38"/>
      <c r="C6469" s="23" t="s">
        <v>2190</v>
      </c>
      <c r="D6469" s="23" t="s">
        <v>32</v>
      </c>
      <c r="E6469" s="46">
        <v>45496.0</v>
      </c>
      <c r="F6469" s="25">
        <v>0.2388888888888889</v>
      </c>
      <c r="G6469" s="25">
        <v>0.6638888888888889</v>
      </c>
      <c r="H6469" s="27">
        <f t="shared" si="4"/>
        <v>0.425</v>
      </c>
      <c r="I6469" s="28">
        <v>4.0</v>
      </c>
      <c r="J6469" s="39" t="s">
        <v>3216</v>
      </c>
      <c r="K6469" s="41"/>
      <c r="L6469" s="31" t="str">
        <f>IFERROR(__xludf.DUMMYFUNCTION("IF(OR(E6469="""",K6469=""""),"""",IFERROR(IF(K6469="""","""",query('tbl user'!$A$2:$D10975,""SELECT A WHERE D = '""&amp;K6469&amp;""'"")),""USER TIDAK DIKETAHUI""))"),"")</f>
        <v/>
      </c>
    </row>
    <row r="6470">
      <c r="A6470" s="21" t="str">
        <f t="shared" si="3"/>
        <v/>
      </c>
      <c r="B6470" s="38"/>
      <c r="C6470" s="23" t="s">
        <v>1912</v>
      </c>
      <c r="D6470" s="23" t="s">
        <v>32</v>
      </c>
      <c r="E6470" s="46">
        <v>45496.0</v>
      </c>
      <c r="F6470" s="25">
        <v>0.25069444444444444</v>
      </c>
      <c r="G6470" s="25">
        <v>0.6986111111111111</v>
      </c>
      <c r="H6470" s="27">
        <f t="shared" si="4"/>
        <v>0.4479166667</v>
      </c>
      <c r="I6470" s="28">
        <v>4.0</v>
      </c>
      <c r="J6470" s="39" t="s">
        <v>3216</v>
      </c>
      <c r="K6470" s="41"/>
      <c r="L6470" s="31" t="str">
        <f>IFERROR(__xludf.DUMMYFUNCTION("IF(OR(E6470="""",K6470=""""),"""",IFERROR(IF(K6470="""","""",query('tbl user'!$A$2:$D10975,""SELECT A WHERE D = '""&amp;K6470&amp;""'"")),""USER TIDAK DIKETAHUI""))"),"")</f>
        <v/>
      </c>
    </row>
    <row r="6471">
      <c r="A6471" s="21" t="str">
        <f t="shared" si="3"/>
        <v/>
      </c>
      <c r="B6471" s="38"/>
      <c r="C6471" s="23" t="s">
        <v>1903</v>
      </c>
      <c r="D6471" s="23" t="s">
        <v>32</v>
      </c>
      <c r="E6471" s="46">
        <v>45496.0</v>
      </c>
      <c r="F6471" s="25">
        <v>0.23125</v>
      </c>
      <c r="G6471" s="25">
        <v>0.6909722222222222</v>
      </c>
      <c r="H6471" s="27">
        <f t="shared" si="4"/>
        <v>0.4597222222</v>
      </c>
      <c r="I6471" s="28">
        <v>4.0</v>
      </c>
      <c r="J6471" s="39" t="s">
        <v>3216</v>
      </c>
      <c r="K6471" s="41"/>
      <c r="L6471" s="31" t="str">
        <f>IFERROR(__xludf.DUMMYFUNCTION("IF(OR(E6471="""",K6471=""""),"""",IFERROR(IF(K6471="""","""",query('tbl user'!$A$2:$D10975,""SELECT A WHERE D = '""&amp;K6471&amp;""'"")),""USER TIDAK DIKETAHUI""))"),"")</f>
        <v/>
      </c>
    </row>
    <row r="6472">
      <c r="A6472" s="21" t="str">
        <f t="shared" si="3"/>
        <v/>
      </c>
      <c r="B6472" s="38"/>
      <c r="C6472" s="23" t="s">
        <v>1954</v>
      </c>
      <c r="D6472" s="23" t="s">
        <v>32</v>
      </c>
      <c r="E6472" s="46">
        <v>45496.0</v>
      </c>
      <c r="F6472" s="25">
        <v>0.2881944444444444</v>
      </c>
      <c r="G6472" s="25">
        <v>0.6979166666666666</v>
      </c>
      <c r="H6472" s="27">
        <f t="shared" si="4"/>
        <v>0.4097222222</v>
      </c>
      <c r="I6472" s="28">
        <v>4.0</v>
      </c>
      <c r="J6472" s="39" t="s">
        <v>3216</v>
      </c>
      <c r="K6472" s="41"/>
      <c r="L6472" s="31" t="str">
        <f>IFERROR(__xludf.DUMMYFUNCTION("IF(OR(E6472="""",K6472=""""),"""",IFERROR(IF(K6472="""","""",query('tbl user'!$A$2:$D10975,""SELECT A WHERE D = '""&amp;K6472&amp;""'"")),""USER TIDAK DIKETAHUI""))"),"")</f>
        <v/>
      </c>
    </row>
    <row r="6473">
      <c r="A6473" s="21" t="str">
        <f t="shared" si="3"/>
        <v/>
      </c>
      <c r="B6473" s="38"/>
      <c r="C6473" s="23" t="s">
        <v>1905</v>
      </c>
      <c r="D6473" s="23" t="s">
        <v>32</v>
      </c>
      <c r="E6473" s="46">
        <v>45496.0</v>
      </c>
      <c r="F6473" s="25">
        <v>0.23055555555555557</v>
      </c>
      <c r="G6473" s="25">
        <v>0.7159722222222222</v>
      </c>
      <c r="H6473" s="27">
        <f t="shared" si="4"/>
        <v>0.4854166667</v>
      </c>
      <c r="I6473" s="28">
        <v>4.0</v>
      </c>
      <c r="J6473" s="39" t="s">
        <v>3258</v>
      </c>
      <c r="K6473" s="41"/>
      <c r="L6473" s="31" t="str">
        <f>IFERROR(__xludf.DUMMYFUNCTION("IF(OR(E6473="""",K6473=""""),"""",IFERROR(IF(K6473="""","""",query('tbl user'!$A$2:$D10975,""SELECT A WHERE D = '""&amp;K6473&amp;""'"")),""USER TIDAK DIKETAHUI""))"),"")</f>
        <v/>
      </c>
    </row>
    <row r="6474">
      <c r="A6474" s="21" t="str">
        <f t="shared" si="3"/>
        <v/>
      </c>
      <c r="B6474" s="38"/>
      <c r="C6474" s="23" t="s">
        <v>1908</v>
      </c>
      <c r="D6474" s="23" t="s">
        <v>32</v>
      </c>
      <c r="E6474" s="46">
        <v>45496.0</v>
      </c>
      <c r="F6474" s="25">
        <v>0.225</v>
      </c>
      <c r="G6474" s="25">
        <v>0.7090277777777778</v>
      </c>
      <c r="H6474" s="27">
        <f t="shared" si="4"/>
        <v>0.4840277778</v>
      </c>
      <c r="I6474" s="28">
        <v>4.0</v>
      </c>
      <c r="J6474" s="39" t="s">
        <v>3216</v>
      </c>
      <c r="K6474" s="41"/>
      <c r="L6474" s="31" t="str">
        <f>IFERROR(__xludf.DUMMYFUNCTION("IF(OR(E6474="""",K6474=""""),"""",IFERROR(IF(K6474="""","""",query('tbl user'!$A$2:$D10975,""SELECT A WHERE D = '""&amp;K6474&amp;""'"")),""USER TIDAK DIKETAHUI""))"),"")</f>
        <v/>
      </c>
    </row>
    <row r="6475">
      <c r="A6475" s="21" t="str">
        <f t="shared" si="3"/>
        <v/>
      </c>
      <c r="B6475" s="38"/>
      <c r="C6475" s="23" t="s">
        <v>1913</v>
      </c>
      <c r="D6475" s="23" t="s">
        <v>32</v>
      </c>
      <c r="E6475" s="46">
        <v>45496.0</v>
      </c>
      <c r="F6475" s="25">
        <v>0.2423611111111111</v>
      </c>
      <c r="G6475" s="25">
        <v>0.6673611111111111</v>
      </c>
      <c r="H6475" s="27">
        <f t="shared" si="4"/>
        <v>0.425</v>
      </c>
      <c r="I6475" s="28">
        <v>4.0</v>
      </c>
      <c r="J6475" s="39" t="s">
        <v>3259</v>
      </c>
      <c r="K6475" s="41"/>
      <c r="L6475" s="31" t="str">
        <f>IFERROR(__xludf.DUMMYFUNCTION("IF(OR(E6475="""",K6475=""""),"""",IFERROR(IF(K6475="""","""",query('tbl user'!$A$2:$D10975,""SELECT A WHERE D = '""&amp;K6475&amp;""'"")),""USER TIDAK DIKETAHUI""))"),"")</f>
        <v/>
      </c>
    </row>
    <row r="6476">
      <c r="A6476" s="21" t="str">
        <f t="shared" si="3"/>
        <v/>
      </c>
      <c r="B6476" s="38"/>
      <c r="C6476" s="23"/>
      <c r="D6476" s="23"/>
      <c r="E6476" s="24"/>
      <c r="F6476" s="25"/>
      <c r="G6476" s="25"/>
      <c r="H6476" s="27" t="str">
        <f t="shared" si="4"/>
        <v/>
      </c>
      <c r="I6476" s="28"/>
      <c r="J6476" s="39"/>
      <c r="K6476" s="41"/>
      <c r="L6476" s="31" t="str">
        <f>IFERROR(__xludf.DUMMYFUNCTION("IF(OR(E6476="""",K6476=""""),"""",IFERROR(IF(K6476="""","""",query('tbl user'!$A$2:$D10975,""SELECT A WHERE D = '""&amp;K6476&amp;""'"")),""USER TIDAK DIKETAHUI""))"),"")</f>
        <v/>
      </c>
    </row>
    <row r="6477">
      <c r="A6477" s="21" t="str">
        <f t="shared" si="3"/>
        <v/>
      </c>
      <c r="B6477" s="38"/>
      <c r="C6477" s="23"/>
      <c r="D6477" s="23"/>
      <c r="E6477" s="24"/>
      <c r="F6477" s="25"/>
      <c r="G6477" s="25"/>
      <c r="H6477" s="27" t="str">
        <f t="shared" si="4"/>
        <v/>
      </c>
      <c r="I6477" s="28"/>
      <c r="J6477" s="39"/>
      <c r="K6477" s="41"/>
      <c r="L6477" s="31" t="str">
        <f>IFERROR(__xludf.DUMMYFUNCTION("IF(OR(E6477="""",K6477=""""),"""",IFERROR(IF(K6477="""","""",query('tbl user'!$A$2:$D10975,""SELECT A WHERE D = '""&amp;K6477&amp;""'"")),""USER TIDAK DIKETAHUI""))"),"")</f>
        <v/>
      </c>
    </row>
    <row r="6478">
      <c r="A6478" s="21" t="str">
        <f t="shared" si="3"/>
        <v/>
      </c>
      <c r="B6478" s="38"/>
      <c r="C6478" s="23"/>
      <c r="D6478" s="23"/>
      <c r="E6478" s="24"/>
      <c r="F6478" s="25"/>
      <c r="G6478" s="25"/>
      <c r="H6478" s="27" t="str">
        <f t="shared" si="4"/>
        <v/>
      </c>
      <c r="I6478" s="28"/>
      <c r="J6478" s="39"/>
      <c r="K6478" s="41"/>
      <c r="L6478" s="31" t="str">
        <f>IFERROR(__xludf.DUMMYFUNCTION("IF(OR(E6478="""",K6478=""""),"""",IFERROR(IF(K6478="""","""",query('tbl user'!$A$2:$D10975,""SELECT A WHERE D = '""&amp;K6478&amp;""'"")),""USER TIDAK DIKETAHUI""))"),"")</f>
        <v/>
      </c>
    </row>
    <row r="6479">
      <c r="A6479" s="21" t="str">
        <f t="shared" si="3"/>
        <v/>
      </c>
      <c r="B6479" s="38"/>
      <c r="C6479" s="23"/>
      <c r="D6479" s="23"/>
      <c r="E6479" s="24"/>
      <c r="F6479" s="25"/>
      <c r="G6479" s="25"/>
      <c r="H6479" s="27" t="str">
        <f t="shared" si="4"/>
        <v/>
      </c>
      <c r="I6479" s="28"/>
      <c r="J6479" s="39"/>
      <c r="K6479" s="41"/>
      <c r="L6479" s="31" t="str">
        <f>IFERROR(__xludf.DUMMYFUNCTION("IF(OR(E6479="""",K6479=""""),"""",IFERROR(IF(K6479="""","""",query('tbl user'!$A$2:$D10975,""SELECT A WHERE D = '""&amp;K6479&amp;""'"")),""USER TIDAK DIKETAHUI""))"),"")</f>
        <v/>
      </c>
    </row>
    <row r="6480">
      <c r="A6480" s="21" t="str">
        <f t="shared" si="3"/>
        <v/>
      </c>
      <c r="B6480" s="38"/>
      <c r="C6480" s="23"/>
      <c r="D6480" s="23"/>
      <c r="E6480" s="24"/>
      <c r="F6480" s="25"/>
      <c r="G6480" s="25"/>
      <c r="H6480" s="27" t="str">
        <f t="shared" si="4"/>
        <v/>
      </c>
      <c r="I6480" s="28"/>
      <c r="J6480" s="39"/>
      <c r="K6480" s="41"/>
      <c r="L6480" s="31" t="str">
        <f>IFERROR(__xludf.DUMMYFUNCTION("IF(OR(E6480="""",K6480=""""),"""",IFERROR(IF(K6480="""","""",query('tbl user'!$A$2:$D10975,""SELECT A WHERE D = '""&amp;K6480&amp;""'"")),""USER TIDAK DIKETAHUI""))"),"")</f>
        <v/>
      </c>
    </row>
    <row r="6481">
      <c r="A6481" s="21" t="str">
        <f t="shared" si="3"/>
        <v/>
      </c>
      <c r="B6481" s="38"/>
      <c r="C6481" s="23"/>
      <c r="D6481" s="23"/>
      <c r="E6481" s="24"/>
      <c r="F6481" s="25"/>
      <c r="G6481" s="25"/>
      <c r="H6481" s="27" t="str">
        <f t="shared" si="4"/>
        <v/>
      </c>
      <c r="I6481" s="28"/>
      <c r="J6481" s="39"/>
      <c r="K6481" s="41"/>
      <c r="L6481" s="31" t="str">
        <f>IFERROR(__xludf.DUMMYFUNCTION("IF(OR(E6481="""",K6481=""""),"""",IFERROR(IF(K6481="""","""",query('tbl user'!$A$2:$D10975,""SELECT A WHERE D = '""&amp;K6481&amp;""'"")),""USER TIDAK DIKETAHUI""))"),"")</f>
        <v/>
      </c>
    </row>
    <row r="6482">
      <c r="A6482" s="21" t="str">
        <f t="shared" si="3"/>
        <v/>
      </c>
      <c r="B6482" s="38"/>
      <c r="C6482" s="23"/>
      <c r="D6482" s="23"/>
      <c r="E6482" s="24"/>
      <c r="F6482" s="25"/>
      <c r="G6482" s="25"/>
      <c r="H6482" s="27" t="str">
        <f t="shared" si="4"/>
        <v/>
      </c>
      <c r="I6482" s="28"/>
      <c r="J6482" s="39"/>
      <c r="K6482" s="41"/>
      <c r="L6482" s="31" t="str">
        <f>IFERROR(__xludf.DUMMYFUNCTION("IF(OR(E6482="""",K6482=""""),"""",IFERROR(IF(K6482="""","""",query('tbl user'!$A$2:$D10975,""SELECT A WHERE D = '""&amp;K6482&amp;""'"")),""USER TIDAK DIKETAHUI""))"),"")</f>
        <v/>
      </c>
    </row>
    <row r="6483">
      <c r="A6483" s="21" t="str">
        <f t="shared" si="3"/>
        <v/>
      </c>
      <c r="B6483" s="38"/>
      <c r="C6483" s="23"/>
      <c r="D6483" s="23"/>
      <c r="E6483" s="24"/>
      <c r="F6483" s="25"/>
      <c r="G6483" s="25"/>
      <c r="H6483" s="27" t="str">
        <f t="shared" si="4"/>
        <v/>
      </c>
      <c r="I6483" s="28"/>
      <c r="J6483" s="39"/>
      <c r="K6483" s="41"/>
      <c r="L6483" s="31" t="str">
        <f>IFERROR(__xludf.DUMMYFUNCTION("IF(OR(E6483="""",K6483=""""),"""",IFERROR(IF(K6483="""","""",query('tbl user'!$A$2:$D10975,""SELECT A WHERE D = '""&amp;K6483&amp;""'"")),""USER TIDAK DIKETAHUI""))"),"")</f>
        <v/>
      </c>
    </row>
    <row r="6484">
      <c r="A6484" s="21" t="str">
        <f t="shared" si="3"/>
        <v/>
      </c>
      <c r="B6484" s="38"/>
      <c r="C6484" s="23"/>
      <c r="D6484" s="23"/>
      <c r="E6484" s="24"/>
      <c r="F6484" s="25"/>
      <c r="G6484" s="25"/>
      <c r="H6484" s="27" t="str">
        <f t="shared" si="4"/>
        <v/>
      </c>
      <c r="I6484" s="28"/>
      <c r="J6484" s="39"/>
      <c r="K6484" s="41"/>
      <c r="L6484" s="31" t="str">
        <f>IFERROR(__xludf.DUMMYFUNCTION("IF(OR(E6484="""",K6484=""""),"""",IFERROR(IF(K6484="""","""",query('tbl user'!$A$2:$D10975,""SELECT A WHERE D = '""&amp;K6484&amp;""'"")),""USER TIDAK DIKETAHUI""))"),"")</f>
        <v/>
      </c>
    </row>
    <row r="6485">
      <c r="A6485" s="21" t="str">
        <f t="shared" si="3"/>
        <v/>
      </c>
      <c r="B6485" s="38"/>
      <c r="C6485" s="23"/>
      <c r="D6485" s="23"/>
      <c r="E6485" s="24"/>
      <c r="F6485" s="25"/>
      <c r="G6485" s="25"/>
      <c r="H6485" s="27" t="str">
        <f t="shared" si="4"/>
        <v/>
      </c>
      <c r="I6485" s="28"/>
      <c r="J6485" s="39"/>
      <c r="K6485" s="41"/>
      <c r="L6485" s="31" t="str">
        <f>IFERROR(__xludf.DUMMYFUNCTION("IF(OR(E6485="""",K6485=""""),"""",IFERROR(IF(K6485="""","""",query('tbl user'!$A$2:$D10975,""SELECT A WHERE D = '""&amp;K6485&amp;""'"")),""USER TIDAK DIKETAHUI""))"),"")</f>
        <v/>
      </c>
    </row>
    <row r="6486">
      <c r="A6486" s="21" t="str">
        <f t="shared" si="3"/>
        <v/>
      </c>
      <c r="B6486" s="38"/>
      <c r="C6486" s="23"/>
      <c r="D6486" s="23"/>
      <c r="E6486" s="24"/>
      <c r="F6486" s="25"/>
      <c r="G6486" s="25"/>
      <c r="H6486" s="27" t="str">
        <f t="shared" si="4"/>
        <v/>
      </c>
      <c r="I6486" s="28"/>
      <c r="J6486" s="39"/>
      <c r="K6486" s="41"/>
      <c r="L6486" s="31" t="str">
        <f>IFERROR(__xludf.DUMMYFUNCTION("IF(OR(E6486="""",K6486=""""),"""",IFERROR(IF(K6486="""","""",query('tbl user'!$A$2:$D10975,""SELECT A WHERE D = '""&amp;K6486&amp;""'"")),""USER TIDAK DIKETAHUI""))"),"")</f>
        <v/>
      </c>
    </row>
    <row r="6487">
      <c r="A6487" s="21" t="str">
        <f t="shared" si="3"/>
        <v/>
      </c>
      <c r="B6487" s="38"/>
      <c r="C6487" s="23"/>
      <c r="D6487" s="23"/>
      <c r="E6487" s="24"/>
      <c r="F6487" s="25"/>
      <c r="G6487" s="25"/>
      <c r="H6487" s="27" t="str">
        <f t="shared" si="4"/>
        <v/>
      </c>
      <c r="I6487" s="28"/>
      <c r="J6487" s="39"/>
      <c r="K6487" s="41"/>
      <c r="L6487" s="31" t="str">
        <f>IFERROR(__xludf.DUMMYFUNCTION("IF(OR(E6487="""",K6487=""""),"""",IFERROR(IF(K6487="""","""",query('tbl user'!$A$2:$D10975,""SELECT A WHERE D = '""&amp;K6487&amp;""'"")),""USER TIDAK DIKETAHUI""))"),"")</f>
        <v/>
      </c>
    </row>
    <row r="6488">
      <c r="A6488" s="21" t="str">
        <f t="shared" si="3"/>
        <v/>
      </c>
      <c r="B6488" s="38"/>
      <c r="C6488" s="23"/>
      <c r="D6488" s="23"/>
      <c r="E6488" s="24"/>
      <c r="F6488" s="25"/>
      <c r="G6488" s="25"/>
      <c r="H6488" s="27" t="str">
        <f t="shared" si="4"/>
        <v/>
      </c>
      <c r="I6488" s="28"/>
      <c r="J6488" s="39"/>
      <c r="K6488" s="41"/>
      <c r="L6488" s="31" t="str">
        <f>IFERROR(__xludf.DUMMYFUNCTION("IF(OR(E6488="""",K6488=""""),"""",IFERROR(IF(K6488="""","""",query('tbl user'!$A$2:$D10975,""SELECT A WHERE D = '""&amp;K6488&amp;""'"")),""USER TIDAK DIKETAHUI""))"),"")</f>
        <v/>
      </c>
    </row>
    <row r="6489">
      <c r="A6489" s="21" t="str">
        <f t="shared" si="3"/>
        <v/>
      </c>
      <c r="B6489" s="38"/>
      <c r="C6489" s="23"/>
      <c r="D6489" s="23"/>
      <c r="E6489" s="24"/>
      <c r="F6489" s="25"/>
      <c r="G6489" s="25"/>
      <c r="H6489" s="27" t="str">
        <f t="shared" si="4"/>
        <v/>
      </c>
      <c r="I6489" s="28"/>
      <c r="J6489" s="39"/>
      <c r="K6489" s="41"/>
      <c r="L6489" s="31" t="str">
        <f>IFERROR(__xludf.DUMMYFUNCTION("IF(OR(E6489="""",K6489=""""),"""",IFERROR(IF(K6489="""","""",query('tbl user'!$A$2:$D10975,""SELECT A WHERE D = '""&amp;K6489&amp;""'"")),""USER TIDAK DIKETAHUI""))"),"")</f>
        <v/>
      </c>
    </row>
    <row r="6490">
      <c r="A6490" s="21" t="str">
        <f t="shared" si="3"/>
        <v/>
      </c>
      <c r="B6490" s="38"/>
      <c r="C6490" s="23"/>
      <c r="D6490" s="23"/>
      <c r="E6490" s="24"/>
      <c r="F6490" s="25"/>
      <c r="G6490" s="25"/>
      <c r="H6490" s="27" t="str">
        <f t="shared" si="4"/>
        <v/>
      </c>
      <c r="I6490" s="28"/>
      <c r="J6490" s="39"/>
      <c r="K6490" s="41"/>
      <c r="L6490" s="31" t="str">
        <f>IFERROR(__xludf.DUMMYFUNCTION("IF(OR(E6490="""",K6490=""""),"""",IFERROR(IF(K6490="""","""",query('tbl user'!$A$2:$D10975,""SELECT A WHERE D = '""&amp;K6490&amp;""'"")),""USER TIDAK DIKETAHUI""))"),"")</f>
        <v/>
      </c>
    </row>
    <row r="6491">
      <c r="A6491" s="21" t="str">
        <f t="shared" si="3"/>
        <v/>
      </c>
      <c r="B6491" s="38"/>
      <c r="C6491" s="23"/>
      <c r="D6491" s="23"/>
      <c r="E6491" s="24"/>
      <c r="F6491" s="25"/>
      <c r="G6491" s="25"/>
      <c r="H6491" s="27" t="str">
        <f t="shared" si="4"/>
        <v/>
      </c>
      <c r="I6491" s="28"/>
      <c r="J6491" s="39"/>
      <c r="K6491" s="41"/>
      <c r="L6491" s="31" t="str">
        <f>IFERROR(__xludf.DUMMYFUNCTION("IF(OR(E6491="""",K6491=""""),"""",IFERROR(IF(K6491="""","""",query('tbl user'!$A$2:$D10975,""SELECT A WHERE D = '""&amp;K6491&amp;""'"")),""USER TIDAK DIKETAHUI""))"),"")</f>
        <v/>
      </c>
    </row>
    <row r="6492">
      <c r="A6492" s="21" t="str">
        <f t="shared" si="3"/>
        <v/>
      </c>
      <c r="B6492" s="38"/>
      <c r="C6492" s="23"/>
      <c r="D6492" s="23"/>
      <c r="E6492" s="24"/>
      <c r="F6492" s="25"/>
      <c r="G6492" s="25"/>
      <c r="H6492" s="27" t="str">
        <f t="shared" si="4"/>
        <v/>
      </c>
      <c r="I6492" s="28"/>
      <c r="J6492" s="39"/>
      <c r="K6492" s="41"/>
      <c r="L6492" s="31" t="str">
        <f>IFERROR(__xludf.DUMMYFUNCTION("IF(OR(E6492="""",K6492=""""),"""",IFERROR(IF(K6492="""","""",query('tbl user'!$A$2:$D10975,""SELECT A WHERE D = '""&amp;K6492&amp;""'"")),""USER TIDAK DIKETAHUI""))"),"")</f>
        <v/>
      </c>
    </row>
    <row r="6493">
      <c r="A6493" s="21" t="str">
        <f t="shared" si="3"/>
        <v/>
      </c>
      <c r="B6493" s="38"/>
      <c r="C6493" s="23"/>
      <c r="D6493" s="23"/>
      <c r="E6493" s="24"/>
      <c r="F6493" s="25"/>
      <c r="G6493" s="25"/>
      <c r="H6493" s="27" t="str">
        <f t="shared" si="4"/>
        <v/>
      </c>
      <c r="I6493" s="28"/>
      <c r="J6493" s="39"/>
      <c r="K6493" s="41"/>
      <c r="L6493" s="31" t="str">
        <f>IFERROR(__xludf.DUMMYFUNCTION("IF(OR(E6493="""",K6493=""""),"""",IFERROR(IF(K6493="""","""",query('tbl user'!$A$2:$D10975,""SELECT A WHERE D = '""&amp;K6493&amp;""'"")),""USER TIDAK DIKETAHUI""))"),"")</f>
        <v/>
      </c>
    </row>
    <row r="6494">
      <c r="A6494" s="21" t="str">
        <f t="shared" si="3"/>
        <v/>
      </c>
      <c r="B6494" s="38"/>
      <c r="C6494" s="23"/>
      <c r="D6494" s="23"/>
      <c r="E6494" s="24"/>
      <c r="F6494" s="25"/>
      <c r="G6494" s="25"/>
      <c r="H6494" s="27" t="str">
        <f t="shared" si="4"/>
        <v/>
      </c>
      <c r="I6494" s="28"/>
      <c r="J6494" s="39"/>
      <c r="K6494" s="41"/>
      <c r="L6494" s="31" t="str">
        <f>IFERROR(__xludf.DUMMYFUNCTION("IF(OR(E6494="""",K6494=""""),"""",IFERROR(IF(K6494="""","""",query('tbl user'!$A$2:$D10975,""SELECT A WHERE D = '""&amp;K6494&amp;""'"")),""USER TIDAK DIKETAHUI""))"),"")</f>
        <v/>
      </c>
    </row>
    <row r="6495">
      <c r="A6495" s="21" t="str">
        <f t="shared" si="3"/>
        <v/>
      </c>
      <c r="B6495" s="38"/>
      <c r="C6495" s="23"/>
      <c r="D6495" s="23"/>
      <c r="E6495" s="24"/>
      <c r="F6495" s="25"/>
      <c r="G6495" s="25"/>
      <c r="H6495" s="27" t="str">
        <f t="shared" si="4"/>
        <v/>
      </c>
      <c r="I6495" s="28"/>
      <c r="J6495" s="39"/>
      <c r="K6495" s="41"/>
      <c r="L6495" s="31" t="str">
        <f>IFERROR(__xludf.DUMMYFUNCTION("IF(OR(E6495="""",K6495=""""),"""",IFERROR(IF(K6495="""","""",query('tbl user'!$A$2:$D10975,""SELECT A WHERE D = '""&amp;K6495&amp;""'"")),""USER TIDAK DIKETAHUI""))"),"")</f>
        <v/>
      </c>
    </row>
    <row r="6496">
      <c r="A6496" s="21" t="str">
        <f t="shared" si="3"/>
        <v/>
      </c>
      <c r="B6496" s="38"/>
      <c r="C6496" s="23"/>
      <c r="D6496" s="23"/>
      <c r="E6496" s="24"/>
      <c r="F6496" s="25"/>
      <c r="G6496" s="25"/>
      <c r="H6496" s="27" t="str">
        <f t="shared" si="4"/>
        <v/>
      </c>
      <c r="I6496" s="28"/>
      <c r="J6496" s="39"/>
      <c r="K6496" s="41"/>
      <c r="L6496" s="31" t="str">
        <f>IFERROR(__xludf.DUMMYFUNCTION("IF(OR(E6496="""",K6496=""""),"""",IFERROR(IF(K6496="""","""",query('tbl user'!$A$2:$D10975,""SELECT A WHERE D = '""&amp;K6496&amp;""'"")),""USER TIDAK DIKETAHUI""))"),"")</f>
        <v/>
      </c>
    </row>
    <row r="6497">
      <c r="A6497" s="21" t="str">
        <f t="shared" si="3"/>
        <v/>
      </c>
      <c r="B6497" s="38"/>
      <c r="C6497" s="23"/>
      <c r="D6497" s="23"/>
      <c r="E6497" s="24"/>
      <c r="F6497" s="25"/>
      <c r="G6497" s="25"/>
      <c r="H6497" s="27" t="str">
        <f t="shared" si="4"/>
        <v/>
      </c>
      <c r="I6497" s="28"/>
      <c r="J6497" s="39"/>
      <c r="K6497" s="41"/>
      <c r="L6497" s="31" t="str">
        <f>IFERROR(__xludf.DUMMYFUNCTION("IF(OR(E6497="""",K6497=""""),"""",IFERROR(IF(K6497="""","""",query('tbl user'!$A$2:$D10975,""SELECT A WHERE D = '""&amp;K6497&amp;""'"")),""USER TIDAK DIKETAHUI""))"),"")</f>
        <v/>
      </c>
    </row>
    <row r="6498">
      <c r="A6498" s="21" t="str">
        <f t="shared" si="3"/>
        <v/>
      </c>
      <c r="B6498" s="38"/>
      <c r="C6498" s="23"/>
      <c r="D6498" s="23"/>
      <c r="E6498" s="24"/>
      <c r="F6498" s="25"/>
      <c r="G6498" s="25"/>
      <c r="H6498" s="27" t="str">
        <f t="shared" si="4"/>
        <v/>
      </c>
      <c r="I6498" s="28"/>
      <c r="J6498" s="39"/>
      <c r="K6498" s="41"/>
      <c r="L6498" s="31" t="str">
        <f>IFERROR(__xludf.DUMMYFUNCTION("IF(OR(E6498="""",K6498=""""),"""",IFERROR(IF(K6498="""","""",query('tbl user'!$A$2:$D10975,""SELECT A WHERE D = '""&amp;K6498&amp;""'"")),""USER TIDAK DIKETAHUI""))"),"")</f>
        <v/>
      </c>
    </row>
    <row r="6499">
      <c r="A6499" s="21" t="str">
        <f t="shared" si="3"/>
        <v/>
      </c>
      <c r="B6499" s="38"/>
      <c r="C6499" s="23"/>
      <c r="D6499" s="23"/>
      <c r="E6499" s="24"/>
      <c r="F6499" s="25"/>
      <c r="G6499" s="25"/>
      <c r="H6499" s="27" t="str">
        <f t="shared" si="4"/>
        <v/>
      </c>
      <c r="I6499" s="28"/>
      <c r="J6499" s="39"/>
      <c r="K6499" s="41"/>
      <c r="L6499" s="31" t="str">
        <f>IFERROR(__xludf.DUMMYFUNCTION("IF(OR(E6499="""",K6499=""""),"""",IFERROR(IF(K6499="""","""",query('tbl user'!$A$2:$D10975,""SELECT A WHERE D = '""&amp;K6499&amp;""'"")),""USER TIDAK DIKETAHUI""))"),"")</f>
        <v/>
      </c>
    </row>
    <row r="6500">
      <c r="A6500" s="21" t="str">
        <f t="shared" si="3"/>
        <v/>
      </c>
      <c r="B6500" s="38"/>
      <c r="C6500" s="23"/>
      <c r="D6500" s="23"/>
      <c r="E6500" s="24"/>
      <c r="F6500" s="25"/>
      <c r="G6500" s="25"/>
      <c r="H6500" s="27" t="str">
        <f t="shared" si="4"/>
        <v/>
      </c>
      <c r="I6500" s="28"/>
      <c r="J6500" s="39"/>
      <c r="K6500" s="41"/>
      <c r="L6500" s="31" t="str">
        <f>IFERROR(__xludf.DUMMYFUNCTION("IF(OR(E6500="""",K6500=""""),"""",IFERROR(IF(K6500="""","""",query('tbl user'!$A$2:$D10975,""SELECT A WHERE D = '""&amp;K6500&amp;""'"")),""USER TIDAK DIKETAHUI""))"),"")</f>
        <v/>
      </c>
    </row>
    <row r="6501">
      <c r="A6501" s="21" t="str">
        <f t="shared" si="3"/>
        <v/>
      </c>
      <c r="B6501" s="38"/>
      <c r="C6501" s="23"/>
      <c r="D6501" s="23"/>
      <c r="E6501" s="24"/>
      <c r="F6501" s="25"/>
      <c r="G6501" s="25"/>
      <c r="H6501" s="27" t="str">
        <f t="shared" si="4"/>
        <v/>
      </c>
      <c r="I6501" s="28"/>
      <c r="J6501" s="39"/>
      <c r="K6501" s="41"/>
      <c r="L6501" s="31" t="str">
        <f>IFERROR(__xludf.DUMMYFUNCTION("IF(OR(E6501="""",K6501=""""),"""",IFERROR(IF(K6501="""","""",query('tbl user'!$A$2:$D10975,""SELECT A WHERE D = '""&amp;K6501&amp;""'"")),""USER TIDAK DIKETAHUI""))"),"")</f>
        <v/>
      </c>
    </row>
    <row r="6502">
      <c r="A6502" s="21" t="str">
        <f t="shared" si="3"/>
        <v/>
      </c>
      <c r="B6502" s="38"/>
      <c r="C6502" s="23"/>
      <c r="D6502" s="23"/>
      <c r="E6502" s="24"/>
      <c r="F6502" s="25"/>
      <c r="G6502" s="25"/>
      <c r="H6502" s="27" t="str">
        <f t="shared" si="4"/>
        <v/>
      </c>
      <c r="I6502" s="28"/>
      <c r="J6502" s="39"/>
      <c r="K6502" s="41"/>
      <c r="L6502" s="31" t="str">
        <f>IFERROR(__xludf.DUMMYFUNCTION("IF(OR(E6502="""",K6502=""""),"""",IFERROR(IF(K6502="""","""",query('tbl user'!$A$2:$D10975,""SELECT A WHERE D = '""&amp;K6502&amp;""'"")),""USER TIDAK DIKETAHUI""))"),"")</f>
        <v/>
      </c>
    </row>
    <row r="6503">
      <c r="A6503" s="21" t="str">
        <f t="shared" si="3"/>
        <v/>
      </c>
      <c r="B6503" s="38"/>
      <c r="C6503" s="23"/>
      <c r="D6503" s="23"/>
      <c r="E6503" s="24"/>
      <c r="F6503" s="25"/>
      <c r="G6503" s="25"/>
      <c r="H6503" s="27" t="str">
        <f t="shared" si="4"/>
        <v/>
      </c>
      <c r="I6503" s="28"/>
      <c r="J6503" s="39"/>
      <c r="K6503" s="41"/>
      <c r="L6503" s="31" t="str">
        <f>IFERROR(__xludf.DUMMYFUNCTION("IF(OR(E6503="""",K6503=""""),"""",IFERROR(IF(K6503="""","""",query('tbl user'!$A$2:$D10975,""SELECT A WHERE D = '""&amp;K6503&amp;""'"")),""USER TIDAK DIKETAHUI""))"),"")</f>
        <v/>
      </c>
    </row>
    <row r="6504">
      <c r="A6504" s="21" t="str">
        <f t="shared" si="3"/>
        <v/>
      </c>
      <c r="B6504" s="38"/>
      <c r="C6504" s="23"/>
      <c r="D6504" s="23"/>
      <c r="E6504" s="24"/>
      <c r="F6504" s="25"/>
      <c r="G6504" s="25"/>
      <c r="H6504" s="27" t="str">
        <f t="shared" si="4"/>
        <v/>
      </c>
      <c r="I6504" s="28"/>
      <c r="J6504" s="39"/>
      <c r="K6504" s="41"/>
      <c r="L6504" s="31" t="str">
        <f>IFERROR(__xludf.DUMMYFUNCTION("IF(OR(E6504="""",K6504=""""),"""",IFERROR(IF(K6504="""","""",query('tbl user'!$A$2:$D10975,""SELECT A WHERE D = '""&amp;K6504&amp;""'"")),""USER TIDAK DIKETAHUI""))"),"")</f>
        <v/>
      </c>
    </row>
    <row r="6505">
      <c r="A6505" s="21" t="str">
        <f t="shared" si="3"/>
        <v/>
      </c>
      <c r="B6505" s="38"/>
      <c r="C6505" s="23"/>
      <c r="D6505" s="23"/>
      <c r="E6505" s="24"/>
      <c r="F6505" s="25"/>
      <c r="G6505" s="25"/>
      <c r="H6505" s="27" t="str">
        <f t="shared" si="4"/>
        <v/>
      </c>
      <c r="I6505" s="28"/>
      <c r="J6505" s="39"/>
      <c r="K6505" s="41"/>
      <c r="L6505" s="31" t="str">
        <f>IFERROR(__xludf.DUMMYFUNCTION("IF(OR(E6505="""",K6505=""""),"""",IFERROR(IF(K6505="""","""",query('tbl user'!$A$2:$D10975,""SELECT A WHERE D = '""&amp;K6505&amp;""'"")),""USER TIDAK DIKETAHUI""))"),"")</f>
        <v/>
      </c>
    </row>
    <row r="6506">
      <c r="A6506" s="21" t="str">
        <f t="shared" si="3"/>
        <v/>
      </c>
      <c r="B6506" s="38"/>
      <c r="C6506" s="23"/>
      <c r="D6506" s="23"/>
      <c r="E6506" s="24"/>
      <c r="F6506" s="25"/>
      <c r="G6506" s="25"/>
      <c r="H6506" s="27" t="str">
        <f t="shared" si="4"/>
        <v/>
      </c>
      <c r="I6506" s="28"/>
      <c r="J6506" s="39"/>
      <c r="K6506" s="41"/>
      <c r="L6506" s="31" t="str">
        <f>IFERROR(__xludf.DUMMYFUNCTION("IF(OR(E6506="""",K6506=""""),"""",IFERROR(IF(K6506="""","""",query('tbl user'!$A$2:$D10975,""SELECT A WHERE D = '""&amp;K6506&amp;""'"")),""USER TIDAK DIKETAHUI""))"),"")</f>
        <v/>
      </c>
    </row>
    <row r="6507">
      <c r="A6507" s="21" t="str">
        <f t="shared" si="3"/>
        <v/>
      </c>
      <c r="B6507" s="38"/>
      <c r="C6507" s="23"/>
      <c r="D6507" s="23"/>
      <c r="E6507" s="24"/>
      <c r="F6507" s="25"/>
      <c r="G6507" s="25"/>
      <c r="H6507" s="27" t="str">
        <f t="shared" si="4"/>
        <v/>
      </c>
      <c r="I6507" s="28"/>
      <c r="J6507" s="39"/>
      <c r="K6507" s="41"/>
      <c r="L6507" s="31" t="str">
        <f>IFERROR(__xludf.DUMMYFUNCTION("IF(OR(E6507="""",K6507=""""),"""",IFERROR(IF(K6507="""","""",query('tbl user'!$A$2:$D10975,""SELECT A WHERE D = '""&amp;K6507&amp;""'"")),""USER TIDAK DIKETAHUI""))"),"")</f>
        <v/>
      </c>
    </row>
    <row r="6508">
      <c r="A6508" s="21" t="str">
        <f t="shared" si="3"/>
        <v/>
      </c>
      <c r="B6508" s="38"/>
      <c r="C6508" s="23"/>
      <c r="D6508" s="23"/>
      <c r="E6508" s="24"/>
      <c r="F6508" s="25"/>
      <c r="G6508" s="25"/>
      <c r="H6508" s="27" t="str">
        <f t="shared" si="4"/>
        <v/>
      </c>
      <c r="I6508" s="28"/>
      <c r="J6508" s="39"/>
      <c r="K6508" s="41"/>
      <c r="L6508" s="31" t="str">
        <f>IFERROR(__xludf.DUMMYFUNCTION("IF(OR(E6508="""",K6508=""""),"""",IFERROR(IF(K6508="""","""",query('tbl user'!$A$2:$D10975,""SELECT A WHERE D = '""&amp;K6508&amp;""'"")),""USER TIDAK DIKETAHUI""))"),"")</f>
        <v/>
      </c>
    </row>
    <row r="6509">
      <c r="A6509" s="21" t="str">
        <f t="shared" si="3"/>
        <v/>
      </c>
      <c r="B6509" s="38"/>
      <c r="C6509" s="23"/>
      <c r="D6509" s="23"/>
      <c r="E6509" s="24"/>
      <c r="F6509" s="25"/>
      <c r="G6509" s="25"/>
      <c r="H6509" s="27" t="str">
        <f t="shared" si="4"/>
        <v/>
      </c>
      <c r="I6509" s="28"/>
      <c r="J6509" s="39"/>
      <c r="K6509" s="41"/>
      <c r="L6509" s="31" t="str">
        <f>IFERROR(__xludf.DUMMYFUNCTION("IF(OR(E6509="""",K6509=""""),"""",IFERROR(IF(K6509="""","""",query('tbl user'!$A$2:$D10975,""SELECT A WHERE D = '""&amp;K6509&amp;""'"")),""USER TIDAK DIKETAHUI""))"),"")</f>
        <v/>
      </c>
    </row>
    <row r="6510">
      <c r="A6510" s="21" t="str">
        <f t="shared" si="3"/>
        <v/>
      </c>
      <c r="B6510" s="38"/>
      <c r="C6510" s="23"/>
      <c r="D6510" s="23"/>
      <c r="E6510" s="24"/>
      <c r="F6510" s="25"/>
      <c r="G6510" s="25"/>
      <c r="H6510" s="27" t="str">
        <f t="shared" si="4"/>
        <v/>
      </c>
      <c r="I6510" s="28"/>
      <c r="J6510" s="39"/>
      <c r="K6510" s="41"/>
      <c r="L6510" s="31" t="str">
        <f>IFERROR(__xludf.DUMMYFUNCTION("IF(OR(E6510="""",K6510=""""),"""",IFERROR(IF(K6510="""","""",query('tbl user'!$A$2:$D10975,""SELECT A WHERE D = '""&amp;K6510&amp;""'"")),""USER TIDAK DIKETAHUI""))"),"")</f>
        <v/>
      </c>
    </row>
    <row r="6511">
      <c r="A6511" s="21" t="str">
        <f t="shared" si="3"/>
        <v/>
      </c>
      <c r="B6511" s="38"/>
      <c r="C6511" s="23"/>
      <c r="D6511" s="23"/>
      <c r="E6511" s="24"/>
      <c r="F6511" s="25"/>
      <c r="G6511" s="25"/>
      <c r="H6511" s="27" t="str">
        <f t="shared" si="4"/>
        <v/>
      </c>
      <c r="I6511" s="28"/>
      <c r="J6511" s="39"/>
      <c r="K6511" s="41"/>
      <c r="L6511" s="31" t="str">
        <f>IFERROR(__xludf.DUMMYFUNCTION("IF(OR(E6511="""",K6511=""""),"""",IFERROR(IF(K6511="""","""",query('tbl user'!$A$2:$D10975,""SELECT A WHERE D = '""&amp;K6511&amp;""'"")),""USER TIDAK DIKETAHUI""))"),"")</f>
        <v/>
      </c>
    </row>
    <row r="6512">
      <c r="A6512" s="21" t="str">
        <f t="shared" si="3"/>
        <v/>
      </c>
      <c r="B6512" s="38"/>
      <c r="C6512" s="23"/>
      <c r="D6512" s="23"/>
      <c r="E6512" s="24"/>
      <c r="F6512" s="25"/>
      <c r="G6512" s="25"/>
      <c r="H6512" s="27" t="str">
        <f t="shared" si="4"/>
        <v/>
      </c>
      <c r="I6512" s="28"/>
      <c r="J6512" s="39"/>
      <c r="K6512" s="41"/>
      <c r="L6512" s="31" t="str">
        <f>IFERROR(__xludf.DUMMYFUNCTION("IF(OR(E6512="""",K6512=""""),"""",IFERROR(IF(K6512="""","""",query('tbl user'!$A$2:$D10975,""SELECT A WHERE D = '""&amp;K6512&amp;""'"")),""USER TIDAK DIKETAHUI""))"),"")</f>
        <v/>
      </c>
    </row>
    <row r="6513">
      <c r="A6513" s="21" t="str">
        <f t="shared" si="3"/>
        <v/>
      </c>
      <c r="B6513" s="38"/>
      <c r="C6513" s="23"/>
      <c r="D6513" s="23"/>
      <c r="E6513" s="24"/>
      <c r="F6513" s="25"/>
      <c r="G6513" s="25"/>
      <c r="H6513" s="27" t="str">
        <f t="shared" si="4"/>
        <v/>
      </c>
      <c r="I6513" s="28"/>
      <c r="J6513" s="39"/>
      <c r="K6513" s="41"/>
      <c r="L6513" s="31" t="str">
        <f>IFERROR(__xludf.DUMMYFUNCTION("IF(OR(E6513="""",K6513=""""),"""",IFERROR(IF(K6513="""","""",query('tbl user'!$A$2:$D10975,""SELECT A WHERE D = '""&amp;K6513&amp;""'"")),""USER TIDAK DIKETAHUI""))"),"")</f>
        <v/>
      </c>
    </row>
    <row r="6514">
      <c r="A6514" s="21" t="str">
        <f t="shared" si="3"/>
        <v/>
      </c>
      <c r="B6514" s="38"/>
      <c r="C6514" s="23"/>
      <c r="D6514" s="23"/>
      <c r="E6514" s="24"/>
      <c r="F6514" s="25"/>
      <c r="G6514" s="25"/>
      <c r="H6514" s="27" t="str">
        <f t="shared" si="4"/>
        <v/>
      </c>
      <c r="I6514" s="28"/>
      <c r="J6514" s="39"/>
      <c r="K6514" s="41"/>
      <c r="L6514" s="31" t="str">
        <f>IFERROR(__xludf.DUMMYFUNCTION("IF(OR(E6514="""",K6514=""""),"""",IFERROR(IF(K6514="""","""",query('tbl user'!$A$2:$D10975,""SELECT A WHERE D = '""&amp;K6514&amp;""'"")),""USER TIDAK DIKETAHUI""))"),"")</f>
        <v/>
      </c>
    </row>
    <row r="6515">
      <c r="A6515" s="21" t="str">
        <f t="shared" si="3"/>
        <v/>
      </c>
      <c r="B6515" s="38"/>
      <c r="C6515" s="23"/>
      <c r="D6515" s="23"/>
      <c r="E6515" s="24"/>
      <c r="F6515" s="25"/>
      <c r="G6515" s="25"/>
      <c r="H6515" s="27" t="str">
        <f t="shared" si="4"/>
        <v/>
      </c>
      <c r="I6515" s="28"/>
      <c r="J6515" s="39"/>
      <c r="K6515" s="41"/>
      <c r="L6515" s="31" t="str">
        <f>IFERROR(__xludf.DUMMYFUNCTION("IF(OR(E6515="""",K6515=""""),"""",IFERROR(IF(K6515="""","""",query('tbl user'!$A$2:$D10975,""SELECT A WHERE D = '""&amp;K6515&amp;""'"")),""USER TIDAK DIKETAHUI""))"),"")</f>
        <v/>
      </c>
    </row>
    <row r="6516">
      <c r="A6516" s="21" t="str">
        <f t="shared" si="3"/>
        <v/>
      </c>
      <c r="B6516" s="38"/>
      <c r="C6516" s="23"/>
      <c r="D6516" s="23"/>
      <c r="E6516" s="24"/>
      <c r="F6516" s="25"/>
      <c r="G6516" s="25"/>
      <c r="H6516" s="27" t="str">
        <f t="shared" si="4"/>
        <v/>
      </c>
      <c r="I6516" s="28"/>
      <c r="J6516" s="39"/>
      <c r="K6516" s="41"/>
      <c r="L6516" s="31" t="str">
        <f>IFERROR(__xludf.DUMMYFUNCTION("IF(OR(E6516="""",K6516=""""),"""",IFERROR(IF(K6516="""","""",query('tbl user'!$A$2:$D10975,""SELECT A WHERE D = '""&amp;K6516&amp;""'"")),""USER TIDAK DIKETAHUI""))"),"")</f>
        <v/>
      </c>
    </row>
    <row r="6517">
      <c r="A6517" s="21" t="str">
        <f t="shared" si="3"/>
        <v/>
      </c>
      <c r="B6517" s="38"/>
      <c r="C6517" s="23"/>
      <c r="D6517" s="23"/>
      <c r="E6517" s="24"/>
      <c r="F6517" s="25"/>
      <c r="G6517" s="25"/>
      <c r="H6517" s="27" t="str">
        <f t="shared" si="4"/>
        <v/>
      </c>
      <c r="I6517" s="28"/>
      <c r="J6517" s="39"/>
      <c r="K6517" s="41"/>
      <c r="L6517" s="31" t="str">
        <f>IFERROR(__xludf.DUMMYFUNCTION("IF(OR(E6517="""",K6517=""""),"""",IFERROR(IF(K6517="""","""",query('tbl user'!$A$2:$D10975,""SELECT A WHERE D = '""&amp;K6517&amp;""'"")),""USER TIDAK DIKETAHUI""))"),"")</f>
        <v/>
      </c>
    </row>
    <row r="6518">
      <c r="A6518" s="21" t="str">
        <f t="shared" si="3"/>
        <v/>
      </c>
      <c r="B6518" s="38"/>
      <c r="C6518" s="23"/>
      <c r="D6518" s="23"/>
      <c r="E6518" s="24"/>
      <c r="F6518" s="25"/>
      <c r="G6518" s="25"/>
      <c r="H6518" s="27" t="str">
        <f t="shared" si="4"/>
        <v/>
      </c>
      <c r="I6518" s="28"/>
      <c r="J6518" s="39"/>
      <c r="K6518" s="41"/>
      <c r="L6518" s="31" t="str">
        <f>IFERROR(__xludf.DUMMYFUNCTION("IF(OR(E6518="""",K6518=""""),"""",IFERROR(IF(K6518="""","""",query('tbl user'!$A$2:$D10975,""SELECT A WHERE D = '""&amp;K6518&amp;""'"")),""USER TIDAK DIKETAHUI""))"),"")</f>
        <v/>
      </c>
    </row>
    <row r="6519">
      <c r="A6519" s="21" t="str">
        <f t="shared" si="3"/>
        <v/>
      </c>
      <c r="B6519" s="38"/>
      <c r="C6519" s="23"/>
      <c r="D6519" s="23"/>
      <c r="E6519" s="24"/>
      <c r="F6519" s="25"/>
      <c r="G6519" s="25"/>
      <c r="H6519" s="27" t="str">
        <f t="shared" si="4"/>
        <v/>
      </c>
      <c r="I6519" s="28"/>
      <c r="J6519" s="39"/>
      <c r="K6519" s="41"/>
      <c r="L6519" s="31" t="str">
        <f>IFERROR(__xludf.DUMMYFUNCTION("IF(OR(E6519="""",K6519=""""),"""",IFERROR(IF(K6519="""","""",query('tbl user'!$A$2:$D10975,""SELECT A WHERE D = '""&amp;K6519&amp;""'"")),""USER TIDAK DIKETAHUI""))"),"")</f>
        <v/>
      </c>
    </row>
    <row r="6520">
      <c r="A6520" s="21" t="str">
        <f t="shared" si="3"/>
        <v/>
      </c>
      <c r="B6520" s="38"/>
      <c r="C6520" s="23"/>
      <c r="D6520" s="23"/>
      <c r="E6520" s="24"/>
      <c r="F6520" s="25"/>
      <c r="G6520" s="25"/>
      <c r="H6520" s="27" t="str">
        <f t="shared" si="4"/>
        <v/>
      </c>
      <c r="I6520" s="28"/>
      <c r="J6520" s="39"/>
      <c r="K6520" s="41"/>
      <c r="L6520" s="31" t="str">
        <f>IFERROR(__xludf.DUMMYFUNCTION("IF(OR(E6520="""",K6520=""""),"""",IFERROR(IF(K6520="""","""",query('tbl user'!$A$2:$D10975,""SELECT A WHERE D = '""&amp;K6520&amp;""'"")),""USER TIDAK DIKETAHUI""))"),"")</f>
        <v/>
      </c>
    </row>
    <row r="6521">
      <c r="A6521" s="21" t="str">
        <f t="shared" si="3"/>
        <v/>
      </c>
      <c r="B6521" s="38"/>
      <c r="C6521" s="23"/>
      <c r="D6521" s="23"/>
      <c r="E6521" s="24"/>
      <c r="F6521" s="25"/>
      <c r="G6521" s="25"/>
      <c r="H6521" s="27" t="str">
        <f t="shared" si="4"/>
        <v/>
      </c>
      <c r="I6521" s="28"/>
      <c r="J6521" s="39"/>
      <c r="K6521" s="41"/>
      <c r="L6521" s="31" t="str">
        <f>IFERROR(__xludf.DUMMYFUNCTION("IF(OR(E6521="""",K6521=""""),"""",IFERROR(IF(K6521="""","""",query('tbl user'!$A$2:$D10975,""SELECT A WHERE D = '""&amp;K6521&amp;""'"")),""USER TIDAK DIKETAHUI""))"),"")</f>
        <v/>
      </c>
    </row>
    <row r="6522">
      <c r="A6522" s="21" t="str">
        <f t="shared" si="3"/>
        <v/>
      </c>
      <c r="B6522" s="38"/>
      <c r="C6522" s="23"/>
      <c r="D6522" s="23"/>
      <c r="E6522" s="24"/>
      <c r="F6522" s="25"/>
      <c r="G6522" s="25"/>
      <c r="H6522" s="27" t="str">
        <f t="shared" si="4"/>
        <v/>
      </c>
      <c r="I6522" s="28"/>
      <c r="J6522" s="39"/>
      <c r="K6522" s="41"/>
      <c r="L6522" s="31" t="str">
        <f>IFERROR(__xludf.DUMMYFUNCTION("IF(OR(E6522="""",K6522=""""),"""",IFERROR(IF(K6522="""","""",query('tbl user'!$A$2:$D10975,""SELECT A WHERE D = '""&amp;K6522&amp;""'"")),""USER TIDAK DIKETAHUI""))"),"")</f>
        <v/>
      </c>
    </row>
    <row r="6523">
      <c r="A6523" s="21" t="str">
        <f t="shared" si="3"/>
        <v/>
      </c>
      <c r="B6523" s="38"/>
      <c r="C6523" s="23"/>
      <c r="D6523" s="23"/>
      <c r="E6523" s="24"/>
      <c r="F6523" s="25"/>
      <c r="G6523" s="25"/>
      <c r="H6523" s="27" t="str">
        <f t="shared" si="4"/>
        <v/>
      </c>
      <c r="I6523" s="28"/>
      <c r="J6523" s="39"/>
      <c r="K6523" s="41"/>
      <c r="L6523" s="31" t="str">
        <f>IFERROR(__xludf.DUMMYFUNCTION("IF(OR(E6523="""",K6523=""""),"""",IFERROR(IF(K6523="""","""",query('tbl user'!$A$2:$D10975,""SELECT A WHERE D = '""&amp;K6523&amp;""'"")),""USER TIDAK DIKETAHUI""))"),"")</f>
        <v/>
      </c>
    </row>
    <row r="6524">
      <c r="A6524" s="21" t="str">
        <f t="shared" si="3"/>
        <v/>
      </c>
      <c r="B6524" s="38"/>
      <c r="C6524" s="23"/>
      <c r="D6524" s="23"/>
      <c r="E6524" s="24"/>
      <c r="F6524" s="25"/>
      <c r="G6524" s="25"/>
      <c r="H6524" s="27" t="str">
        <f t="shared" si="4"/>
        <v/>
      </c>
      <c r="I6524" s="28"/>
      <c r="J6524" s="39"/>
      <c r="K6524" s="41"/>
      <c r="L6524" s="31" t="str">
        <f>IFERROR(__xludf.DUMMYFUNCTION("IF(OR(E6524="""",K6524=""""),"""",IFERROR(IF(K6524="""","""",query('tbl user'!$A$2:$D10975,""SELECT A WHERE D = '""&amp;K6524&amp;""'"")),""USER TIDAK DIKETAHUI""))"),"")</f>
        <v/>
      </c>
    </row>
    <row r="6525">
      <c r="A6525" s="21" t="str">
        <f t="shared" si="3"/>
        <v/>
      </c>
      <c r="B6525" s="38"/>
      <c r="C6525" s="23"/>
      <c r="D6525" s="23"/>
      <c r="E6525" s="24"/>
      <c r="F6525" s="25"/>
      <c r="G6525" s="25"/>
      <c r="H6525" s="27" t="str">
        <f t="shared" si="4"/>
        <v/>
      </c>
      <c r="I6525" s="28"/>
      <c r="J6525" s="39"/>
      <c r="K6525" s="41"/>
      <c r="L6525" s="31" t="str">
        <f>IFERROR(__xludf.DUMMYFUNCTION("IF(OR(E6525="""",K6525=""""),"""",IFERROR(IF(K6525="""","""",query('tbl user'!$A$2:$D10975,""SELECT A WHERE D = '""&amp;K6525&amp;""'"")),""USER TIDAK DIKETAHUI""))"),"")</f>
        <v/>
      </c>
    </row>
    <row r="6526">
      <c r="A6526" s="21" t="str">
        <f t="shared" si="3"/>
        <v/>
      </c>
      <c r="B6526" s="38"/>
      <c r="C6526" s="23"/>
      <c r="D6526" s="23"/>
      <c r="E6526" s="24"/>
      <c r="F6526" s="25"/>
      <c r="G6526" s="25"/>
      <c r="H6526" s="27" t="str">
        <f t="shared" si="4"/>
        <v/>
      </c>
      <c r="I6526" s="28"/>
      <c r="J6526" s="39"/>
      <c r="K6526" s="41"/>
      <c r="L6526" s="31" t="str">
        <f>IFERROR(__xludf.DUMMYFUNCTION("IF(OR(E6526="""",K6526=""""),"""",IFERROR(IF(K6526="""","""",query('tbl user'!$A$2:$D10975,""SELECT A WHERE D = '""&amp;K6526&amp;""'"")),""USER TIDAK DIKETAHUI""))"),"")</f>
        <v/>
      </c>
    </row>
    <row r="6527">
      <c r="A6527" s="21" t="str">
        <f t="shared" si="3"/>
        <v/>
      </c>
      <c r="B6527" s="38"/>
      <c r="C6527" s="23"/>
      <c r="D6527" s="23"/>
      <c r="E6527" s="24"/>
      <c r="F6527" s="25"/>
      <c r="G6527" s="25"/>
      <c r="H6527" s="27" t="str">
        <f t="shared" si="4"/>
        <v/>
      </c>
      <c r="I6527" s="28"/>
      <c r="J6527" s="39"/>
      <c r="K6527" s="41"/>
      <c r="L6527" s="31" t="str">
        <f>IFERROR(__xludf.DUMMYFUNCTION("IF(OR(E6527="""",K6527=""""),"""",IFERROR(IF(K6527="""","""",query('tbl user'!$A$2:$D10975,""SELECT A WHERE D = '""&amp;K6527&amp;""'"")),""USER TIDAK DIKETAHUI""))"),"")</f>
        <v/>
      </c>
    </row>
    <row r="6528">
      <c r="A6528" s="21" t="str">
        <f t="shared" si="3"/>
        <v/>
      </c>
      <c r="B6528" s="38"/>
      <c r="C6528" s="23"/>
      <c r="D6528" s="23"/>
      <c r="E6528" s="24"/>
      <c r="F6528" s="25"/>
      <c r="G6528" s="25"/>
      <c r="H6528" s="27" t="str">
        <f t="shared" si="4"/>
        <v/>
      </c>
      <c r="I6528" s="28"/>
      <c r="J6528" s="39"/>
      <c r="K6528" s="41"/>
      <c r="L6528" s="31" t="str">
        <f>IFERROR(__xludf.DUMMYFUNCTION("IF(OR(E6528="""",K6528=""""),"""",IFERROR(IF(K6528="""","""",query('tbl user'!$A$2:$D10975,""SELECT A WHERE D = '""&amp;K6528&amp;""'"")),""USER TIDAK DIKETAHUI""))"),"")</f>
        <v/>
      </c>
    </row>
    <row r="6529">
      <c r="A6529" s="21" t="str">
        <f t="shared" si="3"/>
        <v/>
      </c>
      <c r="B6529" s="38"/>
      <c r="C6529" s="23"/>
      <c r="D6529" s="23"/>
      <c r="E6529" s="24"/>
      <c r="F6529" s="25"/>
      <c r="G6529" s="25"/>
      <c r="H6529" s="27" t="str">
        <f t="shared" si="4"/>
        <v/>
      </c>
      <c r="I6529" s="28"/>
      <c r="J6529" s="39"/>
      <c r="K6529" s="41"/>
      <c r="L6529" s="31" t="str">
        <f>IFERROR(__xludf.DUMMYFUNCTION("IF(OR(E6529="""",K6529=""""),"""",IFERROR(IF(K6529="""","""",query('tbl user'!$A$2:$D10975,""SELECT A WHERE D = '""&amp;K6529&amp;""'"")),""USER TIDAK DIKETAHUI""))"),"")</f>
        <v/>
      </c>
    </row>
    <row r="6530">
      <c r="A6530" s="21" t="str">
        <f t="shared" si="3"/>
        <v/>
      </c>
      <c r="B6530" s="38"/>
      <c r="C6530" s="23"/>
      <c r="D6530" s="23"/>
      <c r="E6530" s="24"/>
      <c r="F6530" s="25"/>
      <c r="G6530" s="25"/>
      <c r="H6530" s="27" t="str">
        <f t="shared" si="4"/>
        <v/>
      </c>
      <c r="I6530" s="28"/>
      <c r="J6530" s="39"/>
      <c r="K6530" s="41"/>
      <c r="L6530" s="31" t="str">
        <f>IFERROR(__xludf.DUMMYFUNCTION("IF(OR(E6530="""",K6530=""""),"""",IFERROR(IF(K6530="""","""",query('tbl user'!$A$2:$D10975,""SELECT A WHERE D = '""&amp;K6530&amp;""'"")),""USER TIDAK DIKETAHUI""))"),"")</f>
        <v/>
      </c>
    </row>
    <row r="6531">
      <c r="A6531" s="21" t="str">
        <f t="shared" si="3"/>
        <v/>
      </c>
      <c r="B6531" s="38"/>
      <c r="C6531" s="23"/>
      <c r="D6531" s="23"/>
      <c r="E6531" s="24"/>
      <c r="F6531" s="25"/>
      <c r="G6531" s="25"/>
      <c r="H6531" s="27" t="str">
        <f t="shared" si="4"/>
        <v/>
      </c>
      <c r="I6531" s="28"/>
      <c r="J6531" s="39"/>
      <c r="K6531" s="41"/>
      <c r="L6531" s="31" t="str">
        <f>IFERROR(__xludf.DUMMYFUNCTION("IF(OR(E6531="""",K6531=""""),"""",IFERROR(IF(K6531="""","""",query('tbl user'!$A$2:$D10975,""SELECT A WHERE D = '""&amp;K6531&amp;""'"")),""USER TIDAK DIKETAHUI""))"),"")</f>
        <v/>
      </c>
    </row>
    <row r="6532">
      <c r="A6532" s="21" t="str">
        <f t="shared" si="3"/>
        <v/>
      </c>
      <c r="B6532" s="38"/>
      <c r="C6532" s="23"/>
      <c r="D6532" s="23"/>
      <c r="E6532" s="24"/>
      <c r="F6532" s="25"/>
      <c r="G6532" s="25"/>
      <c r="H6532" s="27" t="str">
        <f t="shared" si="4"/>
        <v/>
      </c>
      <c r="I6532" s="28"/>
      <c r="J6532" s="39"/>
      <c r="K6532" s="41"/>
      <c r="L6532" s="31" t="str">
        <f>IFERROR(__xludf.DUMMYFUNCTION("IF(OR(E6532="""",K6532=""""),"""",IFERROR(IF(K6532="""","""",query('tbl user'!$A$2:$D10975,""SELECT A WHERE D = '""&amp;K6532&amp;""'"")),""USER TIDAK DIKETAHUI""))"),"")</f>
        <v/>
      </c>
    </row>
    <row r="6533">
      <c r="A6533" s="21" t="str">
        <f t="shared" si="3"/>
        <v/>
      </c>
      <c r="B6533" s="38"/>
      <c r="C6533" s="23"/>
      <c r="D6533" s="23"/>
      <c r="E6533" s="24"/>
      <c r="F6533" s="25"/>
      <c r="G6533" s="25"/>
      <c r="H6533" s="27" t="str">
        <f t="shared" si="4"/>
        <v/>
      </c>
      <c r="I6533" s="28"/>
      <c r="J6533" s="39"/>
      <c r="K6533" s="41"/>
      <c r="L6533" s="31" t="str">
        <f>IFERROR(__xludf.DUMMYFUNCTION("IF(OR(E6533="""",K6533=""""),"""",IFERROR(IF(K6533="""","""",query('tbl user'!$A$2:$D10975,""SELECT A WHERE D = '""&amp;K6533&amp;""'"")),""USER TIDAK DIKETAHUI""))"),"")</f>
        <v/>
      </c>
    </row>
    <row r="6534">
      <c r="A6534" s="21" t="str">
        <f t="shared" si="3"/>
        <v/>
      </c>
      <c r="B6534" s="38"/>
      <c r="C6534" s="23"/>
      <c r="D6534" s="23"/>
      <c r="E6534" s="24"/>
      <c r="F6534" s="25"/>
      <c r="G6534" s="25"/>
      <c r="H6534" s="27" t="str">
        <f t="shared" si="4"/>
        <v/>
      </c>
      <c r="I6534" s="28"/>
      <c r="J6534" s="39"/>
      <c r="K6534" s="41"/>
      <c r="L6534" s="31" t="str">
        <f>IFERROR(__xludf.DUMMYFUNCTION("IF(OR(E6534="""",K6534=""""),"""",IFERROR(IF(K6534="""","""",query('tbl user'!$A$2:$D10975,""SELECT A WHERE D = '""&amp;K6534&amp;""'"")),""USER TIDAK DIKETAHUI""))"),"")</f>
        <v/>
      </c>
    </row>
    <row r="6535">
      <c r="A6535" s="21" t="str">
        <f t="shared" si="3"/>
        <v/>
      </c>
      <c r="B6535" s="38"/>
      <c r="C6535" s="23"/>
      <c r="D6535" s="23"/>
      <c r="E6535" s="24"/>
      <c r="F6535" s="25"/>
      <c r="G6535" s="25"/>
      <c r="H6535" s="27" t="str">
        <f t="shared" si="4"/>
        <v/>
      </c>
      <c r="I6535" s="28"/>
      <c r="J6535" s="39"/>
      <c r="K6535" s="41"/>
      <c r="L6535" s="31" t="str">
        <f>IFERROR(__xludf.DUMMYFUNCTION("IF(OR(E6535="""",K6535=""""),"""",IFERROR(IF(K6535="""","""",query('tbl user'!$A$2:$D10975,""SELECT A WHERE D = '""&amp;K6535&amp;""'"")),""USER TIDAK DIKETAHUI""))"),"")</f>
        <v/>
      </c>
    </row>
    <row r="6536">
      <c r="A6536" s="21" t="str">
        <f t="shared" si="3"/>
        <v/>
      </c>
      <c r="B6536" s="38"/>
      <c r="C6536" s="23"/>
      <c r="D6536" s="23"/>
      <c r="E6536" s="24"/>
      <c r="F6536" s="25"/>
      <c r="G6536" s="25"/>
      <c r="H6536" s="27" t="str">
        <f t="shared" si="4"/>
        <v/>
      </c>
      <c r="I6536" s="28"/>
      <c r="J6536" s="39"/>
      <c r="K6536" s="41"/>
      <c r="L6536" s="31" t="str">
        <f>IFERROR(__xludf.DUMMYFUNCTION("IF(OR(E6536="""",K6536=""""),"""",IFERROR(IF(K6536="""","""",query('tbl user'!$A$2:$D10975,""SELECT A WHERE D = '""&amp;K6536&amp;""'"")),""USER TIDAK DIKETAHUI""))"),"")</f>
        <v/>
      </c>
    </row>
    <row r="6537">
      <c r="A6537" s="21" t="str">
        <f t="shared" si="3"/>
        <v/>
      </c>
      <c r="B6537" s="38"/>
      <c r="C6537" s="23"/>
      <c r="D6537" s="23"/>
      <c r="E6537" s="24"/>
      <c r="F6537" s="25"/>
      <c r="G6537" s="25"/>
      <c r="H6537" s="27" t="str">
        <f t="shared" si="4"/>
        <v/>
      </c>
      <c r="I6537" s="28"/>
      <c r="J6537" s="39"/>
      <c r="K6537" s="41"/>
      <c r="L6537" s="31" t="str">
        <f>IFERROR(__xludf.DUMMYFUNCTION("IF(OR(E6537="""",K6537=""""),"""",IFERROR(IF(K6537="""","""",query('tbl user'!$A$2:$D10975,""SELECT A WHERE D = '""&amp;K6537&amp;""'"")),""USER TIDAK DIKETAHUI""))"),"")</f>
        <v/>
      </c>
    </row>
    <row r="6538">
      <c r="A6538" s="21" t="str">
        <f t="shared" si="3"/>
        <v/>
      </c>
      <c r="B6538" s="38"/>
      <c r="C6538" s="23"/>
      <c r="D6538" s="23"/>
      <c r="E6538" s="24"/>
      <c r="F6538" s="25"/>
      <c r="G6538" s="25"/>
      <c r="H6538" s="27" t="str">
        <f t="shared" si="4"/>
        <v/>
      </c>
      <c r="I6538" s="28"/>
      <c r="J6538" s="39"/>
      <c r="K6538" s="41"/>
      <c r="L6538" s="31" t="str">
        <f>IFERROR(__xludf.DUMMYFUNCTION("IF(OR(E6538="""",K6538=""""),"""",IFERROR(IF(K6538="""","""",query('tbl user'!$A$2:$D10975,""SELECT A WHERE D = '""&amp;K6538&amp;""'"")),""USER TIDAK DIKETAHUI""))"),"")</f>
        <v/>
      </c>
    </row>
    <row r="6539">
      <c r="A6539" s="21" t="str">
        <f t="shared" si="3"/>
        <v/>
      </c>
      <c r="B6539" s="38"/>
      <c r="C6539" s="23"/>
      <c r="D6539" s="23"/>
      <c r="E6539" s="24"/>
      <c r="F6539" s="25"/>
      <c r="G6539" s="25"/>
      <c r="H6539" s="27" t="str">
        <f t="shared" si="4"/>
        <v/>
      </c>
      <c r="I6539" s="28"/>
      <c r="J6539" s="39"/>
      <c r="K6539" s="41"/>
      <c r="L6539" s="31" t="str">
        <f>IFERROR(__xludf.DUMMYFUNCTION("IF(OR(E6539="""",K6539=""""),"""",IFERROR(IF(K6539="""","""",query('tbl user'!$A$2:$D10975,""SELECT A WHERE D = '""&amp;K6539&amp;""'"")),""USER TIDAK DIKETAHUI""))"),"")</f>
        <v/>
      </c>
    </row>
    <row r="6540">
      <c r="A6540" s="21" t="str">
        <f t="shared" si="3"/>
        <v/>
      </c>
      <c r="B6540" s="38"/>
      <c r="C6540" s="23"/>
      <c r="D6540" s="23"/>
      <c r="E6540" s="24"/>
      <c r="F6540" s="25"/>
      <c r="G6540" s="25"/>
      <c r="H6540" s="27" t="str">
        <f t="shared" si="4"/>
        <v/>
      </c>
      <c r="I6540" s="28"/>
      <c r="J6540" s="39"/>
      <c r="K6540" s="41"/>
      <c r="L6540" s="31" t="str">
        <f>IFERROR(__xludf.DUMMYFUNCTION("IF(OR(E6540="""",K6540=""""),"""",IFERROR(IF(K6540="""","""",query('tbl user'!$A$2:$D10975,""SELECT A WHERE D = '""&amp;K6540&amp;""'"")),""USER TIDAK DIKETAHUI""))"),"")</f>
        <v/>
      </c>
    </row>
    <row r="6541">
      <c r="A6541" s="21" t="str">
        <f t="shared" si="3"/>
        <v/>
      </c>
      <c r="B6541" s="38"/>
      <c r="C6541" s="23"/>
      <c r="D6541" s="23"/>
      <c r="E6541" s="24"/>
      <c r="F6541" s="25"/>
      <c r="G6541" s="25"/>
      <c r="H6541" s="27" t="str">
        <f t="shared" si="4"/>
        <v/>
      </c>
      <c r="I6541" s="28"/>
      <c r="J6541" s="39"/>
      <c r="K6541" s="41"/>
      <c r="L6541" s="31" t="str">
        <f>IFERROR(__xludf.DUMMYFUNCTION("IF(OR(E6541="""",K6541=""""),"""",IFERROR(IF(K6541="""","""",query('tbl user'!$A$2:$D10975,""SELECT A WHERE D = '""&amp;K6541&amp;""'"")),""USER TIDAK DIKETAHUI""))"),"")</f>
        <v/>
      </c>
    </row>
    <row r="6542">
      <c r="A6542" s="21" t="str">
        <f t="shared" si="3"/>
        <v/>
      </c>
      <c r="B6542" s="38"/>
      <c r="C6542" s="23"/>
      <c r="D6542" s="23"/>
      <c r="E6542" s="24"/>
      <c r="F6542" s="25"/>
      <c r="G6542" s="25"/>
      <c r="H6542" s="27" t="str">
        <f t="shared" si="4"/>
        <v/>
      </c>
      <c r="I6542" s="28"/>
      <c r="J6542" s="39"/>
      <c r="K6542" s="41"/>
      <c r="L6542" s="31" t="str">
        <f>IFERROR(__xludf.DUMMYFUNCTION("IF(OR(E6542="""",K6542=""""),"""",IFERROR(IF(K6542="""","""",query('tbl user'!$A$2:$D10975,""SELECT A WHERE D = '""&amp;K6542&amp;""'"")),""USER TIDAK DIKETAHUI""))"),"")</f>
        <v/>
      </c>
    </row>
    <row r="6543">
      <c r="A6543" s="21" t="str">
        <f t="shared" si="3"/>
        <v/>
      </c>
      <c r="B6543" s="38"/>
      <c r="C6543" s="23"/>
      <c r="D6543" s="23"/>
      <c r="E6543" s="24"/>
      <c r="F6543" s="25"/>
      <c r="G6543" s="25"/>
      <c r="H6543" s="27" t="str">
        <f t="shared" si="4"/>
        <v/>
      </c>
      <c r="I6543" s="28"/>
      <c r="J6543" s="39"/>
      <c r="K6543" s="41"/>
      <c r="L6543" s="31" t="str">
        <f>IFERROR(__xludf.DUMMYFUNCTION("IF(OR(E6543="""",K6543=""""),"""",IFERROR(IF(K6543="""","""",query('tbl user'!$A$2:$D10975,""SELECT A WHERE D = '""&amp;K6543&amp;""'"")),""USER TIDAK DIKETAHUI""))"),"")</f>
        <v/>
      </c>
    </row>
    <row r="6544">
      <c r="A6544" s="21" t="str">
        <f t="shared" si="3"/>
        <v/>
      </c>
      <c r="B6544" s="38"/>
      <c r="C6544" s="23"/>
      <c r="D6544" s="23"/>
      <c r="E6544" s="24"/>
      <c r="F6544" s="25"/>
      <c r="G6544" s="25"/>
      <c r="H6544" s="27"/>
      <c r="I6544" s="28"/>
      <c r="J6544" s="39"/>
      <c r="K6544" s="41"/>
      <c r="L6544" s="31" t="str">
        <f>IFERROR(__xludf.DUMMYFUNCTION("IF(OR(E6544="""",K6544=""""),"""",IFERROR(IF(K6544="""","""",query('tbl user'!$A$2:$D10975,""SELECT A WHERE D = '""&amp;K6544&amp;""'"")),""USER TIDAK DIKETAHUI""))"),"")</f>
        <v/>
      </c>
    </row>
    <row r="6545">
      <c r="A6545" s="21" t="str">
        <f t="shared" si="3"/>
        <v/>
      </c>
      <c r="B6545" s="38"/>
      <c r="C6545" s="23"/>
      <c r="D6545" s="23"/>
      <c r="E6545" s="24"/>
      <c r="F6545" s="25"/>
      <c r="G6545" s="25"/>
      <c r="H6545" s="27"/>
      <c r="I6545" s="28"/>
      <c r="J6545" s="39"/>
      <c r="K6545" s="41"/>
      <c r="L6545" s="31" t="str">
        <f>IFERROR(__xludf.DUMMYFUNCTION("IF(OR(E6545="""",K6545=""""),"""",IFERROR(IF(K6545="""","""",query('tbl user'!$A$2:$D10975,""SELECT A WHERE D = '""&amp;K6545&amp;""'"")),""USER TIDAK DIKETAHUI""))"),"")</f>
        <v/>
      </c>
    </row>
    <row r="6546">
      <c r="A6546" s="21" t="str">
        <f t="shared" si="3"/>
        <v/>
      </c>
      <c r="B6546" s="38"/>
      <c r="C6546" s="23"/>
      <c r="D6546" s="23"/>
      <c r="E6546" s="24"/>
      <c r="F6546" s="25"/>
      <c r="G6546" s="25"/>
      <c r="H6546" s="27"/>
      <c r="I6546" s="28"/>
      <c r="J6546" s="39"/>
      <c r="K6546" s="41"/>
      <c r="L6546" s="31" t="str">
        <f>IFERROR(__xludf.DUMMYFUNCTION("IF(OR(E6546="""",K6546=""""),"""",IFERROR(IF(K6546="""","""",query('tbl user'!$A$2:$D10975,""SELECT A WHERE D = '""&amp;K6546&amp;""'"")),""USER TIDAK DIKETAHUI""))"),"")</f>
        <v/>
      </c>
    </row>
    <row r="6547">
      <c r="A6547" s="21" t="str">
        <f t="shared" si="3"/>
        <v/>
      </c>
      <c r="B6547" s="38"/>
      <c r="C6547" s="23"/>
      <c r="D6547" s="23"/>
      <c r="E6547" s="24"/>
      <c r="F6547" s="25"/>
      <c r="G6547" s="25"/>
      <c r="H6547" s="27"/>
      <c r="I6547" s="28"/>
      <c r="J6547" s="39"/>
      <c r="K6547" s="41"/>
      <c r="L6547" s="31" t="str">
        <f>IFERROR(__xludf.DUMMYFUNCTION("IF(OR(E6547="""",K6547=""""),"""",IFERROR(IF(K6547="""","""",query('tbl user'!$A$2:$D10975,""SELECT A WHERE D = '""&amp;K6547&amp;""'"")),""USER TIDAK DIKETAHUI""))"),"")</f>
        <v/>
      </c>
    </row>
    <row r="6548">
      <c r="A6548" s="21" t="str">
        <f t="shared" si="3"/>
        <v/>
      </c>
      <c r="B6548" s="38"/>
      <c r="C6548" s="23"/>
      <c r="D6548" s="23"/>
      <c r="E6548" s="24"/>
      <c r="F6548" s="25"/>
      <c r="G6548" s="25"/>
      <c r="H6548" s="27"/>
      <c r="I6548" s="28"/>
      <c r="J6548" s="39"/>
      <c r="K6548" s="41"/>
      <c r="L6548" s="31" t="str">
        <f>IFERROR(__xludf.DUMMYFUNCTION("IF(OR(E6548="""",K6548=""""),"""",IFERROR(IF(K6548="""","""",query('tbl user'!$A$2:$D10975,""SELECT A WHERE D = '""&amp;K6548&amp;""'"")),""USER TIDAK DIKETAHUI""))"),"")</f>
        <v/>
      </c>
    </row>
    <row r="6549">
      <c r="A6549" s="21" t="str">
        <f t="shared" si="3"/>
        <v/>
      </c>
      <c r="B6549" s="38"/>
      <c r="C6549" s="23"/>
      <c r="D6549" s="23"/>
      <c r="E6549" s="24"/>
      <c r="F6549" s="25"/>
      <c r="G6549" s="25"/>
      <c r="H6549" s="27"/>
      <c r="I6549" s="28"/>
      <c r="J6549" s="39"/>
      <c r="K6549" s="41"/>
      <c r="L6549" s="31" t="str">
        <f>IFERROR(__xludf.DUMMYFUNCTION("IF(OR(E6549="""",K6549=""""),"""",IFERROR(IF(K6549="""","""",query('tbl user'!$A$2:$D10975,""SELECT A WHERE D = '""&amp;K6549&amp;""'"")),""USER TIDAK DIKETAHUI""))"),"")</f>
        <v/>
      </c>
    </row>
    <row r="6550">
      <c r="A6550" s="21" t="str">
        <f t="shared" si="3"/>
        <v/>
      </c>
      <c r="B6550" s="38"/>
      <c r="C6550" s="23"/>
      <c r="D6550" s="23"/>
      <c r="E6550" s="24"/>
      <c r="F6550" s="25"/>
      <c r="G6550" s="25"/>
      <c r="H6550" s="27"/>
      <c r="I6550" s="28"/>
      <c r="J6550" s="39"/>
      <c r="K6550" s="41"/>
      <c r="L6550" s="31" t="str">
        <f>IFERROR(__xludf.DUMMYFUNCTION("IF(OR(E6550="""",K6550=""""),"""",IFERROR(IF(K6550="""","""",query('tbl user'!$A$2:$D10975,""SELECT A WHERE D = '""&amp;K6550&amp;""'"")),""USER TIDAK DIKETAHUI""))"),"")</f>
        <v/>
      </c>
    </row>
    <row r="6551">
      <c r="A6551" s="21" t="str">
        <f t="shared" si="3"/>
        <v/>
      </c>
      <c r="B6551" s="38"/>
      <c r="C6551" s="23"/>
      <c r="D6551" s="23"/>
      <c r="E6551" s="24"/>
      <c r="F6551" s="25"/>
      <c r="G6551" s="25"/>
      <c r="H6551" s="27"/>
      <c r="I6551" s="28"/>
      <c r="J6551" s="39"/>
      <c r="K6551" s="41"/>
      <c r="L6551" s="31" t="str">
        <f>IFERROR(__xludf.DUMMYFUNCTION("IF(OR(E6551="""",K6551=""""),"""",IFERROR(IF(K6551="""","""",query('tbl user'!$A$2:$D10975,""SELECT A WHERE D = '""&amp;K6551&amp;""'"")),""USER TIDAK DIKETAHUI""))"),"")</f>
        <v/>
      </c>
    </row>
    <row r="6552">
      <c r="A6552" s="21" t="str">
        <f t="shared" si="3"/>
        <v/>
      </c>
      <c r="B6552" s="38"/>
      <c r="C6552" s="23"/>
      <c r="D6552" s="23"/>
      <c r="E6552" s="24"/>
      <c r="F6552" s="25"/>
      <c r="G6552" s="25"/>
      <c r="H6552" s="27"/>
      <c r="I6552" s="28"/>
      <c r="J6552" s="39"/>
      <c r="K6552" s="41"/>
      <c r="L6552" s="31" t="str">
        <f>IFERROR(__xludf.DUMMYFUNCTION("IF(OR(E6552="""",K6552=""""),"""",IFERROR(IF(K6552="""","""",query('tbl user'!$A$2:$D10975,""SELECT A WHERE D = '""&amp;K6552&amp;""'"")),""USER TIDAK DIKETAHUI""))"),"")</f>
        <v/>
      </c>
    </row>
    <row r="6553">
      <c r="A6553" s="21" t="str">
        <f t="shared" si="3"/>
        <v/>
      </c>
      <c r="B6553" s="38"/>
      <c r="C6553" s="23"/>
      <c r="D6553" s="23"/>
      <c r="E6553" s="24"/>
      <c r="F6553" s="25"/>
      <c r="G6553" s="25"/>
      <c r="H6553" s="27"/>
      <c r="I6553" s="28"/>
      <c r="J6553" s="39"/>
      <c r="K6553" s="41"/>
      <c r="L6553" s="31" t="str">
        <f>IFERROR(__xludf.DUMMYFUNCTION("IF(OR(E6553="""",K6553=""""),"""",IFERROR(IF(K6553="""","""",query('tbl user'!$A$2:$D10975,""SELECT A WHERE D = '""&amp;K6553&amp;""'"")),""USER TIDAK DIKETAHUI""))"),"")</f>
        <v/>
      </c>
    </row>
    <row r="6554">
      <c r="A6554" s="21" t="str">
        <f t="shared" si="3"/>
        <v/>
      </c>
      <c r="B6554" s="38"/>
      <c r="C6554" s="23"/>
      <c r="D6554" s="23"/>
      <c r="E6554" s="24"/>
      <c r="F6554" s="25"/>
      <c r="G6554" s="25"/>
      <c r="H6554" s="27"/>
      <c r="I6554" s="28"/>
      <c r="J6554" s="39"/>
      <c r="K6554" s="41"/>
      <c r="L6554" s="31" t="str">
        <f>IFERROR(__xludf.DUMMYFUNCTION("IF(OR(E6554="""",K6554=""""),"""",IFERROR(IF(K6554="""","""",query('tbl user'!$A$2:$D10975,""SELECT A WHERE D = '""&amp;K6554&amp;""'"")),""USER TIDAK DIKETAHUI""))"),"")</f>
        <v/>
      </c>
    </row>
    <row r="6555">
      <c r="A6555" s="21" t="str">
        <f t="shared" si="3"/>
        <v/>
      </c>
      <c r="B6555" s="38"/>
      <c r="C6555" s="23"/>
      <c r="D6555" s="23"/>
      <c r="E6555" s="24"/>
      <c r="F6555" s="25"/>
      <c r="G6555" s="25"/>
      <c r="H6555" s="27"/>
      <c r="I6555" s="28"/>
      <c r="J6555" s="39"/>
      <c r="K6555" s="41"/>
      <c r="L6555" s="31" t="str">
        <f>IFERROR(__xludf.DUMMYFUNCTION("IF(OR(E6555="""",K6555=""""),"""",IFERROR(IF(K6555="""","""",query('tbl user'!$A$2:$D10975,""SELECT A WHERE D = '""&amp;K6555&amp;""'"")),""USER TIDAK DIKETAHUI""))"),"")</f>
        <v/>
      </c>
    </row>
    <row r="6556">
      <c r="A6556" s="21" t="str">
        <f t="shared" si="3"/>
        <v/>
      </c>
      <c r="B6556" s="38"/>
      <c r="C6556" s="23"/>
      <c r="D6556" s="23"/>
      <c r="E6556" s="24"/>
      <c r="F6556" s="25"/>
      <c r="G6556" s="25"/>
      <c r="H6556" s="27"/>
      <c r="I6556" s="28"/>
      <c r="J6556" s="39"/>
      <c r="K6556" s="41"/>
      <c r="L6556" s="31" t="str">
        <f>IFERROR(__xludf.DUMMYFUNCTION("IF(OR(E6556="""",K6556=""""),"""",IFERROR(IF(K6556="""","""",query('tbl user'!$A$2:$D10975,""SELECT A WHERE D = '""&amp;K6556&amp;""'"")),""USER TIDAK DIKETAHUI""))"),"")</f>
        <v/>
      </c>
    </row>
    <row r="6557">
      <c r="A6557" s="21" t="str">
        <f t="shared" si="3"/>
        <v/>
      </c>
      <c r="B6557" s="38"/>
      <c r="C6557" s="23"/>
      <c r="D6557" s="23"/>
      <c r="E6557" s="24"/>
      <c r="F6557" s="25"/>
      <c r="G6557" s="25"/>
      <c r="H6557" s="27"/>
      <c r="I6557" s="28"/>
      <c r="J6557" s="39"/>
      <c r="K6557" s="41"/>
      <c r="L6557" s="31" t="str">
        <f>IFERROR(__xludf.DUMMYFUNCTION("IF(OR(E6557="""",K6557=""""),"""",IFERROR(IF(K6557="""","""",query('tbl user'!$A$2:$D10975,""SELECT A WHERE D = '""&amp;K6557&amp;""'"")),""USER TIDAK DIKETAHUI""))"),"")</f>
        <v/>
      </c>
    </row>
    <row r="6558">
      <c r="A6558" s="21" t="str">
        <f t="shared" si="3"/>
        <v/>
      </c>
      <c r="B6558" s="38"/>
      <c r="C6558" s="23"/>
      <c r="D6558" s="23"/>
      <c r="E6558" s="24"/>
      <c r="F6558" s="25"/>
      <c r="G6558" s="25"/>
      <c r="H6558" s="27"/>
      <c r="I6558" s="28"/>
      <c r="J6558" s="39"/>
      <c r="K6558" s="41"/>
      <c r="L6558" s="31" t="str">
        <f>IFERROR(__xludf.DUMMYFUNCTION("IF(OR(E6558="""",K6558=""""),"""",IFERROR(IF(K6558="""","""",query('tbl user'!$A$2:$D10975,""SELECT A WHERE D = '""&amp;K6558&amp;""'"")),""USER TIDAK DIKETAHUI""))"),"")</f>
        <v/>
      </c>
    </row>
    <row r="6559">
      <c r="A6559" s="21" t="str">
        <f t="shared" si="3"/>
        <v/>
      </c>
      <c r="B6559" s="38"/>
      <c r="C6559" s="23"/>
      <c r="D6559" s="23"/>
      <c r="E6559" s="24"/>
      <c r="F6559" s="25"/>
      <c r="G6559" s="25"/>
      <c r="H6559" s="27"/>
      <c r="I6559" s="28"/>
      <c r="J6559" s="39"/>
      <c r="K6559" s="41"/>
      <c r="L6559" s="31" t="str">
        <f>IFERROR(__xludf.DUMMYFUNCTION("IF(OR(E6559="""",K6559=""""),"""",IFERROR(IF(K6559="""","""",query('tbl user'!$A$2:$D10975,""SELECT A WHERE D = '""&amp;K6559&amp;""'"")),""USER TIDAK DIKETAHUI""))"),"")</f>
        <v/>
      </c>
    </row>
    <row r="6560">
      <c r="A6560" s="21" t="str">
        <f t="shared" si="3"/>
        <v/>
      </c>
      <c r="B6560" s="38"/>
      <c r="C6560" s="23"/>
      <c r="D6560" s="23"/>
      <c r="E6560" s="24"/>
      <c r="F6560" s="25"/>
      <c r="G6560" s="25"/>
      <c r="H6560" s="27"/>
      <c r="I6560" s="28"/>
      <c r="J6560" s="39"/>
      <c r="K6560" s="41"/>
      <c r="L6560" s="31" t="str">
        <f>IFERROR(__xludf.DUMMYFUNCTION("IF(OR(E6560="""",K6560=""""),"""",IFERROR(IF(K6560="""","""",query('tbl user'!$A$2:$D10975,""SELECT A WHERE D = '""&amp;K6560&amp;""'"")),""USER TIDAK DIKETAHUI""))"),"")</f>
        <v/>
      </c>
    </row>
    <row r="6561">
      <c r="A6561" s="21" t="str">
        <f t="shared" si="3"/>
        <v/>
      </c>
      <c r="B6561" s="38"/>
      <c r="C6561" s="23"/>
      <c r="D6561" s="23"/>
      <c r="E6561" s="24"/>
      <c r="F6561" s="25"/>
      <c r="G6561" s="25"/>
      <c r="H6561" s="27"/>
      <c r="I6561" s="28"/>
      <c r="J6561" s="39"/>
      <c r="K6561" s="41"/>
      <c r="L6561" s="31" t="str">
        <f>IFERROR(__xludf.DUMMYFUNCTION("IF(OR(E6561="""",K6561=""""),"""",IFERROR(IF(K6561="""","""",query('tbl user'!$A$2:$D10975,""SELECT A WHERE D = '""&amp;K6561&amp;""'"")),""USER TIDAK DIKETAHUI""))"),"")</f>
        <v/>
      </c>
    </row>
    <row r="6562">
      <c r="A6562" s="21" t="str">
        <f t="shared" si="3"/>
        <v/>
      </c>
      <c r="B6562" s="38"/>
      <c r="C6562" s="23"/>
      <c r="D6562" s="23"/>
      <c r="E6562" s="24"/>
      <c r="F6562" s="25"/>
      <c r="G6562" s="25"/>
      <c r="H6562" s="27"/>
      <c r="I6562" s="28"/>
      <c r="J6562" s="39"/>
      <c r="K6562" s="41"/>
      <c r="L6562" s="31" t="str">
        <f>IFERROR(__xludf.DUMMYFUNCTION("IF(OR(E6562="""",K6562=""""),"""",IFERROR(IF(K6562="""","""",query('tbl user'!$A$2:$D10975,""SELECT A WHERE D = '""&amp;K6562&amp;""'"")),""USER TIDAK DIKETAHUI""))"),"")</f>
        <v/>
      </c>
    </row>
    <row r="6563">
      <c r="A6563" s="21" t="str">
        <f t="shared" si="3"/>
        <v/>
      </c>
      <c r="B6563" s="38"/>
      <c r="C6563" s="23"/>
      <c r="D6563" s="23"/>
      <c r="E6563" s="24"/>
      <c r="F6563" s="25"/>
      <c r="G6563" s="25"/>
      <c r="H6563" s="27"/>
      <c r="I6563" s="28"/>
      <c r="J6563" s="39"/>
      <c r="K6563" s="41"/>
      <c r="L6563" s="31" t="str">
        <f>IFERROR(__xludf.DUMMYFUNCTION("IF(OR(E6563="""",K6563=""""),"""",IFERROR(IF(K6563="""","""",query('tbl user'!$A$2:$D10975,""SELECT A WHERE D = '""&amp;K6563&amp;""'"")),""USER TIDAK DIKETAHUI""))"),"")</f>
        <v/>
      </c>
    </row>
    <row r="6564">
      <c r="A6564" s="21" t="str">
        <f t="shared" si="3"/>
        <v/>
      </c>
      <c r="B6564" s="38"/>
      <c r="C6564" s="23"/>
      <c r="D6564" s="23"/>
      <c r="E6564" s="24"/>
      <c r="F6564" s="25"/>
      <c r="G6564" s="25"/>
      <c r="H6564" s="27"/>
      <c r="I6564" s="28"/>
      <c r="J6564" s="39"/>
      <c r="K6564" s="41"/>
      <c r="L6564" s="31" t="str">
        <f>IFERROR(__xludf.DUMMYFUNCTION("IF(OR(E6564="""",K6564=""""),"""",IFERROR(IF(K6564="""","""",query('tbl user'!$A$2:$D10975,""SELECT A WHERE D = '""&amp;K6564&amp;""'"")),""USER TIDAK DIKETAHUI""))"),"")</f>
        <v/>
      </c>
    </row>
    <row r="6565">
      <c r="A6565" s="21" t="str">
        <f t="shared" si="3"/>
        <v/>
      </c>
      <c r="B6565" s="38"/>
      <c r="C6565" s="23"/>
      <c r="D6565" s="23"/>
      <c r="E6565" s="24"/>
      <c r="F6565" s="25"/>
      <c r="G6565" s="25"/>
      <c r="H6565" s="27"/>
      <c r="I6565" s="28"/>
      <c r="J6565" s="39"/>
      <c r="K6565" s="41"/>
      <c r="L6565" s="31" t="str">
        <f>IFERROR(__xludf.DUMMYFUNCTION("IF(OR(E6565="""",K6565=""""),"""",IFERROR(IF(K6565="""","""",query('tbl user'!$A$2:$D10975,""SELECT A WHERE D = '""&amp;K6565&amp;""'"")),""USER TIDAK DIKETAHUI""))"),"")</f>
        <v/>
      </c>
    </row>
    <row r="6566">
      <c r="A6566" s="21" t="str">
        <f t="shared" si="3"/>
        <v/>
      </c>
      <c r="B6566" s="38"/>
      <c r="C6566" s="23"/>
      <c r="D6566" s="23"/>
      <c r="E6566" s="24"/>
      <c r="F6566" s="25"/>
      <c r="G6566" s="25"/>
      <c r="H6566" s="27"/>
      <c r="I6566" s="28"/>
      <c r="J6566" s="39"/>
      <c r="K6566" s="41"/>
      <c r="L6566" s="31" t="str">
        <f>IFERROR(__xludf.DUMMYFUNCTION("IF(OR(E6566="""",K6566=""""),"""",IFERROR(IF(K6566="""","""",query('tbl user'!$A$2:$D10975,""SELECT A WHERE D = '""&amp;K6566&amp;""'"")),""USER TIDAK DIKETAHUI""))"),"")</f>
        <v/>
      </c>
    </row>
    <row r="6567">
      <c r="A6567" s="21" t="str">
        <f t="shared" si="3"/>
        <v/>
      </c>
      <c r="B6567" s="38"/>
      <c r="C6567" s="23"/>
      <c r="D6567" s="23"/>
      <c r="E6567" s="24"/>
      <c r="F6567" s="25"/>
      <c r="G6567" s="25"/>
      <c r="H6567" s="27"/>
      <c r="I6567" s="28"/>
      <c r="J6567" s="39"/>
      <c r="K6567" s="41"/>
      <c r="L6567" s="31" t="str">
        <f>IFERROR(__xludf.DUMMYFUNCTION("IF(OR(E6567="""",K6567=""""),"""",IFERROR(IF(K6567="""","""",query('tbl user'!$A$2:$D10975,""SELECT A WHERE D = '""&amp;K6567&amp;""'"")),""USER TIDAK DIKETAHUI""))"),"")</f>
        <v/>
      </c>
    </row>
    <row r="6568">
      <c r="A6568" s="21" t="str">
        <f t="shared" si="3"/>
        <v/>
      </c>
      <c r="B6568" s="38"/>
      <c r="C6568" s="23"/>
      <c r="D6568" s="23"/>
      <c r="E6568" s="24"/>
      <c r="F6568" s="25"/>
      <c r="G6568" s="25"/>
      <c r="H6568" s="27"/>
      <c r="I6568" s="28"/>
      <c r="J6568" s="39"/>
      <c r="K6568" s="41"/>
      <c r="L6568" s="31" t="str">
        <f>IFERROR(__xludf.DUMMYFUNCTION("IF(OR(E6568="""",K6568=""""),"""",IFERROR(IF(K6568="""","""",query('tbl user'!$A$2:$D10975,""SELECT A WHERE D = '""&amp;K6568&amp;""'"")),""USER TIDAK DIKETAHUI""))"),"")</f>
        <v/>
      </c>
    </row>
    <row r="6569">
      <c r="A6569" s="21" t="str">
        <f t="shared" si="3"/>
        <v/>
      </c>
      <c r="B6569" s="38"/>
      <c r="C6569" s="23"/>
      <c r="D6569" s="23"/>
      <c r="E6569" s="24"/>
      <c r="F6569" s="25"/>
      <c r="G6569" s="25"/>
      <c r="H6569" s="27"/>
      <c r="I6569" s="28"/>
      <c r="J6569" s="39"/>
      <c r="K6569" s="41"/>
      <c r="L6569" s="31" t="str">
        <f>IFERROR(__xludf.DUMMYFUNCTION("IF(OR(E6569="""",K6569=""""),"""",IFERROR(IF(K6569="""","""",query('tbl user'!$A$2:$D10975,""SELECT A WHERE D = '""&amp;K6569&amp;""'"")),""USER TIDAK DIKETAHUI""))"),"")</f>
        <v/>
      </c>
    </row>
    <row r="6570">
      <c r="A6570" s="21" t="str">
        <f t="shared" si="3"/>
        <v/>
      </c>
      <c r="B6570" s="38"/>
      <c r="C6570" s="23"/>
      <c r="D6570" s="23"/>
      <c r="E6570" s="24"/>
      <c r="F6570" s="25"/>
      <c r="G6570" s="25"/>
      <c r="H6570" s="27"/>
      <c r="I6570" s="28"/>
      <c r="J6570" s="39"/>
      <c r="K6570" s="41"/>
      <c r="L6570" s="31" t="str">
        <f>IFERROR(__xludf.DUMMYFUNCTION("IF(OR(E6570="""",K6570=""""),"""",IFERROR(IF(K6570="""","""",query('tbl user'!$A$2:$D10975,""SELECT A WHERE D = '""&amp;K6570&amp;""'"")),""USER TIDAK DIKETAHUI""))"),"")</f>
        <v/>
      </c>
    </row>
    <row r="6571">
      <c r="A6571" s="21" t="str">
        <f t="shared" si="3"/>
        <v/>
      </c>
      <c r="B6571" s="38"/>
      <c r="C6571" s="23"/>
      <c r="D6571" s="23"/>
      <c r="E6571" s="24"/>
      <c r="F6571" s="25"/>
      <c r="G6571" s="25"/>
      <c r="H6571" s="27"/>
      <c r="I6571" s="28"/>
      <c r="J6571" s="39"/>
      <c r="K6571" s="41"/>
      <c r="L6571" s="31" t="str">
        <f>IFERROR(__xludf.DUMMYFUNCTION("IF(OR(E6571="""",K6571=""""),"""",IFERROR(IF(K6571="""","""",query('tbl user'!$A$2:$D10975,""SELECT A WHERE D = '""&amp;K6571&amp;""'"")),""USER TIDAK DIKETAHUI""))"),"")</f>
        <v/>
      </c>
    </row>
    <row r="6572">
      <c r="A6572" s="21" t="str">
        <f t="shared" si="3"/>
        <v/>
      </c>
      <c r="B6572" s="38"/>
      <c r="C6572" s="23"/>
      <c r="D6572" s="23"/>
      <c r="E6572" s="24"/>
      <c r="F6572" s="25"/>
      <c r="G6572" s="25"/>
      <c r="H6572" s="27"/>
      <c r="I6572" s="28"/>
      <c r="J6572" s="39"/>
      <c r="K6572" s="41"/>
      <c r="L6572" s="31" t="str">
        <f>IFERROR(__xludf.DUMMYFUNCTION("IF(OR(E6572="""",K6572=""""),"""",IFERROR(IF(K6572="""","""",query('tbl user'!$A$2:$D10975,""SELECT A WHERE D = '""&amp;K6572&amp;""'"")),""USER TIDAK DIKETAHUI""))"),"")</f>
        <v/>
      </c>
    </row>
    <row r="6573">
      <c r="A6573" s="21" t="str">
        <f t="shared" si="3"/>
        <v/>
      </c>
      <c r="B6573" s="38"/>
      <c r="C6573" s="23"/>
      <c r="D6573" s="23"/>
      <c r="E6573" s="24"/>
      <c r="F6573" s="25"/>
      <c r="G6573" s="25"/>
      <c r="H6573" s="27"/>
      <c r="I6573" s="28"/>
      <c r="J6573" s="39"/>
      <c r="K6573" s="41"/>
      <c r="L6573" s="31" t="str">
        <f>IFERROR(__xludf.DUMMYFUNCTION("IF(OR(E6573="""",K6573=""""),"""",IFERROR(IF(K6573="""","""",query('tbl user'!$A$2:$D10975,""SELECT A WHERE D = '""&amp;K6573&amp;""'"")),""USER TIDAK DIKETAHUI""))"),"")</f>
        <v/>
      </c>
    </row>
    <row r="6574">
      <c r="A6574" s="21" t="str">
        <f t="shared" si="3"/>
        <v/>
      </c>
      <c r="B6574" s="38"/>
      <c r="C6574" s="23"/>
      <c r="D6574" s="23"/>
      <c r="E6574" s="24"/>
      <c r="F6574" s="25"/>
      <c r="G6574" s="25"/>
      <c r="H6574" s="27"/>
      <c r="I6574" s="28"/>
      <c r="J6574" s="39"/>
      <c r="K6574" s="41"/>
      <c r="L6574" s="31" t="str">
        <f>IFERROR(__xludf.DUMMYFUNCTION("IF(OR(E6574="""",K6574=""""),"""",IFERROR(IF(K6574="""","""",query('tbl user'!$A$2:$D10975,""SELECT A WHERE D = '""&amp;K6574&amp;""'"")),""USER TIDAK DIKETAHUI""))"),"")</f>
        <v/>
      </c>
    </row>
    <row r="6575">
      <c r="A6575" s="21" t="str">
        <f t="shared" si="3"/>
        <v/>
      </c>
      <c r="B6575" s="38"/>
      <c r="C6575" s="23"/>
      <c r="D6575" s="23"/>
      <c r="E6575" s="24"/>
      <c r="F6575" s="25"/>
      <c r="G6575" s="25"/>
      <c r="H6575" s="27"/>
      <c r="I6575" s="28"/>
      <c r="J6575" s="39"/>
      <c r="K6575" s="41"/>
      <c r="L6575" s="31" t="str">
        <f>IFERROR(__xludf.DUMMYFUNCTION("IF(OR(E6575="""",K6575=""""),"""",IFERROR(IF(K6575="""","""",query('tbl user'!$A$2:$D10975,""SELECT A WHERE D = '""&amp;K6575&amp;""'"")),""USER TIDAK DIKETAHUI""))"),"")</f>
        <v/>
      </c>
    </row>
    <row r="6576">
      <c r="A6576" s="21" t="str">
        <f t="shared" si="3"/>
        <v/>
      </c>
      <c r="B6576" s="38"/>
      <c r="C6576" s="23"/>
      <c r="D6576" s="23"/>
      <c r="E6576" s="24"/>
      <c r="F6576" s="25"/>
      <c r="G6576" s="25"/>
      <c r="H6576" s="27"/>
      <c r="I6576" s="28"/>
      <c r="J6576" s="39"/>
      <c r="K6576" s="41"/>
      <c r="L6576" s="31" t="str">
        <f>IFERROR(__xludf.DUMMYFUNCTION("IF(OR(E6576="""",K6576=""""),"""",IFERROR(IF(K6576="""","""",query('tbl user'!$A$2:$D10975,""SELECT A WHERE D = '""&amp;K6576&amp;""'"")),""USER TIDAK DIKETAHUI""))"),"")</f>
        <v/>
      </c>
    </row>
    <row r="6577">
      <c r="A6577" s="21" t="str">
        <f t="shared" si="3"/>
        <v/>
      </c>
      <c r="B6577" s="38"/>
      <c r="C6577" s="23"/>
      <c r="D6577" s="23"/>
      <c r="E6577" s="24"/>
      <c r="F6577" s="25"/>
      <c r="G6577" s="25"/>
      <c r="H6577" s="27"/>
      <c r="I6577" s="28"/>
      <c r="J6577" s="39"/>
      <c r="K6577" s="41"/>
      <c r="L6577" s="31" t="str">
        <f>IFERROR(__xludf.DUMMYFUNCTION("IF(OR(E6577="""",K6577=""""),"""",IFERROR(IF(K6577="""","""",query('tbl user'!$A$2:$D10975,""SELECT A WHERE D = '""&amp;K6577&amp;""'"")),""USER TIDAK DIKETAHUI""))"),"")</f>
        <v/>
      </c>
    </row>
    <row r="6578">
      <c r="A6578" s="21" t="str">
        <f t="shared" si="3"/>
        <v/>
      </c>
      <c r="B6578" s="38"/>
      <c r="C6578" s="23"/>
      <c r="D6578" s="23"/>
      <c r="E6578" s="24"/>
      <c r="F6578" s="25"/>
      <c r="G6578" s="25"/>
      <c r="H6578" s="27"/>
      <c r="I6578" s="28"/>
      <c r="J6578" s="39"/>
      <c r="K6578" s="41"/>
      <c r="L6578" s="31" t="str">
        <f>IFERROR(__xludf.DUMMYFUNCTION("IF(OR(E6578="""",K6578=""""),"""",IFERROR(IF(K6578="""","""",query('tbl user'!$A$2:$D10975,""SELECT A WHERE D = '""&amp;K6578&amp;""'"")),""USER TIDAK DIKETAHUI""))"),"")</f>
        <v/>
      </c>
    </row>
    <row r="6579">
      <c r="A6579" s="21" t="str">
        <f t="shared" si="3"/>
        <v/>
      </c>
      <c r="B6579" s="38"/>
      <c r="C6579" s="23"/>
      <c r="D6579" s="23"/>
      <c r="E6579" s="24"/>
      <c r="F6579" s="25"/>
      <c r="G6579" s="25"/>
      <c r="H6579" s="27"/>
      <c r="I6579" s="28"/>
      <c r="J6579" s="39"/>
      <c r="K6579" s="41"/>
      <c r="L6579" s="31" t="str">
        <f>IFERROR(__xludf.DUMMYFUNCTION("IF(OR(E6579="""",K6579=""""),"""",IFERROR(IF(K6579="""","""",query('tbl user'!$A$2:$D10975,""SELECT A WHERE D = '""&amp;K6579&amp;""'"")),""USER TIDAK DIKETAHUI""))"),"")</f>
        <v/>
      </c>
    </row>
    <row r="6580">
      <c r="A6580" s="21" t="str">
        <f t="shared" si="3"/>
        <v/>
      </c>
      <c r="B6580" s="38"/>
      <c r="C6580" s="23"/>
      <c r="D6580" s="23"/>
      <c r="E6580" s="24"/>
      <c r="F6580" s="25"/>
      <c r="G6580" s="25"/>
      <c r="H6580" s="27"/>
      <c r="I6580" s="28"/>
      <c r="J6580" s="39"/>
      <c r="K6580" s="41"/>
      <c r="L6580" s="31" t="str">
        <f>IFERROR(__xludf.DUMMYFUNCTION("IF(OR(E6580="""",K6580=""""),"""",IFERROR(IF(K6580="""","""",query('tbl user'!$A$2:$D10975,""SELECT A WHERE D = '""&amp;K6580&amp;""'"")),""USER TIDAK DIKETAHUI""))"),"")</f>
        <v/>
      </c>
    </row>
    <row r="6581">
      <c r="A6581" s="21" t="str">
        <f t="shared" si="3"/>
        <v/>
      </c>
      <c r="B6581" s="38"/>
      <c r="C6581" s="23"/>
      <c r="D6581" s="23"/>
      <c r="E6581" s="24"/>
      <c r="F6581" s="25"/>
      <c r="G6581" s="25"/>
      <c r="H6581" s="27"/>
      <c r="I6581" s="28"/>
      <c r="J6581" s="39"/>
      <c r="K6581" s="41"/>
      <c r="L6581" s="31" t="str">
        <f>IFERROR(__xludf.DUMMYFUNCTION("IF(OR(E6581="""",K6581=""""),"""",IFERROR(IF(K6581="""","""",query('tbl user'!$A$2:$D10975,""SELECT A WHERE D = '""&amp;K6581&amp;""'"")),""USER TIDAK DIKETAHUI""))"),"")</f>
        <v/>
      </c>
    </row>
    <row r="6582">
      <c r="A6582" s="21" t="str">
        <f t="shared" si="3"/>
        <v/>
      </c>
      <c r="B6582" s="38"/>
      <c r="C6582" s="23"/>
      <c r="D6582" s="23"/>
      <c r="E6582" s="24"/>
      <c r="F6582" s="25"/>
      <c r="G6582" s="25"/>
      <c r="H6582" s="27"/>
      <c r="I6582" s="28"/>
      <c r="J6582" s="39"/>
      <c r="K6582" s="41"/>
      <c r="L6582" s="31" t="str">
        <f>IFERROR(__xludf.DUMMYFUNCTION("IF(OR(E6582="""",K6582=""""),"""",IFERROR(IF(K6582="""","""",query('tbl user'!$A$2:$D10975,""SELECT A WHERE D = '""&amp;K6582&amp;""'"")),""USER TIDAK DIKETAHUI""))"),"")</f>
        <v/>
      </c>
    </row>
    <row r="6583">
      <c r="A6583" s="21" t="str">
        <f t="shared" si="3"/>
        <v/>
      </c>
      <c r="B6583" s="38"/>
      <c r="C6583" s="23"/>
      <c r="D6583" s="23"/>
      <c r="E6583" s="24"/>
      <c r="F6583" s="25"/>
      <c r="G6583" s="25"/>
      <c r="H6583" s="27"/>
      <c r="I6583" s="28"/>
      <c r="J6583" s="39"/>
      <c r="K6583" s="41"/>
      <c r="L6583" s="31" t="str">
        <f>IFERROR(__xludf.DUMMYFUNCTION("IF(OR(E6583="""",K6583=""""),"""",IFERROR(IF(K6583="""","""",query('tbl user'!$A$2:$D10975,""SELECT A WHERE D = '""&amp;K6583&amp;""'"")),""USER TIDAK DIKETAHUI""))"),"")</f>
        <v/>
      </c>
    </row>
    <row r="6584">
      <c r="A6584" s="21" t="str">
        <f t="shared" si="3"/>
        <v/>
      </c>
      <c r="B6584" s="38"/>
      <c r="C6584" s="23"/>
      <c r="D6584" s="23"/>
      <c r="E6584" s="24"/>
      <c r="F6584" s="25"/>
      <c r="G6584" s="25"/>
      <c r="H6584" s="27"/>
      <c r="I6584" s="28"/>
      <c r="J6584" s="39"/>
      <c r="K6584" s="41"/>
      <c r="L6584" s="31" t="str">
        <f>IFERROR(__xludf.DUMMYFUNCTION("IF(OR(E6584="""",K6584=""""),"""",IFERROR(IF(K6584="""","""",query('tbl user'!$A$2:$D10975,""SELECT A WHERE D = '""&amp;K6584&amp;""'"")),""USER TIDAK DIKETAHUI""))"),"")</f>
        <v/>
      </c>
    </row>
    <row r="6585">
      <c r="A6585" s="21" t="str">
        <f t="shared" si="3"/>
        <v/>
      </c>
      <c r="B6585" s="38"/>
      <c r="C6585" s="23"/>
      <c r="D6585" s="23"/>
      <c r="E6585" s="24"/>
      <c r="F6585" s="25"/>
      <c r="G6585" s="25"/>
      <c r="H6585" s="27"/>
      <c r="I6585" s="28"/>
      <c r="J6585" s="39"/>
      <c r="K6585" s="41"/>
      <c r="L6585" s="31" t="str">
        <f>IFERROR(__xludf.DUMMYFUNCTION("IF(OR(E6585="""",K6585=""""),"""",IFERROR(IF(K6585="""","""",query('tbl user'!$A$2:$D10975,""SELECT A WHERE D = '""&amp;K6585&amp;""'"")),""USER TIDAK DIKETAHUI""))"),"")</f>
        <v/>
      </c>
    </row>
    <row r="6586">
      <c r="A6586" s="21" t="str">
        <f t="shared" si="3"/>
        <v/>
      </c>
      <c r="B6586" s="38"/>
      <c r="C6586" s="23"/>
      <c r="D6586" s="23"/>
      <c r="E6586" s="24"/>
      <c r="F6586" s="25"/>
      <c r="G6586" s="25"/>
      <c r="H6586" s="27"/>
      <c r="I6586" s="28"/>
      <c r="J6586" s="39"/>
      <c r="K6586" s="41"/>
      <c r="L6586" s="31" t="str">
        <f>IFERROR(__xludf.DUMMYFUNCTION("IF(OR(E6586="""",K6586=""""),"""",IFERROR(IF(K6586="""","""",query('tbl user'!$A$2:$D10975,""SELECT A WHERE D = '""&amp;K6586&amp;""'"")),""USER TIDAK DIKETAHUI""))"),"")</f>
        <v/>
      </c>
    </row>
    <row r="6587">
      <c r="A6587" s="21" t="str">
        <f t="shared" si="3"/>
        <v/>
      </c>
      <c r="B6587" s="38"/>
      <c r="C6587" s="23"/>
      <c r="D6587" s="23"/>
      <c r="E6587" s="24"/>
      <c r="F6587" s="25"/>
      <c r="G6587" s="25"/>
      <c r="H6587" s="27"/>
      <c r="I6587" s="28"/>
      <c r="J6587" s="39"/>
      <c r="K6587" s="41"/>
      <c r="L6587" s="31" t="str">
        <f>IFERROR(__xludf.DUMMYFUNCTION("IF(OR(E6587="""",K6587=""""),"""",IFERROR(IF(K6587="""","""",query('tbl user'!$A$2:$D10975,""SELECT A WHERE D = '""&amp;K6587&amp;""'"")),""USER TIDAK DIKETAHUI""))"),"")</f>
        <v/>
      </c>
    </row>
    <row r="6588">
      <c r="A6588" s="21" t="str">
        <f t="shared" si="3"/>
        <v/>
      </c>
      <c r="B6588" s="38"/>
      <c r="C6588" s="23"/>
      <c r="D6588" s="23"/>
      <c r="E6588" s="24"/>
      <c r="F6588" s="25"/>
      <c r="G6588" s="25"/>
      <c r="H6588" s="27"/>
      <c r="I6588" s="28"/>
      <c r="J6588" s="39"/>
      <c r="K6588" s="41"/>
      <c r="L6588" s="31" t="str">
        <f>IFERROR(__xludf.DUMMYFUNCTION("IF(OR(E6588="""",K6588=""""),"""",IFERROR(IF(K6588="""","""",query('tbl user'!$A$2:$D10975,""SELECT A WHERE D = '""&amp;K6588&amp;""'"")),""USER TIDAK DIKETAHUI""))"),"")</f>
        <v/>
      </c>
    </row>
    <row r="6589">
      <c r="A6589" s="21" t="str">
        <f t="shared" si="3"/>
        <v/>
      </c>
      <c r="B6589" s="38"/>
      <c r="C6589" s="23"/>
      <c r="D6589" s="23"/>
      <c r="E6589" s="24"/>
      <c r="F6589" s="25"/>
      <c r="G6589" s="25"/>
      <c r="H6589" s="27"/>
      <c r="I6589" s="28"/>
      <c r="J6589" s="39"/>
      <c r="K6589" s="41"/>
      <c r="L6589" s="31" t="str">
        <f>IFERROR(__xludf.DUMMYFUNCTION("IF(OR(E6589="""",K6589=""""),"""",IFERROR(IF(K6589="""","""",query('tbl user'!$A$2:$D10975,""SELECT A WHERE D = '""&amp;K6589&amp;""'"")),""USER TIDAK DIKETAHUI""))"),"")</f>
        <v/>
      </c>
    </row>
    <row r="6590">
      <c r="A6590" s="21" t="str">
        <f t="shared" si="3"/>
        <v/>
      </c>
      <c r="B6590" s="38"/>
      <c r="C6590" s="23"/>
      <c r="D6590" s="23"/>
      <c r="E6590" s="24"/>
      <c r="F6590" s="25"/>
      <c r="G6590" s="25"/>
      <c r="H6590" s="27"/>
      <c r="I6590" s="28"/>
      <c r="J6590" s="39"/>
      <c r="K6590" s="41"/>
      <c r="L6590" s="31" t="str">
        <f>IFERROR(__xludf.DUMMYFUNCTION("IF(OR(E6590="""",K6590=""""),"""",IFERROR(IF(K6590="""","""",query('tbl user'!$A$2:$D10975,""SELECT A WHERE D = '""&amp;K6590&amp;""'"")),""USER TIDAK DIKETAHUI""))"),"")</f>
        <v/>
      </c>
    </row>
    <row r="6591">
      <c r="A6591" s="21" t="str">
        <f t="shared" si="3"/>
        <v/>
      </c>
      <c r="B6591" s="38"/>
      <c r="C6591" s="23"/>
      <c r="D6591" s="23"/>
      <c r="E6591" s="24"/>
      <c r="F6591" s="25"/>
      <c r="G6591" s="25"/>
      <c r="H6591" s="27"/>
      <c r="I6591" s="28"/>
      <c r="J6591" s="39"/>
      <c r="K6591" s="41"/>
      <c r="L6591" s="31" t="str">
        <f>IFERROR(__xludf.DUMMYFUNCTION("IF(OR(E6591="""",K6591=""""),"""",IFERROR(IF(K6591="""","""",query('tbl user'!$A$2:$D10975,""SELECT A WHERE D = '""&amp;K6591&amp;""'"")),""USER TIDAK DIKETAHUI""))"),"")</f>
        <v/>
      </c>
    </row>
    <row r="6592">
      <c r="A6592" s="21" t="str">
        <f t="shared" si="3"/>
        <v/>
      </c>
      <c r="B6592" s="38"/>
      <c r="C6592" s="23"/>
      <c r="D6592" s="23"/>
      <c r="E6592" s="24"/>
      <c r="F6592" s="25"/>
      <c r="G6592" s="25"/>
      <c r="H6592" s="27"/>
      <c r="I6592" s="28"/>
      <c r="J6592" s="39"/>
      <c r="K6592" s="41"/>
      <c r="L6592" s="31" t="str">
        <f>IFERROR(__xludf.DUMMYFUNCTION("IF(OR(E6592="""",K6592=""""),"""",IFERROR(IF(K6592="""","""",query('tbl user'!$A$2:$D10975,""SELECT A WHERE D = '""&amp;K6592&amp;""'"")),""USER TIDAK DIKETAHUI""))"),"")</f>
        <v/>
      </c>
    </row>
    <row r="6593">
      <c r="A6593" s="21" t="str">
        <f t="shared" si="3"/>
        <v/>
      </c>
      <c r="B6593" s="38"/>
      <c r="C6593" s="23"/>
      <c r="D6593" s="23"/>
      <c r="E6593" s="24"/>
      <c r="F6593" s="25"/>
      <c r="G6593" s="25"/>
      <c r="H6593" s="27"/>
      <c r="I6593" s="28"/>
      <c r="J6593" s="39"/>
      <c r="K6593" s="41"/>
      <c r="L6593" s="31" t="str">
        <f>IFERROR(__xludf.DUMMYFUNCTION("IF(OR(E6593="""",K6593=""""),"""",IFERROR(IF(K6593="""","""",query('tbl user'!$A$2:$D10975,""SELECT A WHERE D = '""&amp;K6593&amp;""'"")),""USER TIDAK DIKETAHUI""))"),"")</f>
        <v/>
      </c>
    </row>
    <row r="6594">
      <c r="A6594" s="21" t="str">
        <f t="shared" si="3"/>
        <v/>
      </c>
      <c r="B6594" s="38"/>
      <c r="C6594" s="23"/>
      <c r="D6594" s="23"/>
      <c r="E6594" s="24"/>
      <c r="F6594" s="25"/>
      <c r="G6594" s="25"/>
      <c r="H6594" s="27"/>
      <c r="I6594" s="28"/>
      <c r="J6594" s="39"/>
      <c r="K6594" s="41"/>
      <c r="L6594" s="31" t="str">
        <f>IFERROR(__xludf.DUMMYFUNCTION("IF(OR(E6594="""",K6594=""""),"""",IFERROR(IF(K6594="""","""",query('tbl user'!$A$2:$D10975,""SELECT A WHERE D = '""&amp;K6594&amp;""'"")),""USER TIDAK DIKETAHUI""))"),"")</f>
        <v/>
      </c>
    </row>
    <row r="6595">
      <c r="A6595" s="21" t="str">
        <f t="shared" si="3"/>
        <v/>
      </c>
      <c r="B6595" s="38"/>
      <c r="C6595" s="23"/>
      <c r="D6595" s="23"/>
      <c r="E6595" s="24"/>
      <c r="F6595" s="25"/>
      <c r="G6595" s="25"/>
      <c r="H6595" s="27"/>
      <c r="I6595" s="28"/>
      <c r="J6595" s="39"/>
      <c r="K6595" s="41"/>
      <c r="L6595" s="31" t="str">
        <f>IFERROR(__xludf.DUMMYFUNCTION("IF(OR(E6595="""",K6595=""""),"""",IFERROR(IF(K6595="""","""",query('tbl user'!$A$2:$D10975,""SELECT A WHERE D = '""&amp;K6595&amp;""'"")),""USER TIDAK DIKETAHUI""))"),"")</f>
        <v/>
      </c>
    </row>
    <row r="6596">
      <c r="A6596" s="21" t="str">
        <f t="shared" si="3"/>
        <v/>
      </c>
      <c r="B6596" s="38"/>
      <c r="C6596" s="23"/>
      <c r="D6596" s="23"/>
      <c r="E6596" s="24"/>
      <c r="F6596" s="25"/>
      <c r="G6596" s="25"/>
      <c r="H6596" s="27"/>
      <c r="I6596" s="28"/>
      <c r="J6596" s="39"/>
      <c r="K6596" s="41"/>
      <c r="L6596" s="31" t="str">
        <f>IFERROR(__xludf.DUMMYFUNCTION("IF(OR(E6596="""",K6596=""""),"""",IFERROR(IF(K6596="""","""",query('tbl user'!$A$2:$D10975,""SELECT A WHERE D = '""&amp;K6596&amp;""'"")),""USER TIDAK DIKETAHUI""))"),"")</f>
        <v/>
      </c>
    </row>
    <row r="6597">
      <c r="A6597" s="21" t="str">
        <f t="shared" si="3"/>
        <v/>
      </c>
      <c r="B6597" s="38"/>
      <c r="C6597" s="23"/>
      <c r="D6597" s="23"/>
      <c r="E6597" s="24"/>
      <c r="F6597" s="25"/>
      <c r="G6597" s="25"/>
      <c r="H6597" s="27"/>
      <c r="I6597" s="28"/>
      <c r="J6597" s="39"/>
      <c r="K6597" s="41"/>
      <c r="L6597" s="31" t="str">
        <f>IFERROR(__xludf.DUMMYFUNCTION("IF(OR(E6597="""",K6597=""""),"""",IFERROR(IF(K6597="""","""",query('tbl user'!$A$2:$D10975,""SELECT A WHERE D = '""&amp;K6597&amp;""'"")),""USER TIDAK DIKETAHUI""))"),"")</f>
        <v/>
      </c>
    </row>
    <row r="6598">
      <c r="A6598" s="21" t="str">
        <f t="shared" si="3"/>
        <v/>
      </c>
      <c r="B6598" s="38"/>
      <c r="C6598" s="23"/>
      <c r="D6598" s="23"/>
      <c r="E6598" s="24"/>
      <c r="F6598" s="25"/>
      <c r="G6598" s="25"/>
      <c r="H6598" s="27"/>
      <c r="I6598" s="28"/>
      <c r="J6598" s="39"/>
      <c r="K6598" s="41"/>
      <c r="L6598" s="31" t="str">
        <f>IFERROR(__xludf.DUMMYFUNCTION("IF(OR(E6598="""",K6598=""""),"""",IFERROR(IF(K6598="""","""",query('tbl user'!$A$2:$D10975,""SELECT A WHERE D = '""&amp;K6598&amp;""'"")),""USER TIDAK DIKETAHUI""))"),"")</f>
        <v/>
      </c>
    </row>
    <row r="6599">
      <c r="A6599" s="21" t="str">
        <f t="shared" si="3"/>
        <v/>
      </c>
      <c r="B6599" s="38"/>
      <c r="C6599" s="23"/>
      <c r="D6599" s="23"/>
      <c r="E6599" s="24"/>
      <c r="F6599" s="25"/>
      <c r="G6599" s="25"/>
      <c r="H6599" s="27"/>
      <c r="I6599" s="28"/>
      <c r="J6599" s="39"/>
      <c r="K6599" s="41"/>
      <c r="L6599" s="31" t="str">
        <f>IFERROR(__xludf.DUMMYFUNCTION("IF(OR(E6599="""",K6599=""""),"""",IFERROR(IF(K6599="""","""",query('tbl user'!$A$2:$D10975,""SELECT A WHERE D = '""&amp;K6599&amp;""'"")),""USER TIDAK DIKETAHUI""))"),"")</f>
        <v/>
      </c>
    </row>
    <row r="6600">
      <c r="A6600" s="21" t="str">
        <f t="shared" si="3"/>
        <v/>
      </c>
      <c r="B6600" s="38"/>
      <c r="C6600" s="23"/>
      <c r="D6600" s="23"/>
      <c r="E6600" s="24"/>
      <c r="F6600" s="25"/>
      <c r="G6600" s="25"/>
      <c r="H6600" s="27"/>
      <c r="I6600" s="28"/>
      <c r="J6600" s="39"/>
      <c r="K6600" s="41"/>
      <c r="L6600" s="31" t="str">
        <f>IFERROR(__xludf.DUMMYFUNCTION("IF(OR(E6600="""",K6600=""""),"""",IFERROR(IF(K6600="""","""",query('tbl user'!$A$2:$D10975,""SELECT A WHERE D = '""&amp;K6600&amp;""'"")),""USER TIDAK DIKETAHUI""))"),"")</f>
        <v/>
      </c>
    </row>
    <row r="6601">
      <c r="A6601" s="21" t="str">
        <f t="shared" si="3"/>
        <v/>
      </c>
      <c r="B6601" s="38"/>
      <c r="C6601" s="23"/>
      <c r="D6601" s="23"/>
      <c r="E6601" s="24"/>
      <c r="F6601" s="25"/>
      <c r="G6601" s="25"/>
      <c r="H6601" s="27"/>
      <c r="I6601" s="28"/>
      <c r="J6601" s="39"/>
      <c r="K6601" s="41"/>
      <c r="L6601" s="31" t="str">
        <f>IFERROR(__xludf.DUMMYFUNCTION("IF(OR(E6601="""",K6601=""""),"""",IFERROR(IF(K6601="""","""",query('tbl user'!$A$2:$D10975,""SELECT A WHERE D = '""&amp;K6601&amp;""'"")),""USER TIDAK DIKETAHUI""))"),"")</f>
        <v/>
      </c>
    </row>
    <row r="6602">
      <c r="A6602" s="21" t="str">
        <f t="shared" si="3"/>
        <v/>
      </c>
      <c r="B6602" s="38"/>
      <c r="C6602" s="23"/>
      <c r="D6602" s="23"/>
      <c r="E6602" s="24"/>
      <c r="F6602" s="25"/>
      <c r="G6602" s="25"/>
      <c r="H6602" s="27"/>
      <c r="I6602" s="28"/>
      <c r="J6602" s="39"/>
      <c r="K6602" s="41"/>
      <c r="L6602" s="31" t="str">
        <f>IFERROR(__xludf.DUMMYFUNCTION("IF(OR(E6602="""",K6602=""""),"""",IFERROR(IF(K6602="""","""",query('tbl user'!$A$2:$D10975,""SELECT A WHERE D = '""&amp;K6602&amp;""'"")),""USER TIDAK DIKETAHUI""))"),"")</f>
        <v/>
      </c>
    </row>
    <row r="6603">
      <c r="A6603" s="21" t="str">
        <f t="shared" si="3"/>
        <v/>
      </c>
      <c r="B6603" s="38"/>
      <c r="C6603" s="23"/>
      <c r="D6603" s="23"/>
      <c r="E6603" s="24"/>
      <c r="F6603" s="25"/>
      <c r="G6603" s="25"/>
      <c r="H6603" s="27"/>
      <c r="I6603" s="28"/>
      <c r="J6603" s="39"/>
      <c r="K6603" s="41"/>
      <c r="L6603" s="31" t="str">
        <f>IFERROR(__xludf.DUMMYFUNCTION("IF(OR(E6603="""",K6603=""""),"""",IFERROR(IF(K6603="""","""",query('tbl user'!$A$2:$D10975,""SELECT A WHERE D = '""&amp;K6603&amp;""'"")),""USER TIDAK DIKETAHUI""))"),"")</f>
        <v/>
      </c>
    </row>
    <row r="6604">
      <c r="A6604" s="21" t="str">
        <f t="shared" si="3"/>
        <v/>
      </c>
      <c r="B6604" s="38"/>
      <c r="C6604" s="23"/>
      <c r="D6604" s="23"/>
      <c r="E6604" s="24"/>
      <c r="F6604" s="25"/>
      <c r="G6604" s="25"/>
      <c r="H6604" s="27"/>
      <c r="I6604" s="28"/>
      <c r="J6604" s="39"/>
      <c r="K6604" s="41"/>
      <c r="L6604" s="31" t="str">
        <f>IFERROR(__xludf.DUMMYFUNCTION("IF(OR(E6604="""",K6604=""""),"""",IFERROR(IF(K6604="""","""",query('tbl user'!$A$2:$D10975,""SELECT A WHERE D = '""&amp;K6604&amp;""'"")),""USER TIDAK DIKETAHUI""))"),"")</f>
        <v/>
      </c>
    </row>
    <row r="6605">
      <c r="A6605" s="21" t="str">
        <f t="shared" si="3"/>
        <v/>
      </c>
      <c r="B6605" s="38"/>
      <c r="C6605" s="23"/>
      <c r="D6605" s="23"/>
      <c r="E6605" s="24"/>
      <c r="F6605" s="25"/>
      <c r="G6605" s="25"/>
      <c r="H6605" s="27"/>
      <c r="I6605" s="28"/>
      <c r="J6605" s="39"/>
      <c r="K6605" s="41"/>
      <c r="L6605" s="31" t="str">
        <f>IFERROR(__xludf.DUMMYFUNCTION("IF(OR(E6605="""",K6605=""""),"""",IFERROR(IF(K6605="""","""",query('tbl user'!$A$2:$D10975,""SELECT A WHERE D = '""&amp;K6605&amp;""'"")),""USER TIDAK DIKETAHUI""))"),"")</f>
        <v/>
      </c>
    </row>
    <row r="6606">
      <c r="A6606" s="21" t="str">
        <f t="shared" si="3"/>
        <v/>
      </c>
      <c r="B6606" s="38"/>
      <c r="C6606" s="23"/>
      <c r="D6606" s="23"/>
      <c r="E6606" s="24"/>
      <c r="F6606" s="25"/>
      <c r="G6606" s="25"/>
      <c r="H6606" s="27"/>
      <c r="I6606" s="28"/>
      <c r="J6606" s="39"/>
      <c r="K6606" s="41"/>
      <c r="L6606" s="31" t="str">
        <f>IFERROR(__xludf.DUMMYFUNCTION("IF(OR(E6606="""",K6606=""""),"""",IFERROR(IF(K6606="""","""",query('tbl user'!$A$2:$D10975,""SELECT A WHERE D = '""&amp;K6606&amp;""'"")),""USER TIDAK DIKETAHUI""))"),"")</f>
        <v/>
      </c>
    </row>
    <row r="6607">
      <c r="A6607" s="21" t="str">
        <f t="shared" si="3"/>
        <v/>
      </c>
      <c r="B6607" s="38"/>
      <c r="C6607" s="23"/>
      <c r="D6607" s="23"/>
      <c r="E6607" s="24"/>
      <c r="F6607" s="25"/>
      <c r="G6607" s="25"/>
      <c r="H6607" s="27"/>
      <c r="I6607" s="28"/>
      <c r="J6607" s="39"/>
      <c r="K6607" s="41"/>
      <c r="L6607" s="31" t="str">
        <f>IFERROR(__xludf.DUMMYFUNCTION("IF(OR(E6607="""",K6607=""""),"""",IFERROR(IF(K6607="""","""",query('tbl user'!$A$2:$D10975,""SELECT A WHERE D = '""&amp;K6607&amp;""'"")),""USER TIDAK DIKETAHUI""))"),"")</f>
        <v/>
      </c>
    </row>
    <row r="6608">
      <c r="A6608" s="21" t="str">
        <f t="shared" si="3"/>
        <v/>
      </c>
      <c r="B6608" s="38"/>
      <c r="C6608" s="23"/>
      <c r="D6608" s="23"/>
      <c r="E6608" s="24"/>
      <c r="F6608" s="25"/>
      <c r="G6608" s="25"/>
      <c r="H6608" s="27"/>
      <c r="I6608" s="28"/>
      <c r="J6608" s="39"/>
      <c r="K6608" s="41"/>
      <c r="L6608" s="31" t="str">
        <f>IFERROR(__xludf.DUMMYFUNCTION("IF(OR(E6608="""",K6608=""""),"""",IFERROR(IF(K6608="""","""",query('tbl user'!$A$2:$D10975,""SELECT A WHERE D = '""&amp;K6608&amp;""'"")),""USER TIDAK DIKETAHUI""))"),"")</f>
        <v/>
      </c>
    </row>
    <row r="6609">
      <c r="A6609" s="21" t="str">
        <f t="shared" si="3"/>
        <v/>
      </c>
      <c r="B6609" s="38"/>
      <c r="C6609" s="23"/>
      <c r="D6609" s="23"/>
      <c r="E6609" s="24"/>
      <c r="F6609" s="25"/>
      <c r="G6609" s="25"/>
      <c r="H6609" s="27"/>
      <c r="I6609" s="28"/>
      <c r="J6609" s="39"/>
      <c r="K6609" s="41"/>
      <c r="L6609" s="31" t="str">
        <f>IFERROR(__xludf.DUMMYFUNCTION("IF(OR(E6609="""",K6609=""""),"""",IFERROR(IF(K6609="""","""",query('tbl user'!$A$2:$D10975,""SELECT A WHERE D = '""&amp;K6609&amp;""'"")),""USER TIDAK DIKETAHUI""))"),"")</f>
        <v/>
      </c>
    </row>
    <row r="6610">
      <c r="A6610" s="21" t="str">
        <f t="shared" si="3"/>
        <v/>
      </c>
      <c r="B6610" s="38"/>
      <c r="C6610" s="23"/>
      <c r="D6610" s="23"/>
      <c r="E6610" s="24"/>
      <c r="F6610" s="25"/>
      <c r="G6610" s="25"/>
      <c r="H6610" s="27"/>
      <c r="I6610" s="28"/>
      <c r="J6610" s="39"/>
      <c r="K6610" s="41"/>
      <c r="L6610" s="31" t="str">
        <f>IFERROR(__xludf.DUMMYFUNCTION("IF(OR(E6610="""",K6610=""""),"""",IFERROR(IF(K6610="""","""",query('tbl user'!$A$2:$D10975,""SELECT A WHERE D = '""&amp;K6610&amp;""'"")),""USER TIDAK DIKETAHUI""))"),"")</f>
        <v/>
      </c>
    </row>
    <row r="6611">
      <c r="A6611" s="21" t="str">
        <f t="shared" si="3"/>
        <v/>
      </c>
      <c r="B6611" s="38"/>
      <c r="C6611" s="23"/>
      <c r="D6611" s="23"/>
      <c r="E6611" s="24"/>
      <c r="F6611" s="25"/>
      <c r="G6611" s="25"/>
      <c r="H6611" s="27"/>
      <c r="I6611" s="28"/>
      <c r="J6611" s="39"/>
      <c r="K6611" s="41"/>
      <c r="L6611" s="31" t="str">
        <f>IFERROR(__xludf.DUMMYFUNCTION("IF(OR(E6611="""",K6611=""""),"""",IFERROR(IF(K6611="""","""",query('tbl user'!$A$2:$D10975,""SELECT A WHERE D = '""&amp;K6611&amp;""'"")),""USER TIDAK DIKETAHUI""))"),"")</f>
        <v/>
      </c>
    </row>
    <row r="6612">
      <c r="A6612" s="21" t="str">
        <f t="shared" si="3"/>
        <v/>
      </c>
      <c r="B6612" s="38"/>
      <c r="C6612" s="23"/>
      <c r="D6612" s="23"/>
      <c r="E6612" s="24"/>
      <c r="F6612" s="25"/>
      <c r="G6612" s="25"/>
      <c r="H6612" s="27"/>
      <c r="I6612" s="28"/>
      <c r="J6612" s="39"/>
      <c r="K6612" s="41"/>
      <c r="L6612" s="31" t="str">
        <f>IFERROR(__xludf.DUMMYFUNCTION("IF(OR(E6612="""",K6612=""""),"""",IFERROR(IF(K6612="""","""",query('tbl user'!$A$2:$D10975,""SELECT A WHERE D = '""&amp;K6612&amp;""'"")),""USER TIDAK DIKETAHUI""))"),"")</f>
        <v/>
      </c>
    </row>
    <row r="6613">
      <c r="A6613" s="21" t="str">
        <f t="shared" si="3"/>
        <v/>
      </c>
      <c r="B6613" s="38"/>
      <c r="C6613" s="23"/>
      <c r="D6613" s="23"/>
      <c r="E6613" s="24"/>
      <c r="F6613" s="25"/>
      <c r="G6613" s="25"/>
      <c r="H6613" s="27"/>
      <c r="I6613" s="28"/>
      <c r="J6613" s="39"/>
      <c r="K6613" s="41"/>
      <c r="L6613" s="31" t="str">
        <f>IFERROR(__xludf.DUMMYFUNCTION("IF(OR(E6613="""",K6613=""""),"""",IFERROR(IF(K6613="""","""",query('tbl user'!$A$2:$D10975,""SELECT A WHERE D = '""&amp;K6613&amp;""'"")),""USER TIDAK DIKETAHUI""))"),"")</f>
        <v/>
      </c>
    </row>
    <row r="6614">
      <c r="A6614" s="21" t="str">
        <f t="shared" si="3"/>
        <v/>
      </c>
      <c r="B6614" s="38"/>
      <c r="C6614" s="23"/>
      <c r="D6614" s="23"/>
      <c r="E6614" s="24"/>
      <c r="F6614" s="25"/>
      <c r="G6614" s="25"/>
      <c r="H6614" s="27"/>
      <c r="I6614" s="28"/>
      <c r="J6614" s="39"/>
      <c r="K6614" s="41"/>
      <c r="L6614" s="31" t="str">
        <f>IFERROR(__xludf.DUMMYFUNCTION("IF(OR(E6614="""",K6614=""""),"""",IFERROR(IF(K6614="""","""",query('tbl user'!$A$2:$D10975,""SELECT A WHERE D = '""&amp;K6614&amp;""'"")),""USER TIDAK DIKETAHUI""))"),"")</f>
        <v/>
      </c>
    </row>
    <row r="6615">
      <c r="A6615" s="21" t="str">
        <f t="shared" si="3"/>
        <v/>
      </c>
      <c r="B6615" s="38"/>
      <c r="C6615" s="23"/>
      <c r="D6615" s="23"/>
      <c r="E6615" s="24"/>
      <c r="F6615" s="25"/>
      <c r="G6615" s="25"/>
      <c r="H6615" s="27"/>
      <c r="I6615" s="28"/>
      <c r="J6615" s="39"/>
      <c r="K6615" s="41"/>
      <c r="L6615" s="31" t="str">
        <f>IFERROR(__xludf.DUMMYFUNCTION("IF(OR(E6615="""",K6615=""""),"""",IFERROR(IF(K6615="""","""",query('tbl user'!$A$2:$D10975,""SELECT A WHERE D = '""&amp;K6615&amp;""'"")),""USER TIDAK DIKETAHUI""))"),"")</f>
        <v/>
      </c>
    </row>
    <row r="6616">
      <c r="A6616" s="21" t="str">
        <f t="shared" si="3"/>
        <v/>
      </c>
      <c r="B6616" s="38"/>
      <c r="C6616" s="23"/>
      <c r="D6616" s="23"/>
      <c r="E6616" s="24"/>
      <c r="F6616" s="25"/>
      <c r="G6616" s="25"/>
      <c r="H6616" s="27"/>
      <c r="I6616" s="28"/>
      <c r="J6616" s="39"/>
      <c r="K6616" s="41"/>
      <c r="L6616" s="31" t="str">
        <f>IFERROR(__xludf.DUMMYFUNCTION("IF(OR(E6616="""",K6616=""""),"""",IFERROR(IF(K6616="""","""",query('tbl user'!$A$2:$D10975,""SELECT A WHERE D = '""&amp;K6616&amp;""'"")),""USER TIDAK DIKETAHUI""))"),"")</f>
        <v/>
      </c>
    </row>
    <row r="6617">
      <c r="A6617" s="21" t="str">
        <f t="shared" si="3"/>
        <v/>
      </c>
      <c r="B6617" s="38"/>
      <c r="C6617" s="23"/>
      <c r="D6617" s="23"/>
      <c r="E6617" s="24"/>
      <c r="F6617" s="25"/>
      <c r="G6617" s="25"/>
      <c r="H6617" s="27"/>
      <c r="I6617" s="28"/>
      <c r="J6617" s="39"/>
      <c r="K6617" s="41"/>
      <c r="L6617" s="31" t="str">
        <f>IFERROR(__xludf.DUMMYFUNCTION("IF(OR(E6617="""",K6617=""""),"""",IFERROR(IF(K6617="""","""",query('tbl user'!$A$2:$D10975,""SELECT A WHERE D = '""&amp;K6617&amp;""'"")),""USER TIDAK DIKETAHUI""))"),"")</f>
        <v/>
      </c>
    </row>
    <row r="6618">
      <c r="A6618" s="21" t="str">
        <f t="shared" si="3"/>
        <v/>
      </c>
      <c r="B6618" s="38"/>
      <c r="C6618" s="23"/>
      <c r="D6618" s="23"/>
      <c r="E6618" s="24"/>
      <c r="F6618" s="25"/>
      <c r="G6618" s="25"/>
      <c r="H6618" s="27"/>
      <c r="I6618" s="28"/>
      <c r="J6618" s="39"/>
      <c r="K6618" s="41"/>
      <c r="L6618" s="31" t="str">
        <f>IFERROR(__xludf.DUMMYFUNCTION("IF(OR(E6618="""",K6618=""""),"""",IFERROR(IF(K6618="""","""",query('tbl user'!$A$2:$D10975,""SELECT A WHERE D = '""&amp;K6618&amp;""'"")),""USER TIDAK DIKETAHUI""))"),"")</f>
        <v/>
      </c>
    </row>
    <row r="6619">
      <c r="A6619" s="21" t="str">
        <f t="shared" si="3"/>
        <v/>
      </c>
      <c r="B6619" s="38"/>
      <c r="C6619" s="23"/>
      <c r="D6619" s="23"/>
      <c r="E6619" s="24"/>
      <c r="F6619" s="25"/>
      <c r="G6619" s="25"/>
      <c r="H6619" s="27"/>
      <c r="I6619" s="28"/>
      <c r="J6619" s="39"/>
      <c r="K6619" s="41"/>
      <c r="L6619" s="31" t="str">
        <f>IFERROR(__xludf.DUMMYFUNCTION("IF(OR(E6619="""",K6619=""""),"""",IFERROR(IF(K6619="""","""",query('tbl user'!$A$2:$D10975,""SELECT A WHERE D = '""&amp;K6619&amp;""'"")),""USER TIDAK DIKETAHUI""))"),"")</f>
        <v/>
      </c>
    </row>
    <row r="6620">
      <c r="A6620" s="21" t="str">
        <f t="shared" si="3"/>
        <v/>
      </c>
      <c r="B6620" s="38"/>
      <c r="C6620" s="23"/>
      <c r="D6620" s="23"/>
      <c r="E6620" s="24"/>
      <c r="F6620" s="25"/>
      <c r="G6620" s="25"/>
      <c r="H6620" s="27"/>
      <c r="I6620" s="28"/>
      <c r="J6620" s="39"/>
      <c r="K6620" s="41"/>
      <c r="L6620" s="31" t="str">
        <f>IFERROR(__xludf.DUMMYFUNCTION("IF(OR(E6620="""",K6620=""""),"""",IFERROR(IF(K6620="""","""",query('tbl user'!$A$2:$D10975,""SELECT A WHERE D = '""&amp;K6620&amp;""'"")),""USER TIDAK DIKETAHUI""))"),"")</f>
        <v/>
      </c>
    </row>
    <row r="6621">
      <c r="A6621" s="21" t="str">
        <f t="shared" si="3"/>
        <v/>
      </c>
      <c r="B6621" s="38"/>
      <c r="C6621" s="23"/>
      <c r="D6621" s="23"/>
      <c r="E6621" s="24"/>
      <c r="F6621" s="25"/>
      <c r="G6621" s="25"/>
      <c r="H6621" s="27"/>
      <c r="I6621" s="28"/>
      <c r="J6621" s="39"/>
      <c r="K6621" s="41"/>
      <c r="L6621" s="31" t="str">
        <f>IFERROR(__xludf.DUMMYFUNCTION("IF(OR(E6621="""",K6621=""""),"""",IFERROR(IF(K6621="""","""",query('tbl user'!$A$2:$D10975,""SELECT A WHERE D = '""&amp;K6621&amp;""'"")),""USER TIDAK DIKETAHUI""))"),"")</f>
        <v/>
      </c>
    </row>
    <row r="6622">
      <c r="A6622" s="21" t="str">
        <f t="shared" si="3"/>
        <v/>
      </c>
      <c r="B6622" s="38"/>
      <c r="C6622" s="23"/>
      <c r="D6622" s="23"/>
      <c r="E6622" s="24"/>
      <c r="F6622" s="25"/>
      <c r="G6622" s="25"/>
      <c r="H6622" s="27"/>
      <c r="I6622" s="28"/>
      <c r="J6622" s="39"/>
      <c r="K6622" s="41"/>
      <c r="L6622" s="31" t="str">
        <f>IFERROR(__xludf.DUMMYFUNCTION("IF(OR(E6622="""",K6622=""""),"""",IFERROR(IF(K6622="""","""",query('tbl user'!$A$2:$D10975,""SELECT A WHERE D = '""&amp;K6622&amp;""'"")),""USER TIDAK DIKETAHUI""))"),"")</f>
        <v/>
      </c>
    </row>
    <row r="6623">
      <c r="A6623" s="21" t="str">
        <f t="shared" si="3"/>
        <v/>
      </c>
      <c r="B6623" s="38"/>
      <c r="C6623" s="23"/>
      <c r="D6623" s="23"/>
      <c r="E6623" s="24"/>
      <c r="F6623" s="25"/>
      <c r="G6623" s="25"/>
      <c r="H6623" s="27"/>
      <c r="I6623" s="28"/>
      <c r="J6623" s="39"/>
      <c r="K6623" s="41"/>
      <c r="L6623" s="31" t="str">
        <f>IFERROR(__xludf.DUMMYFUNCTION("IF(OR(E6623="""",K6623=""""),"""",IFERROR(IF(K6623="""","""",query('tbl user'!$A$2:$D10975,""SELECT A WHERE D = '""&amp;K6623&amp;""'"")),""USER TIDAK DIKETAHUI""))"),"")</f>
        <v/>
      </c>
    </row>
    <row r="6624">
      <c r="A6624" s="21" t="str">
        <f t="shared" si="3"/>
        <v/>
      </c>
      <c r="B6624" s="38"/>
      <c r="C6624" s="23"/>
      <c r="D6624" s="23"/>
      <c r="E6624" s="24"/>
      <c r="F6624" s="25"/>
      <c r="G6624" s="25"/>
      <c r="H6624" s="27"/>
      <c r="I6624" s="28"/>
      <c r="J6624" s="39"/>
      <c r="K6624" s="41"/>
      <c r="L6624" s="31" t="str">
        <f>IFERROR(__xludf.DUMMYFUNCTION("IF(OR(E6624="""",K6624=""""),"""",IFERROR(IF(K6624="""","""",query('tbl user'!$A$2:$D10975,""SELECT A WHERE D = '""&amp;K6624&amp;""'"")),""USER TIDAK DIKETAHUI""))"),"")</f>
        <v/>
      </c>
    </row>
    <row r="6625">
      <c r="A6625" s="21" t="str">
        <f t="shared" si="3"/>
        <v/>
      </c>
      <c r="B6625" s="38"/>
      <c r="C6625" s="23"/>
      <c r="D6625" s="23"/>
      <c r="E6625" s="24"/>
      <c r="F6625" s="25"/>
      <c r="G6625" s="25"/>
      <c r="H6625" s="27"/>
      <c r="I6625" s="28"/>
      <c r="J6625" s="39"/>
      <c r="K6625" s="41"/>
      <c r="L6625" s="31" t="str">
        <f>IFERROR(__xludf.DUMMYFUNCTION("IF(OR(E6625="""",K6625=""""),"""",IFERROR(IF(K6625="""","""",query('tbl user'!$A$2:$D10975,""SELECT A WHERE D = '""&amp;K6625&amp;""'"")),""USER TIDAK DIKETAHUI""))"),"")</f>
        <v/>
      </c>
    </row>
    <row r="6626">
      <c r="A6626" s="21" t="str">
        <f t="shared" si="3"/>
        <v/>
      </c>
      <c r="B6626" s="38"/>
      <c r="C6626" s="23"/>
      <c r="D6626" s="23"/>
      <c r="E6626" s="24"/>
      <c r="F6626" s="25"/>
      <c r="G6626" s="25"/>
      <c r="H6626" s="27"/>
      <c r="I6626" s="28"/>
      <c r="J6626" s="39"/>
      <c r="K6626" s="41"/>
      <c r="L6626" s="31" t="str">
        <f>IFERROR(__xludf.DUMMYFUNCTION("IF(OR(E6626="""",K6626=""""),"""",IFERROR(IF(K6626="""","""",query('tbl user'!$A$2:$D10975,""SELECT A WHERE D = '""&amp;K6626&amp;""'"")),""USER TIDAK DIKETAHUI""))"),"")</f>
        <v/>
      </c>
    </row>
    <row r="6627">
      <c r="A6627" s="21" t="str">
        <f t="shared" si="3"/>
        <v/>
      </c>
      <c r="B6627" s="38"/>
      <c r="C6627" s="23"/>
      <c r="D6627" s="23"/>
      <c r="E6627" s="24"/>
      <c r="F6627" s="25"/>
      <c r="G6627" s="25"/>
      <c r="H6627" s="27"/>
      <c r="I6627" s="28"/>
      <c r="J6627" s="39"/>
      <c r="K6627" s="41"/>
      <c r="L6627" s="31" t="str">
        <f>IFERROR(__xludf.DUMMYFUNCTION("IF(OR(E6627="""",K6627=""""),"""",IFERROR(IF(K6627="""","""",query('tbl user'!$A$2:$D10975,""SELECT A WHERE D = '""&amp;K6627&amp;""'"")),""USER TIDAK DIKETAHUI""))"),"")</f>
        <v/>
      </c>
    </row>
    <row r="6628">
      <c r="A6628" s="21" t="str">
        <f t="shared" si="3"/>
        <v/>
      </c>
      <c r="B6628" s="38"/>
      <c r="C6628" s="23"/>
      <c r="D6628" s="23"/>
      <c r="E6628" s="24"/>
      <c r="F6628" s="25"/>
      <c r="G6628" s="25"/>
      <c r="H6628" s="27"/>
      <c r="I6628" s="28"/>
      <c r="J6628" s="39"/>
      <c r="K6628" s="41"/>
      <c r="L6628" s="31" t="str">
        <f>IFERROR(__xludf.DUMMYFUNCTION("IF(OR(E6628="""",K6628=""""),"""",IFERROR(IF(K6628="""","""",query('tbl user'!$A$2:$D10975,""SELECT A WHERE D = '""&amp;K6628&amp;""'"")),""USER TIDAK DIKETAHUI""))"),"")</f>
        <v/>
      </c>
    </row>
    <row r="6629">
      <c r="A6629" s="21" t="str">
        <f t="shared" si="3"/>
        <v/>
      </c>
      <c r="B6629" s="38"/>
      <c r="C6629" s="23"/>
      <c r="D6629" s="23"/>
      <c r="E6629" s="24"/>
      <c r="F6629" s="25"/>
      <c r="G6629" s="25"/>
      <c r="H6629" s="27"/>
      <c r="I6629" s="28"/>
      <c r="J6629" s="39"/>
      <c r="K6629" s="41"/>
      <c r="L6629" s="31" t="str">
        <f>IFERROR(__xludf.DUMMYFUNCTION("IF(OR(E6629="""",K6629=""""),"""",IFERROR(IF(K6629="""","""",query('tbl user'!$A$2:$D10975,""SELECT A WHERE D = '""&amp;K6629&amp;""'"")),""USER TIDAK DIKETAHUI""))"),"")</f>
        <v/>
      </c>
    </row>
    <row r="6630">
      <c r="A6630" s="21" t="str">
        <f t="shared" si="3"/>
        <v/>
      </c>
      <c r="B6630" s="38"/>
      <c r="C6630" s="23"/>
      <c r="D6630" s="23"/>
      <c r="E6630" s="24"/>
      <c r="F6630" s="25"/>
      <c r="G6630" s="25"/>
      <c r="H6630" s="27"/>
      <c r="I6630" s="28"/>
      <c r="J6630" s="39"/>
      <c r="K6630" s="41"/>
      <c r="L6630" s="31" t="str">
        <f>IFERROR(__xludf.DUMMYFUNCTION("IF(OR(E6630="""",K6630=""""),"""",IFERROR(IF(K6630="""","""",query('tbl user'!$A$2:$D10975,""SELECT A WHERE D = '""&amp;K6630&amp;""'"")),""USER TIDAK DIKETAHUI""))"),"")</f>
        <v/>
      </c>
    </row>
    <row r="6631">
      <c r="A6631" s="21" t="str">
        <f t="shared" si="3"/>
        <v/>
      </c>
      <c r="B6631" s="38"/>
      <c r="C6631" s="23"/>
      <c r="D6631" s="23"/>
      <c r="E6631" s="24"/>
      <c r="F6631" s="25"/>
      <c r="G6631" s="25"/>
      <c r="H6631" s="27"/>
      <c r="I6631" s="28"/>
      <c r="J6631" s="39"/>
      <c r="K6631" s="41"/>
      <c r="L6631" s="31" t="str">
        <f>IFERROR(__xludf.DUMMYFUNCTION("IF(OR(E6631="""",K6631=""""),"""",IFERROR(IF(K6631="""","""",query('tbl user'!$A$2:$D10975,""SELECT A WHERE D = '""&amp;K6631&amp;""'"")),""USER TIDAK DIKETAHUI""))"),"")</f>
        <v/>
      </c>
    </row>
    <row r="6632">
      <c r="A6632" s="21" t="str">
        <f t="shared" si="3"/>
        <v/>
      </c>
      <c r="B6632" s="38"/>
      <c r="C6632" s="23"/>
      <c r="D6632" s="23"/>
      <c r="E6632" s="24"/>
      <c r="F6632" s="25"/>
      <c r="G6632" s="25"/>
      <c r="H6632" s="27"/>
      <c r="I6632" s="28"/>
      <c r="J6632" s="39"/>
      <c r="K6632" s="41"/>
      <c r="L6632" s="31" t="str">
        <f>IFERROR(__xludf.DUMMYFUNCTION("IF(OR(E6632="""",K6632=""""),"""",IFERROR(IF(K6632="""","""",query('tbl user'!$A$2:$D10975,""SELECT A WHERE D = '""&amp;K6632&amp;""'"")),""USER TIDAK DIKETAHUI""))"),"")</f>
        <v/>
      </c>
    </row>
    <row r="6633">
      <c r="A6633" s="21" t="str">
        <f t="shared" si="3"/>
        <v/>
      </c>
      <c r="B6633" s="38"/>
      <c r="C6633" s="23"/>
      <c r="D6633" s="23"/>
      <c r="E6633" s="24"/>
      <c r="F6633" s="25"/>
      <c r="G6633" s="25"/>
      <c r="H6633" s="27"/>
      <c r="I6633" s="28"/>
      <c r="J6633" s="39"/>
      <c r="K6633" s="41"/>
      <c r="L6633" s="31" t="str">
        <f>IFERROR(__xludf.DUMMYFUNCTION("IF(OR(E6633="""",K6633=""""),"""",IFERROR(IF(K6633="""","""",query('tbl user'!$A$2:$D10975,""SELECT A WHERE D = '""&amp;K6633&amp;""'"")),""USER TIDAK DIKETAHUI""))"),"")</f>
        <v/>
      </c>
    </row>
    <row r="6634">
      <c r="A6634" s="21" t="str">
        <f t="shared" si="3"/>
        <v/>
      </c>
      <c r="B6634" s="38"/>
      <c r="C6634" s="23"/>
      <c r="D6634" s="23"/>
      <c r="E6634" s="24"/>
      <c r="F6634" s="25"/>
      <c r="G6634" s="25"/>
      <c r="H6634" s="27"/>
      <c r="I6634" s="28"/>
      <c r="J6634" s="39"/>
      <c r="K6634" s="41"/>
      <c r="L6634" s="31" t="str">
        <f>IFERROR(__xludf.DUMMYFUNCTION("IF(OR(E6634="""",K6634=""""),"""",IFERROR(IF(K6634="""","""",query('tbl user'!$A$2:$D10975,""SELECT A WHERE D = '""&amp;K6634&amp;""'"")),""USER TIDAK DIKETAHUI""))"),"")</f>
        <v/>
      </c>
    </row>
    <row r="6635">
      <c r="A6635" s="21" t="str">
        <f t="shared" si="3"/>
        <v/>
      </c>
      <c r="B6635" s="38"/>
      <c r="C6635" s="23"/>
      <c r="D6635" s="23"/>
      <c r="E6635" s="24"/>
      <c r="F6635" s="25"/>
      <c r="G6635" s="25"/>
      <c r="H6635" s="27"/>
      <c r="I6635" s="28"/>
      <c r="J6635" s="39"/>
      <c r="K6635" s="41"/>
      <c r="L6635" s="31" t="str">
        <f>IFERROR(__xludf.DUMMYFUNCTION("IF(OR(E6635="""",K6635=""""),"""",IFERROR(IF(K6635="""","""",query('tbl user'!$A$2:$D10975,""SELECT A WHERE D = '""&amp;K6635&amp;""'"")),""USER TIDAK DIKETAHUI""))"),"")</f>
        <v/>
      </c>
    </row>
    <row r="6636">
      <c r="A6636" s="21" t="str">
        <f t="shared" si="3"/>
        <v/>
      </c>
      <c r="B6636" s="38"/>
      <c r="C6636" s="23"/>
      <c r="D6636" s="23"/>
      <c r="E6636" s="24"/>
      <c r="F6636" s="25"/>
      <c r="G6636" s="25"/>
      <c r="H6636" s="27"/>
      <c r="I6636" s="28"/>
      <c r="J6636" s="39"/>
      <c r="K6636" s="41"/>
      <c r="L6636" s="31" t="str">
        <f>IFERROR(__xludf.DUMMYFUNCTION("IF(OR(E6636="""",K6636=""""),"""",IFERROR(IF(K6636="""","""",query('tbl user'!$A$2:$D10975,""SELECT A WHERE D = '""&amp;K6636&amp;""'"")),""USER TIDAK DIKETAHUI""))"),"")</f>
        <v/>
      </c>
    </row>
    <row r="6637">
      <c r="A6637" s="21" t="str">
        <f t="shared" si="3"/>
        <v/>
      </c>
      <c r="B6637" s="38"/>
      <c r="C6637" s="23"/>
      <c r="D6637" s="23"/>
      <c r="E6637" s="24"/>
      <c r="F6637" s="25"/>
      <c r="G6637" s="25"/>
      <c r="H6637" s="27"/>
      <c r="I6637" s="28"/>
      <c r="J6637" s="39"/>
      <c r="K6637" s="41"/>
      <c r="L6637" s="31" t="str">
        <f>IFERROR(__xludf.DUMMYFUNCTION("IF(OR(E6637="""",K6637=""""),"""",IFERROR(IF(K6637="""","""",query('tbl user'!$A$2:$D10975,""SELECT A WHERE D = '""&amp;K6637&amp;""'"")),""USER TIDAK DIKETAHUI""))"),"")</f>
        <v/>
      </c>
    </row>
    <row r="6638">
      <c r="A6638" s="21" t="str">
        <f t="shared" si="3"/>
        <v/>
      </c>
      <c r="B6638" s="38"/>
      <c r="C6638" s="23"/>
      <c r="D6638" s="23"/>
      <c r="E6638" s="24"/>
      <c r="F6638" s="25"/>
      <c r="G6638" s="25"/>
      <c r="H6638" s="27"/>
      <c r="I6638" s="28"/>
      <c r="J6638" s="39"/>
      <c r="K6638" s="41"/>
      <c r="L6638" s="31" t="str">
        <f>IFERROR(__xludf.DUMMYFUNCTION("IF(OR(E6638="""",K6638=""""),"""",IFERROR(IF(K6638="""","""",query('tbl user'!$A$2:$D10975,""SELECT A WHERE D = '""&amp;K6638&amp;""'"")),""USER TIDAK DIKETAHUI""))"),"")</f>
        <v/>
      </c>
    </row>
    <row r="6639">
      <c r="A6639" s="21" t="str">
        <f t="shared" si="3"/>
        <v/>
      </c>
      <c r="B6639" s="38"/>
      <c r="C6639" s="23"/>
      <c r="D6639" s="23"/>
      <c r="E6639" s="24"/>
      <c r="F6639" s="25"/>
      <c r="G6639" s="25"/>
      <c r="H6639" s="27"/>
      <c r="I6639" s="28"/>
      <c r="J6639" s="39"/>
      <c r="K6639" s="41"/>
      <c r="L6639" s="31" t="str">
        <f>IFERROR(__xludf.DUMMYFUNCTION("IF(OR(E6639="""",K6639=""""),"""",IFERROR(IF(K6639="""","""",query('tbl user'!$A$2:$D10975,""SELECT A WHERE D = '""&amp;K6639&amp;""'"")),""USER TIDAK DIKETAHUI""))"),"")</f>
        <v/>
      </c>
    </row>
    <row r="6640">
      <c r="A6640" s="21" t="str">
        <f t="shared" si="3"/>
        <v/>
      </c>
      <c r="B6640" s="38"/>
      <c r="C6640" s="23"/>
      <c r="D6640" s="23"/>
      <c r="E6640" s="24"/>
      <c r="F6640" s="25"/>
      <c r="G6640" s="25"/>
      <c r="H6640" s="27"/>
      <c r="I6640" s="28"/>
      <c r="J6640" s="39"/>
      <c r="K6640" s="41"/>
      <c r="L6640" s="31" t="str">
        <f>IFERROR(__xludf.DUMMYFUNCTION("IF(OR(E6640="""",K6640=""""),"""",IFERROR(IF(K6640="""","""",query('tbl user'!$A$2:$D10975,""SELECT A WHERE D = '""&amp;K6640&amp;""'"")),""USER TIDAK DIKETAHUI""))"),"")</f>
        <v/>
      </c>
    </row>
    <row r="6641">
      <c r="A6641" s="21" t="str">
        <f t="shared" si="3"/>
        <v/>
      </c>
      <c r="B6641" s="38"/>
      <c r="C6641" s="23"/>
      <c r="D6641" s="23"/>
      <c r="E6641" s="24"/>
      <c r="F6641" s="25"/>
      <c r="G6641" s="25"/>
      <c r="H6641" s="27"/>
      <c r="I6641" s="28"/>
      <c r="J6641" s="39"/>
      <c r="K6641" s="41"/>
      <c r="L6641" s="31" t="str">
        <f>IFERROR(__xludf.DUMMYFUNCTION("IF(OR(E6641="""",K6641=""""),"""",IFERROR(IF(K6641="""","""",query('tbl user'!$A$2:$D10975,""SELECT A WHERE D = '""&amp;K6641&amp;""'"")),""USER TIDAK DIKETAHUI""))"),"")</f>
        <v/>
      </c>
    </row>
    <row r="6642">
      <c r="A6642" s="21" t="str">
        <f t="shared" si="3"/>
        <v/>
      </c>
      <c r="B6642" s="38"/>
      <c r="C6642" s="23"/>
      <c r="D6642" s="23"/>
      <c r="E6642" s="24"/>
      <c r="F6642" s="25"/>
      <c r="G6642" s="25"/>
      <c r="H6642" s="27"/>
      <c r="I6642" s="28"/>
      <c r="J6642" s="39"/>
      <c r="K6642" s="41"/>
      <c r="L6642" s="31" t="str">
        <f>IFERROR(__xludf.DUMMYFUNCTION("IF(OR(E6642="""",K6642=""""),"""",IFERROR(IF(K6642="""","""",query('tbl user'!$A$2:$D10975,""SELECT A WHERE D = '""&amp;K6642&amp;""'"")),""USER TIDAK DIKETAHUI""))"),"")</f>
        <v/>
      </c>
    </row>
    <row r="6643">
      <c r="A6643" s="21" t="str">
        <f t="shared" si="3"/>
        <v/>
      </c>
      <c r="B6643" s="38"/>
      <c r="C6643" s="23"/>
      <c r="D6643" s="23"/>
      <c r="E6643" s="24"/>
      <c r="F6643" s="25"/>
      <c r="G6643" s="25"/>
      <c r="H6643" s="27"/>
      <c r="I6643" s="28"/>
      <c r="J6643" s="39"/>
      <c r="K6643" s="41"/>
      <c r="L6643" s="31" t="str">
        <f>IFERROR(__xludf.DUMMYFUNCTION("IF(OR(E6643="""",K6643=""""),"""",IFERROR(IF(K6643="""","""",query('tbl user'!$A$2:$D10975,""SELECT A WHERE D = '""&amp;K6643&amp;""'"")),""USER TIDAK DIKETAHUI""))"),"")</f>
        <v/>
      </c>
    </row>
    <row r="6644">
      <c r="A6644" s="21" t="str">
        <f t="shared" si="3"/>
        <v/>
      </c>
      <c r="B6644" s="38"/>
      <c r="C6644" s="23"/>
      <c r="D6644" s="23"/>
      <c r="E6644" s="24"/>
      <c r="F6644" s="25"/>
      <c r="G6644" s="25"/>
      <c r="H6644" s="27"/>
      <c r="I6644" s="28"/>
      <c r="J6644" s="39"/>
      <c r="K6644" s="41"/>
      <c r="L6644" s="31" t="str">
        <f>IFERROR(__xludf.DUMMYFUNCTION("IF(OR(E6644="""",K6644=""""),"""",IFERROR(IF(K6644="""","""",query('tbl user'!$A$2:$D10975,""SELECT A WHERE D = '""&amp;K6644&amp;""'"")),""USER TIDAK DIKETAHUI""))"),"")</f>
        <v/>
      </c>
    </row>
    <row r="6645">
      <c r="A6645" s="21" t="str">
        <f t="shared" si="3"/>
        <v/>
      </c>
      <c r="B6645" s="38"/>
      <c r="C6645" s="23"/>
      <c r="D6645" s="23"/>
      <c r="E6645" s="24"/>
      <c r="F6645" s="25"/>
      <c r="G6645" s="25"/>
      <c r="H6645" s="27"/>
      <c r="I6645" s="28"/>
      <c r="J6645" s="39"/>
      <c r="K6645" s="41"/>
      <c r="L6645" s="31" t="str">
        <f>IFERROR(__xludf.DUMMYFUNCTION("IF(OR(E6645="""",K6645=""""),"""",IFERROR(IF(K6645="""","""",query('tbl user'!$A$2:$D10975,""SELECT A WHERE D = '""&amp;K6645&amp;""'"")),""USER TIDAK DIKETAHUI""))"),"")</f>
        <v/>
      </c>
    </row>
    <row r="6646">
      <c r="A6646" s="21" t="str">
        <f t="shared" si="3"/>
        <v/>
      </c>
      <c r="B6646" s="38"/>
      <c r="C6646" s="23"/>
      <c r="D6646" s="23"/>
      <c r="E6646" s="24"/>
      <c r="F6646" s="25"/>
      <c r="G6646" s="25"/>
      <c r="H6646" s="27"/>
      <c r="I6646" s="28"/>
      <c r="J6646" s="39"/>
      <c r="K6646" s="41"/>
      <c r="L6646" s="31" t="str">
        <f>IFERROR(__xludf.DUMMYFUNCTION("IF(OR(E6646="""",K6646=""""),"""",IFERROR(IF(K6646="""","""",query('tbl user'!$A$2:$D10975,""SELECT A WHERE D = '""&amp;K6646&amp;""'"")),""USER TIDAK DIKETAHUI""))"),"")</f>
        <v/>
      </c>
    </row>
    <row r="6647">
      <c r="A6647" s="21" t="str">
        <f t="shared" si="3"/>
        <v/>
      </c>
      <c r="B6647" s="38"/>
      <c r="C6647" s="23"/>
      <c r="D6647" s="23"/>
      <c r="E6647" s="24"/>
      <c r="F6647" s="25"/>
      <c r="G6647" s="25"/>
      <c r="H6647" s="27"/>
      <c r="I6647" s="28"/>
      <c r="J6647" s="39"/>
      <c r="K6647" s="41"/>
      <c r="L6647" s="31" t="str">
        <f>IFERROR(__xludf.DUMMYFUNCTION("IF(OR(E6647="""",K6647=""""),"""",IFERROR(IF(K6647="""","""",query('tbl user'!$A$2:$D10975,""SELECT A WHERE D = '""&amp;K6647&amp;""'"")),""USER TIDAK DIKETAHUI""))"),"")</f>
        <v/>
      </c>
    </row>
    <row r="6648">
      <c r="A6648" s="21" t="str">
        <f t="shared" si="3"/>
        <v/>
      </c>
      <c r="B6648" s="38"/>
      <c r="C6648" s="23"/>
      <c r="D6648" s="23"/>
      <c r="E6648" s="24"/>
      <c r="F6648" s="25"/>
      <c r="G6648" s="25"/>
      <c r="H6648" s="27"/>
      <c r="I6648" s="28"/>
      <c r="J6648" s="39"/>
      <c r="K6648" s="41"/>
      <c r="L6648" s="31" t="str">
        <f>IFERROR(__xludf.DUMMYFUNCTION("IF(OR(E6648="""",K6648=""""),"""",IFERROR(IF(K6648="""","""",query('tbl user'!$A$2:$D10975,""SELECT A WHERE D = '""&amp;K6648&amp;""'"")),""USER TIDAK DIKETAHUI""))"),"")</f>
        <v/>
      </c>
    </row>
    <row r="6649">
      <c r="A6649" s="21" t="str">
        <f t="shared" si="3"/>
        <v/>
      </c>
      <c r="B6649" s="38"/>
      <c r="C6649" s="23"/>
      <c r="D6649" s="23"/>
      <c r="E6649" s="24"/>
      <c r="F6649" s="25"/>
      <c r="G6649" s="25"/>
      <c r="H6649" s="27"/>
      <c r="I6649" s="28"/>
      <c r="J6649" s="39"/>
      <c r="K6649" s="41"/>
      <c r="L6649" s="31" t="str">
        <f>IFERROR(__xludf.DUMMYFUNCTION("IF(OR(E6649="""",K6649=""""),"""",IFERROR(IF(K6649="""","""",query('tbl user'!$A$2:$D10975,""SELECT A WHERE D = '""&amp;K6649&amp;""'"")),""USER TIDAK DIKETAHUI""))"),"")</f>
        <v/>
      </c>
    </row>
    <row r="6650">
      <c r="A6650" s="21" t="str">
        <f t="shared" si="3"/>
        <v/>
      </c>
      <c r="B6650" s="38"/>
      <c r="C6650" s="23"/>
      <c r="D6650" s="23"/>
      <c r="E6650" s="24"/>
      <c r="F6650" s="25"/>
      <c r="G6650" s="25"/>
      <c r="H6650" s="27"/>
      <c r="I6650" s="28"/>
      <c r="J6650" s="39"/>
      <c r="K6650" s="41"/>
      <c r="L6650" s="31" t="str">
        <f>IFERROR(__xludf.DUMMYFUNCTION("IF(OR(E6650="""",K6650=""""),"""",IFERROR(IF(K6650="""","""",query('tbl user'!$A$2:$D10975,""SELECT A WHERE D = '""&amp;K6650&amp;""'"")),""USER TIDAK DIKETAHUI""))"),"")</f>
        <v/>
      </c>
    </row>
    <row r="6651">
      <c r="A6651" s="21" t="str">
        <f t="shared" si="3"/>
        <v/>
      </c>
      <c r="B6651" s="38"/>
      <c r="C6651" s="23"/>
      <c r="D6651" s="23"/>
      <c r="E6651" s="24"/>
      <c r="F6651" s="25"/>
      <c r="G6651" s="25"/>
      <c r="H6651" s="27"/>
      <c r="I6651" s="28"/>
      <c r="J6651" s="39"/>
      <c r="K6651" s="41"/>
      <c r="L6651" s="31" t="str">
        <f>IFERROR(__xludf.DUMMYFUNCTION("IF(OR(E6651="""",K6651=""""),"""",IFERROR(IF(K6651="""","""",query('tbl user'!$A$2:$D10975,""SELECT A WHERE D = '""&amp;K6651&amp;""'"")),""USER TIDAK DIKETAHUI""))"),"")</f>
        <v/>
      </c>
    </row>
    <row r="6652">
      <c r="A6652" s="21" t="str">
        <f t="shared" si="3"/>
        <v/>
      </c>
      <c r="B6652" s="38"/>
      <c r="C6652" s="23"/>
      <c r="D6652" s="23"/>
      <c r="E6652" s="24"/>
      <c r="F6652" s="25"/>
      <c r="G6652" s="25"/>
      <c r="H6652" s="27"/>
      <c r="I6652" s="28"/>
      <c r="J6652" s="39"/>
      <c r="K6652" s="41"/>
      <c r="L6652" s="31" t="str">
        <f>IFERROR(__xludf.DUMMYFUNCTION("IF(OR(E6652="""",K6652=""""),"""",IFERROR(IF(K6652="""","""",query('tbl user'!$A$2:$D10975,""SELECT A WHERE D = '""&amp;K6652&amp;""'"")),""USER TIDAK DIKETAHUI""))"),"")</f>
        <v/>
      </c>
    </row>
    <row r="6653">
      <c r="A6653" s="21" t="str">
        <f t="shared" si="3"/>
        <v/>
      </c>
      <c r="B6653" s="38"/>
      <c r="C6653" s="23"/>
      <c r="D6653" s="23"/>
      <c r="E6653" s="24"/>
      <c r="F6653" s="25"/>
      <c r="G6653" s="25"/>
      <c r="H6653" s="27"/>
      <c r="I6653" s="28"/>
      <c r="J6653" s="39"/>
      <c r="K6653" s="41"/>
      <c r="L6653" s="31" t="str">
        <f>IFERROR(__xludf.DUMMYFUNCTION("IF(OR(E6653="""",K6653=""""),"""",IFERROR(IF(K6653="""","""",query('tbl user'!$A$2:$D10975,""SELECT A WHERE D = '""&amp;K6653&amp;""'"")),""USER TIDAK DIKETAHUI""))"),"")</f>
        <v/>
      </c>
    </row>
    <row r="6654">
      <c r="A6654" s="21" t="str">
        <f t="shared" si="3"/>
        <v/>
      </c>
      <c r="B6654" s="38"/>
      <c r="C6654" s="23"/>
      <c r="D6654" s="23"/>
      <c r="E6654" s="24"/>
      <c r="F6654" s="25"/>
      <c r="G6654" s="25"/>
      <c r="H6654" s="27"/>
      <c r="I6654" s="28"/>
      <c r="J6654" s="39"/>
      <c r="K6654" s="41"/>
      <c r="L6654" s="31" t="str">
        <f>IFERROR(__xludf.DUMMYFUNCTION("IF(OR(E6654="""",K6654=""""),"""",IFERROR(IF(K6654="""","""",query('tbl user'!$A$2:$D10975,""SELECT A WHERE D = '""&amp;K6654&amp;""'"")),""USER TIDAK DIKETAHUI""))"),"")</f>
        <v/>
      </c>
    </row>
    <row r="6655">
      <c r="A6655" s="21" t="str">
        <f t="shared" si="3"/>
        <v/>
      </c>
      <c r="B6655" s="38"/>
      <c r="C6655" s="23"/>
      <c r="D6655" s="23"/>
      <c r="E6655" s="24"/>
      <c r="F6655" s="25"/>
      <c r="G6655" s="25"/>
      <c r="H6655" s="27"/>
      <c r="I6655" s="28"/>
      <c r="J6655" s="39"/>
      <c r="K6655" s="41"/>
      <c r="L6655" s="31" t="str">
        <f>IFERROR(__xludf.DUMMYFUNCTION("IF(OR(E6655="""",K6655=""""),"""",IFERROR(IF(K6655="""","""",query('tbl user'!$A$2:$D10975,""SELECT A WHERE D = '""&amp;K6655&amp;""'"")),""USER TIDAK DIKETAHUI""))"),"")</f>
        <v/>
      </c>
    </row>
    <row r="6656">
      <c r="A6656" s="21" t="str">
        <f t="shared" si="3"/>
        <v/>
      </c>
      <c r="B6656" s="38"/>
      <c r="C6656" s="23"/>
      <c r="D6656" s="23"/>
      <c r="E6656" s="24"/>
      <c r="F6656" s="25"/>
      <c r="G6656" s="25"/>
      <c r="H6656" s="27"/>
      <c r="I6656" s="28"/>
      <c r="J6656" s="39"/>
      <c r="K6656" s="41"/>
      <c r="L6656" s="31" t="str">
        <f>IFERROR(__xludf.DUMMYFUNCTION("IF(OR(E6656="""",K6656=""""),"""",IFERROR(IF(K6656="""","""",query('tbl user'!$A$2:$D10975,""SELECT A WHERE D = '""&amp;K6656&amp;""'"")),""USER TIDAK DIKETAHUI""))"),"")</f>
        <v/>
      </c>
    </row>
    <row r="6657">
      <c r="A6657" s="21" t="str">
        <f t="shared" si="3"/>
        <v/>
      </c>
      <c r="B6657" s="38"/>
      <c r="C6657" s="23"/>
      <c r="D6657" s="23"/>
      <c r="E6657" s="24"/>
      <c r="F6657" s="25"/>
      <c r="G6657" s="25"/>
      <c r="H6657" s="27"/>
      <c r="I6657" s="28"/>
      <c r="J6657" s="39"/>
      <c r="K6657" s="41"/>
      <c r="L6657" s="31" t="str">
        <f>IFERROR(__xludf.DUMMYFUNCTION("IF(OR(E6657="""",K6657=""""),"""",IFERROR(IF(K6657="""","""",query('tbl user'!$A$2:$D10975,""SELECT A WHERE D = '""&amp;K6657&amp;""'"")),""USER TIDAK DIKETAHUI""))"),"")</f>
        <v/>
      </c>
    </row>
    <row r="6658">
      <c r="A6658" s="21" t="str">
        <f t="shared" si="3"/>
        <v/>
      </c>
      <c r="B6658" s="38"/>
      <c r="C6658" s="23"/>
      <c r="D6658" s="23"/>
      <c r="E6658" s="24"/>
      <c r="F6658" s="25"/>
      <c r="G6658" s="25"/>
      <c r="H6658" s="27"/>
      <c r="I6658" s="28"/>
      <c r="J6658" s="39"/>
      <c r="K6658" s="41"/>
      <c r="L6658" s="31" t="str">
        <f>IFERROR(__xludf.DUMMYFUNCTION("IF(OR(E6658="""",K6658=""""),"""",IFERROR(IF(K6658="""","""",query('tbl user'!$A$2:$D10975,""SELECT A WHERE D = '""&amp;K6658&amp;""'"")),""USER TIDAK DIKETAHUI""))"),"")</f>
        <v/>
      </c>
    </row>
    <row r="6659">
      <c r="A6659" s="21" t="str">
        <f t="shared" si="3"/>
        <v/>
      </c>
      <c r="B6659" s="38"/>
      <c r="C6659" s="23"/>
      <c r="D6659" s="23"/>
      <c r="E6659" s="24"/>
      <c r="F6659" s="25"/>
      <c r="G6659" s="25"/>
      <c r="H6659" s="27"/>
      <c r="I6659" s="28"/>
      <c r="J6659" s="39"/>
      <c r="K6659" s="41"/>
      <c r="L6659" s="31" t="str">
        <f>IFERROR(__xludf.DUMMYFUNCTION("IF(OR(E6659="""",K6659=""""),"""",IFERROR(IF(K6659="""","""",query('tbl user'!$A$2:$D10975,""SELECT A WHERE D = '""&amp;K6659&amp;""'"")),""USER TIDAK DIKETAHUI""))"),"")</f>
        <v/>
      </c>
    </row>
    <row r="6660">
      <c r="A6660" s="21" t="str">
        <f t="shared" si="3"/>
        <v/>
      </c>
      <c r="B6660" s="38"/>
      <c r="C6660" s="23"/>
      <c r="D6660" s="23"/>
      <c r="E6660" s="24"/>
      <c r="F6660" s="25"/>
      <c r="G6660" s="25"/>
      <c r="H6660" s="27"/>
      <c r="I6660" s="28"/>
      <c r="J6660" s="39"/>
      <c r="K6660" s="41"/>
      <c r="L6660" s="31" t="str">
        <f>IFERROR(__xludf.DUMMYFUNCTION("IF(OR(E6660="""",K6660=""""),"""",IFERROR(IF(K6660="""","""",query('tbl user'!$A$2:$D10975,""SELECT A WHERE D = '""&amp;K6660&amp;""'"")),""USER TIDAK DIKETAHUI""))"),"")</f>
        <v/>
      </c>
    </row>
    <row r="6661">
      <c r="A6661" s="21" t="str">
        <f t="shared" si="3"/>
        <v/>
      </c>
      <c r="B6661" s="38"/>
      <c r="C6661" s="23"/>
      <c r="D6661" s="23"/>
      <c r="E6661" s="24"/>
      <c r="F6661" s="25"/>
      <c r="G6661" s="25"/>
      <c r="H6661" s="27"/>
      <c r="I6661" s="28"/>
      <c r="J6661" s="39"/>
      <c r="K6661" s="41"/>
      <c r="L6661" s="31" t="str">
        <f>IFERROR(__xludf.DUMMYFUNCTION("IF(OR(E6661="""",K6661=""""),"""",IFERROR(IF(K6661="""","""",query('tbl user'!$A$2:$D10975,""SELECT A WHERE D = '""&amp;K6661&amp;""'"")),""USER TIDAK DIKETAHUI""))"),"")</f>
        <v/>
      </c>
    </row>
    <row r="6662">
      <c r="A6662" s="21" t="str">
        <f t="shared" si="3"/>
        <v/>
      </c>
      <c r="B6662" s="38"/>
      <c r="C6662" s="23"/>
      <c r="D6662" s="23"/>
      <c r="E6662" s="24"/>
      <c r="F6662" s="25"/>
      <c r="G6662" s="25"/>
      <c r="H6662" s="27"/>
      <c r="I6662" s="28"/>
      <c r="J6662" s="39"/>
      <c r="K6662" s="41"/>
      <c r="L6662" s="31" t="str">
        <f>IFERROR(__xludf.DUMMYFUNCTION("IF(OR(E6662="""",K6662=""""),"""",IFERROR(IF(K6662="""","""",query('tbl user'!$A$2:$D10975,""SELECT A WHERE D = '""&amp;K6662&amp;""'"")),""USER TIDAK DIKETAHUI""))"),"")</f>
        <v/>
      </c>
    </row>
    <row r="6663">
      <c r="A6663" s="21" t="str">
        <f t="shared" si="3"/>
        <v/>
      </c>
      <c r="B6663" s="38"/>
      <c r="C6663" s="23"/>
      <c r="D6663" s="23"/>
      <c r="E6663" s="24"/>
      <c r="F6663" s="25"/>
      <c r="G6663" s="25"/>
      <c r="H6663" s="27"/>
      <c r="I6663" s="28"/>
      <c r="J6663" s="39"/>
      <c r="K6663" s="41"/>
      <c r="L6663" s="31" t="str">
        <f>IFERROR(__xludf.DUMMYFUNCTION("IF(OR(E6663="""",K6663=""""),"""",IFERROR(IF(K6663="""","""",query('tbl user'!$A$2:$D10975,""SELECT A WHERE D = '""&amp;K6663&amp;""'"")),""USER TIDAK DIKETAHUI""))"),"")</f>
        <v/>
      </c>
    </row>
    <row r="6664">
      <c r="A6664" s="21" t="str">
        <f t="shared" si="3"/>
        <v/>
      </c>
      <c r="B6664" s="38"/>
      <c r="C6664" s="23"/>
      <c r="D6664" s="23"/>
      <c r="E6664" s="24"/>
      <c r="F6664" s="25"/>
      <c r="G6664" s="25"/>
      <c r="H6664" s="27"/>
      <c r="I6664" s="28"/>
      <c r="J6664" s="39"/>
      <c r="K6664" s="41"/>
      <c r="L6664" s="31" t="str">
        <f>IFERROR(__xludf.DUMMYFUNCTION("IF(OR(E6664="""",K6664=""""),"""",IFERROR(IF(K6664="""","""",query('tbl user'!$A$2:$D10975,""SELECT A WHERE D = '""&amp;K6664&amp;""'"")),""USER TIDAK DIKETAHUI""))"),"")</f>
        <v/>
      </c>
    </row>
    <row r="6665">
      <c r="A6665" s="21" t="str">
        <f t="shared" si="3"/>
        <v/>
      </c>
      <c r="B6665" s="38"/>
      <c r="C6665" s="23"/>
      <c r="D6665" s="23"/>
      <c r="E6665" s="24"/>
      <c r="F6665" s="25"/>
      <c r="G6665" s="25"/>
      <c r="H6665" s="27"/>
      <c r="I6665" s="28"/>
      <c r="J6665" s="39"/>
      <c r="K6665" s="41"/>
      <c r="L6665" s="31" t="str">
        <f>IFERROR(__xludf.DUMMYFUNCTION("IF(OR(E6665="""",K6665=""""),"""",IFERROR(IF(K6665="""","""",query('tbl user'!$A$2:$D10975,""SELECT A WHERE D = '""&amp;K6665&amp;""'"")),""USER TIDAK DIKETAHUI""))"),"")</f>
        <v/>
      </c>
    </row>
    <row r="6666">
      <c r="A6666" s="21" t="str">
        <f t="shared" si="3"/>
        <v/>
      </c>
      <c r="B6666" s="38"/>
      <c r="C6666" s="23"/>
      <c r="D6666" s="23"/>
      <c r="E6666" s="24"/>
      <c r="F6666" s="25"/>
      <c r="G6666" s="25"/>
      <c r="H6666" s="27"/>
      <c r="I6666" s="28"/>
      <c r="J6666" s="39"/>
      <c r="K6666" s="41"/>
      <c r="L6666" s="31" t="str">
        <f>IFERROR(__xludf.DUMMYFUNCTION("IF(OR(E6666="""",K6666=""""),"""",IFERROR(IF(K6666="""","""",query('tbl user'!$A$2:$D10975,""SELECT A WHERE D = '""&amp;K6666&amp;""'"")),""USER TIDAK DIKETAHUI""))"),"")</f>
        <v/>
      </c>
    </row>
    <row r="6667">
      <c r="A6667" s="21" t="str">
        <f t="shared" si="3"/>
        <v/>
      </c>
      <c r="B6667" s="38"/>
      <c r="C6667" s="23"/>
      <c r="D6667" s="23"/>
      <c r="E6667" s="24"/>
      <c r="F6667" s="25"/>
      <c r="G6667" s="25"/>
      <c r="H6667" s="27"/>
      <c r="I6667" s="28"/>
      <c r="J6667" s="39"/>
      <c r="K6667" s="41"/>
      <c r="L6667" s="31" t="str">
        <f>IFERROR(__xludf.DUMMYFUNCTION("IF(OR(E6667="""",K6667=""""),"""",IFERROR(IF(K6667="""","""",query('tbl user'!$A$2:$D10975,""SELECT A WHERE D = '""&amp;K6667&amp;""'"")),""USER TIDAK DIKETAHUI""))"),"")</f>
        <v/>
      </c>
    </row>
    <row r="6668">
      <c r="A6668" s="21" t="str">
        <f t="shared" si="3"/>
        <v/>
      </c>
      <c r="B6668" s="38"/>
      <c r="C6668" s="23"/>
      <c r="D6668" s="23"/>
      <c r="E6668" s="24"/>
      <c r="F6668" s="25"/>
      <c r="G6668" s="25"/>
      <c r="H6668" s="27"/>
      <c r="I6668" s="28"/>
      <c r="J6668" s="39"/>
      <c r="K6668" s="41"/>
      <c r="L6668" s="31" t="str">
        <f>IFERROR(__xludf.DUMMYFUNCTION("IF(OR(E6668="""",K6668=""""),"""",IFERROR(IF(K6668="""","""",query('tbl user'!$A$2:$D10975,""SELECT A WHERE D = '""&amp;K6668&amp;""'"")),""USER TIDAK DIKETAHUI""))"),"")</f>
        <v/>
      </c>
    </row>
    <row r="6669">
      <c r="A6669" s="21" t="str">
        <f t="shared" si="3"/>
        <v/>
      </c>
      <c r="B6669" s="38"/>
      <c r="C6669" s="23"/>
      <c r="D6669" s="23"/>
      <c r="E6669" s="24"/>
      <c r="F6669" s="25"/>
      <c r="G6669" s="25"/>
      <c r="H6669" s="27"/>
      <c r="I6669" s="28"/>
      <c r="J6669" s="39"/>
      <c r="K6669" s="41"/>
      <c r="L6669" s="31" t="str">
        <f>IFERROR(__xludf.DUMMYFUNCTION("IF(OR(E6669="""",K6669=""""),"""",IFERROR(IF(K6669="""","""",query('tbl user'!$A$2:$D10975,""SELECT A WHERE D = '""&amp;K6669&amp;""'"")),""USER TIDAK DIKETAHUI""))"),"")</f>
        <v/>
      </c>
    </row>
    <row r="6670">
      <c r="A6670" s="21" t="str">
        <f t="shared" si="3"/>
        <v/>
      </c>
      <c r="B6670" s="38"/>
      <c r="C6670" s="23"/>
      <c r="D6670" s="23"/>
      <c r="E6670" s="24"/>
      <c r="F6670" s="25"/>
      <c r="G6670" s="25"/>
      <c r="H6670" s="27"/>
      <c r="I6670" s="28"/>
      <c r="J6670" s="39"/>
      <c r="K6670" s="41"/>
      <c r="L6670" s="31" t="str">
        <f>IFERROR(__xludf.DUMMYFUNCTION("IF(OR(E6670="""",K6670=""""),"""",IFERROR(IF(K6670="""","""",query('tbl user'!$A$2:$D10975,""SELECT A WHERE D = '""&amp;K6670&amp;""'"")),""USER TIDAK DIKETAHUI""))"),"")</f>
        <v/>
      </c>
    </row>
    <row r="6671">
      <c r="A6671" s="21" t="str">
        <f t="shared" si="3"/>
        <v/>
      </c>
      <c r="B6671" s="38"/>
      <c r="C6671" s="23"/>
      <c r="D6671" s="23"/>
      <c r="E6671" s="24"/>
      <c r="F6671" s="25"/>
      <c r="G6671" s="25"/>
      <c r="H6671" s="27"/>
      <c r="I6671" s="28"/>
      <c r="J6671" s="39"/>
      <c r="K6671" s="41"/>
      <c r="L6671" s="31" t="str">
        <f>IFERROR(__xludf.DUMMYFUNCTION("IF(OR(E6671="""",K6671=""""),"""",IFERROR(IF(K6671="""","""",query('tbl user'!$A$2:$D10975,""SELECT A WHERE D = '""&amp;K6671&amp;""'"")),""USER TIDAK DIKETAHUI""))"),"")</f>
        <v/>
      </c>
    </row>
    <row r="6672">
      <c r="A6672" s="21" t="str">
        <f t="shared" si="3"/>
        <v/>
      </c>
      <c r="B6672" s="38"/>
      <c r="C6672" s="23"/>
      <c r="D6672" s="23"/>
      <c r="E6672" s="24"/>
      <c r="F6672" s="25"/>
      <c r="G6672" s="25"/>
      <c r="H6672" s="27"/>
      <c r="I6672" s="28"/>
      <c r="J6672" s="39"/>
      <c r="K6672" s="41"/>
      <c r="L6672" s="31" t="str">
        <f>IFERROR(__xludf.DUMMYFUNCTION("IF(OR(E6672="""",K6672=""""),"""",IFERROR(IF(K6672="""","""",query('tbl user'!$A$2:$D10975,""SELECT A WHERE D = '""&amp;K6672&amp;""'"")),""USER TIDAK DIKETAHUI""))"),"")</f>
        <v/>
      </c>
    </row>
    <row r="6673">
      <c r="A6673" s="21" t="str">
        <f t="shared" si="3"/>
        <v/>
      </c>
      <c r="B6673" s="38"/>
      <c r="C6673" s="23"/>
      <c r="D6673" s="23"/>
      <c r="E6673" s="24"/>
      <c r="F6673" s="25"/>
      <c r="G6673" s="25"/>
      <c r="H6673" s="27"/>
      <c r="I6673" s="28"/>
      <c r="J6673" s="39"/>
      <c r="K6673" s="41"/>
      <c r="L6673" s="31" t="str">
        <f>IFERROR(__xludf.DUMMYFUNCTION("IF(OR(E6673="""",K6673=""""),"""",IFERROR(IF(K6673="""","""",query('tbl user'!$A$2:$D10975,""SELECT A WHERE D = '""&amp;K6673&amp;""'"")),""USER TIDAK DIKETAHUI""))"),"")</f>
        <v/>
      </c>
    </row>
    <row r="6674">
      <c r="A6674" s="21" t="str">
        <f t="shared" si="3"/>
        <v/>
      </c>
      <c r="B6674" s="38"/>
      <c r="C6674" s="23"/>
      <c r="D6674" s="23"/>
      <c r="E6674" s="24"/>
      <c r="F6674" s="25"/>
      <c r="G6674" s="25"/>
      <c r="H6674" s="27"/>
      <c r="I6674" s="28"/>
      <c r="J6674" s="39"/>
      <c r="K6674" s="41"/>
      <c r="L6674" s="31" t="str">
        <f>IFERROR(__xludf.DUMMYFUNCTION("IF(OR(E6674="""",K6674=""""),"""",IFERROR(IF(K6674="""","""",query('tbl user'!$A$2:$D10975,""SELECT A WHERE D = '""&amp;K6674&amp;""'"")),""USER TIDAK DIKETAHUI""))"),"")</f>
        <v/>
      </c>
    </row>
    <row r="6675">
      <c r="A6675" s="21" t="str">
        <f t="shared" si="3"/>
        <v/>
      </c>
      <c r="B6675" s="38"/>
      <c r="C6675" s="23"/>
      <c r="D6675" s="23"/>
      <c r="E6675" s="24"/>
      <c r="F6675" s="25"/>
      <c r="G6675" s="25"/>
      <c r="H6675" s="27"/>
      <c r="I6675" s="28"/>
      <c r="J6675" s="39"/>
      <c r="K6675" s="41"/>
      <c r="L6675" s="31" t="str">
        <f>IFERROR(__xludf.DUMMYFUNCTION("IF(OR(E6675="""",K6675=""""),"""",IFERROR(IF(K6675="""","""",query('tbl user'!$A$2:$D10975,""SELECT A WHERE D = '""&amp;K6675&amp;""'"")),""USER TIDAK DIKETAHUI""))"),"")</f>
        <v/>
      </c>
    </row>
    <row r="6676">
      <c r="A6676" s="21" t="str">
        <f t="shared" si="3"/>
        <v/>
      </c>
      <c r="B6676" s="38"/>
      <c r="C6676" s="23"/>
      <c r="D6676" s="23"/>
      <c r="E6676" s="24"/>
      <c r="F6676" s="25"/>
      <c r="G6676" s="25"/>
      <c r="H6676" s="27"/>
      <c r="I6676" s="28"/>
      <c r="J6676" s="39"/>
      <c r="K6676" s="41"/>
      <c r="L6676" s="31" t="str">
        <f>IFERROR(__xludf.DUMMYFUNCTION("IF(OR(E6676="""",K6676=""""),"""",IFERROR(IF(K6676="""","""",query('tbl user'!$A$2:$D10975,""SELECT A WHERE D = '""&amp;K6676&amp;""'"")),""USER TIDAK DIKETAHUI""))"),"")</f>
        <v/>
      </c>
    </row>
    <row r="6677">
      <c r="A6677" s="21" t="str">
        <f t="shared" si="3"/>
        <v/>
      </c>
      <c r="B6677" s="38"/>
      <c r="C6677" s="23"/>
      <c r="D6677" s="23"/>
      <c r="E6677" s="24"/>
      <c r="F6677" s="25"/>
      <c r="G6677" s="25"/>
      <c r="H6677" s="27"/>
      <c r="I6677" s="28"/>
      <c r="J6677" s="39"/>
      <c r="K6677" s="41"/>
      <c r="L6677" s="31" t="str">
        <f>IFERROR(__xludf.DUMMYFUNCTION("IF(OR(E6677="""",K6677=""""),"""",IFERROR(IF(K6677="""","""",query('tbl user'!$A$2:$D10975,""SELECT A WHERE D = '""&amp;K6677&amp;""'"")),""USER TIDAK DIKETAHUI""))"),"")</f>
        <v/>
      </c>
    </row>
    <row r="6678">
      <c r="A6678" s="21" t="str">
        <f t="shared" si="3"/>
        <v/>
      </c>
      <c r="B6678" s="38"/>
      <c r="C6678" s="23"/>
      <c r="D6678" s="23"/>
      <c r="E6678" s="24"/>
      <c r="F6678" s="25"/>
      <c r="G6678" s="25"/>
      <c r="H6678" s="27"/>
      <c r="I6678" s="28"/>
      <c r="J6678" s="39"/>
      <c r="K6678" s="41"/>
      <c r="L6678" s="31" t="str">
        <f>IFERROR(__xludf.DUMMYFUNCTION("IF(OR(E6678="""",K6678=""""),"""",IFERROR(IF(K6678="""","""",query('tbl user'!$A$2:$D10975,""SELECT A WHERE D = '""&amp;K6678&amp;""'"")),""USER TIDAK DIKETAHUI""))"),"")</f>
        <v/>
      </c>
    </row>
    <row r="6679">
      <c r="A6679" s="21" t="str">
        <f t="shared" si="3"/>
        <v/>
      </c>
      <c r="B6679" s="38"/>
      <c r="C6679" s="23"/>
      <c r="D6679" s="23"/>
      <c r="E6679" s="24"/>
      <c r="F6679" s="25"/>
      <c r="G6679" s="25"/>
      <c r="H6679" s="27"/>
      <c r="I6679" s="28"/>
      <c r="J6679" s="39"/>
      <c r="K6679" s="41"/>
      <c r="L6679" s="31" t="str">
        <f>IFERROR(__xludf.DUMMYFUNCTION("IF(OR(E6679="""",K6679=""""),"""",IFERROR(IF(K6679="""","""",query('tbl user'!$A$2:$D10975,""SELECT A WHERE D = '""&amp;K6679&amp;""'"")),""USER TIDAK DIKETAHUI""))"),"")</f>
        <v/>
      </c>
    </row>
    <row r="6680">
      <c r="A6680" s="21" t="str">
        <f t="shared" si="3"/>
        <v/>
      </c>
      <c r="B6680" s="38"/>
      <c r="C6680" s="23"/>
      <c r="D6680" s="23"/>
      <c r="E6680" s="24"/>
      <c r="F6680" s="25"/>
      <c r="G6680" s="25"/>
      <c r="H6680" s="27"/>
      <c r="I6680" s="28"/>
      <c r="J6680" s="39"/>
      <c r="K6680" s="41"/>
      <c r="L6680" s="31" t="str">
        <f>IFERROR(__xludf.DUMMYFUNCTION("IF(OR(E6680="""",K6680=""""),"""",IFERROR(IF(K6680="""","""",query('tbl user'!$A$2:$D10975,""SELECT A WHERE D = '""&amp;K6680&amp;""'"")),""USER TIDAK DIKETAHUI""))"),"")</f>
        <v/>
      </c>
    </row>
    <row r="6681">
      <c r="A6681" s="21" t="str">
        <f t="shared" si="3"/>
        <v/>
      </c>
      <c r="B6681" s="38"/>
      <c r="C6681" s="23"/>
      <c r="D6681" s="23"/>
      <c r="E6681" s="24"/>
      <c r="F6681" s="25"/>
      <c r="G6681" s="25"/>
      <c r="H6681" s="27"/>
      <c r="I6681" s="28"/>
      <c r="J6681" s="39"/>
      <c r="K6681" s="41"/>
      <c r="L6681" s="31" t="str">
        <f>IFERROR(__xludf.DUMMYFUNCTION("IF(OR(E6681="""",K6681=""""),"""",IFERROR(IF(K6681="""","""",query('tbl user'!$A$2:$D10975,""SELECT A WHERE D = '""&amp;K6681&amp;""'"")),""USER TIDAK DIKETAHUI""))"),"")</f>
        <v/>
      </c>
    </row>
    <row r="6682">
      <c r="A6682" s="21" t="str">
        <f t="shared" si="3"/>
        <v/>
      </c>
      <c r="B6682" s="38"/>
      <c r="C6682" s="23"/>
      <c r="D6682" s="23"/>
      <c r="E6682" s="24"/>
      <c r="F6682" s="25"/>
      <c r="G6682" s="25"/>
      <c r="H6682" s="27"/>
      <c r="I6682" s="28"/>
      <c r="J6682" s="39"/>
      <c r="K6682" s="41"/>
      <c r="L6682" s="31" t="str">
        <f>IFERROR(__xludf.DUMMYFUNCTION("IF(OR(E6682="""",K6682=""""),"""",IFERROR(IF(K6682="""","""",query('tbl user'!$A$2:$D10975,""SELECT A WHERE D = '""&amp;K6682&amp;""'"")),""USER TIDAK DIKETAHUI""))"),"")</f>
        <v/>
      </c>
    </row>
    <row r="6683">
      <c r="A6683" s="21" t="str">
        <f t="shared" si="3"/>
        <v/>
      </c>
      <c r="B6683" s="38"/>
      <c r="C6683" s="23"/>
      <c r="D6683" s="23"/>
      <c r="E6683" s="24"/>
      <c r="F6683" s="25"/>
      <c r="G6683" s="25"/>
      <c r="H6683" s="27"/>
      <c r="I6683" s="28"/>
      <c r="J6683" s="39"/>
      <c r="K6683" s="41"/>
      <c r="L6683" s="31" t="str">
        <f>IFERROR(__xludf.DUMMYFUNCTION("IF(OR(E6683="""",K6683=""""),"""",IFERROR(IF(K6683="""","""",query('tbl user'!$A$2:$D10975,""SELECT A WHERE D = '""&amp;K6683&amp;""'"")),""USER TIDAK DIKETAHUI""))"),"")</f>
        <v/>
      </c>
    </row>
    <row r="6684">
      <c r="A6684" s="21" t="str">
        <f t="shared" si="3"/>
        <v/>
      </c>
      <c r="B6684" s="38"/>
      <c r="C6684" s="23"/>
      <c r="D6684" s="23"/>
      <c r="E6684" s="24"/>
      <c r="F6684" s="25"/>
      <c r="G6684" s="25"/>
      <c r="H6684" s="27"/>
      <c r="I6684" s="28"/>
      <c r="J6684" s="39"/>
      <c r="K6684" s="41"/>
      <c r="L6684" s="31" t="str">
        <f>IFERROR(__xludf.DUMMYFUNCTION("IF(OR(E6684="""",K6684=""""),"""",IFERROR(IF(K6684="""","""",query('tbl user'!$A$2:$D10975,""SELECT A WHERE D = '""&amp;K6684&amp;""'"")),""USER TIDAK DIKETAHUI""))"),"")</f>
        <v/>
      </c>
    </row>
    <row r="6685">
      <c r="A6685" s="21" t="str">
        <f t="shared" si="3"/>
        <v/>
      </c>
      <c r="B6685" s="38"/>
      <c r="C6685" s="23"/>
      <c r="D6685" s="23"/>
      <c r="E6685" s="24"/>
      <c r="F6685" s="25"/>
      <c r="G6685" s="25"/>
      <c r="H6685" s="27"/>
      <c r="I6685" s="28"/>
      <c r="J6685" s="39"/>
      <c r="K6685" s="41"/>
      <c r="L6685" s="31" t="str">
        <f>IFERROR(__xludf.DUMMYFUNCTION("IF(OR(E6685="""",K6685=""""),"""",IFERROR(IF(K6685="""","""",query('tbl user'!$A$2:$D10975,""SELECT A WHERE D = '""&amp;K6685&amp;""'"")),""USER TIDAK DIKETAHUI""))"),"")</f>
        <v/>
      </c>
    </row>
    <row r="6686">
      <c r="A6686" s="21" t="str">
        <f t="shared" si="3"/>
        <v/>
      </c>
      <c r="B6686" s="38"/>
      <c r="C6686" s="23"/>
      <c r="D6686" s="23"/>
      <c r="E6686" s="24"/>
      <c r="F6686" s="25"/>
      <c r="G6686" s="25"/>
      <c r="H6686" s="27"/>
      <c r="I6686" s="28"/>
      <c r="J6686" s="39"/>
      <c r="K6686" s="41"/>
      <c r="L6686" s="31" t="str">
        <f>IFERROR(__xludf.DUMMYFUNCTION("IF(OR(E6686="""",K6686=""""),"""",IFERROR(IF(K6686="""","""",query('tbl user'!$A$2:$D10975,""SELECT A WHERE D = '""&amp;K6686&amp;""'"")),""USER TIDAK DIKETAHUI""))"),"")</f>
        <v/>
      </c>
    </row>
    <row r="6687">
      <c r="A6687" s="21" t="str">
        <f t="shared" si="3"/>
        <v/>
      </c>
      <c r="B6687" s="38"/>
      <c r="C6687" s="23"/>
      <c r="D6687" s="23"/>
      <c r="E6687" s="24"/>
      <c r="F6687" s="25"/>
      <c r="G6687" s="25"/>
      <c r="H6687" s="27"/>
      <c r="I6687" s="28"/>
      <c r="J6687" s="39"/>
      <c r="K6687" s="41"/>
      <c r="L6687" s="31" t="str">
        <f>IFERROR(__xludf.DUMMYFUNCTION("IF(OR(E6687="""",K6687=""""),"""",IFERROR(IF(K6687="""","""",query('tbl user'!$A$2:$D10975,""SELECT A WHERE D = '""&amp;K6687&amp;""'"")),""USER TIDAK DIKETAHUI""))"),"")</f>
        <v/>
      </c>
    </row>
    <row r="6688">
      <c r="A6688" s="21" t="str">
        <f t="shared" si="3"/>
        <v/>
      </c>
      <c r="B6688" s="38"/>
      <c r="C6688" s="23"/>
      <c r="D6688" s="23"/>
      <c r="E6688" s="24"/>
      <c r="F6688" s="25"/>
      <c r="G6688" s="25"/>
      <c r="H6688" s="27"/>
      <c r="I6688" s="28"/>
      <c r="J6688" s="39"/>
      <c r="K6688" s="41"/>
      <c r="L6688" s="31" t="str">
        <f>IFERROR(__xludf.DUMMYFUNCTION("IF(OR(E6688="""",K6688=""""),"""",IFERROR(IF(K6688="""","""",query('tbl user'!$A$2:$D10975,""SELECT A WHERE D = '""&amp;K6688&amp;""'"")),""USER TIDAK DIKETAHUI""))"),"")</f>
        <v/>
      </c>
    </row>
    <row r="6689">
      <c r="A6689" s="21" t="str">
        <f t="shared" si="3"/>
        <v/>
      </c>
      <c r="B6689" s="38"/>
      <c r="C6689" s="23"/>
      <c r="D6689" s="23"/>
      <c r="E6689" s="24"/>
      <c r="F6689" s="25"/>
      <c r="G6689" s="25"/>
      <c r="H6689" s="27"/>
      <c r="I6689" s="28"/>
      <c r="J6689" s="39"/>
      <c r="K6689" s="41"/>
      <c r="L6689" s="31" t="str">
        <f>IFERROR(__xludf.DUMMYFUNCTION("IF(OR(E6689="""",K6689=""""),"""",IFERROR(IF(K6689="""","""",query('tbl user'!$A$2:$D10975,""SELECT A WHERE D = '""&amp;K6689&amp;""'"")),""USER TIDAK DIKETAHUI""))"),"")</f>
        <v/>
      </c>
    </row>
    <row r="6690">
      <c r="A6690" s="21" t="str">
        <f t="shared" si="3"/>
        <v/>
      </c>
      <c r="B6690" s="38"/>
      <c r="C6690" s="23"/>
      <c r="D6690" s="23"/>
      <c r="E6690" s="24"/>
      <c r="F6690" s="25"/>
      <c r="G6690" s="25"/>
      <c r="H6690" s="27"/>
      <c r="I6690" s="28"/>
      <c r="J6690" s="39"/>
      <c r="K6690" s="41"/>
      <c r="L6690" s="31" t="str">
        <f>IFERROR(__xludf.DUMMYFUNCTION("IF(OR(E6690="""",K6690=""""),"""",IFERROR(IF(K6690="""","""",query('tbl user'!$A$2:$D10975,""SELECT A WHERE D = '""&amp;K6690&amp;""'"")),""USER TIDAK DIKETAHUI""))"),"")</f>
        <v/>
      </c>
    </row>
    <row r="6691">
      <c r="A6691" s="21" t="str">
        <f t="shared" si="3"/>
        <v/>
      </c>
      <c r="B6691" s="38"/>
      <c r="C6691" s="23"/>
      <c r="D6691" s="23"/>
      <c r="E6691" s="24"/>
      <c r="F6691" s="25"/>
      <c r="G6691" s="25"/>
      <c r="H6691" s="27"/>
      <c r="I6691" s="28"/>
      <c r="J6691" s="39"/>
      <c r="K6691" s="41"/>
      <c r="L6691" s="31" t="str">
        <f>IFERROR(__xludf.DUMMYFUNCTION("IF(OR(E6691="""",K6691=""""),"""",IFERROR(IF(K6691="""","""",query('tbl user'!$A$2:$D10975,""SELECT A WHERE D = '""&amp;K6691&amp;""'"")),""USER TIDAK DIKETAHUI""))"),"")</f>
        <v/>
      </c>
    </row>
    <row r="6692">
      <c r="A6692" s="21" t="str">
        <f t="shared" si="3"/>
        <v/>
      </c>
      <c r="B6692" s="38"/>
      <c r="C6692" s="23"/>
      <c r="D6692" s="23"/>
      <c r="E6692" s="24"/>
      <c r="F6692" s="25"/>
      <c r="G6692" s="25"/>
      <c r="H6692" s="27"/>
      <c r="I6692" s="28"/>
      <c r="J6692" s="39"/>
      <c r="K6692" s="41"/>
      <c r="L6692" s="31" t="str">
        <f>IFERROR(__xludf.DUMMYFUNCTION("IF(OR(E6692="""",K6692=""""),"""",IFERROR(IF(K6692="""","""",query('tbl user'!$A$2:$D10975,""SELECT A WHERE D = '""&amp;K6692&amp;""'"")),""USER TIDAK DIKETAHUI""))"),"")</f>
        <v/>
      </c>
    </row>
    <row r="6693">
      <c r="A6693" s="21" t="str">
        <f t="shared" si="3"/>
        <v/>
      </c>
      <c r="B6693" s="38"/>
      <c r="C6693" s="23"/>
      <c r="D6693" s="23"/>
      <c r="E6693" s="24"/>
      <c r="F6693" s="25"/>
      <c r="G6693" s="25"/>
      <c r="H6693" s="27"/>
      <c r="I6693" s="28"/>
      <c r="J6693" s="39"/>
      <c r="K6693" s="41"/>
      <c r="L6693" s="31" t="str">
        <f>IFERROR(__xludf.DUMMYFUNCTION("IF(OR(E6693="""",K6693=""""),"""",IFERROR(IF(K6693="""","""",query('tbl user'!$A$2:$D10975,""SELECT A WHERE D = '""&amp;K6693&amp;""'"")),""USER TIDAK DIKETAHUI""))"),"")</f>
        <v/>
      </c>
    </row>
    <row r="6694">
      <c r="A6694" s="21" t="str">
        <f t="shared" si="3"/>
        <v/>
      </c>
      <c r="B6694" s="38"/>
      <c r="C6694" s="23"/>
      <c r="D6694" s="23"/>
      <c r="E6694" s="24"/>
      <c r="F6694" s="25"/>
      <c r="G6694" s="25"/>
      <c r="H6694" s="27"/>
      <c r="I6694" s="28"/>
      <c r="J6694" s="39"/>
      <c r="K6694" s="41"/>
      <c r="L6694" s="31" t="str">
        <f>IFERROR(__xludf.DUMMYFUNCTION("IF(OR(E6694="""",K6694=""""),"""",IFERROR(IF(K6694="""","""",query('tbl user'!$A$2:$D10975,""SELECT A WHERE D = '""&amp;K6694&amp;""'"")),""USER TIDAK DIKETAHUI""))"),"")</f>
        <v/>
      </c>
    </row>
    <row r="6695">
      <c r="A6695" s="21" t="str">
        <f t="shared" si="3"/>
        <v/>
      </c>
      <c r="B6695" s="38"/>
      <c r="C6695" s="23"/>
      <c r="D6695" s="23"/>
      <c r="E6695" s="24"/>
      <c r="F6695" s="25"/>
      <c r="G6695" s="25"/>
      <c r="H6695" s="27"/>
      <c r="I6695" s="28"/>
      <c r="J6695" s="39"/>
      <c r="K6695" s="41"/>
      <c r="L6695" s="31" t="str">
        <f>IFERROR(__xludf.DUMMYFUNCTION("IF(OR(E6695="""",K6695=""""),"""",IFERROR(IF(K6695="""","""",query('tbl user'!$A$2:$D10975,""SELECT A WHERE D = '""&amp;K6695&amp;""'"")),""USER TIDAK DIKETAHUI""))"),"")</f>
        <v/>
      </c>
    </row>
    <row r="6696">
      <c r="A6696" s="21" t="str">
        <f t="shared" si="3"/>
        <v/>
      </c>
      <c r="B6696" s="38"/>
      <c r="C6696" s="23"/>
      <c r="D6696" s="23"/>
      <c r="E6696" s="24"/>
      <c r="F6696" s="25"/>
      <c r="G6696" s="25"/>
      <c r="H6696" s="27"/>
      <c r="I6696" s="28"/>
      <c r="J6696" s="39"/>
      <c r="K6696" s="41"/>
      <c r="L6696" s="31" t="str">
        <f>IFERROR(__xludf.DUMMYFUNCTION("IF(OR(E6696="""",K6696=""""),"""",IFERROR(IF(K6696="""","""",query('tbl user'!$A$2:$D10975,""SELECT A WHERE D = '""&amp;K6696&amp;""'"")),""USER TIDAK DIKETAHUI""))"),"")</f>
        <v/>
      </c>
    </row>
    <row r="6697">
      <c r="A6697" s="21" t="str">
        <f t="shared" si="3"/>
        <v/>
      </c>
      <c r="B6697" s="38"/>
      <c r="C6697" s="23"/>
      <c r="D6697" s="23"/>
      <c r="E6697" s="24"/>
      <c r="F6697" s="25"/>
      <c r="G6697" s="25"/>
      <c r="H6697" s="27"/>
      <c r="I6697" s="28"/>
      <c r="J6697" s="39"/>
      <c r="K6697" s="41"/>
      <c r="L6697" s="31" t="str">
        <f>IFERROR(__xludf.DUMMYFUNCTION("IF(OR(E6697="""",K6697=""""),"""",IFERROR(IF(K6697="""","""",query('tbl user'!$A$2:$D10975,""SELECT A WHERE D = '""&amp;K6697&amp;""'"")),""USER TIDAK DIKETAHUI""))"),"")</f>
        <v/>
      </c>
    </row>
    <row r="6698">
      <c r="A6698" s="21" t="str">
        <f t="shared" si="3"/>
        <v/>
      </c>
      <c r="B6698" s="38"/>
      <c r="C6698" s="23"/>
      <c r="D6698" s="23"/>
      <c r="E6698" s="24"/>
      <c r="F6698" s="25"/>
      <c r="G6698" s="25"/>
      <c r="H6698" s="27"/>
      <c r="I6698" s="28"/>
      <c r="J6698" s="39"/>
      <c r="K6698" s="41"/>
      <c r="L6698" s="31" t="str">
        <f>IFERROR(__xludf.DUMMYFUNCTION("IF(OR(E6698="""",K6698=""""),"""",IFERROR(IF(K6698="""","""",query('tbl user'!$A$2:$D10975,""SELECT A WHERE D = '""&amp;K6698&amp;""'"")),""USER TIDAK DIKETAHUI""))"),"")</f>
        <v/>
      </c>
    </row>
    <row r="6699">
      <c r="A6699" s="21" t="str">
        <f t="shared" si="3"/>
        <v/>
      </c>
      <c r="B6699" s="38"/>
      <c r="C6699" s="23"/>
      <c r="D6699" s="23"/>
      <c r="E6699" s="24"/>
      <c r="F6699" s="25"/>
      <c r="G6699" s="25"/>
      <c r="H6699" s="27"/>
      <c r="I6699" s="28"/>
      <c r="J6699" s="39"/>
      <c r="K6699" s="41"/>
      <c r="L6699" s="31" t="str">
        <f>IFERROR(__xludf.DUMMYFUNCTION("IF(OR(E6699="""",K6699=""""),"""",IFERROR(IF(K6699="""","""",query('tbl user'!$A$2:$D10975,""SELECT A WHERE D = '""&amp;K6699&amp;""'"")),""USER TIDAK DIKETAHUI""))"),"")</f>
        <v/>
      </c>
    </row>
    <row r="6700">
      <c r="A6700" s="21" t="str">
        <f t="shared" si="3"/>
        <v/>
      </c>
      <c r="B6700" s="38"/>
      <c r="C6700" s="23"/>
      <c r="D6700" s="23"/>
      <c r="E6700" s="24"/>
      <c r="F6700" s="25"/>
      <c r="G6700" s="25"/>
      <c r="H6700" s="27"/>
      <c r="I6700" s="28"/>
      <c r="J6700" s="39"/>
      <c r="K6700" s="41"/>
      <c r="L6700" s="31" t="str">
        <f>IFERROR(__xludf.DUMMYFUNCTION("IF(OR(E6700="""",K6700=""""),"""",IFERROR(IF(K6700="""","""",query('tbl user'!$A$2:$D10975,""SELECT A WHERE D = '""&amp;K6700&amp;""'"")),""USER TIDAK DIKETAHUI""))"),"")</f>
        <v/>
      </c>
    </row>
    <row r="6701">
      <c r="A6701" s="21" t="str">
        <f t="shared" si="3"/>
        <v/>
      </c>
      <c r="B6701" s="38"/>
      <c r="C6701" s="23"/>
      <c r="D6701" s="23"/>
      <c r="E6701" s="24"/>
      <c r="F6701" s="25"/>
      <c r="G6701" s="25"/>
      <c r="H6701" s="27"/>
      <c r="I6701" s="28"/>
      <c r="J6701" s="39"/>
      <c r="K6701" s="41"/>
      <c r="L6701" s="31" t="str">
        <f>IFERROR(__xludf.DUMMYFUNCTION("IF(OR(E6701="""",K6701=""""),"""",IFERROR(IF(K6701="""","""",query('tbl user'!$A$2:$D10975,""SELECT A WHERE D = '""&amp;K6701&amp;""'"")),""USER TIDAK DIKETAHUI""))"),"")</f>
        <v/>
      </c>
    </row>
    <row r="6702">
      <c r="A6702" s="21" t="str">
        <f t="shared" si="3"/>
        <v/>
      </c>
      <c r="B6702" s="38"/>
      <c r="C6702" s="23"/>
      <c r="D6702" s="23"/>
      <c r="E6702" s="24"/>
      <c r="F6702" s="25"/>
      <c r="G6702" s="25"/>
      <c r="H6702" s="27"/>
      <c r="I6702" s="28"/>
      <c r="J6702" s="39"/>
      <c r="K6702" s="41"/>
      <c r="L6702" s="31" t="str">
        <f>IFERROR(__xludf.DUMMYFUNCTION("IF(OR(E6702="""",K6702=""""),"""",IFERROR(IF(K6702="""","""",query('tbl user'!$A$2:$D10975,""SELECT A WHERE D = '""&amp;K6702&amp;""'"")),""USER TIDAK DIKETAHUI""))"),"")</f>
        <v/>
      </c>
    </row>
    <row r="6703">
      <c r="A6703" s="21" t="str">
        <f t="shared" si="3"/>
        <v/>
      </c>
      <c r="B6703" s="38"/>
      <c r="C6703" s="23"/>
      <c r="D6703" s="23"/>
      <c r="E6703" s="24"/>
      <c r="F6703" s="25"/>
      <c r="G6703" s="25"/>
      <c r="H6703" s="27"/>
      <c r="I6703" s="28"/>
      <c r="J6703" s="39"/>
      <c r="K6703" s="41"/>
      <c r="L6703" s="31" t="str">
        <f>IFERROR(__xludf.DUMMYFUNCTION("IF(OR(E6703="""",K6703=""""),"""",IFERROR(IF(K6703="""","""",query('tbl user'!$A$2:$D10975,""SELECT A WHERE D = '""&amp;K6703&amp;""'"")),""USER TIDAK DIKETAHUI""))"),"")</f>
        <v/>
      </c>
    </row>
    <row r="6704">
      <c r="A6704" s="21" t="str">
        <f t="shared" si="3"/>
        <v/>
      </c>
      <c r="B6704" s="38"/>
      <c r="C6704" s="23"/>
      <c r="D6704" s="23"/>
      <c r="E6704" s="24"/>
      <c r="F6704" s="25"/>
      <c r="G6704" s="25"/>
      <c r="H6704" s="27"/>
      <c r="I6704" s="28"/>
      <c r="J6704" s="39"/>
      <c r="K6704" s="41"/>
      <c r="L6704" s="31" t="str">
        <f>IFERROR(__xludf.DUMMYFUNCTION("IF(OR(E6704="""",K6704=""""),"""",IFERROR(IF(K6704="""","""",query('tbl user'!$A$2:$D10975,""SELECT A WHERE D = '""&amp;K6704&amp;""'"")),""USER TIDAK DIKETAHUI""))"),"")</f>
        <v/>
      </c>
    </row>
    <row r="6705">
      <c r="A6705" s="21" t="str">
        <f t="shared" si="3"/>
        <v/>
      </c>
      <c r="B6705" s="38"/>
      <c r="C6705" s="23"/>
      <c r="D6705" s="23"/>
      <c r="E6705" s="24"/>
      <c r="F6705" s="25"/>
      <c r="G6705" s="25"/>
      <c r="H6705" s="27"/>
      <c r="I6705" s="28"/>
      <c r="J6705" s="39"/>
      <c r="K6705" s="41"/>
      <c r="L6705" s="31" t="str">
        <f>IFERROR(__xludf.DUMMYFUNCTION("IF(OR(E6705="""",K6705=""""),"""",IFERROR(IF(K6705="""","""",query('tbl user'!$A$2:$D10975,""SELECT A WHERE D = '""&amp;K6705&amp;""'"")),""USER TIDAK DIKETAHUI""))"),"")</f>
        <v/>
      </c>
    </row>
    <row r="6706">
      <c r="A6706" s="21" t="str">
        <f t="shared" si="3"/>
        <v/>
      </c>
      <c r="B6706" s="38"/>
      <c r="C6706" s="23"/>
      <c r="D6706" s="23"/>
      <c r="E6706" s="24"/>
      <c r="F6706" s="25"/>
      <c r="G6706" s="25"/>
      <c r="H6706" s="27"/>
      <c r="I6706" s="28"/>
      <c r="J6706" s="39"/>
      <c r="K6706" s="41"/>
      <c r="L6706" s="31" t="str">
        <f>IFERROR(__xludf.DUMMYFUNCTION("IF(OR(E6706="""",K6706=""""),"""",IFERROR(IF(K6706="""","""",query('tbl user'!$A$2:$D10975,""SELECT A WHERE D = '""&amp;K6706&amp;""'"")),""USER TIDAK DIKETAHUI""))"),"")</f>
        <v/>
      </c>
    </row>
    <row r="6707">
      <c r="A6707" s="21" t="str">
        <f t="shared" si="3"/>
        <v/>
      </c>
      <c r="B6707" s="38"/>
      <c r="C6707" s="23"/>
      <c r="D6707" s="23"/>
      <c r="E6707" s="24"/>
      <c r="F6707" s="25"/>
      <c r="G6707" s="25"/>
      <c r="H6707" s="27"/>
      <c r="I6707" s="28"/>
      <c r="J6707" s="39"/>
      <c r="K6707" s="41"/>
      <c r="L6707" s="31" t="str">
        <f>IFERROR(__xludf.DUMMYFUNCTION("IF(OR(E6707="""",K6707=""""),"""",IFERROR(IF(K6707="""","""",query('tbl user'!$A$2:$D10975,""SELECT A WHERE D = '""&amp;K6707&amp;""'"")),""USER TIDAK DIKETAHUI""))"),"")</f>
        <v/>
      </c>
    </row>
    <row r="6708">
      <c r="A6708" s="21" t="str">
        <f t="shared" si="3"/>
        <v/>
      </c>
      <c r="B6708" s="38"/>
      <c r="C6708" s="23"/>
      <c r="D6708" s="23"/>
      <c r="E6708" s="24"/>
      <c r="F6708" s="25"/>
      <c r="G6708" s="25"/>
      <c r="H6708" s="27"/>
      <c r="I6708" s="28"/>
      <c r="J6708" s="39"/>
      <c r="K6708" s="41"/>
      <c r="L6708" s="31" t="str">
        <f>IFERROR(__xludf.DUMMYFUNCTION("IF(OR(E6708="""",K6708=""""),"""",IFERROR(IF(K6708="""","""",query('tbl user'!$A$2:$D10975,""SELECT A WHERE D = '""&amp;K6708&amp;""'"")),""USER TIDAK DIKETAHUI""))"),"")</f>
        <v/>
      </c>
    </row>
    <row r="6709">
      <c r="A6709" s="21" t="str">
        <f t="shared" si="3"/>
        <v/>
      </c>
      <c r="B6709" s="38"/>
      <c r="C6709" s="23"/>
      <c r="D6709" s="23"/>
      <c r="E6709" s="24"/>
      <c r="F6709" s="25"/>
      <c r="G6709" s="25"/>
      <c r="H6709" s="27"/>
      <c r="I6709" s="28"/>
      <c r="J6709" s="39"/>
      <c r="K6709" s="41"/>
      <c r="L6709" s="31" t="str">
        <f>IFERROR(__xludf.DUMMYFUNCTION("IF(OR(E6709="""",K6709=""""),"""",IFERROR(IF(K6709="""","""",query('tbl user'!$A$2:$D10975,""SELECT A WHERE D = '""&amp;K6709&amp;""'"")),""USER TIDAK DIKETAHUI""))"),"")</f>
        <v/>
      </c>
    </row>
    <row r="6710">
      <c r="A6710" s="21" t="str">
        <f t="shared" si="3"/>
        <v/>
      </c>
      <c r="B6710" s="38"/>
      <c r="C6710" s="23"/>
      <c r="D6710" s="23"/>
      <c r="E6710" s="24"/>
      <c r="F6710" s="25"/>
      <c r="G6710" s="25"/>
      <c r="H6710" s="27"/>
      <c r="I6710" s="28"/>
      <c r="J6710" s="39"/>
      <c r="K6710" s="41"/>
      <c r="L6710" s="31" t="str">
        <f>IFERROR(__xludf.DUMMYFUNCTION("IF(OR(E6710="""",K6710=""""),"""",IFERROR(IF(K6710="""","""",query('tbl user'!$A$2:$D10975,""SELECT A WHERE D = '""&amp;K6710&amp;""'"")),""USER TIDAK DIKETAHUI""))"),"")</f>
        <v/>
      </c>
    </row>
    <row r="6711">
      <c r="A6711" s="21" t="str">
        <f t="shared" si="3"/>
        <v/>
      </c>
      <c r="B6711" s="38"/>
      <c r="C6711" s="23"/>
      <c r="D6711" s="23"/>
      <c r="E6711" s="24"/>
      <c r="F6711" s="25"/>
      <c r="G6711" s="25"/>
      <c r="H6711" s="27"/>
      <c r="I6711" s="28"/>
      <c r="J6711" s="39"/>
      <c r="K6711" s="41"/>
      <c r="L6711" s="31" t="str">
        <f>IFERROR(__xludf.DUMMYFUNCTION("IF(OR(E6711="""",K6711=""""),"""",IFERROR(IF(K6711="""","""",query('tbl user'!$A$2:$D10975,""SELECT A WHERE D = '""&amp;K6711&amp;""'"")),""USER TIDAK DIKETAHUI""))"),"")</f>
        <v/>
      </c>
    </row>
    <row r="6712">
      <c r="A6712" s="21" t="str">
        <f t="shared" si="3"/>
        <v/>
      </c>
      <c r="B6712" s="38"/>
      <c r="C6712" s="23"/>
      <c r="D6712" s="23"/>
      <c r="E6712" s="24"/>
      <c r="F6712" s="25"/>
      <c r="G6712" s="25"/>
      <c r="H6712" s="27"/>
      <c r="I6712" s="28"/>
      <c r="J6712" s="39"/>
      <c r="K6712" s="41"/>
      <c r="L6712" s="31" t="str">
        <f>IFERROR(__xludf.DUMMYFUNCTION("IF(OR(E6712="""",K6712=""""),"""",IFERROR(IF(K6712="""","""",query('tbl user'!$A$2:$D10975,""SELECT A WHERE D = '""&amp;K6712&amp;""'"")),""USER TIDAK DIKETAHUI""))"),"")</f>
        <v/>
      </c>
    </row>
    <row r="6713">
      <c r="A6713" s="21" t="str">
        <f t="shared" si="3"/>
        <v/>
      </c>
      <c r="B6713" s="38"/>
      <c r="C6713" s="23"/>
      <c r="D6713" s="23"/>
      <c r="E6713" s="24"/>
      <c r="F6713" s="25"/>
      <c r="G6713" s="25"/>
      <c r="H6713" s="27"/>
      <c r="I6713" s="28"/>
      <c r="J6713" s="39"/>
      <c r="K6713" s="41"/>
      <c r="L6713" s="31" t="str">
        <f>IFERROR(__xludf.DUMMYFUNCTION("IF(OR(E6713="""",K6713=""""),"""",IFERROR(IF(K6713="""","""",query('tbl user'!$A$2:$D10975,""SELECT A WHERE D = '""&amp;K6713&amp;""'"")),""USER TIDAK DIKETAHUI""))"),"")</f>
        <v/>
      </c>
    </row>
    <row r="6714">
      <c r="A6714" s="21" t="str">
        <f t="shared" si="3"/>
        <v/>
      </c>
      <c r="B6714" s="38"/>
      <c r="C6714" s="23"/>
      <c r="D6714" s="23"/>
      <c r="E6714" s="24"/>
      <c r="F6714" s="25"/>
      <c r="G6714" s="25"/>
      <c r="H6714" s="27"/>
      <c r="I6714" s="28"/>
      <c r="J6714" s="39"/>
      <c r="K6714" s="41"/>
      <c r="L6714" s="31" t="str">
        <f>IFERROR(__xludf.DUMMYFUNCTION("IF(OR(E6714="""",K6714=""""),"""",IFERROR(IF(K6714="""","""",query('tbl user'!$A$2:$D10975,""SELECT A WHERE D = '""&amp;K6714&amp;""'"")),""USER TIDAK DIKETAHUI""))"),"")</f>
        <v/>
      </c>
    </row>
    <row r="6715">
      <c r="A6715" s="21" t="str">
        <f t="shared" si="3"/>
        <v/>
      </c>
      <c r="B6715" s="38"/>
      <c r="C6715" s="23"/>
      <c r="D6715" s="23"/>
      <c r="E6715" s="24"/>
      <c r="F6715" s="25"/>
      <c r="G6715" s="25"/>
      <c r="H6715" s="27"/>
      <c r="I6715" s="28"/>
      <c r="J6715" s="39"/>
      <c r="K6715" s="41"/>
      <c r="L6715" s="31" t="str">
        <f>IFERROR(__xludf.DUMMYFUNCTION("IF(OR(E6715="""",K6715=""""),"""",IFERROR(IF(K6715="""","""",query('tbl user'!$A$2:$D10975,""SELECT A WHERE D = '""&amp;K6715&amp;""'"")),""USER TIDAK DIKETAHUI""))"),"")</f>
        <v/>
      </c>
    </row>
    <row r="6716">
      <c r="A6716" s="21" t="str">
        <f t="shared" si="3"/>
        <v/>
      </c>
      <c r="B6716" s="38"/>
      <c r="C6716" s="23"/>
      <c r="D6716" s="23"/>
      <c r="E6716" s="24"/>
      <c r="F6716" s="25"/>
      <c r="G6716" s="25"/>
      <c r="H6716" s="27"/>
      <c r="I6716" s="28"/>
      <c r="J6716" s="39"/>
      <c r="K6716" s="41"/>
      <c r="L6716" s="31" t="str">
        <f>IFERROR(__xludf.DUMMYFUNCTION("IF(OR(E6716="""",K6716=""""),"""",IFERROR(IF(K6716="""","""",query('tbl user'!$A$2:$D10975,""SELECT A WHERE D = '""&amp;K6716&amp;""'"")),""USER TIDAK DIKETAHUI""))"),"")</f>
        <v/>
      </c>
    </row>
    <row r="6717">
      <c r="A6717" s="21" t="str">
        <f t="shared" si="3"/>
        <v/>
      </c>
      <c r="B6717" s="38"/>
      <c r="C6717" s="23"/>
      <c r="D6717" s="23"/>
      <c r="E6717" s="24"/>
      <c r="F6717" s="25"/>
      <c r="G6717" s="25"/>
      <c r="H6717" s="27"/>
      <c r="I6717" s="28"/>
      <c r="J6717" s="39"/>
      <c r="K6717" s="41"/>
      <c r="L6717" s="31" t="str">
        <f>IFERROR(__xludf.DUMMYFUNCTION("IF(OR(E6717="""",K6717=""""),"""",IFERROR(IF(K6717="""","""",query('tbl user'!$A$2:$D10975,""SELECT A WHERE D = '""&amp;K6717&amp;""'"")),""USER TIDAK DIKETAHUI""))"),"")</f>
        <v/>
      </c>
    </row>
    <row r="6718">
      <c r="A6718" s="21" t="str">
        <f t="shared" si="3"/>
        <v/>
      </c>
      <c r="B6718" s="38"/>
      <c r="C6718" s="23"/>
      <c r="D6718" s="23"/>
      <c r="E6718" s="24"/>
      <c r="F6718" s="25"/>
      <c r="G6718" s="25"/>
      <c r="H6718" s="27"/>
      <c r="I6718" s="28"/>
      <c r="J6718" s="39"/>
      <c r="K6718" s="41"/>
      <c r="L6718" s="31" t="str">
        <f>IFERROR(__xludf.DUMMYFUNCTION("IF(OR(E6718="""",K6718=""""),"""",IFERROR(IF(K6718="""","""",query('tbl user'!$A$2:$D10975,""SELECT A WHERE D = '""&amp;K6718&amp;""'"")),""USER TIDAK DIKETAHUI""))"),"")</f>
        <v/>
      </c>
    </row>
    <row r="6719">
      <c r="A6719" s="21" t="str">
        <f t="shared" si="3"/>
        <v/>
      </c>
      <c r="B6719" s="38"/>
      <c r="C6719" s="23"/>
      <c r="D6719" s="23"/>
      <c r="E6719" s="24"/>
      <c r="F6719" s="25"/>
      <c r="G6719" s="25"/>
      <c r="H6719" s="27"/>
      <c r="I6719" s="28"/>
      <c r="J6719" s="39"/>
      <c r="K6719" s="41"/>
      <c r="L6719" s="31" t="str">
        <f>IFERROR(__xludf.DUMMYFUNCTION("IF(OR(E6719="""",K6719=""""),"""",IFERROR(IF(K6719="""","""",query('tbl user'!$A$2:$D10975,""SELECT A WHERE D = '""&amp;K6719&amp;""'"")),""USER TIDAK DIKETAHUI""))"),"")</f>
        <v/>
      </c>
    </row>
    <row r="6720">
      <c r="A6720" s="21" t="str">
        <f t="shared" si="3"/>
        <v/>
      </c>
      <c r="B6720" s="38"/>
      <c r="C6720" s="23"/>
      <c r="D6720" s="23"/>
      <c r="E6720" s="24"/>
      <c r="F6720" s="25"/>
      <c r="G6720" s="25"/>
      <c r="H6720" s="27"/>
      <c r="I6720" s="28"/>
      <c r="J6720" s="39"/>
      <c r="K6720" s="41"/>
      <c r="L6720" s="31" t="str">
        <f>IFERROR(__xludf.DUMMYFUNCTION("IF(OR(E6720="""",K6720=""""),"""",IFERROR(IF(K6720="""","""",query('tbl user'!$A$2:$D10975,""SELECT A WHERE D = '""&amp;K6720&amp;""'"")),""USER TIDAK DIKETAHUI""))"),"")</f>
        <v/>
      </c>
    </row>
    <row r="6721">
      <c r="A6721" s="21" t="str">
        <f t="shared" si="3"/>
        <v/>
      </c>
      <c r="B6721" s="38"/>
      <c r="C6721" s="23"/>
      <c r="D6721" s="23"/>
      <c r="E6721" s="24"/>
      <c r="F6721" s="25"/>
      <c r="G6721" s="25"/>
      <c r="H6721" s="27"/>
      <c r="I6721" s="28"/>
      <c r="J6721" s="39"/>
      <c r="K6721" s="41"/>
      <c r="L6721" s="31" t="str">
        <f>IFERROR(__xludf.DUMMYFUNCTION("IF(OR(E6721="""",K6721=""""),"""",IFERROR(IF(K6721="""","""",query('tbl user'!$A$2:$D10975,""SELECT A WHERE D = '""&amp;K6721&amp;""'"")),""USER TIDAK DIKETAHUI""))"),"")</f>
        <v/>
      </c>
    </row>
    <row r="6722">
      <c r="A6722" s="21" t="str">
        <f t="shared" si="3"/>
        <v/>
      </c>
      <c r="B6722" s="38"/>
      <c r="C6722" s="23"/>
      <c r="D6722" s="23"/>
      <c r="E6722" s="24"/>
      <c r="F6722" s="25"/>
      <c r="G6722" s="25"/>
      <c r="H6722" s="27"/>
      <c r="I6722" s="28"/>
      <c r="J6722" s="39"/>
      <c r="K6722" s="41"/>
      <c r="L6722" s="31" t="str">
        <f>IFERROR(__xludf.DUMMYFUNCTION("IF(OR(E6722="""",K6722=""""),"""",IFERROR(IF(K6722="""","""",query('tbl user'!$A$2:$D10975,""SELECT A WHERE D = '""&amp;K6722&amp;""'"")),""USER TIDAK DIKETAHUI""))"),"")</f>
        <v/>
      </c>
    </row>
    <row r="6723">
      <c r="A6723" s="21" t="str">
        <f t="shared" si="3"/>
        <v/>
      </c>
      <c r="B6723" s="38"/>
      <c r="C6723" s="23"/>
      <c r="D6723" s="23"/>
      <c r="E6723" s="24"/>
      <c r="F6723" s="25"/>
      <c r="G6723" s="25"/>
      <c r="H6723" s="27"/>
      <c r="I6723" s="28"/>
      <c r="J6723" s="39"/>
      <c r="K6723" s="41"/>
      <c r="L6723" s="31" t="str">
        <f>IFERROR(__xludf.DUMMYFUNCTION("IF(OR(E6723="""",K6723=""""),"""",IFERROR(IF(K6723="""","""",query('tbl user'!$A$2:$D10975,""SELECT A WHERE D = '""&amp;K6723&amp;""'"")),""USER TIDAK DIKETAHUI""))"),"")</f>
        <v/>
      </c>
    </row>
    <row r="6724">
      <c r="A6724" s="21" t="str">
        <f t="shared" si="3"/>
        <v/>
      </c>
      <c r="B6724" s="38"/>
      <c r="C6724" s="23"/>
      <c r="D6724" s="23"/>
      <c r="E6724" s="24"/>
      <c r="F6724" s="25"/>
      <c r="G6724" s="25"/>
      <c r="H6724" s="27"/>
      <c r="I6724" s="28"/>
      <c r="J6724" s="39"/>
      <c r="K6724" s="41"/>
      <c r="L6724" s="31" t="str">
        <f>IFERROR(__xludf.DUMMYFUNCTION("IF(OR(E6724="""",K6724=""""),"""",IFERROR(IF(K6724="""","""",query('tbl user'!$A$2:$D10975,""SELECT A WHERE D = '""&amp;K6724&amp;""'"")),""USER TIDAK DIKETAHUI""))"),"")</f>
        <v/>
      </c>
    </row>
    <row r="6725">
      <c r="A6725" s="21" t="str">
        <f t="shared" si="3"/>
        <v/>
      </c>
      <c r="B6725" s="38"/>
      <c r="C6725" s="23"/>
      <c r="D6725" s="23"/>
      <c r="E6725" s="24"/>
      <c r="F6725" s="25"/>
      <c r="G6725" s="25"/>
      <c r="H6725" s="27"/>
      <c r="I6725" s="28"/>
      <c r="J6725" s="39"/>
      <c r="K6725" s="41"/>
      <c r="L6725" s="31" t="str">
        <f>IFERROR(__xludf.DUMMYFUNCTION("IF(OR(E6725="""",K6725=""""),"""",IFERROR(IF(K6725="""","""",query('tbl user'!$A$2:$D10975,""SELECT A WHERE D = '""&amp;K6725&amp;""'"")),""USER TIDAK DIKETAHUI""))"),"")</f>
        <v/>
      </c>
    </row>
    <row r="6726">
      <c r="A6726" s="21" t="str">
        <f t="shared" si="3"/>
        <v/>
      </c>
      <c r="B6726" s="38"/>
      <c r="C6726" s="23"/>
      <c r="D6726" s="23"/>
      <c r="E6726" s="24"/>
      <c r="F6726" s="25"/>
      <c r="G6726" s="25"/>
      <c r="H6726" s="27"/>
      <c r="I6726" s="28"/>
      <c r="J6726" s="39"/>
      <c r="K6726" s="41"/>
      <c r="L6726" s="31" t="str">
        <f>IFERROR(__xludf.DUMMYFUNCTION("IF(OR(E6726="""",K6726=""""),"""",IFERROR(IF(K6726="""","""",query('tbl user'!$A$2:$D10975,""SELECT A WHERE D = '""&amp;K6726&amp;""'"")),""USER TIDAK DIKETAHUI""))"),"")</f>
        <v/>
      </c>
    </row>
    <row r="6727">
      <c r="A6727" s="21" t="str">
        <f t="shared" si="3"/>
        <v/>
      </c>
      <c r="B6727" s="38"/>
      <c r="C6727" s="23"/>
      <c r="D6727" s="23"/>
      <c r="E6727" s="24"/>
      <c r="F6727" s="25"/>
      <c r="G6727" s="25"/>
      <c r="H6727" s="27"/>
      <c r="I6727" s="28"/>
      <c r="J6727" s="39"/>
      <c r="K6727" s="41"/>
      <c r="L6727" s="31" t="str">
        <f>IFERROR(__xludf.DUMMYFUNCTION("IF(OR(E6727="""",K6727=""""),"""",IFERROR(IF(K6727="""","""",query('tbl user'!$A$2:$D10975,""SELECT A WHERE D = '""&amp;K6727&amp;""'"")),""USER TIDAK DIKETAHUI""))"),"")</f>
        <v/>
      </c>
    </row>
    <row r="6728">
      <c r="A6728" s="21" t="str">
        <f t="shared" si="3"/>
        <v/>
      </c>
      <c r="B6728" s="38"/>
      <c r="C6728" s="23"/>
      <c r="D6728" s="23"/>
      <c r="E6728" s="24"/>
      <c r="F6728" s="25"/>
      <c r="G6728" s="25"/>
      <c r="H6728" s="27"/>
      <c r="I6728" s="28"/>
      <c r="J6728" s="39"/>
      <c r="K6728" s="41"/>
      <c r="L6728" s="31" t="str">
        <f>IFERROR(__xludf.DUMMYFUNCTION("IF(OR(E6728="""",K6728=""""),"""",IFERROR(IF(K6728="""","""",query('tbl user'!$A$2:$D10975,""SELECT A WHERE D = '""&amp;K6728&amp;""'"")),""USER TIDAK DIKETAHUI""))"),"")</f>
        <v/>
      </c>
    </row>
    <row r="6729">
      <c r="A6729" s="21" t="str">
        <f t="shared" si="3"/>
        <v/>
      </c>
      <c r="B6729" s="38"/>
      <c r="C6729" s="23"/>
      <c r="D6729" s="23"/>
      <c r="E6729" s="24"/>
      <c r="F6729" s="25"/>
      <c r="G6729" s="25"/>
      <c r="H6729" s="27"/>
      <c r="I6729" s="28"/>
      <c r="J6729" s="39"/>
      <c r="K6729" s="41"/>
      <c r="L6729" s="31" t="str">
        <f>IFERROR(__xludf.DUMMYFUNCTION("IF(OR(E6729="""",K6729=""""),"""",IFERROR(IF(K6729="""","""",query('tbl user'!$A$2:$D10975,""SELECT A WHERE D = '""&amp;K6729&amp;""'"")),""USER TIDAK DIKETAHUI""))"),"")</f>
        <v/>
      </c>
    </row>
    <row r="6730">
      <c r="A6730" s="21" t="str">
        <f t="shared" si="3"/>
        <v/>
      </c>
      <c r="B6730" s="38"/>
      <c r="C6730" s="23"/>
      <c r="D6730" s="23"/>
      <c r="E6730" s="24"/>
      <c r="F6730" s="25"/>
      <c r="G6730" s="25"/>
      <c r="H6730" s="27"/>
      <c r="I6730" s="28"/>
      <c r="J6730" s="39"/>
      <c r="K6730" s="41"/>
      <c r="L6730" s="31" t="str">
        <f>IFERROR(__xludf.DUMMYFUNCTION("IF(OR(E6730="""",K6730=""""),"""",IFERROR(IF(K6730="""","""",query('tbl user'!$A$2:$D10975,""SELECT A WHERE D = '""&amp;K6730&amp;""'"")),""USER TIDAK DIKETAHUI""))"),"")</f>
        <v/>
      </c>
    </row>
    <row r="6731">
      <c r="A6731" s="21" t="str">
        <f t="shared" si="3"/>
        <v/>
      </c>
      <c r="B6731" s="38"/>
      <c r="C6731" s="23"/>
      <c r="D6731" s="23"/>
      <c r="E6731" s="24"/>
      <c r="F6731" s="25"/>
      <c r="G6731" s="25"/>
      <c r="H6731" s="27"/>
      <c r="I6731" s="28"/>
      <c r="J6731" s="39"/>
      <c r="K6731" s="41"/>
      <c r="L6731" s="31" t="str">
        <f>IFERROR(__xludf.DUMMYFUNCTION("IF(OR(E6731="""",K6731=""""),"""",IFERROR(IF(K6731="""","""",query('tbl user'!$A$2:$D10975,""SELECT A WHERE D = '""&amp;K6731&amp;""'"")),""USER TIDAK DIKETAHUI""))"),"")</f>
        <v/>
      </c>
    </row>
    <row r="6732">
      <c r="A6732" s="21" t="str">
        <f t="shared" si="3"/>
        <v/>
      </c>
      <c r="B6732" s="38"/>
      <c r="C6732" s="23"/>
      <c r="D6732" s="23"/>
      <c r="E6732" s="24"/>
      <c r="F6732" s="25"/>
      <c r="G6732" s="25"/>
      <c r="H6732" s="27"/>
      <c r="I6732" s="28"/>
      <c r="J6732" s="39"/>
      <c r="K6732" s="41"/>
      <c r="L6732" s="31" t="str">
        <f>IFERROR(__xludf.DUMMYFUNCTION("IF(OR(E6732="""",K6732=""""),"""",IFERROR(IF(K6732="""","""",query('tbl user'!$A$2:$D10975,""SELECT A WHERE D = '""&amp;K6732&amp;""'"")),""USER TIDAK DIKETAHUI""))"),"")</f>
        <v/>
      </c>
    </row>
    <row r="6733">
      <c r="A6733" s="21" t="str">
        <f t="shared" si="3"/>
        <v/>
      </c>
      <c r="B6733" s="38"/>
      <c r="C6733" s="23"/>
      <c r="D6733" s="23"/>
      <c r="E6733" s="24"/>
      <c r="F6733" s="25"/>
      <c r="G6733" s="25"/>
      <c r="H6733" s="27"/>
      <c r="I6733" s="28"/>
      <c r="J6733" s="39"/>
      <c r="K6733" s="41"/>
      <c r="L6733" s="31" t="str">
        <f>IFERROR(__xludf.DUMMYFUNCTION("IF(OR(E6733="""",K6733=""""),"""",IFERROR(IF(K6733="""","""",query('tbl user'!$A$2:$D10975,""SELECT A WHERE D = '""&amp;K6733&amp;""'"")),""USER TIDAK DIKETAHUI""))"),"")</f>
        <v/>
      </c>
    </row>
    <row r="6734">
      <c r="A6734" s="21" t="str">
        <f t="shared" si="3"/>
        <v/>
      </c>
      <c r="B6734" s="38"/>
      <c r="C6734" s="23"/>
      <c r="D6734" s="23"/>
      <c r="E6734" s="24"/>
      <c r="F6734" s="25"/>
      <c r="G6734" s="25"/>
      <c r="H6734" s="27"/>
      <c r="I6734" s="28"/>
      <c r="J6734" s="39"/>
      <c r="K6734" s="41"/>
      <c r="L6734" s="31" t="str">
        <f>IFERROR(__xludf.DUMMYFUNCTION("IF(OR(E6734="""",K6734=""""),"""",IFERROR(IF(K6734="""","""",query('tbl user'!$A$2:$D10975,""SELECT A WHERE D = '""&amp;K6734&amp;""'"")),""USER TIDAK DIKETAHUI""))"),"")</f>
        <v/>
      </c>
    </row>
    <row r="6735">
      <c r="A6735" s="21" t="str">
        <f t="shared" si="3"/>
        <v/>
      </c>
      <c r="B6735" s="38"/>
      <c r="C6735" s="23"/>
      <c r="D6735" s="23"/>
      <c r="E6735" s="24"/>
      <c r="F6735" s="25"/>
      <c r="G6735" s="25"/>
      <c r="H6735" s="27"/>
      <c r="I6735" s="28"/>
      <c r="J6735" s="39"/>
      <c r="K6735" s="41"/>
      <c r="L6735" s="31" t="str">
        <f>IFERROR(__xludf.DUMMYFUNCTION("IF(OR(E6735="""",K6735=""""),"""",IFERROR(IF(K6735="""","""",query('tbl user'!$A$2:$D10975,""SELECT A WHERE D = '""&amp;K6735&amp;""'"")),""USER TIDAK DIKETAHUI""))"),"")</f>
        <v/>
      </c>
    </row>
    <row r="6736">
      <c r="A6736" s="21" t="str">
        <f t="shared" si="3"/>
        <v/>
      </c>
      <c r="B6736" s="38"/>
      <c r="C6736" s="23"/>
      <c r="D6736" s="23"/>
      <c r="E6736" s="24"/>
      <c r="F6736" s="25"/>
      <c r="G6736" s="25"/>
      <c r="H6736" s="27"/>
      <c r="I6736" s="28"/>
      <c r="J6736" s="39"/>
      <c r="K6736" s="41"/>
      <c r="L6736" s="31" t="str">
        <f>IFERROR(__xludf.DUMMYFUNCTION("IF(OR(E6736="""",K6736=""""),"""",IFERROR(IF(K6736="""","""",query('tbl user'!$A$2:$D10975,""SELECT A WHERE D = '""&amp;K6736&amp;""'"")),""USER TIDAK DIKETAHUI""))"),"")</f>
        <v/>
      </c>
    </row>
    <row r="6737">
      <c r="A6737" s="21" t="str">
        <f t="shared" si="3"/>
        <v/>
      </c>
      <c r="B6737" s="38"/>
      <c r="C6737" s="23"/>
      <c r="D6737" s="23"/>
      <c r="E6737" s="24"/>
      <c r="F6737" s="25"/>
      <c r="G6737" s="25"/>
      <c r="H6737" s="27"/>
      <c r="I6737" s="28"/>
      <c r="J6737" s="39"/>
      <c r="K6737" s="41"/>
      <c r="L6737" s="31" t="str">
        <f>IFERROR(__xludf.DUMMYFUNCTION("IF(OR(E6737="""",K6737=""""),"""",IFERROR(IF(K6737="""","""",query('tbl user'!$A$2:$D10975,""SELECT A WHERE D = '""&amp;K6737&amp;""'"")),""USER TIDAK DIKETAHUI""))"),"")</f>
        <v/>
      </c>
    </row>
    <row r="6738">
      <c r="A6738" s="21" t="str">
        <f t="shared" si="3"/>
        <v/>
      </c>
      <c r="B6738" s="38"/>
      <c r="C6738" s="23"/>
      <c r="D6738" s="23"/>
      <c r="E6738" s="24"/>
      <c r="F6738" s="25"/>
      <c r="G6738" s="25"/>
      <c r="H6738" s="27"/>
      <c r="I6738" s="28"/>
      <c r="J6738" s="39"/>
      <c r="K6738" s="41"/>
      <c r="L6738" s="31" t="str">
        <f>IFERROR(__xludf.DUMMYFUNCTION("IF(OR(E6738="""",K6738=""""),"""",IFERROR(IF(K6738="""","""",query('tbl user'!$A$2:$D10975,""SELECT A WHERE D = '""&amp;K6738&amp;""'"")),""USER TIDAK DIKETAHUI""))"),"")</f>
        <v/>
      </c>
    </row>
    <row r="6739">
      <c r="A6739" s="21" t="str">
        <f t="shared" si="3"/>
        <v/>
      </c>
      <c r="B6739" s="38"/>
      <c r="C6739" s="23"/>
      <c r="D6739" s="23"/>
      <c r="E6739" s="24"/>
      <c r="F6739" s="25"/>
      <c r="G6739" s="25"/>
      <c r="H6739" s="27"/>
      <c r="I6739" s="28"/>
      <c r="J6739" s="39"/>
      <c r="K6739" s="41"/>
      <c r="L6739" s="31" t="str">
        <f>IFERROR(__xludf.DUMMYFUNCTION("IF(OR(E6739="""",K6739=""""),"""",IFERROR(IF(K6739="""","""",query('tbl user'!$A$2:$D10975,""SELECT A WHERE D = '""&amp;K6739&amp;""'"")),""USER TIDAK DIKETAHUI""))"),"")</f>
        <v/>
      </c>
    </row>
    <row r="6740">
      <c r="A6740" s="21" t="str">
        <f t="shared" si="3"/>
        <v/>
      </c>
      <c r="B6740" s="38"/>
      <c r="C6740" s="23"/>
      <c r="D6740" s="23"/>
      <c r="E6740" s="24"/>
      <c r="F6740" s="25"/>
      <c r="G6740" s="25"/>
      <c r="H6740" s="27"/>
      <c r="I6740" s="28"/>
      <c r="J6740" s="39"/>
      <c r="K6740" s="41"/>
      <c r="L6740" s="31" t="str">
        <f>IFERROR(__xludf.DUMMYFUNCTION("IF(OR(E6740="""",K6740=""""),"""",IFERROR(IF(K6740="""","""",query('tbl user'!$A$2:$D10975,""SELECT A WHERE D = '""&amp;K6740&amp;""'"")),""USER TIDAK DIKETAHUI""))"),"")</f>
        <v/>
      </c>
    </row>
    <row r="6741">
      <c r="A6741" s="21" t="str">
        <f t="shared" si="3"/>
        <v/>
      </c>
      <c r="B6741" s="38"/>
      <c r="C6741" s="23"/>
      <c r="D6741" s="23"/>
      <c r="E6741" s="24"/>
      <c r="F6741" s="25"/>
      <c r="G6741" s="25"/>
      <c r="H6741" s="27"/>
      <c r="I6741" s="28"/>
      <c r="J6741" s="39"/>
      <c r="K6741" s="41"/>
      <c r="L6741" s="31" t="str">
        <f>IFERROR(__xludf.DUMMYFUNCTION("IF(OR(E6741="""",K6741=""""),"""",IFERROR(IF(K6741="""","""",query('tbl user'!$A$2:$D10975,""SELECT A WHERE D = '""&amp;K6741&amp;""'"")),""USER TIDAK DIKETAHUI""))"),"")</f>
        <v/>
      </c>
    </row>
    <row r="6742">
      <c r="A6742" s="21" t="str">
        <f t="shared" si="3"/>
        <v/>
      </c>
      <c r="B6742" s="38"/>
      <c r="C6742" s="23"/>
      <c r="D6742" s="23"/>
      <c r="E6742" s="24"/>
      <c r="F6742" s="25"/>
      <c r="G6742" s="25"/>
      <c r="H6742" s="27"/>
      <c r="I6742" s="28"/>
      <c r="J6742" s="39"/>
      <c r="K6742" s="41"/>
      <c r="L6742" s="31" t="str">
        <f>IFERROR(__xludf.DUMMYFUNCTION("IF(OR(E6742="""",K6742=""""),"""",IFERROR(IF(K6742="""","""",query('tbl user'!$A$2:$D10975,""SELECT A WHERE D = '""&amp;K6742&amp;""'"")),""USER TIDAK DIKETAHUI""))"),"")</f>
        <v/>
      </c>
    </row>
    <row r="6743">
      <c r="A6743" s="21" t="str">
        <f t="shared" si="3"/>
        <v/>
      </c>
      <c r="B6743" s="38"/>
      <c r="C6743" s="23"/>
      <c r="D6743" s="23"/>
      <c r="E6743" s="24"/>
      <c r="F6743" s="25"/>
      <c r="G6743" s="25"/>
      <c r="H6743" s="27"/>
      <c r="I6743" s="28"/>
      <c r="J6743" s="39"/>
      <c r="K6743" s="41"/>
      <c r="L6743" s="31" t="str">
        <f>IFERROR(__xludf.DUMMYFUNCTION("IF(OR(E6743="""",K6743=""""),"""",IFERROR(IF(K6743="""","""",query('tbl user'!$A$2:$D10975,""SELECT A WHERE D = '""&amp;K6743&amp;""'"")),""USER TIDAK DIKETAHUI""))"),"")</f>
        <v/>
      </c>
    </row>
    <row r="6744">
      <c r="A6744" s="21" t="str">
        <f t="shared" si="3"/>
        <v/>
      </c>
      <c r="B6744" s="38"/>
      <c r="C6744" s="23"/>
      <c r="D6744" s="23"/>
      <c r="E6744" s="24"/>
      <c r="F6744" s="25"/>
      <c r="G6744" s="25"/>
      <c r="H6744" s="27"/>
      <c r="I6744" s="28"/>
      <c r="J6744" s="39"/>
      <c r="K6744" s="41"/>
      <c r="L6744" s="31" t="str">
        <f>IFERROR(__xludf.DUMMYFUNCTION("IF(OR(E6744="""",K6744=""""),"""",IFERROR(IF(K6744="""","""",query('tbl user'!$A$2:$D10975,""SELECT A WHERE D = '""&amp;K6744&amp;""'"")),""USER TIDAK DIKETAHUI""))"),"")</f>
        <v/>
      </c>
    </row>
    <row r="6745">
      <c r="A6745" s="21" t="str">
        <f t="shared" si="3"/>
        <v/>
      </c>
      <c r="B6745" s="38"/>
      <c r="C6745" s="23"/>
      <c r="D6745" s="23"/>
      <c r="E6745" s="24"/>
      <c r="F6745" s="25"/>
      <c r="G6745" s="25"/>
      <c r="H6745" s="27"/>
      <c r="I6745" s="28"/>
      <c r="J6745" s="39"/>
      <c r="K6745" s="41"/>
      <c r="L6745" s="31" t="str">
        <f>IFERROR(__xludf.DUMMYFUNCTION("IF(OR(E6745="""",K6745=""""),"""",IFERROR(IF(K6745="""","""",query('tbl user'!$A$2:$D10975,""SELECT A WHERE D = '""&amp;K6745&amp;""'"")),""USER TIDAK DIKETAHUI""))"),"")</f>
        <v/>
      </c>
    </row>
    <row r="6746">
      <c r="A6746" s="21" t="str">
        <f t="shared" si="3"/>
        <v/>
      </c>
      <c r="B6746" s="38"/>
      <c r="C6746" s="23"/>
      <c r="D6746" s="23"/>
      <c r="E6746" s="24"/>
      <c r="F6746" s="25"/>
      <c r="G6746" s="25"/>
      <c r="H6746" s="27"/>
      <c r="I6746" s="28"/>
      <c r="J6746" s="39"/>
      <c r="K6746" s="41"/>
      <c r="L6746" s="31" t="str">
        <f>IFERROR(__xludf.DUMMYFUNCTION("IF(OR(E6746="""",K6746=""""),"""",IFERROR(IF(K6746="""","""",query('tbl user'!$A$2:$D10975,""SELECT A WHERE D = '""&amp;K6746&amp;""'"")),""USER TIDAK DIKETAHUI""))"),"")</f>
        <v/>
      </c>
    </row>
    <row r="6747">
      <c r="A6747" s="21" t="str">
        <f t="shared" si="3"/>
        <v/>
      </c>
      <c r="B6747" s="38"/>
      <c r="C6747" s="23"/>
      <c r="D6747" s="23"/>
      <c r="E6747" s="24"/>
      <c r="F6747" s="25"/>
      <c r="G6747" s="25"/>
      <c r="H6747" s="27"/>
      <c r="I6747" s="28"/>
      <c r="J6747" s="39"/>
      <c r="K6747" s="41"/>
      <c r="L6747" s="31" t="str">
        <f>IFERROR(__xludf.DUMMYFUNCTION("IF(OR(E6747="""",K6747=""""),"""",IFERROR(IF(K6747="""","""",query('tbl user'!$A$2:$D10975,""SELECT A WHERE D = '""&amp;K6747&amp;""'"")),""USER TIDAK DIKETAHUI""))"),"")</f>
        <v/>
      </c>
    </row>
    <row r="6748">
      <c r="A6748" s="21" t="str">
        <f t="shared" si="3"/>
        <v/>
      </c>
      <c r="B6748" s="38"/>
      <c r="C6748" s="23"/>
      <c r="D6748" s="23"/>
      <c r="E6748" s="24"/>
      <c r="F6748" s="25"/>
      <c r="G6748" s="25"/>
      <c r="H6748" s="27"/>
      <c r="I6748" s="28"/>
      <c r="J6748" s="39"/>
      <c r="K6748" s="41"/>
      <c r="L6748" s="31" t="str">
        <f>IFERROR(__xludf.DUMMYFUNCTION("IF(OR(E6748="""",K6748=""""),"""",IFERROR(IF(K6748="""","""",query('tbl user'!$A$2:$D10975,""SELECT A WHERE D = '""&amp;K6748&amp;""'"")),""USER TIDAK DIKETAHUI""))"),"")</f>
        <v/>
      </c>
    </row>
    <row r="6749">
      <c r="A6749" s="21" t="str">
        <f t="shared" si="3"/>
        <v/>
      </c>
      <c r="B6749" s="38"/>
      <c r="C6749" s="23"/>
      <c r="D6749" s="23"/>
      <c r="E6749" s="24"/>
      <c r="F6749" s="25"/>
      <c r="G6749" s="25"/>
      <c r="H6749" s="27"/>
      <c r="I6749" s="28"/>
      <c r="J6749" s="39"/>
      <c r="K6749" s="41"/>
      <c r="L6749" s="31" t="str">
        <f>IFERROR(__xludf.DUMMYFUNCTION("IF(OR(E6749="""",K6749=""""),"""",IFERROR(IF(K6749="""","""",query('tbl user'!$A$2:$D10975,""SELECT A WHERE D = '""&amp;K6749&amp;""'"")),""USER TIDAK DIKETAHUI""))"),"")</f>
        <v/>
      </c>
    </row>
    <row r="6750">
      <c r="A6750" s="21" t="str">
        <f t="shared" si="3"/>
        <v/>
      </c>
      <c r="B6750" s="38"/>
      <c r="C6750" s="23"/>
      <c r="D6750" s="23"/>
      <c r="E6750" s="24"/>
      <c r="F6750" s="25"/>
      <c r="G6750" s="25"/>
      <c r="H6750" s="27"/>
      <c r="I6750" s="28"/>
      <c r="J6750" s="39"/>
      <c r="K6750" s="41"/>
      <c r="L6750" s="31" t="str">
        <f>IFERROR(__xludf.DUMMYFUNCTION("IF(OR(E6750="""",K6750=""""),"""",IFERROR(IF(K6750="""","""",query('tbl user'!$A$2:$D10975,""SELECT A WHERE D = '""&amp;K6750&amp;""'"")),""USER TIDAK DIKETAHUI""))"),"")</f>
        <v/>
      </c>
    </row>
    <row r="6751">
      <c r="A6751" s="21" t="str">
        <f t="shared" si="3"/>
        <v/>
      </c>
      <c r="B6751" s="38"/>
      <c r="C6751" s="23"/>
      <c r="D6751" s="23"/>
      <c r="E6751" s="24"/>
      <c r="F6751" s="25"/>
      <c r="G6751" s="25"/>
      <c r="H6751" s="27"/>
      <c r="I6751" s="28"/>
      <c r="J6751" s="39"/>
      <c r="K6751" s="41"/>
      <c r="L6751" s="31" t="str">
        <f>IFERROR(__xludf.DUMMYFUNCTION("IF(OR(E6751="""",K6751=""""),"""",IFERROR(IF(K6751="""","""",query('tbl user'!$A$2:$D10975,""SELECT A WHERE D = '""&amp;K6751&amp;""'"")),""USER TIDAK DIKETAHUI""))"),"")</f>
        <v/>
      </c>
    </row>
    <row r="6752">
      <c r="A6752" s="21" t="str">
        <f t="shared" si="3"/>
        <v/>
      </c>
      <c r="B6752" s="38"/>
      <c r="C6752" s="23"/>
      <c r="D6752" s="23"/>
      <c r="E6752" s="24"/>
      <c r="F6752" s="25"/>
      <c r="G6752" s="25"/>
      <c r="H6752" s="27"/>
      <c r="I6752" s="28"/>
      <c r="J6752" s="39"/>
      <c r="K6752" s="41"/>
      <c r="L6752" s="31" t="str">
        <f>IFERROR(__xludf.DUMMYFUNCTION("IF(OR(E6752="""",K6752=""""),"""",IFERROR(IF(K6752="""","""",query('tbl user'!$A$2:$D10975,""SELECT A WHERE D = '""&amp;K6752&amp;""'"")),""USER TIDAK DIKETAHUI""))"),"")</f>
        <v/>
      </c>
    </row>
    <row r="6753">
      <c r="A6753" s="21" t="str">
        <f t="shared" si="3"/>
        <v/>
      </c>
      <c r="B6753" s="38"/>
      <c r="C6753" s="23"/>
      <c r="D6753" s="23"/>
      <c r="E6753" s="24"/>
      <c r="F6753" s="25"/>
      <c r="G6753" s="25"/>
      <c r="H6753" s="27"/>
      <c r="I6753" s="28"/>
      <c r="J6753" s="39"/>
      <c r="K6753" s="41"/>
      <c r="L6753" s="31" t="str">
        <f>IFERROR(__xludf.DUMMYFUNCTION("IF(OR(E6753="""",K6753=""""),"""",IFERROR(IF(K6753="""","""",query('tbl user'!$A$2:$D10975,""SELECT A WHERE D = '""&amp;K6753&amp;""'"")),""USER TIDAK DIKETAHUI""))"),"")</f>
        <v/>
      </c>
    </row>
    <row r="6754">
      <c r="A6754" s="21" t="str">
        <f t="shared" si="3"/>
        <v/>
      </c>
      <c r="B6754" s="38"/>
      <c r="C6754" s="23"/>
      <c r="D6754" s="23"/>
      <c r="E6754" s="24"/>
      <c r="F6754" s="25"/>
      <c r="G6754" s="25"/>
      <c r="H6754" s="27"/>
      <c r="I6754" s="28"/>
      <c r="J6754" s="39"/>
      <c r="K6754" s="41"/>
      <c r="L6754" s="31" t="str">
        <f>IFERROR(__xludf.DUMMYFUNCTION("IF(OR(E6754="""",K6754=""""),"""",IFERROR(IF(K6754="""","""",query('tbl user'!$A$2:$D10975,""SELECT A WHERE D = '""&amp;K6754&amp;""'"")),""USER TIDAK DIKETAHUI""))"),"")</f>
        <v/>
      </c>
    </row>
    <row r="6755">
      <c r="A6755" s="21" t="str">
        <f t="shared" si="3"/>
        <v/>
      </c>
      <c r="B6755" s="38"/>
      <c r="C6755" s="23"/>
      <c r="D6755" s="23"/>
      <c r="E6755" s="24"/>
      <c r="F6755" s="25"/>
      <c r="G6755" s="25"/>
      <c r="H6755" s="27"/>
      <c r="I6755" s="28"/>
      <c r="J6755" s="39"/>
      <c r="K6755" s="41"/>
      <c r="L6755" s="31" t="str">
        <f>IFERROR(__xludf.DUMMYFUNCTION("IF(OR(E6755="""",K6755=""""),"""",IFERROR(IF(K6755="""","""",query('tbl user'!$A$2:$D10975,""SELECT A WHERE D = '""&amp;K6755&amp;""'"")),""USER TIDAK DIKETAHUI""))"),"")</f>
        <v/>
      </c>
    </row>
    <row r="6756">
      <c r="A6756" s="21" t="str">
        <f t="shared" si="3"/>
        <v/>
      </c>
      <c r="B6756" s="38"/>
      <c r="C6756" s="23"/>
      <c r="D6756" s="23"/>
      <c r="E6756" s="24"/>
      <c r="F6756" s="25"/>
      <c r="G6756" s="25"/>
      <c r="H6756" s="27"/>
      <c r="I6756" s="28"/>
      <c r="J6756" s="39"/>
      <c r="K6756" s="41"/>
      <c r="L6756" s="31" t="str">
        <f>IFERROR(__xludf.DUMMYFUNCTION("IF(OR(E6756="""",K6756=""""),"""",IFERROR(IF(K6756="""","""",query('tbl user'!$A$2:$D10975,""SELECT A WHERE D = '""&amp;K6756&amp;""'"")),""USER TIDAK DIKETAHUI""))"),"")</f>
        <v/>
      </c>
    </row>
    <row r="6757">
      <c r="A6757" s="21" t="str">
        <f t="shared" si="3"/>
        <v/>
      </c>
      <c r="B6757" s="38"/>
      <c r="C6757" s="23"/>
      <c r="D6757" s="23"/>
      <c r="E6757" s="24"/>
      <c r="F6757" s="25"/>
      <c r="G6757" s="25"/>
      <c r="H6757" s="27"/>
      <c r="I6757" s="28"/>
      <c r="J6757" s="39"/>
      <c r="K6757" s="41"/>
      <c r="L6757" s="31" t="str">
        <f>IFERROR(__xludf.DUMMYFUNCTION("IF(OR(E6757="""",K6757=""""),"""",IFERROR(IF(K6757="""","""",query('tbl user'!$A$2:$D10975,""SELECT A WHERE D = '""&amp;K6757&amp;""'"")),""USER TIDAK DIKETAHUI""))"),"")</f>
        <v/>
      </c>
    </row>
    <row r="6758">
      <c r="A6758" s="21" t="str">
        <f t="shared" si="3"/>
        <v/>
      </c>
      <c r="B6758" s="38"/>
      <c r="C6758" s="23"/>
      <c r="D6758" s="23"/>
      <c r="E6758" s="24"/>
      <c r="F6758" s="25"/>
      <c r="G6758" s="25"/>
      <c r="H6758" s="27"/>
      <c r="I6758" s="28"/>
      <c r="J6758" s="39"/>
      <c r="K6758" s="41"/>
      <c r="L6758" s="31" t="str">
        <f>IFERROR(__xludf.DUMMYFUNCTION("IF(OR(E6758="""",K6758=""""),"""",IFERROR(IF(K6758="""","""",query('tbl user'!$A$2:$D10975,""SELECT A WHERE D = '""&amp;K6758&amp;""'"")),""USER TIDAK DIKETAHUI""))"),"")</f>
        <v/>
      </c>
    </row>
    <row r="6759">
      <c r="A6759" s="21" t="str">
        <f t="shared" si="3"/>
        <v/>
      </c>
      <c r="B6759" s="38"/>
      <c r="C6759" s="23"/>
      <c r="D6759" s="23"/>
      <c r="E6759" s="24"/>
      <c r="F6759" s="25"/>
      <c r="G6759" s="25"/>
      <c r="H6759" s="27"/>
      <c r="I6759" s="28"/>
      <c r="J6759" s="39"/>
      <c r="K6759" s="41"/>
      <c r="L6759" s="31" t="str">
        <f>IFERROR(__xludf.DUMMYFUNCTION("IF(OR(E6759="""",K6759=""""),"""",IFERROR(IF(K6759="""","""",query('tbl user'!$A$2:$D10975,""SELECT A WHERE D = '""&amp;K6759&amp;""'"")),""USER TIDAK DIKETAHUI""))"),"")</f>
        <v/>
      </c>
    </row>
    <row r="6760">
      <c r="A6760" s="21" t="str">
        <f t="shared" si="3"/>
        <v/>
      </c>
      <c r="B6760" s="38"/>
      <c r="C6760" s="23"/>
      <c r="D6760" s="23"/>
      <c r="E6760" s="24"/>
      <c r="F6760" s="25"/>
      <c r="G6760" s="25"/>
      <c r="H6760" s="27"/>
      <c r="I6760" s="28"/>
      <c r="J6760" s="39"/>
      <c r="K6760" s="41"/>
      <c r="L6760" s="31" t="str">
        <f>IFERROR(__xludf.DUMMYFUNCTION("IF(OR(E6760="""",K6760=""""),"""",IFERROR(IF(K6760="""","""",query('tbl user'!$A$2:$D10975,""SELECT A WHERE D = '""&amp;K6760&amp;""'"")),""USER TIDAK DIKETAHUI""))"),"")</f>
        <v/>
      </c>
    </row>
    <row r="6761">
      <c r="A6761" s="21" t="str">
        <f t="shared" si="3"/>
        <v/>
      </c>
      <c r="B6761" s="38"/>
      <c r="C6761" s="23"/>
      <c r="D6761" s="23"/>
      <c r="E6761" s="24"/>
      <c r="F6761" s="25"/>
      <c r="G6761" s="25"/>
      <c r="H6761" s="27"/>
      <c r="I6761" s="28"/>
      <c r="J6761" s="39"/>
      <c r="K6761" s="41"/>
      <c r="L6761" s="31" t="str">
        <f>IFERROR(__xludf.DUMMYFUNCTION("IF(OR(E6761="""",K6761=""""),"""",IFERROR(IF(K6761="""","""",query('tbl user'!$A$2:$D10975,""SELECT A WHERE D = '""&amp;K6761&amp;""'"")),""USER TIDAK DIKETAHUI""))"),"")</f>
        <v/>
      </c>
    </row>
    <row r="6762">
      <c r="A6762" s="21" t="str">
        <f t="shared" si="3"/>
        <v/>
      </c>
      <c r="B6762" s="38"/>
      <c r="C6762" s="23"/>
      <c r="D6762" s="23"/>
      <c r="E6762" s="24"/>
      <c r="F6762" s="25"/>
      <c r="G6762" s="25"/>
      <c r="H6762" s="27"/>
      <c r="I6762" s="28"/>
      <c r="J6762" s="39"/>
      <c r="K6762" s="41"/>
      <c r="L6762" s="31" t="str">
        <f>IFERROR(__xludf.DUMMYFUNCTION("IF(OR(E6762="""",K6762=""""),"""",IFERROR(IF(K6762="""","""",query('tbl user'!$A$2:$D10975,""SELECT A WHERE D = '""&amp;K6762&amp;""'"")),""USER TIDAK DIKETAHUI""))"),"")</f>
        <v/>
      </c>
    </row>
    <row r="6763">
      <c r="A6763" s="21" t="str">
        <f t="shared" si="3"/>
        <v/>
      </c>
      <c r="B6763" s="38"/>
      <c r="C6763" s="23"/>
      <c r="D6763" s="23"/>
      <c r="E6763" s="24"/>
      <c r="F6763" s="25"/>
      <c r="G6763" s="25"/>
      <c r="H6763" s="27"/>
      <c r="I6763" s="28"/>
      <c r="J6763" s="39"/>
      <c r="K6763" s="41"/>
      <c r="L6763" s="31" t="str">
        <f>IFERROR(__xludf.DUMMYFUNCTION("IF(OR(E6763="""",K6763=""""),"""",IFERROR(IF(K6763="""","""",query('tbl user'!$A$2:$D10975,""SELECT A WHERE D = '""&amp;K6763&amp;""'"")),""USER TIDAK DIKETAHUI""))"),"")</f>
        <v/>
      </c>
    </row>
    <row r="6764">
      <c r="A6764" s="21" t="str">
        <f t="shared" si="3"/>
        <v/>
      </c>
      <c r="B6764" s="38"/>
      <c r="C6764" s="23"/>
      <c r="D6764" s="23"/>
      <c r="E6764" s="24"/>
      <c r="F6764" s="25"/>
      <c r="G6764" s="25"/>
      <c r="H6764" s="27"/>
      <c r="I6764" s="28"/>
      <c r="J6764" s="39"/>
      <c r="K6764" s="41"/>
      <c r="L6764" s="31" t="str">
        <f>IFERROR(__xludf.DUMMYFUNCTION("IF(OR(E6764="""",K6764=""""),"""",IFERROR(IF(K6764="""","""",query('tbl user'!$A$2:$D10975,""SELECT A WHERE D = '""&amp;K6764&amp;""'"")),""USER TIDAK DIKETAHUI""))"),"")</f>
        <v/>
      </c>
    </row>
    <row r="6765">
      <c r="A6765" s="21" t="str">
        <f t="shared" si="3"/>
        <v/>
      </c>
      <c r="B6765" s="38"/>
      <c r="C6765" s="23"/>
      <c r="D6765" s="23"/>
      <c r="E6765" s="24"/>
      <c r="F6765" s="25"/>
      <c r="G6765" s="25"/>
      <c r="H6765" s="27"/>
      <c r="I6765" s="28"/>
      <c r="J6765" s="39"/>
      <c r="K6765" s="41"/>
      <c r="L6765" s="31" t="str">
        <f>IFERROR(__xludf.DUMMYFUNCTION("IF(OR(E6765="""",K6765=""""),"""",IFERROR(IF(K6765="""","""",query('tbl user'!$A$2:$D10975,""SELECT A WHERE D = '""&amp;K6765&amp;""'"")),""USER TIDAK DIKETAHUI""))"),"")</f>
        <v/>
      </c>
    </row>
    <row r="6766">
      <c r="A6766" s="21" t="str">
        <f t="shared" si="3"/>
        <v/>
      </c>
      <c r="B6766" s="38"/>
      <c r="C6766" s="23"/>
      <c r="D6766" s="23"/>
      <c r="E6766" s="24"/>
      <c r="F6766" s="25"/>
      <c r="G6766" s="25"/>
      <c r="H6766" s="27"/>
      <c r="I6766" s="28"/>
      <c r="J6766" s="39"/>
      <c r="K6766" s="41"/>
      <c r="L6766" s="31" t="str">
        <f>IFERROR(__xludf.DUMMYFUNCTION("IF(OR(E6766="""",K6766=""""),"""",IFERROR(IF(K6766="""","""",query('tbl user'!$A$2:$D10975,""SELECT A WHERE D = '""&amp;K6766&amp;""'"")),""USER TIDAK DIKETAHUI""))"),"")</f>
        <v/>
      </c>
    </row>
    <row r="6767">
      <c r="A6767" s="21" t="str">
        <f t="shared" si="3"/>
        <v/>
      </c>
      <c r="B6767" s="38"/>
      <c r="C6767" s="23"/>
      <c r="D6767" s="23"/>
      <c r="E6767" s="24"/>
      <c r="F6767" s="25"/>
      <c r="G6767" s="25"/>
      <c r="H6767" s="27"/>
      <c r="I6767" s="28"/>
      <c r="J6767" s="39"/>
      <c r="K6767" s="41"/>
      <c r="L6767" s="31" t="str">
        <f>IFERROR(__xludf.DUMMYFUNCTION("IF(OR(E6767="""",K6767=""""),"""",IFERROR(IF(K6767="""","""",query('tbl user'!$A$2:$D10975,""SELECT A WHERE D = '""&amp;K6767&amp;""'"")),""USER TIDAK DIKETAHUI""))"),"")</f>
        <v/>
      </c>
    </row>
    <row r="6768">
      <c r="A6768" s="21" t="str">
        <f t="shared" si="3"/>
        <v/>
      </c>
      <c r="B6768" s="38"/>
      <c r="C6768" s="23"/>
      <c r="D6768" s="23"/>
      <c r="E6768" s="24"/>
      <c r="F6768" s="25"/>
      <c r="G6768" s="25"/>
      <c r="H6768" s="27"/>
      <c r="I6768" s="28"/>
      <c r="J6768" s="39"/>
      <c r="K6768" s="41"/>
      <c r="L6768" s="31" t="str">
        <f>IFERROR(__xludf.DUMMYFUNCTION("IF(OR(E6768="""",K6768=""""),"""",IFERROR(IF(K6768="""","""",query('tbl user'!$A$2:$D10975,""SELECT A WHERE D = '""&amp;K6768&amp;""'"")),""USER TIDAK DIKETAHUI""))"),"")</f>
        <v/>
      </c>
    </row>
    <row r="6769">
      <c r="A6769" s="21" t="str">
        <f t="shared" si="3"/>
        <v/>
      </c>
      <c r="B6769" s="38"/>
      <c r="C6769" s="23"/>
      <c r="D6769" s="23"/>
      <c r="E6769" s="24"/>
      <c r="F6769" s="25"/>
      <c r="G6769" s="25"/>
      <c r="H6769" s="27"/>
      <c r="I6769" s="28"/>
      <c r="J6769" s="39"/>
      <c r="K6769" s="41"/>
      <c r="L6769" s="31" t="str">
        <f>IFERROR(__xludf.DUMMYFUNCTION("IF(OR(E6769="""",K6769=""""),"""",IFERROR(IF(K6769="""","""",query('tbl user'!$A$2:$D10975,""SELECT A WHERE D = '""&amp;K6769&amp;""'"")),""USER TIDAK DIKETAHUI""))"),"")</f>
        <v/>
      </c>
    </row>
    <row r="6770">
      <c r="A6770" s="21" t="str">
        <f t="shared" si="3"/>
        <v/>
      </c>
      <c r="B6770" s="38"/>
      <c r="C6770" s="23"/>
      <c r="D6770" s="23"/>
      <c r="E6770" s="24"/>
      <c r="F6770" s="25"/>
      <c r="G6770" s="25"/>
      <c r="H6770" s="27"/>
      <c r="I6770" s="28"/>
      <c r="J6770" s="39"/>
      <c r="K6770" s="41"/>
      <c r="L6770" s="31" t="str">
        <f>IFERROR(__xludf.DUMMYFUNCTION("IF(OR(E6770="""",K6770=""""),"""",IFERROR(IF(K6770="""","""",query('tbl user'!$A$2:$D10975,""SELECT A WHERE D = '""&amp;K6770&amp;""'"")),""USER TIDAK DIKETAHUI""))"),"")</f>
        <v/>
      </c>
    </row>
    <row r="6771">
      <c r="A6771" s="21" t="str">
        <f t="shared" si="3"/>
        <v/>
      </c>
      <c r="B6771" s="38"/>
      <c r="C6771" s="23"/>
      <c r="D6771" s="23"/>
      <c r="E6771" s="24"/>
      <c r="F6771" s="25"/>
      <c r="G6771" s="25"/>
      <c r="H6771" s="27"/>
      <c r="I6771" s="28"/>
      <c r="J6771" s="39"/>
      <c r="K6771" s="41"/>
      <c r="L6771" s="31" t="str">
        <f>IFERROR(__xludf.DUMMYFUNCTION("IF(OR(E6771="""",K6771=""""),"""",IFERROR(IF(K6771="""","""",query('tbl user'!$A$2:$D10975,""SELECT A WHERE D = '""&amp;K6771&amp;""'"")),""USER TIDAK DIKETAHUI""))"),"")</f>
        <v/>
      </c>
    </row>
    <row r="6772">
      <c r="A6772" s="21" t="str">
        <f t="shared" si="3"/>
        <v/>
      </c>
      <c r="B6772" s="38"/>
      <c r="C6772" s="23"/>
      <c r="D6772" s="23"/>
      <c r="E6772" s="24"/>
      <c r="F6772" s="25"/>
      <c r="G6772" s="25"/>
      <c r="H6772" s="27"/>
      <c r="I6772" s="28"/>
      <c r="J6772" s="39"/>
      <c r="K6772" s="41"/>
      <c r="L6772" s="31" t="str">
        <f>IFERROR(__xludf.DUMMYFUNCTION("IF(OR(E6772="""",K6772=""""),"""",IFERROR(IF(K6772="""","""",query('tbl user'!$A$2:$D10975,""SELECT A WHERE D = '""&amp;K6772&amp;""'"")),""USER TIDAK DIKETAHUI""))"),"")</f>
        <v/>
      </c>
    </row>
    <row r="6773">
      <c r="A6773" s="21" t="str">
        <f t="shared" si="3"/>
        <v/>
      </c>
      <c r="B6773" s="38"/>
      <c r="C6773" s="23"/>
      <c r="D6773" s="23"/>
      <c r="E6773" s="24"/>
      <c r="F6773" s="25"/>
      <c r="G6773" s="25"/>
      <c r="H6773" s="27"/>
      <c r="I6773" s="28"/>
      <c r="J6773" s="39"/>
      <c r="K6773" s="41"/>
      <c r="L6773" s="31" t="str">
        <f>IFERROR(__xludf.DUMMYFUNCTION("IF(OR(E6773="""",K6773=""""),"""",IFERROR(IF(K6773="""","""",query('tbl user'!$A$2:$D10975,""SELECT A WHERE D = '""&amp;K6773&amp;""'"")),""USER TIDAK DIKETAHUI""))"),"")</f>
        <v/>
      </c>
    </row>
    <row r="6774">
      <c r="A6774" s="21" t="str">
        <f t="shared" si="3"/>
        <v/>
      </c>
      <c r="B6774" s="38"/>
      <c r="C6774" s="23"/>
      <c r="D6774" s="23"/>
      <c r="E6774" s="24"/>
      <c r="F6774" s="25"/>
      <c r="G6774" s="25"/>
      <c r="H6774" s="27"/>
      <c r="I6774" s="28"/>
      <c r="J6774" s="39"/>
      <c r="K6774" s="41"/>
      <c r="L6774" s="31" t="str">
        <f>IFERROR(__xludf.DUMMYFUNCTION("IF(OR(E6774="""",K6774=""""),"""",IFERROR(IF(K6774="""","""",query('tbl user'!$A$2:$D10975,""SELECT A WHERE D = '""&amp;K6774&amp;""'"")),""USER TIDAK DIKETAHUI""))"),"")</f>
        <v/>
      </c>
    </row>
    <row r="6775">
      <c r="A6775" s="21" t="str">
        <f t="shared" si="3"/>
        <v/>
      </c>
      <c r="B6775" s="38"/>
      <c r="C6775" s="23"/>
      <c r="D6775" s="23"/>
      <c r="E6775" s="24"/>
      <c r="F6775" s="25"/>
      <c r="G6775" s="25"/>
      <c r="H6775" s="27"/>
      <c r="I6775" s="28"/>
      <c r="J6775" s="39"/>
      <c r="K6775" s="41"/>
      <c r="L6775" s="31" t="str">
        <f>IFERROR(__xludf.DUMMYFUNCTION("IF(OR(E6775="""",K6775=""""),"""",IFERROR(IF(K6775="""","""",query('tbl user'!$A$2:$D10975,""SELECT A WHERE D = '""&amp;K6775&amp;""'"")),""USER TIDAK DIKETAHUI""))"),"")</f>
        <v/>
      </c>
    </row>
    <row r="6776">
      <c r="A6776" s="21" t="str">
        <f t="shared" si="3"/>
        <v/>
      </c>
      <c r="B6776" s="38"/>
      <c r="C6776" s="23"/>
      <c r="D6776" s="23"/>
      <c r="E6776" s="24"/>
      <c r="F6776" s="25"/>
      <c r="G6776" s="25"/>
      <c r="H6776" s="27"/>
      <c r="I6776" s="28"/>
      <c r="J6776" s="39"/>
      <c r="K6776" s="41"/>
      <c r="L6776" s="31" t="str">
        <f>IFERROR(__xludf.DUMMYFUNCTION("IF(OR(E6776="""",K6776=""""),"""",IFERROR(IF(K6776="""","""",query('tbl user'!$A$2:$D10975,""SELECT A WHERE D = '""&amp;K6776&amp;""'"")),""USER TIDAK DIKETAHUI""))"),"")</f>
        <v/>
      </c>
    </row>
    <row r="6777">
      <c r="A6777" s="21" t="str">
        <f t="shared" si="3"/>
        <v/>
      </c>
      <c r="B6777" s="38"/>
      <c r="C6777" s="23"/>
      <c r="D6777" s="23"/>
      <c r="E6777" s="24"/>
      <c r="F6777" s="25"/>
      <c r="G6777" s="25"/>
      <c r="H6777" s="27"/>
      <c r="I6777" s="28"/>
      <c r="J6777" s="39"/>
      <c r="K6777" s="41"/>
      <c r="L6777" s="31" t="str">
        <f>IFERROR(__xludf.DUMMYFUNCTION("IF(OR(E6777="""",K6777=""""),"""",IFERROR(IF(K6777="""","""",query('tbl user'!$A$2:$D10975,""SELECT A WHERE D = '""&amp;K6777&amp;""'"")),""USER TIDAK DIKETAHUI""))"),"")</f>
        <v/>
      </c>
    </row>
    <row r="6778">
      <c r="A6778" s="21" t="str">
        <f t="shared" si="3"/>
        <v/>
      </c>
      <c r="B6778" s="38"/>
      <c r="C6778" s="23"/>
      <c r="D6778" s="23"/>
      <c r="E6778" s="24"/>
      <c r="F6778" s="25"/>
      <c r="G6778" s="25"/>
      <c r="H6778" s="27"/>
      <c r="I6778" s="28"/>
      <c r="J6778" s="39"/>
      <c r="K6778" s="41"/>
      <c r="L6778" s="31" t="str">
        <f>IFERROR(__xludf.DUMMYFUNCTION("IF(OR(E6778="""",K6778=""""),"""",IFERROR(IF(K6778="""","""",query('tbl user'!$A$2:$D10975,""SELECT A WHERE D = '""&amp;K6778&amp;""'"")),""USER TIDAK DIKETAHUI""))"),"")</f>
        <v/>
      </c>
    </row>
    <row r="6779">
      <c r="A6779" s="21" t="str">
        <f t="shared" si="3"/>
        <v/>
      </c>
      <c r="B6779" s="38"/>
      <c r="C6779" s="23"/>
      <c r="D6779" s="23"/>
      <c r="E6779" s="24"/>
      <c r="F6779" s="25"/>
      <c r="G6779" s="25"/>
      <c r="H6779" s="27"/>
      <c r="I6779" s="28"/>
      <c r="J6779" s="39"/>
      <c r="K6779" s="41"/>
      <c r="L6779" s="31" t="str">
        <f>IFERROR(__xludf.DUMMYFUNCTION("IF(OR(E6779="""",K6779=""""),"""",IFERROR(IF(K6779="""","""",query('tbl user'!$A$2:$D10975,""SELECT A WHERE D = '""&amp;K6779&amp;""'"")),""USER TIDAK DIKETAHUI""))"),"")</f>
        <v/>
      </c>
    </row>
    <row r="6780">
      <c r="A6780" s="21" t="str">
        <f t="shared" si="3"/>
        <v/>
      </c>
      <c r="B6780" s="38"/>
      <c r="C6780" s="23"/>
      <c r="D6780" s="23"/>
      <c r="E6780" s="24"/>
      <c r="F6780" s="25"/>
      <c r="G6780" s="25"/>
      <c r="H6780" s="27"/>
      <c r="I6780" s="28"/>
      <c r="J6780" s="39"/>
      <c r="K6780" s="41"/>
      <c r="L6780" s="31" t="str">
        <f>IFERROR(__xludf.DUMMYFUNCTION("IF(OR(E6780="""",K6780=""""),"""",IFERROR(IF(K6780="""","""",query('tbl user'!$A$2:$D10975,""SELECT A WHERE D = '""&amp;K6780&amp;""'"")),""USER TIDAK DIKETAHUI""))"),"")</f>
        <v/>
      </c>
    </row>
    <row r="6781">
      <c r="A6781" s="21" t="str">
        <f t="shared" si="3"/>
        <v/>
      </c>
      <c r="B6781" s="38"/>
      <c r="C6781" s="23"/>
      <c r="D6781" s="23"/>
      <c r="E6781" s="24"/>
      <c r="F6781" s="25"/>
      <c r="G6781" s="25"/>
      <c r="H6781" s="27"/>
      <c r="I6781" s="28"/>
      <c r="J6781" s="39"/>
      <c r="K6781" s="41"/>
      <c r="L6781" s="31" t="str">
        <f>IFERROR(__xludf.DUMMYFUNCTION("IF(OR(E6781="""",K6781=""""),"""",IFERROR(IF(K6781="""","""",query('tbl user'!$A$2:$D10975,""SELECT A WHERE D = '""&amp;K6781&amp;""'"")),""USER TIDAK DIKETAHUI""))"),"")</f>
        <v/>
      </c>
    </row>
    <row r="6782">
      <c r="A6782" s="21" t="str">
        <f t="shared" si="3"/>
        <v/>
      </c>
      <c r="B6782" s="38"/>
      <c r="C6782" s="23"/>
      <c r="D6782" s="23"/>
      <c r="E6782" s="24"/>
      <c r="F6782" s="25"/>
      <c r="G6782" s="25"/>
      <c r="H6782" s="27"/>
      <c r="I6782" s="28"/>
      <c r="J6782" s="39"/>
      <c r="K6782" s="41"/>
      <c r="L6782" s="31" t="str">
        <f>IFERROR(__xludf.DUMMYFUNCTION("IF(OR(E6782="""",K6782=""""),"""",IFERROR(IF(K6782="""","""",query('tbl user'!$A$2:$D10975,""SELECT A WHERE D = '""&amp;K6782&amp;""'"")),""USER TIDAK DIKETAHUI""))"),"")</f>
        <v/>
      </c>
    </row>
    <row r="6783">
      <c r="A6783" s="21" t="str">
        <f t="shared" si="3"/>
        <v/>
      </c>
      <c r="B6783" s="38"/>
      <c r="C6783" s="23"/>
      <c r="D6783" s="23"/>
      <c r="E6783" s="24"/>
      <c r="F6783" s="25"/>
      <c r="G6783" s="25"/>
      <c r="H6783" s="27"/>
      <c r="I6783" s="28"/>
      <c r="J6783" s="39"/>
      <c r="K6783" s="41"/>
      <c r="L6783" s="31" t="str">
        <f>IFERROR(__xludf.DUMMYFUNCTION("IF(OR(E6783="""",K6783=""""),"""",IFERROR(IF(K6783="""","""",query('tbl user'!$A$2:$D10975,""SELECT A WHERE D = '""&amp;K6783&amp;""'"")),""USER TIDAK DIKETAHUI""))"),"")</f>
        <v/>
      </c>
    </row>
    <row r="6784">
      <c r="A6784" s="21" t="str">
        <f t="shared" si="3"/>
        <v/>
      </c>
      <c r="B6784" s="38"/>
      <c r="C6784" s="23"/>
      <c r="D6784" s="23"/>
      <c r="E6784" s="24"/>
      <c r="F6784" s="25"/>
      <c r="G6784" s="25"/>
      <c r="H6784" s="27"/>
      <c r="I6784" s="28"/>
      <c r="J6784" s="39"/>
      <c r="K6784" s="41"/>
      <c r="L6784" s="31" t="str">
        <f>IFERROR(__xludf.DUMMYFUNCTION("IF(OR(E6784="""",K6784=""""),"""",IFERROR(IF(K6784="""","""",query('tbl user'!$A$2:$D10975,""SELECT A WHERE D = '""&amp;K6784&amp;""'"")),""USER TIDAK DIKETAHUI""))"),"")</f>
        <v/>
      </c>
    </row>
    <row r="6785">
      <c r="A6785" s="21" t="str">
        <f t="shared" si="3"/>
        <v/>
      </c>
      <c r="B6785" s="38"/>
      <c r="C6785" s="23"/>
      <c r="D6785" s="23"/>
      <c r="E6785" s="24"/>
      <c r="F6785" s="25"/>
      <c r="G6785" s="25"/>
      <c r="H6785" s="27"/>
      <c r="I6785" s="28"/>
      <c r="J6785" s="39"/>
      <c r="K6785" s="41"/>
      <c r="L6785" s="31" t="str">
        <f>IFERROR(__xludf.DUMMYFUNCTION("IF(OR(E6785="""",K6785=""""),"""",IFERROR(IF(K6785="""","""",query('tbl user'!$A$2:$D10975,""SELECT A WHERE D = '""&amp;K6785&amp;""'"")),""USER TIDAK DIKETAHUI""))"),"")</f>
        <v/>
      </c>
    </row>
    <row r="6786">
      <c r="A6786" s="21" t="str">
        <f t="shared" si="3"/>
        <v/>
      </c>
      <c r="B6786" s="38"/>
      <c r="C6786" s="23"/>
      <c r="D6786" s="23"/>
      <c r="E6786" s="24"/>
      <c r="F6786" s="25"/>
      <c r="G6786" s="25"/>
      <c r="H6786" s="27"/>
      <c r="I6786" s="28"/>
      <c r="J6786" s="39"/>
      <c r="K6786" s="41"/>
      <c r="L6786" s="31" t="str">
        <f>IFERROR(__xludf.DUMMYFUNCTION("IF(OR(E6786="""",K6786=""""),"""",IFERROR(IF(K6786="""","""",query('tbl user'!$A$2:$D10975,""SELECT A WHERE D = '""&amp;K6786&amp;""'"")),""USER TIDAK DIKETAHUI""))"),"")</f>
        <v/>
      </c>
    </row>
    <row r="6787">
      <c r="A6787" s="21" t="str">
        <f t="shared" si="3"/>
        <v/>
      </c>
      <c r="B6787" s="38"/>
      <c r="C6787" s="23"/>
      <c r="D6787" s="23"/>
      <c r="E6787" s="24"/>
      <c r="F6787" s="25"/>
      <c r="G6787" s="25"/>
      <c r="H6787" s="27"/>
      <c r="I6787" s="28"/>
      <c r="J6787" s="39"/>
      <c r="K6787" s="41"/>
      <c r="L6787" s="31" t="str">
        <f>IFERROR(__xludf.DUMMYFUNCTION("IF(OR(E6787="""",K6787=""""),"""",IFERROR(IF(K6787="""","""",query('tbl user'!$A$2:$D10975,""SELECT A WHERE D = '""&amp;K6787&amp;""'"")),""USER TIDAK DIKETAHUI""))"),"")</f>
        <v/>
      </c>
    </row>
    <row r="6788">
      <c r="A6788" s="21" t="str">
        <f t="shared" si="3"/>
        <v/>
      </c>
      <c r="B6788" s="38"/>
      <c r="C6788" s="23"/>
      <c r="D6788" s="23"/>
      <c r="E6788" s="24"/>
      <c r="F6788" s="25"/>
      <c r="G6788" s="25"/>
      <c r="H6788" s="27"/>
      <c r="I6788" s="28"/>
      <c r="J6788" s="39"/>
      <c r="K6788" s="41"/>
      <c r="L6788" s="31" t="str">
        <f>IFERROR(__xludf.DUMMYFUNCTION("IF(OR(E6788="""",K6788=""""),"""",IFERROR(IF(K6788="""","""",query('tbl user'!$A$2:$D10975,""SELECT A WHERE D = '""&amp;K6788&amp;""'"")),""USER TIDAK DIKETAHUI""))"),"")</f>
        <v/>
      </c>
    </row>
    <row r="6789">
      <c r="A6789" s="21" t="str">
        <f t="shared" si="3"/>
        <v/>
      </c>
      <c r="B6789" s="38"/>
      <c r="C6789" s="23"/>
      <c r="D6789" s="23"/>
      <c r="E6789" s="24"/>
      <c r="F6789" s="25"/>
      <c r="G6789" s="25"/>
      <c r="H6789" s="27"/>
      <c r="I6789" s="28"/>
      <c r="J6789" s="39"/>
      <c r="K6789" s="41"/>
      <c r="L6789" s="31" t="str">
        <f>IFERROR(__xludf.DUMMYFUNCTION("IF(OR(E6789="""",K6789=""""),"""",IFERROR(IF(K6789="""","""",query('tbl user'!$A$2:$D10975,""SELECT A WHERE D = '""&amp;K6789&amp;""'"")),""USER TIDAK DIKETAHUI""))"),"")</f>
        <v/>
      </c>
    </row>
    <row r="6790">
      <c r="A6790" s="21" t="str">
        <f t="shared" si="3"/>
        <v/>
      </c>
      <c r="B6790" s="38"/>
      <c r="C6790" s="23"/>
      <c r="D6790" s="23"/>
      <c r="E6790" s="24"/>
      <c r="F6790" s="25"/>
      <c r="G6790" s="25"/>
      <c r="H6790" s="27"/>
      <c r="I6790" s="28"/>
      <c r="J6790" s="39"/>
      <c r="K6790" s="41"/>
      <c r="L6790" s="31" t="str">
        <f>IFERROR(__xludf.DUMMYFUNCTION("IF(OR(E6790="""",K6790=""""),"""",IFERROR(IF(K6790="""","""",query('tbl user'!$A$2:$D10975,""SELECT A WHERE D = '""&amp;K6790&amp;""'"")),""USER TIDAK DIKETAHUI""))"),"")</f>
        <v/>
      </c>
    </row>
    <row r="6791">
      <c r="A6791" s="21" t="str">
        <f t="shared" si="3"/>
        <v/>
      </c>
      <c r="B6791" s="38"/>
      <c r="C6791" s="23"/>
      <c r="D6791" s="23"/>
      <c r="E6791" s="24"/>
      <c r="F6791" s="25"/>
      <c r="G6791" s="25"/>
      <c r="H6791" s="27"/>
      <c r="I6791" s="28"/>
      <c r="J6791" s="39"/>
      <c r="K6791" s="41"/>
      <c r="L6791" s="31" t="str">
        <f>IFERROR(__xludf.DUMMYFUNCTION("IF(OR(E6791="""",K6791=""""),"""",IFERROR(IF(K6791="""","""",query('tbl user'!$A$2:$D10975,""SELECT A WHERE D = '""&amp;K6791&amp;""'"")),""USER TIDAK DIKETAHUI""))"),"")</f>
        <v/>
      </c>
    </row>
    <row r="6792">
      <c r="A6792" s="21" t="str">
        <f t="shared" si="3"/>
        <v/>
      </c>
      <c r="B6792" s="38"/>
      <c r="C6792" s="23"/>
      <c r="D6792" s="23"/>
      <c r="E6792" s="24"/>
      <c r="F6792" s="25"/>
      <c r="G6792" s="25"/>
      <c r="H6792" s="27"/>
      <c r="I6792" s="28"/>
      <c r="J6792" s="39"/>
      <c r="K6792" s="41"/>
      <c r="L6792" s="31" t="str">
        <f>IFERROR(__xludf.DUMMYFUNCTION("IF(OR(E6792="""",K6792=""""),"""",IFERROR(IF(K6792="""","""",query('tbl user'!$A$2:$D10975,""SELECT A WHERE D = '""&amp;K6792&amp;""'"")),""USER TIDAK DIKETAHUI""))"),"")</f>
        <v/>
      </c>
    </row>
    <row r="6793">
      <c r="A6793" s="21" t="str">
        <f t="shared" si="3"/>
        <v/>
      </c>
      <c r="B6793" s="38"/>
      <c r="C6793" s="23"/>
      <c r="D6793" s="23"/>
      <c r="E6793" s="24"/>
      <c r="F6793" s="25"/>
      <c r="G6793" s="25"/>
      <c r="H6793" s="27"/>
      <c r="I6793" s="28"/>
      <c r="J6793" s="39"/>
      <c r="K6793" s="41"/>
      <c r="L6793" s="31" t="str">
        <f>IFERROR(__xludf.DUMMYFUNCTION("IF(OR(E6793="""",K6793=""""),"""",IFERROR(IF(K6793="""","""",query('tbl user'!$A$2:$D10975,""SELECT A WHERE D = '""&amp;K6793&amp;""'"")),""USER TIDAK DIKETAHUI""))"),"")</f>
        <v/>
      </c>
    </row>
    <row r="6794">
      <c r="A6794" s="21" t="str">
        <f t="shared" si="3"/>
        <v/>
      </c>
      <c r="B6794" s="38"/>
      <c r="C6794" s="23"/>
      <c r="D6794" s="23"/>
      <c r="E6794" s="24"/>
      <c r="F6794" s="25"/>
      <c r="G6794" s="25"/>
      <c r="H6794" s="27"/>
      <c r="I6794" s="28"/>
      <c r="J6794" s="39"/>
      <c r="K6794" s="41"/>
      <c r="L6794" s="31" t="str">
        <f>IFERROR(__xludf.DUMMYFUNCTION("IF(OR(E6794="""",K6794=""""),"""",IFERROR(IF(K6794="""","""",query('tbl user'!$A$2:$D10975,""SELECT A WHERE D = '""&amp;K6794&amp;""'"")),""USER TIDAK DIKETAHUI""))"),"")</f>
        <v/>
      </c>
    </row>
    <row r="6795">
      <c r="A6795" s="21" t="str">
        <f t="shared" si="3"/>
        <v/>
      </c>
      <c r="B6795" s="38"/>
      <c r="C6795" s="23"/>
      <c r="D6795" s="23"/>
      <c r="E6795" s="24"/>
      <c r="F6795" s="25"/>
      <c r="G6795" s="25"/>
      <c r="H6795" s="27"/>
      <c r="I6795" s="28"/>
      <c r="J6795" s="39"/>
      <c r="K6795" s="41"/>
      <c r="L6795" s="31" t="str">
        <f>IFERROR(__xludf.DUMMYFUNCTION("IF(OR(E6795="""",K6795=""""),"""",IFERROR(IF(K6795="""","""",query('tbl user'!$A$2:$D10975,""SELECT A WHERE D = '""&amp;K6795&amp;""'"")),""USER TIDAK DIKETAHUI""))"),"")</f>
        <v/>
      </c>
    </row>
    <row r="6796">
      <c r="A6796" s="21" t="str">
        <f t="shared" si="3"/>
        <v/>
      </c>
      <c r="B6796" s="38"/>
      <c r="C6796" s="23"/>
      <c r="D6796" s="23"/>
      <c r="E6796" s="24"/>
      <c r="F6796" s="25"/>
      <c r="G6796" s="25"/>
      <c r="H6796" s="27"/>
      <c r="I6796" s="28"/>
      <c r="J6796" s="39"/>
      <c r="K6796" s="41"/>
      <c r="L6796" s="31" t="str">
        <f>IFERROR(__xludf.DUMMYFUNCTION("IF(OR(E6796="""",K6796=""""),"""",IFERROR(IF(K6796="""","""",query('tbl user'!$A$2:$D10975,""SELECT A WHERE D = '""&amp;K6796&amp;""'"")),""USER TIDAK DIKETAHUI""))"),"")</f>
        <v/>
      </c>
    </row>
    <row r="6797">
      <c r="A6797" s="21" t="str">
        <f t="shared" si="3"/>
        <v/>
      </c>
      <c r="B6797" s="38"/>
      <c r="C6797" s="23"/>
      <c r="D6797" s="23"/>
      <c r="E6797" s="24"/>
      <c r="F6797" s="25"/>
      <c r="G6797" s="25"/>
      <c r="H6797" s="27"/>
      <c r="I6797" s="28"/>
      <c r="J6797" s="39"/>
      <c r="K6797" s="41"/>
      <c r="L6797" s="31" t="str">
        <f>IFERROR(__xludf.DUMMYFUNCTION("IF(OR(E6797="""",K6797=""""),"""",IFERROR(IF(K6797="""","""",query('tbl user'!$A$2:$D10975,""SELECT A WHERE D = '""&amp;K6797&amp;""'"")),""USER TIDAK DIKETAHUI""))"),"")</f>
        <v/>
      </c>
    </row>
    <row r="6798">
      <c r="A6798" s="21" t="str">
        <f t="shared" si="3"/>
        <v/>
      </c>
      <c r="B6798" s="38"/>
      <c r="C6798" s="23"/>
      <c r="D6798" s="23"/>
      <c r="E6798" s="24"/>
      <c r="F6798" s="25"/>
      <c r="G6798" s="25"/>
      <c r="H6798" s="27"/>
      <c r="I6798" s="28"/>
      <c r="J6798" s="39"/>
      <c r="K6798" s="41"/>
      <c r="L6798" s="31" t="str">
        <f>IFERROR(__xludf.DUMMYFUNCTION("IF(OR(E6798="""",K6798=""""),"""",IFERROR(IF(K6798="""","""",query('tbl user'!$A$2:$D10975,""SELECT A WHERE D = '""&amp;K6798&amp;""'"")),""USER TIDAK DIKETAHUI""))"),"")</f>
        <v/>
      </c>
    </row>
    <row r="6799">
      <c r="A6799" s="21" t="str">
        <f t="shared" si="3"/>
        <v/>
      </c>
      <c r="B6799" s="38"/>
      <c r="C6799" s="23"/>
      <c r="D6799" s="23"/>
      <c r="E6799" s="24"/>
      <c r="F6799" s="25"/>
      <c r="G6799" s="25"/>
      <c r="H6799" s="27"/>
      <c r="I6799" s="28"/>
      <c r="J6799" s="39"/>
      <c r="K6799" s="41"/>
      <c r="L6799" s="31" t="str">
        <f>IFERROR(__xludf.DUMMYFUNCTION("IF(OR(E6799="""",K6799=""""),"""",IFERROR(IF(K6799="""","""",query('tbl user'!$A$2:$D10975,""SELECT A WHERE D = '""&amp;K6799&amp;""'"")),""USER TIDAK DIKETAHUI""))"),"")</f>
        <v/>
      </c>
    </row>
    <row r="6800">
      <c r="A6800" s="21" t="str">
        <f t="shared" si="3"/>
        <v/>
      </c>
      <c r="B6800" s="38"/>
      <c r="C6800" s="23"/>
      <c r="D6800" s="23"/>
      <c r="E6800" s="24"/>
      <c r="F6800" s="25"/>
      <c r="G6800" s="25"/>
      <c r="H6800" s="27"/>
      <c r="I6800" s="28"/>
      <c r="J6800" s="39"/>
      <c r="K6800" s="41"/>
      <c r="L6800" s="31" t="str">
        <f>IFERROR(__xludf.DUMMYFUNCTION("IF(OR(E6800="""",K6800=""""),"""",IFERROR(IF(K6800="""","""",query('tbl user'!$A$2:$D10975,""SELECT A WHERE D = '""&amp;K6800&amp;""'"")),""USER TIDAK DIKETAHUI""))"),"")</f>
        <v/>
      </c>
    </row>
    <row r="6801">
      <c r="A6801" s="21" t="str">
        <f t="shared" si="3"/>
        <v/>
      </c>
      <c r="B6801" s="38"/>
      <c r="C6801" s="23"/>
      <c r="D6801" s="23"/>
      <c r="E6801" s="24"/>
      <c r="F6801" s="25"/>
      <c r="G6801" s="25"/>
      <c r="H6801" s="27"/>
      <c r="I6801" s="28"/>
      <c r="J6801" s="39"/>
      <c r="K6801" s="41"/>
      <c r="L6801" s="31" t="str">
        <f>IFERROR(__xludf.DUMMYFUNCTION("IF(OR(E6801="""",K6801=""""),"""",IFERROR(IF(K6801="""","""",query('tbl user'!$A$2:$D10975,""SELECT A WHERE D = '""&amp;K6801&amp;""'"")),""USER TIDAK DIKETAHUI""))"),"")</f>
        <v/>
      </c>
    </row>
    <row r="6802">
      <c r="A6802" s="21" t="str">
        <f t="shared" si="3"/>
        <v/>
      </c>
      <c r="B6802" s="38"/>
      <c r="C6802" s="23"/>
      <c r="D6802" s="23"/>
      <c r="E6802" s="24"/>
      <c r="F6802" s="25"/>
      <c r="G6802" s="25"/>
      <c r="H6802" s="27"/>
      <c r="I6802" s="28"/>
      <c r="J6802" s="39"/>
      <c r="K6802" s="41"/>
      <c r="L6802" s="31" t="str">
        <f>IFERROR(__xludf.DUMMYFUNCTION("IF(OR(E6802="""",K6802=""""),"""",IFERROR(IF(K6802="""","""",query('tbl user'!$A$2:$D10975,""SELECT A WHERE D = '""&amp;K6802&amp;""'"")),""USER TIDAK DIKETAHUI""))"),"")</f>
        <v/>
      </c>
    </row>
    <row r="6803">
      <c r="A6803" s="21" t="str">
        <f t="shared" si="3"/>
        <v/>
      </c>
      <c r="B6803" s="38"/>
      <c r="C6803" s="23"/>
      <c r="D6803" s="23"/>
      <c r="E6803" s="24"/>
      <c r="F6803" s="25"/>
      <c r="G6803" s="25"/>
      <c r="H6803" s="27"/>
      <c r="I6803" s="28"/>
      <c r="J6803" s="39"/>
      <c r="K6803" s="41"/>
      <c r="L6803" s="31" t="str">
        <f>IFERROR(__xludf.DUMMYFUNCTION("IF(OR(E6803="""",K6803=""""),"""",IFERROR(IF(K6803="""","""",query('tbl user'!$A$2:$D10975,""SELECT A WHERE D = '""&amp;K6803&amp;""'"")),""USER TIDAK DIKETAHUI""))"),"")</f>
        <v/>
      </c>
    </row>
    <row r="6804">
      <c r="A6804" s="21" t="str">
        <f t="shared" si="3"/>
        <v/>
      </c>
      <c r="B6804" s="38"/>
      <c r="C6804" s="23"/>
      <c r="D6804" s="23"/>
      <c r="E6804" s="24"/>
      <c r="F6804" s="25"/>
      <c r="G6804" s="25"/>
      <c r="H6804" s="27"/>
      <c r="I6804" s="28"/>
      <c r="J6804" s="39"/>
      <c r="K6804" s="41"/>
      <c r="L6804" s="31" t="str">
        <f>IFERROR(__xludf.DUMMYFUNCTION("IF(OR(E6804="""",K6804=""""),"""",IFERROR(IF(K6804="""","""",query('tbl user'!$A$2:$D10975,""SELECT A WHERE D = '""&amp;K6804&amp;""'"")),""USER TIDAK DIKETAHUI""))"),"")</f>
        <v/>
      </c>
    </row>
    <row r="6805">
      <c r="A6805" s="21" t="str">
        <f t="shared" si="3"/>
        <v/>
      </c>
      <c r="B6805" s="38"/>
      <c r="C6805" s="23"/>
      <c r="D6805" s="23"/>
      <c r="E6805" s="24"/>
      <c r="F6805" s="25"/>
      <c r="G6805" s="25"/>
      <c r="H6805" s="27"/>
      <c r="I6805" s="28"/>
      <c r="J6805" s="39"/>
      <c r="K6805" s="41"/>
      <c r="L6805" s="31" t="str">
        <f>IFERROR(__xludf.DUMMYFUNCTION("IF(OR(E6805="""",K6805=""""),"""",IFERROR(IF(K6805="""","""",query('tbl user'!$A$2:$D10975,""SELECT A WHERE D = '""&amp;K6805&amp;""'"")),""USER TIDAK DIKETAHUI""))"),"")</f>
        <v/>
      </c>
    </row>
    <row r="6806">
      <c r="A6806" s="21" t="str">
        <f t="shared" si="3"/>
        <v/>
      </c>
      <c r="B6806" s="38"/>
      <c r="C6806" s="23"/>
      <c r="D6806" s="23"/>
      <c r="E6806" s="24"/>
      <c r="F6806" s="25"/>
      <c r="G6806" s="25"/>
      <c r="H6806" s="27"/>
      <c r="I6806" s="28"/>
      <c r="J6806" s="39"/>
      <c r="K6806" s="41"/>
      <c r="L6806" s="31" t="str">
        <f>IFERROR(__xludf.DUMMYFUNCTION("IF(OR(E6806="""",K6806=""""),"""",IFERROR(IF(K6806="""","""",query('tbl user'!$A$2:$D10975,""SELECT A WHERE D = '""&amp;K6806&amp;""'"")),""USER TIDAK DIKETAHUI""))"),"")</f>
        <v/>
      </c>
    </row>
    <row r="6807">
      <c r="A6807" s="21" t="str">
        <f t="shared" si="3"/>
        <v/>
      </c>
      <c r="B6807" s="38"/>
      <c r="C6807" s="23"/>
      <c r="D6807" s="23"/>
      <c r="E6807" s="24"/>
      <c r="F6807" s="25"/>
      <c r="G6807" s="25"/>
      <c r="H6807" s="27"/>
      <c r="I6807" s="28"/>
      <c r="J6807" s="39"/>
      <c r="K6807" s="41"/>
      <c r="L6807" s="31" t="str">
        <f>IFERROR(__xludf.DUMMYFUNCTION("IF(OR(E6807="""",K6807=""""),"""",IFERROR(IF(K6807="""","""",query('tbl user'!$A$2:$D10975,""SELECT A WHERE D = '""&amp;K6807&amp;""'"")),""USER TIDAK DIKETAHUI""))"),"")</f>
        <v/>
      </c>
    </row>
    <row r="6808">
      <c r="A6808" s="21" t="str">
        <f t="shared" si="3"/>
        <v/>
      </c>
      <c r="B6808" s="38"/>
      <c r="C6808" s="23"/>
      <c r="D6808" s="23"/>
      <c r="E6808" s="24"/>
      <c r="F6808" s="25"/>
      <c r="G6808" s="25"/>
      <c r="H6808" s="27"/>
      <c r="I6808" s="28"/>
      <c r="J6808" s="39"/>
      <c r="K6808" s="41"/>
      <c r="L6808" s="31" t="str">
        <f>IFERROR(__xludf.DUMMYFUNCTION("IF(OR(E6808="""",K6808=""""),"""",IFERROR(IF(K6808="""","""",query('tbl user'!$A$2:$D10975,""SELECT A WHERE D = '""&amp;K6808&amp;""'"")),""USER TIDAK DIKETAHUI""))"),"")</f>
        <v/>
      </c>
    </row>
    <row r="6809">
      <c r="A6809" s="21" t="str">
        <f t="shared" si="3"/>
        <v/>
      </c>
      <c r="B6809" s="38"/>
      <c r="C6809" s="23"/>
      <c r="D6809" s="23"/>
      <c r="E6809" s="24"/>
      <c r="F6809" s="25"/>
      <c r="G6809" s="25"/>
      <c r="H6809" s="27"/>
      <c r="I6809" s="28"/>
      <c r="J6809" s="39"/>
      <c r="K6809" s="41"/>
      <c r="L6809" s="31" t="str">
        <f>IFERROR(__xludf.DUMMYFUNCTION("IF(OR(E6809="""",K6809=""""),"""",IFERROR(IF(K6809="""","""",query('tbl user'!$A$2:$D10975,""SELECT A WHERE D = '""&amp;K6809&amp;""'"")),""USER TIDAK DIKETAHUI""))"),"")</f>
        <v/>
      </c>
    </row>
    <row r="6810">
      <c r="A6810" s="21" t="str">
        <f t="shared" si="3"/>
        <v/>
      </c>
      <c r="B6810" s="38"/>
      <c r="C6810" s="23"/>
      <c r="D6810" s="23"/>
      <c r="E6810" s="24"/>
      <c r="F6810" s="25"/>
      <c r="G6810" s="25"/>
      <c r="H6810" s="27"/>
      <c r="I6810" s="28"/>
      <c r="J6810" s="39"/>
      <c r="K6810" s="41"/>
      <c r="L6810" s="31" t="str">
        <f>IFERROR(__xludf.DUMMYFUNCTION("IF(OR(E6810="""",K6810=""""),"""",IFERROR(IF(K6810="""","""",query('tbl user'!$A$2:$D10975,""SELECT A WHERE D = '""&amp;K6810&amp;""'"")),""USER TIDAK DIKETAHUI""))"),"")</f>
        <v/>
      </c>
    </row>
    <row r="6811">
      <c r="A6811" s="21" t="str">
        <f t="shared" si="3"/>
        <v/>
      </c>
      <c r="B6811" s="38"/>
      <c r="C6811" s="23"/>
      <c r="D6811" s="23"/>
      <c r="E6811" s="24"/>
      <c r="F6811" s="25"/>
      <c r="G6811" s="25"/>
      <c r="H6811" s="27"/>
      <c r="I6811" s="28"/>
      <c r="J6811" s="39"/>
      <c r="K6811" s="41"/>
      <c r="L6811" s="31" t="str">
        <f>IFERROR(__xludf.DUMMYFUNCTION("IF(OR(E6811="""",K6811=""""),"""",IFERROR(IF(K6811="""","""",query('tbl user'!$A$2:$D10975,""SELECT A WHERE D = '""&amp;K6811&amp;""'"")),""USER TIDAK DIKETAHUI""))"),"")</f>
        <v/>
      </c>
    </row>
    <row r="6812">
      <c r="A6812" s="21" t="str">
        <f t="shared" si="3"/>
        <v/>
      </c>
      <c r="B6812" s="38"/>
      <c r="C6812" s="23"/>
      <c r="D6812" s="23"/>
      <c r="E6812" s="24"/>
      <c r="F6812" s="25"/>
      <c r="G6812" s="25"/>
      <c r="H6812" s="27"/>
      <c r="I6812" s="28"/>
      <c r="J6812" s="39"/>
      <c r="K6812" s="41"/>
      <c r="L6812" s="31" t="str">
        <f>IFERROR(__xludf.DUMMYFUNCTION("IF(OR(E6812="""",K6812=""""),"""",IFERROR(IF(K6812="""","""",query('tbl user'!$A$2:$D10975,""SELECT A WHERE D = '""&amp;K6812&amp;""'"")),""USER TIDAK DIKETAHUI""))"),"")</f>
        <v/>
      </c>
    </row>
    <row r="6813">
      <c r="A6813" s="21" t="str">
        <f t="shared" si="3"/>
        <v/>
      </c>
      <c r="B6813" s="38"/>
      <c r="C6813" s="23"/>
      <c r="D6813" s="23"/>
      <c r="E6813" s="24"/>
      <c r="F6813" s="25"/>
      <c r="G6813" s="25"/>
      <c r="H6813" s="27"/>
      <c r="I6813" s="28"/>
      <c r="J6813" s="39"/>
      <c r="K6813" s="41"/>
      <c r="L6813" s="31" t="str">
        <f>IFERROR(__xludf.DUMMYFUNCTION("IF(OR(E6813="""",K6813=""""),"""",IFERROR(IF(K6813="""","""",query('tbl user'!$A$2:$D10975,""SELECT A WHERE D = '""&amp;K6813&amp;""'"")),""USER TIDAK DIKETAHUI""))"),"")</f>
        <v/>
      </c>
    </row>
    <row r="6814">
      <c r="A6814" s="21" t="str">
        <f t="shared" si="3"/>
        <v/>
      </c>
      <c r="B6814" s="38"/>
      <c r="C6814" s="23"/>
      <c r="D6814" s="23"/>
      <c r="E6814" s="24"/>
      <c r="F6814" s="25"/>
      <c r="G6814" s="25"/>
      <c r="H6814" s="27"/>
      <c r="I6814" s="28"/>
      <c r="J6814" s="39"/>
      <c r="K6814" s="41"/>
      <c r="L6814" s="31" t="str">
        <f>IFERROR(__xludf.DUMMYFUNCTION("IF(OR(E6814="""",K6814=""""),"""",IFERROR(IF(K6814="""","""",query('tbl user'!$A$2:$D10975,""SELECT A WHERE D = '""&amp;K6814&amp;""'"")),""USER TIDAK DIKETAHUI""))"),"")</f>
        <v/>
      </c>
    </row>
    <row r="6815">
      <c r="A6815" s="21" t="str">
        <f t="shared" si="3"/>
        <v/>
      </c>
      <c r="B6815" s="38"/>
      <c r="C6815" s="23"/>
      <c r="D6815" s="23"/>
      <c r="E6815" s="24"/>
      <c r="F6815" s="25"/>
      <c r="G6815" s="25"/>
      <c r="H6815" s="27"/>
      <c r="I6815" s="28"/>
      <c r="J6815" s="39"/>
      <c r="K6815" s="41"/>
      <c r="L6815" s="31" t="str">
        <f>IFERROR(__xludf.DUMMYFUNCTION("IF(OR(E6815="""",K6815=""""),"""",IFERROR(IF(K6815="""","""",query('tbl user'!$A$2:$D10975,""SELECT A WHERE D = '""&amp;K6815&amp;""'"")),""USER TIDAK DIKETAHUI""))"),"")</f>
        <v/>
      </c>
    </row>
    <row r="6816">
      <c r="A6816" s="21" t="str">
        <f t="shared" si="3"/>
        <v/>
      </c>
      <c r="B6816" s="38"/>
      <c r="C6816" s="23"/>
      <c r="D6816" s="23"/>
      <c r="E6816" s="24"/>
      <c r="F6816" s="25"/>
      <c r="G6816" s="25"/>
      <c r="H6816" s="27"/>
      <c r="I6816" s="28"/>
      <c r="J6816" s="39"/>
      <c r="K6816" s="41"/>
      <c r="L6816" s="31" t="str">
        <f>IFERROR(__xludf.DUMMYFUNCTION("IF(OR(E6816="""",K6816=""""),"""",IFERROR(IF(K6816="""","""",query('tbl user'!$A$2:$D10975,""SELECT A WHERE D = '""&amp;K6816&amp;""'"")),""USER TIDAK DIKETAHUI""))"),"")</f>
        <v/>
      </c>
    </row>
    <row r="6817">
      <c r="A6817" s="21" t="str">
        <f t="shared" si="3"/>
        <v/>
      </c>
      <c r="B6817" s="38"/>
      <c r="C6817" s="23"/>
      <c r="D6817" s="23"/>
      <c r="E6817" s="24"/>
      <c r="F6817" s="25"/>
      <c r="G6817" s="25"/>
      <c r="H6817" s="27"/>
      <c r="I6817" s="28"/>
      <c r="J6817" s="39"/>
      <c r="K6817" s="41"/>
      <c r="L6817" s="31" t="str">
        <f>IFERROR(__xludf.DUMMYFUNCTION("IF(OR(E6817="""",K6817=""""),"""",IFERROR(IF(K6817="""","""",query('tbl user'!$A$2:$D10975,""SELECT A WHERE D = '""&amp;K6817&amp;""'"")),""USER TIDAK DIKETAHUI""))"),"")</f>
        <v/>
      </c>
    </row>
    <row r="6818">
      <c r="A6818" s="21" t="str">
        <f t="shared" si="3"/>
        <v/>
      </c>
      <c r="B6818" s="38"/>
      <c r="C6818" s="23"/>
      <c r="D6818" s="23"/>
      <c r="E6818" s="24"/>
      <c r="F6818" s="25"/>
      <c r="G6818" s="25"/>
      <c r="H6818" s="27"/>
      <c r="I6818" s="28"/>
      <c r="J6818" s="39"/>
      <c r="K6818" s="41"/>
      <c r="L6818" s="31" t="str">
        <f>IFERROR(__xludf.DUMMYFUNCTION("IF(OR(E6818="""",K6818=""""),"""",IFERROR(IF(K6818="""","""",query('tbl user'!$A$2:$D10975,""SELECT A WHERE D = '""&amp;K6818&amp;""'"")),""USER TIDAK DIKETAHUI""))"),"")</f>
        <v/>
      </c>
    </row>
    <row r="6819">
      <c r="A6819" s="21" t="str">
        <f t="shared" si="3"/>
        <v/>
      </c>
      <c r="B6819" s="38"/>
      <c r="C6819" s="23"/>
      <c r="D6819" s="23"/>
      <c r="E6819" s="24"/>
      <c r="F6819" s="25"/>
      <c r="G6819" s="25"/>
      <c r="H6819" s="27"/>
      <c r="I6819" s="28"/>
      <c r="J6819" s="39"/>
      <c r="K6819" s="41"/>
      <c r="L6819" s="31" t="str">
        <f>IFERROR(__xludf.DUMMYFUNCTION("IF(OR(E6819="""",K6819=""""),"""",IFERROR(IF(K6819="""","""",query('tbl user'!$A$2:$D10975,""SELECT A WHERE D = '""&amp;K6819&amp;""'"")),""USER TIDAK DIKETAHUI""))"),"")</f>
        <v/>
      </c>
    </row>
    <row r="6820">
      <c r="A6820" s="21" t="str">
        <f t="shared" si="3"/>
        <v/>
      </c>
      <c r="B6820" s="38"/>
      <c r="C6820" s="23"/>
      <c r="D6820" s="23"/>
      <c r="E6820" s="24"/>
      <c r="F6820" s="25"/>
      <c r="G6820" s="25"/>
      <c r="H6820" s="27"/>
      <c r="I6820" s="28"/>
      <c r="J6820" s="39"/>
      <c r="K6820" s="41"/>
      <c r="L6820" s="31" t="str">
        <f>IFERROR(__xludf.DUMMYFUNCTION("IF(OR(E6820="""",K6820=""""),"""",IFERROR(IF(K6820="""","""",query('tbl user'!$A$2:$D10975,""SELECT A WHERE D = '""&amp;K6820&amp;""'"")),""USER TIDAK DIKETAHUI""))"),"")</f>
        <v/>
      </c>
    </row>
    <row r="6821">
      <c r="A6821" s="21" t="str">
        <f t="shared" si="3"/>
        <v/>
      </c>
      <c r="B6821" s="38"/>
      <c r="C6821" s="23"/>
      <c r="D6821" s="23"/>
      <c r="E6821" s="24"/>
      <c r="F6821" s="25"/>
      <c r="G6821" s="25"/>
      <c r="H6821" s="27"/>
      <c r="I6821" s="28"/>
      <c r="J6821" s="39"/>
      <c r="K6821" s="41"/>
      <c r="L6821" s="31" t="str">
        <f>IFERROR(__xludf.DUMMYFUNCTION("IF(OR(E6821="""",K6821=""""),"""",IFERROR(IF(K6821="""","""",query('tbl user'!$A$2:$D10975,""SELECT A WHERE D = '""&amp;K6821&amp;""'"")),""USER TIDAK DIKETAHUI""))"),"")</f>
        <v/>
      </c>
    </row>
    <row r="6822">
      <c r="A6822" s="21" t="str">
        <f t="shared" si="3"/>
        <v/>
      </c>
      <c r="B6822" s="38"/>
      <c r="C6822" s="23"/>
      <c r="D6822" s="23"/>
      <c r="E6822" s="24"/>
      <c r="F6822" s="25"/>
      <c r="G6822" s="25"/>
      <c r="H6822" s="27"/>
      <c r="I6822" s="28"/>
      <c r="J6822" s="39"/>
      <c r="K6822" s="41"/>
      <c r="L6822" s="31" t="str">
        <f>IFERROR(__xludf.DUMMYFUNCTION("IF(OR(E6822="""",K6822=""""),"""",IFERROR(IF(K6822="""","""",query('tbl user'!$A$2:$D10975,""SELECT A WHERE D = '""&amp;K6822&amp;""'"")),""USER TIDAK DIKETAHUI""))"),"")</f>
        <v/>
      </c>
    </row>
    <row r="6823">
      <c r="A6823" s="21" t="str">
        <f t="shared" si="3"/>
        <v/>
      </c>
      <c r="B6823" s="38"/>
      <c r="C6823" s="23"/>
      <c r="D6823" s="23"/>
      <c r="E6823" s="24"/>
      <c r="F6823" s="25"/>
      <c r="G6823" s="25"/>
      <c r="H6823" s="27"/>
      <c r="I6823" s="28"/>
      <c r="J6823" s="39"/>
      <c r="K6823" s="41"/>
      <c r="L6823" s="31" t="str">
        <f>IFERROR(__xludf.DUMMYFUNCTION("IF(OR(E6823="""",K6823=""""),"""",IFERROR(IF(K6823="""","""",query('tbl user'!$A$2:$D10975,""SELECT A WHERE D = '""&amp;K6823&amp;""'"")),""USER TIDAK DIKETAHUI""))"),"")</f>
        <v/>
      </c>
    </row>
    <row r="6824">
      <c r="A6824" s="21" t="str">
        <f t="shared" si="3"/>
        <v/>
      </c>
      <c r="B6824" s="38"/>
      <c r="C6824" s="23"/>
      <c r="D6824" s="23"/>
      <c r="E6824" s="24"/>
      <c r="F6824" s="25"/>
      <c r="G6824" s="25"/>
      <c r="H6824" s="27"/>
      <c r="I6824" s="28"/>
      <c r="J6824" s="39"/>
      <c r="K6824" s="41"/>
      <c r="L6824" s="31" t="str">
        <f>IFERROR(__xludf.DUMMYFUNCTION("IF(OR(E6824="""",K6824=""""),"""",IFERROR(IF(K6824="""","""",query('tbl user'!$A$2:$D10975,""SELECT A WHERE D = '""&amp;K6824&amp;""'"")),""USER TIDAK DIKETAHUI""))"),"")</f>
        <v/>
      </c>
    </row>
    <row r="6825">
      <c r="A6825" s="21" t="str">
        <f t="shared" si="3"/>
        <v/>
      </c>
      <c r="B6825" s="38"/>
      <c r="C6825" s="23"/>
      <c r="D6825" s="23"/>
      <c r="E6825" s="24"/>
      <c r="F6825" s="25"/>
      <c r="G6825" s="25"/>
      <c r="H6825" s="27"/>
      <c r="I6825" s="28"/>
      <c r="J6825" s="39"/>
      <c r="K6825" s="41"/>
      <c r="L6825" s="31" t="str">
        <f>IFERROR(__xludf.DUMMYFUNCTION("IF(OR(E6825="""",K6825=""""),"""",IFERROR(IF(K6825="""","""",query('tbl user'!$A$2:$D10975,""SELECT A WHERE D = '""&amp;K6825&amp;""'"")),""USER TIDAK DIKETAHUI""))"),"")</f>
        <v/>
      </c>
    </row>
    <row r="6826">
      <c r="A6826" s="21" t="str">
        <f t="shared" si="3"/>
        <v/>
      </c>
      <c r="B6826" s="38"/>
      <c r="C6826" s="23"/>
      <c r="D6826" s="23"/>
      <c r="E6826" s="24"/>
      <c r="F6826" s="25"/>
      <c r="G6826" s="25"/>
      <c r="H6826" s="27"/>
      <c r="I6826" s="28"/>
      <c r="J6826" s="39"/>
      <c r="K6826" s="41"/>
      <c r="L6826" s="31" t="str">
        <f>IFERROR(__xludf.DUMMYFUNCTION("IF(OR(E6826="""",K6826=""""),"""",IFERROR(IF(K6826="""","""",query('tbl user'!$A$2:$D10975,""SELECT A WHERE D = '""&amp;K6826&amp;""'"")),""USER TIDAK DIKETAHUI""))"),"")</f>
        <v/>
      </c>
    </row>
    <row r="6827">
      <c r="A6827" s="21" t="str">
        <f t="shared" si="3"/>
        <v/>
      </c>
      <c r="B6827" s="38"/>
      <c r="C6827" s="23"/>
      <c r="D6827" s="23"/>
      <c r="E6827" s="24"/>
      <c r="F6827" s="25"/>
      <c r="G6827" s="25"/>
      <c r="H6827" s="27"/>
      <c r="I6827" s="28"/>
      <c r="J6827" s="39"/>
      <c r="K6827" s="41"/>
      <c r="L6827" s="31" t="str">
        <f>IFERROR(__xludf.DUMMYFUNCTION("IF(OR(E6827="""",K6827=""""),"""",IFERROR(IF(K6827="""","""",query('tbl user'!$A$2:$D10975,""SELECT A WHERE D = '""&amp;K6827&amp;""'"")),""USER TIDAK DIKETAHUI""))"),"")</f>
        <v/>
      </c>
    </row>
    <row r="6828">
      <c r="A6828" s="21" t="str">
        <f t="shared" si="3"/>
        <v/>
      </c>
      <c r="B6828" s="38"/>
      <c r="C6828" s="23"/>
      <c r="D6828" s="23"/>
      <c r="E6828" s="24"/>
      <c r="F6828" s="25"/>
      <c r="G6828" s="25"/>
      <c r="H6828" s="27"/>
      <c r="I6828" s="28"/>
      <c r="J6828" s="39"/>
      <c r="K6828" s="41"/>
      <c r="L6828" s="31" t="str">
        <f>IFERROR(__xludf.DUMMYFUNCTION("IF(OR(E6828="""",K6828=""""),"""",IFERROR(IF(K6828="""","""",query('tbl user'!$A$2:$D10975,""SELECT A WHERE D = '""&amp;K6828&amp;""'"")),""USER TIDAK DIKETAHUI""))"),"")</f>
        <v/>
      </c>
    </row>
    <row r="6829">
      <c r="A6829" s="21" t="str">
        <f t="shared" si="3"/>
        <v/>
      </c>
      <c r="B6829" s="38"/>
      <c r="C6829" s="23"/>
      <c r="D6829" s="23"/>
      <c r="E6829" s="24"/>
      <c r="F6829" s="25"/>
      <c r="G6829" s="25"/>
      <c r="H6829" s="27"/>
      <c r="I6829" s="28"/>
      <c r="J6829" s="39"/>
      <c r="K6829" s="41"/>
      <c r="L6829" s="31" t="str">
        <f>IFERROR(__xludf.DUMMYFUNCTION("IF(OR(E6829="""",K6829=""""),"""",IFERROR(IF(K6829="""","""",query('tbl user'!$A$2:$D10975,""SELECT A WHERE D = '""&amp;K6829&amp;""'"")),""USER TIDAK DIKETAHUI""))"),"")</f>
        <v/>
      </c>
    </row>
    <row r="6830">
      <c r="A6830" s="21" t="str">
        <f t="shared" si="3"/>
        <v/>
      </c>
      <c r="B6830" s="38"/>
      <c r="C6830" s="23"/>
      <c r="D6830" s="23"/>
      <c r="E6830" s="24"/>
      <c r="F6830" s="25"/>
      <c r="G6830" s="25"/>
      <c r="H6830" s="27"/>
      <c r="I6830" s="28"/>
      <c r="J6830" s="39"/>
      <c r="K6830" s="41"/>
      <c r="L6830" s="31" t="str">
        <f>IFERROR(__xludf.DUMMYFUNCTION("IF(OR(E6830="""",K6830=""""),"""",IFERROR(IF(K6830="""","""",query('tbl user'!$A$2:$D10975,""SELECT A WHERE D = '""&amp;K6830&amp;""'"")),""USER TIDAK DIKETAHUI""))"),"")</f>
        <v/>
      </c>
    </row>
    <row r="6831">
      <c r="A6831" s="21" t="str">
        <f t="shared" si="3"/>
        <v/>
      </c>
      <c r="B6831" s="38"/>
      <c r="C6831" s="23"/>
      <c r="D6831" s="23"/>
      <c r="E6831" s="24"/>
      <c r="F6831" s="25"/>
      <c r="G6831" s="25"/>
      <c r="H6831" s="27"/>
      <c r="I6831" s="28"/>
      <c r="J6831" s="39"/>
      <c r="K6831" s="41"/>
      <c r="L6831" s="31" t="str">
        <f>IFERROR(__xludf.DUMMYFUNCTION("IF(OR(E6831="""",K6831=""""),"""",IFERROR(IF(K6831="""","""",query('tbl user'!$A$2:$D10975,""SELECT A WHERE D = '""&amp;K6831&amp;""'"")),""USER TIDAK DIKETAHUI""))"),"")</f>
        <v/>
      </c>
    </row>
    <row r="6832">
      <c r="A6832" s="21" t="str">
        <f t="shared" si="3"/>
        <v/>
      </c>
      <c r="B6832" s="38"/>
      <c r="C6832" s="23"/>
      <c r="D6832" s="23"/>
      <c r="E6832" s="24"/>
      <c r="F6832" s="25"/>
      <c r="G6832" s="25"/>
      <c r="H6832" s="27"/>
      <c r="I6832" s="28"/>
      <c r="J6832" s="39"/>
      <c r="K6832" s="41"/>
      <c r="L6832" s="31" t="str">
        <f>IFERROR(__xludf.DUMMYFUNCTION("IF(OR(E6832="""",K6832=""""),"""",IFERROR(IF(K6832="""","""",query('tbl user'!$A$2:$D10975,""SELECT A WHERE D = '""&amp;K6832&amp;""'"")),""USER TIDAK DIKETAHUI""))"),"")</f>
        <v/>
      </c>
    </row>
    <row r="6833">
      <c r="A6833" s="21" t="str">
        <f t="shared" si="3"/>
        <v/>
      </c>
      <c r="B6833" s="38"/>
      <c r="C6833" s="23"/>
      <c r="D6833" s="23"/>
      <c r="E6833" s="24"/>
      <c r="F6833" s="25"/>
      <c r="G6833" s="25"/>
      <c r="H6833" s="27"/>
      <c r="I6833" s="28"/>
      <c r="J6833" s="39"/>
      <c r="K6833" s="41"/>
      <c r="L6833" s="31" t="str">
        <f>IFERROR(__xludf.DUMMYFUNCTION("IF(OR(E6833="""",K6833=""""),"""",IFERROR(IF(K6833="""","""",query('tbl user'!$A$2:$D10975,""SELECT A WHERE D = '""&amp;K6833&amp;""'"")),""USER TIDAK DIKETAHUI""))"),"")</f>
        <v/>
      </c>
    </row>
    <row r="6834">
      <c r="A6834" s="21" t="str">
        <f t="shared" si="3"/>
        <v/>
      </c>
      <c r="B6834" s="38"/>
      <c r="C6834" s="23"/>
      <c r="D6834" s="23"/>
      <c r="E6834" s="24"/>
      <c r="F6834" s="25"/>
      <c r="G6834" s="25"/>
      <c r="H6834" s="27"/>
      <c r="I6834" s="28"/>
      <c r="J6834" s="39"/>
      <c r="K6834" s="41"/>
      <c r="L6834" s="31" t="str">
        <f>IFERROR(__xludf.DUMMYFUNCTION("IF(OR(E6834="""",K6834=""""),"""",IFERROR(IF(K6834="""","""",query('tbl user'!$A$2:$D10975,""SELECT A WHERE D = '""&amp;K6834&amp;""'"")),""USER TIDAK DIKETAHUI""))"),"")</f>
        <v/>
      </c>
    </row>
    <row r="6835">
      <c r="A6835" s="21" t="str">
        <f t="shared" si="3"/>
        <v/>
      </c>
      <c r="B6835" s="38"/>
      <c r="C6835" s="23"/>
      <c r="D6835" s="23"/>
      <c r="E6835" s="24"/>
      <c r="F6835" s="25"/>
      <c r="G6835" s="25"/>
      <c r="H6835" s="27"/>
      <c r="I6835" s="28"/>
      <c r="J6835" s="39"/>
      <c r="K6835" s="41"/>
      <c r="L6835" s="31" t="str">
        <f>IFERROR(__xludf.DUMMYFUNCTION("IF(OR(E6835="""",K6835=""""),"""",IFERROR(IF(K6835="""","""",query('tbl user'!$A$2:$D10975,""SELECT A WHERE D = '""&amp;K6835&amp;""'"")),""USER TIDAK DIKETAHUI""))"),"")</f>
        <v/>
      </c>
    </row>
    <row r="6836">
      <c r="A6836" s="21" t="str">
        <f t="shared" si="3"/>
        <v/>
      </c>
      <c r="B6836" s="38"/>
      <c r="C6836" s="23"/>
      <c r="D6836" s="23"/>
      <c r="E6836" s="24"/>
      <c r="F6836" s="25"/>
      <c r="G6836" s="25"/>
      <c r="H6836" s="27"/>
      <c r="I6836" s="28"/>
      <c r="J6836" s="39"/>
      <c r="K6836" s="41"/>
      <c r="L6836" s="31" t="str">
        <f>IFERROR(__xludf.DUMMYFUNCTION("IF(OR(E6836="""",K6836=""""),"""",IFERROR(IF(K6836="""","""",query('tbl user'!$A$2:$D10975,""SELECT A WHERE D = '""&amp;K6836&amp;""'"")),""USER TIDAK DIKETAHUI""))"),"")</f>
        <v/>
      </c>
    </row>
    <row r="6837">
      <c r="A6837" s="21" t="str">
        <f t="shared" si="3"/>
        <v/>
      </c>
      <c r="B6837" s="38"/>
      <c r="C6837" s="23"/>
      <c r="D6837" s="23"/>
      <c r="E6837" s="24"/>
      <c r="F6837" s="25"/>
      <c r="G6837" s="25"/>
      <c r="H6837" s="27"/>
      <c r="I6837" s="28"/>
      <c r="J6837" s="39"/>
      <c r="K6837" s="41"/>
      <c r="L6837" s="31" t="str">
        <f>IFERROR(__xludf.DUMMYFUNCTION("IF(OR(E6837="""",K6837=""""),"""",IFERROR(IF(K6837="""","""",query('tbl user'!$A$2:$D10975,""SELECT A WHERE D = '""&amp;K6837&amp;""'"")),""USER TIDAK DIKETAHUI""))"),"")</f>
        <v/>
      </c>
    </row>
    <row r="6838">
      <c r="A6838" s="21" t="str">
        <f t="shared" si="3"/>
        <v/>
      </c>
      <c r="B6838" s="38"/>
      <c r="C6838" s="23"/>
      <c r="D6838" s="23"/>
      <c r="E6838" s="24"/>
      <c r="F6838" s="25"/>
      <c r="G6838" s="25"/>
      <c r="H6838" s="27"/>
      <c r="I6838" s="28"/>
      <c r="J6838" s="39"/>
      <c r="K6838" s="41"/>
      <c r="L6838" s="31" t="str">
        <f>IFERROR(__xludf.DUMMYFUNCTION("IF(OR(E6838="""",K6838=""""),"""",IFERROR(IF(K6838="""","""",query('tbl user'!$A$2:$D10975,""SELECT A WHERE D = '""&amp;K6838&amp;""'"")),""USER TIDAK DIKETAHUI""))"),"")</f>
        <v/>
      </c>
    </row>
    <row r="6839">
      <c r="A6839" s="21" t="str">
        <f t="shared" si="3"/>
        <v/>
      </c>
      <c r="B6839" s="38"/>
      <c r="C6839" s="23"/>
      <c r="D6839" s="23"/>
      <c r="E6839" s="24"/>
      <c r="F6839" s="25"/>
      <c r="G6839" s="25"/>
      <c r="H6839" s="27"/>
      <c r="I6839" s="28"/>
      <c r="J6839" s="39"/>
      <c r="K6839" s="41"/>
      <c r="L6839" s="31" t="str">
        <f>IFERROR(__xludf.DUMMYFUNCTION("IF(OR(E6839="""",K6839=""""),"""",IFERROR(IF(K6839="""","""",query('tbl user'!$A$2:$D10975,""SELECT A WHERE D = '""&amp;K6839&amp;""'"")),""USER TIDAK DIKETAHUI""))"),"")</f>
        <v/>
      </c>
    </row>
    <row r="6840">
      <c r="A6840" s="21" t="str">
        <f t="shared" si="3"/>
        <v/>
      </c>
      <c r="B6840" s="38"/>
      <c r="C6840" s="23"/>
      <c r="D6840" s="23"/>
      <c r="E6840" s="24"/>
      <c r="F6840" s="25"/>
      <c r="G6840" s="25"/>
      <c r="H6840" s="27"/>
      <c r="I6840" s="28"/>
      <c r="J6840" s="39"/>
      <c r="K6840" s="41"/>
      <c r="L6840" s="31" t="str">
        <f>IFERROR(__xludf.DUMMYFUNCTION("IF(OR(E6840="""",K6840=""""),"""",IFERROR(IF(K6840="""","""",query('tbl user'!$A$2:$D10975,""SELECT A WHERE D = '""&amp;K6840&amp;""'"")),""USER TIDAK DIKETAHUI""))"),"")</f>
        <v/>
      </c>
    </row>
    <row r="6841">
      <c r="A6841" s="21" t="str">
        <f t="shared" si="3"/>
        <v/>
      </c>
      <c r="B6841" s="38"/>
      <c r="C6841" s="23"/>
      <c r="D6841" s="23"/>
      <c r="E6841" s="24"/>
      <c r="F6841" s="25"/>
      <c r="G6841" s="25"/>
      <c r="H6841" s="27"/>
      <c r="I6841" s="28"/>
      <c r="J6841" s="39"/>
      <c r="K6841" s="41"/>
      <c r="L6841" s="31" t="str">
        <f>IFERROR(__xludf.DUMMYFUNCTION("IF(OR(E6841="""",K6841=""""),"""",IFERROR(IF(K6841="""","""",query('tbl user'!$A$2:$D10975,""SELECT A WHERE D = '""&amp;K6841&amp;""'"")),""USER TIDAK DIKETAHUI""))"),"")</f>
        <v/>
      </c>
    </row>
    <row r="6842">
      <c r="A6842" s="21" t="str">
        <f t="shared" si="3"/>
        <v/>
      </c>
      <c r="B6842" s="38"/>
      <c r="C6842" s="23"/>
      <c r="D6842" s="23"/>
      <c r="E6842" s="24"/>
      <c r="F6842" s="25"/>
      <c r="G6842" s="25"/>
      <c r="H6842" s="27"/>
      <c r="I6842" s="28"/>
      <c r="J6842" s="39"/>
      <c r="K6842" s="41"/>
      <c r="L6842" s="31" t="str">
        <f>IFERROR(__xludf.DUMMYFUNCTION("IF(OR(E6842="""",K6842=""""),"""",IFERROR(IF(K6842="""","""",query('tbl user'!$A$2:$D10975,""SELECT A WHERE D = '""&amp;K6842&amp;""'"")),""USER TIDAK DIKETAHUI""))"),"")</f>
        <v/>
      </c>
    </row>
    <row r="6843">
      <c r="A6843" s="21" t="str">
        <f t="shared" si="3"/>
        <v/>
      </c>
      <c r="B6843" s="38"/>
      <c r="C6843" s="23"/>
      <c r="D6843" s="23"/>
      <c r="E6843" s="24"/>
      <c r="F6843" s="25"/>
      <c r="G6843" s="25"/>
      <c r="H6843" s="27"/>
      <c r="I6843" s="28"/>
      <c r="J6843" s="39"/>
      <c r="K6843" s="41"/>
      <c r="L6843" s="31" t="str">
        <f>IFERROR(__xludf.DUMMYFUNCTION("IF(OR(E6843="""",K6843=""""),"""",IFERROR(IF(K6843="""","""",query('tbl user'!$A$2:$D10975,""SELECT A WHERE D = '""&amp;K6843&amp;""'"")),""USER TIDAK DIKETAHUI""))"),"")</f>
        <v/>
      </c>
    </row>
    <row r="6844">
      <c r="A6844" s="21" t="str">
        <f t="shared" si="3"/>
        <v/>
      </c>
      <c r="B6844" s="38"/>
      <c r="C6844" s="23"/>
      <c r="D6844" s="23"/>
      <c r="E6844" s="24"/>
      <c r="F6844" s="25"/>
      <c r="G6844" s="25"/>
      <c r="H6844" s="27"/>
      <c r="I6844" s="28"/>
      <c r="J6844" s="39"/>
      <c r="K6844" s="41"/>
      <c r="L6844" s="31" t="str">
        <f>IFERROR(__xludf.DUMMYFUNCTION("IF(OR(E6844="""",K6844=""""),"""",IFERROR(IF(K6844="""","""",query('tbl user'!$A$2:$D10975,""SELECT A WHERE D = '""&amp;K6844&amp;""'"")),""USER TIDAK DIKETAHUI""))"),"")</f>
        <v/>
      </c>
    </row>
    <row r="6845">
      <c r="A6845" s="21" t="str">
        <f t="shared" si="3"/>
        <v/>
      </c>
      <c r="B6845" s="38"/>
      <c r="C6845" s="23"/>
      <c r="D6845" s="23"/>
      <c r="E6845" s="24"/>
      <c r="F6845" s="25"/>
      <c r="G6845" s="25"/>
      <c r="H6845" s="27"/>
      <c r="I6845" s="28"/>
      <c r="J6845" s="39"/>
      <c r="K6845" s="41"/>
      <c r="L6845" s="31" t="str">
        <f>IFERROR(__xludf.DUMMYFUNCTION("IF(OR(E6845="""",K6845=""""),"""",IFERROR(IF(K6845="""","""",query('tbl user'!$A$2:$D10975,""SELECT A WHERE D = '""&amp;K6845&amp;""'"")),""USER TIDAK DIKETAHUI""))"),"")</f>
        <v/>
      </c>
    </row>
    <row r="6846">
      <c r="A6846" s="21" t="str">
        <f t="shared" si="3"/>
        <v/>
      </c>
      <c r="B6846" s="38"/>
      <c r="C6846" s="23"/>
      <c r="D6846" s="23"/>
      <c r="E6846" s="24"/>
      <c r="F6846" s="25"/>
      <c r="G6846" s="25"/>
      <c r="H6846" s="27"/>
      <c r="I6846" s="28"/>
      <c r="J6846" s="39"/>
      <c r="K6846" s="41"/>
      <c r="L6846" s="31" t="str">
        <f>IFERROR(__xludf.DUMMYFUNCTION("IF(OR(E6846="""",K6846=""""),"""",IFERROR(IF(K6846="""","""",query('tbl user'!$A$2:$D10975,""SELECT A WHERE D = '""&amp;K6846&amp;""'"")),""USER TIDAK DIKETAHUI""))"),"")</f>
        <v/>
      </c>
    </row>
    <row r="6847">
      <c r="A6847" s="21" t="str">
        <f t="shared" si="3"/>
        <v/>
      </c>
      <c r="B6847" s="38"/>
      <c r="C6847" s="23"/>
      <c r="D6847" s="23"/>
      <c r="E6847" s="24"/>
      <c r="F6847" s="25"/>
      <c r="G6847" s="25"/>
      <c r="H6847" s="27"/>
      <c r="I6847" s="28"/>
      <c r="J6847" s="39"/>
      <c r="K6847" s="41"/>
      <c r="L6847" s="31" t="str">
        <f>IFERROR(__xludf.DUMMYFUNCTION("IF(OR(E6847="""",K6847=""""),"""",IFERROR(IF(K6847="""","""",query('tbl user'!$A$2:$D10975,""SELECT A WHERE D = '""&amp;K6847&amp;""'"")),""USER TIDAK DIKETAHUI""))"),"")</f>
        <v/>
      </c>
    </row>
    <row r="6848">
      <c r="A6848" s="21" t="str">
        <f t="shared" si="3"/>
        <v/>
      </c>
      <c r="B6848" s="38"/>
      <c r="C6848" s="23"/>
      <c r="D6848" s="23"/>
      <c r="E6848" s="24"/>
      <c r="F6848" s="25"/>
      <c r="G6848" s="25"/>
      <c r="H6848" s="27"/>
      <c r="I6848" s="28"/>
      <c r="J6848" s="39"/>
      <c r="K6848" s="41"/>
      <c r="L6848" s="31" t="str">
        <f>IFERROR(__xludf.DUMMYFUNCTION("IF(OR(E6848="""",K6848=""""),"""",IFERROR(IF(K6848="""","""",query('tbl user'!$A$2:$D10975,""SELECT A WHERE D = '""&amp;K6848&amp;""'"")),""USER TIDAK DIKETAHUI""))"),"")</f>
        <v/>
      </c>
    </row>
    <row r="6849">
      <c r="A6849" s="21" t="str">
        <f t="shared" si="3"/>
        <v/>
      </c>
      <c r="B6849" s="38"/>
      <c r="C6849" s="23"/>
      <c r="D6849" s="23"/>
      <c r="E6849" s="24"/>
      <c r="F6849" s="25"/>
      <c r="G6849" s="25"/>
      <c r="H6849" s="27"/>
      <c r="I6849" s="28"/>
      <c r="J6849" s="39"/>
      <c r="K6849" s="41"/>
      <c r="L6849" s="31" t="str">
        <f>IFERROR(__xludf.DUMMYFUNCTION("IF(OR(E6849="""",K6849=""""),"""",IFERROR(IF(K6849="""","""",query('tbl user'!$A$2:$D10975,""SELECT A WHERE D = '""&amp;K6849&amp;""'"")),""USER TIDAK DIKETAHUI""))"),"")</f>
        <v/>
      </c>
    </row>
    <row r="6850">
      <c r="A6850" s="21" t="str">
        <f t="shared" si="3"/>
        <v/>
      </c>
      <c r="B6850" s="38"/>
      <c r="C6850" s="23"/>
      <c r="D6850" s="23"/>
      <c r="E6850" s="24"/>
      <c r="F6850" s="25"/>
      <c r="G6850" s="25"/>
      <c r="H6850" s="27"/>
      <c r="I6850" s="28"/>
      <c r="J6850" s="39"/>
      <c r="K6850" s="41"/>
      <c r="L6850" s="31" t="str">
        <f>IFERROR(__xludf.DUMMYFUNCTION("IF(OR(E6850="""",K6850=""""),"""",IFERROR(IF(K6850="""","""",query('tbl user'!$A$2:$D10975,""SELECT A WHERE D = '""&amp;K6850&amp;""'"")),""USER TIDAK DIKETAHUI""))"),"")</f>
        <v/>
      </c>
    </row>
    <row r="6851">
      <c r="A6851" s="21" t="str">
        <f t="shared" si="3"/>
        <v/>
      </c>
      <c r="B6851" s="38"/>
      <c r="C6851" s="23"/>
      <c r="D6851" s="23"/>
      <c r="E6851" s="24"/>
      <c r="F6851" s="25"/>
      <c r="G6851" s="25"/>
      <c r="H6851" s="27"/>
      <c r="I6851" s="28"/>
      <c r="J6851" s="39"/>
      <c r="K6851" s="41"/>
      <c r="L6851" s="31" t="str">
        <f>IFERROR(__xludf.DUMMYFUNCTION("IF(OR(E6851="""",K6851=""""),"""",IFERROR(IF(K6851="""","""",query('tbl user'!$A$2:$D10975,""SELECT A WHERE D = '""&amp;K6851&amp;""'"")),""USER TIDAK DIKETAHUI""))"),"")</f>
        <v/>
      </c>
    </row>
    <row r="6852">
      <c r="A6852" s="21" t="str">
        <f t="shared" si="3"/>
        <v/>
      </c>
      <c r="B6852" s="38"/>
      <c r="C6852" s="23"/>
      <c r="D6852" s="23"/>
      <c r="E6852" s="24"/>
      <c r="F6852" s="25"/>
      <c r="G6852" s="25"/>
      <c r="H6852" s="27"/>
      <c r="I6852" s="28"/>
      <c r="J6852" s="39"/>
      <c r="K6852" s="41"/>
      <c r="L6852" s="31" t="str">
        <f>IFERROR(__xludf.DUMMYFUNCTION("IF(OR(E6852="""",K6852=""""),"""",IFERROR(IF(K6852="""","""",query('tbl user'!$A$2:$D10975,""SELECT A WHERE D = '""&amp;K6852&amp;""'"")),""USER TIDAK DIKETAHUI""))"),"")</f>
        <v/>
      </c>
    </row>
    <row r="6853">
      <c r="A6853" s="21" t="str">
        <f t="shared" si="3"/>
        <v/>
      </c>
      <c r="B6853" s="38"/>
      <c r="C6853" s="23"/>
      <c r="D6853" s="23"/>
      <c r="E6853" s="24"/>
      <c r="F6853" s="25"/>
      <c r="G6853" s="25"/>
      <c r="H6853" s="27"/>
      <c r="I6853" s="28"/>
      <c r="J6853" s="39"/>
      <c r="K6853" s="41"/>
      <c r="L6853" s="31" t="str">
        <f>IFERROR(__xludf.DUMMYFUNCTION("IF(OR(E6853="""",K6853=""""),"""",IFERROR(IF(K6853="""","""",query('tbl user'!$A$2:$D10975,""SELECT A WHERE D = '""&amp;K6853&amp;""'"")),""USER TIDAK DIKETAHUI""))"),"")</f>
        <v/>
      </c>
    </row>
    <row r="6854">
      <c r="A6854" s="21" t="str">
        <f t="shared" si="3"/>
        <v/>
      </c>
      <c r="B6854" s="38"/>
      <c r="C6854" s="23"/>
      <c r="D6854" s="23"/>
      <c r="E6854" s="24"/>
      <c r="F6854" s="25"/>
      <c r="G6854" s="25"/>
      <c r="H6854" s="27"/>
      <c r="I6854" s="28"/>
      <c r="J6854" s="39"/>
      <c r="K6854" s="41"/>
      <c r="L6854" s="31" t="str">
        <f>IFERROR(__xludf.DUMMYFUNCTION("IF(OR(E6854="""",K6854=""""),"""",IFERROR(IF(K6854="""","""",query('tbl user'!$A$2:$D10975,""SELECT A WHERE D = '""&amp;K6854&amp;""'"")),""USER TIDAK DIKETAHUI""))"),"")</f>
        <v/>
      </c>
    </row>
    <row r="6855">
      <c r="A6855" s="21" t="str">
        <f t="shared" si="3"/>
        <v/>
      </c>
      <c r="B6855" s="38"/>
      <c r="C6855" s="23"/>
      <c r="D6855" s="23"/>
      <c r="E6855" s="24"/>
      <c r="F6855" s="25"/>
      <c r="G6855" s="25"/>
      <c r="H6855" s="27"/>
      <c r="I6855" s="28"/>
      <c r="J6855" s="39"/>
      <c r="K6855" s="41"/>
      <c r="L6855" s="31" t="str">
        <f>IFERROR(__xludf.DUMMYFUNCTION("IF(OR(E6855="""",K6855=""""),"""",IFERROR(IF(K6855="""","""",query('tbl user'!$A$2:$D10975,""SELECT A WHERE D = '""&amp;K6855&amp;""'"")),""USER TIDAK DIKETAHUI""))"),"")</f>
        <v/>
      </c>
    </row>
    <row r="6856">
      <c r="A6856" s="21" t="str">
        <f t="shared" si="3"/>
        <v/>
      </c>
      <c r="B6856" s="38"/>
      <c r="C6856" s="23"/>
      <c r="D6856" s="23"/>
      <c r="E6856" s="24"/>
      <c r="F6856" s="25"/>
      <c r="G6856" s="25"/>
      <c r="H6856" s="27"/>
      <c r="I6856" s="28"/>
      <c r="J6856" s="39"/>
      <c r="K6856" s="41"/>
      <c r="L6856" s="31" t="str">
        <f>IFERROR(__xludf.DUMMYFUNCTION("IF(OR(E6856="""",K6856=""""),"""",IFERROR(IF(K6856="""","""",query('tbl user'!$A$2:$D10975,""SELECT A WHERE D = '""&amp;K6856&amp;""'"")),""USER TIDAK DIKETAHUI""))"),"")</f>
        <v/>
      </c>
    </row>
    <row r="6857">
      <c r="A6857" s="21" t="str">
        <f t="shared" si="3"/>
        <v/>
      </c>
      <c r="B6857" s="38"/>
      <c r="C6857" s="23"/>
      <c r="D6857" s="23"/>
      <c r="E6857" s="24"/>
      <c r="F6857" s="25"/>
      <c r="G6857" s="25"/>
      <c r="H6857" s="27"/>
      <c r="I6857" s="28"/>
      <c r="J6857" s="39"/>
      <c r="K6857" s="41"/>
      <c r="L6857" s="31" t="str">
        <f>IFERROR(__xludf.DUMMYFUNCTION("IF(OR(E6857="""",K6857=""""),"""",IFERROR(IF(K6857="""","""",query('tbl user'!$A$2:$D10975,""SELECT A WHERE D = '""&amp;K6857&amp;""'"")),""USER TIDAK DIKETAHUI""))"),"")</f>
        <v/>
      </c>
    </row>
    <row r="6858">
      <c r="A6858" s="21" t="str">
        <f t="shared" si="3"/>
        <v/>
      </c>
      <c r="B6858" s="38"/>
      <c r="C6858" s="23"/>
      <c r="D6858" s="23"/>
      <c r="E6858" s="24"/>
      <c r="F6858" s="25"/>
      <c r="G6858" s="25"/>
      <c r="H6858" s="27"/>
      <c r="I6858" s="28"/>
      <c r="J6858" s="39"/>
      <c r="K6858" s="41"/>
      <c r="L6858" s="31" t="str">
        <f>IFERROR(__xludf.DUMMYFUNCTION("IF(OR(E6858="""",K6858=""""),"""",IFERROR(IF(K6858="""","""",query('tbl user'!$A$2:$D10975,""SELECT A WHERE D = '""&amp;K6858&amp;""'"")),""USER TIDAK DIKETAHUI""))"),"")</f>
        <v/>
      </c>
    </row>
    <row r="6859">
      <c r="A6859" s="21" t="str">
        <f t="shared" si="3"/>
        <v/>
      </c>
      <c r="B6859" s="38"/>
      <c r="C6859" s="23"/>
      <c r="D6859" s="23"/>
      <c r="E6859" s="24"/>
      <c r="F6859" s="25"/>
      <c r="G6859" s="25"/>
      <c r="H6859" s="27"/>
      <c r="I6859" s="28"/>
      <c r="J6859" s="39"/>
      <c r="K6859" s="41"/>
      <c r="L6859" s="31" t="str">
        <f>IFERROR(__xludf.DUMMYFUNCTION("IF(OR(E6859="""",K6859=""""),"""",IFERROR(IF(K6859="""","""",query('tbl user'!$A$2:$D10975,""SELECT A WHERE D = '""&amp;K6859&amp;""'"")),""USER TIDAK DIKETAHUI""))"),"")</f>
        <v/>
      </c>
    </row>
    <row r="6860">
      <c r="A6860" s="21" t="str">
        <f t="shared" si="3"/>
        <v/>
      </c>
      <c r="B6860" s="38"/>
      <c r="C6860" s="23"/>
      <c r="D6860" s="23"/>
      <c r="E6860" s="24"/>
      <c r="F6860" s="25"/>
      <c r="G6860" s="25"/>
      <c r="H6860" s="27"/>
      <c r="I6860" s="28"/>
      <c r="J6860" s="39"/>
      <c r="K6860" s="41"/>
      <c r="L6860" s="31" t="str">
        <f>IFERROR(__xludf.DUMMYFUNCTION("IF(OR(E6860="""",K6860=""""),"""",IFERROR(IF(K6860="""","""",query('tbl user'!$A$2:$D10975,""SELECT A WHERE D = '""&amp;K6860&amp;""'"")),""USER TIDAK DIKETAHUI""))"),"")</f>
        <v/>
      </c>
    </row>
    <row r="6861">
      <c r="A6861" s="21" t="str">
        <f t="shared" si="3"/>
        <v/>
      </c>
      <c r="B6861" s="38"/>
      <c r="C6861" s="23"/>
      <c r="D6861" s="23"/>
      <c r="E6861" s="24"/>
      <c r="F6861" s="25"/>
      <c r="G6861" s="25"/>
      <c r="H6861" s="27"/>
      <c r="I6861" s="28"/>
      <c r="J6861" s="39"/>
      <c r="K6861" s="41"/>
      <c r="L6861" s="31" t="str">
        <f>IFERROR(__xludf.DUMMYFUNCTION("IF(OR(E6861="""",K6861=""""),"""",IFERROR(IF(K6861="""","""",query('tbl user'!$A$2:$D10975,""SELECT A WHERE D = '""&amp;K6861&amp;""'"")),""USER TIDAK DIKETAHUI""))"),"")</f>
        <v/>
      </c>
    </row>
    <row r="6862">
      <c r="A6862" s="21" t="str">
        <f t="shared" si="3"/>
        <v/>
      </c>
      <c r="B6862" s="38"/>
      <c r="C6862" s="23"/>
      <c r="D6862" s="23"/>
      <c r="E6862" s="24"/>
      <c r="F6862" s="25"/>
      <c r="G6862" s="25"/>
      <c r="H6862" s="27"/>
      <c r="I6862" s="28"/>
      <c r="J6862" s="39"/>
      <c r="K6862" s="41"/>
      <c r="L6862" s="31" t="str">
        <f>IFERROR(__xludf.DUMMYFUNCTION("IF(OR(E6862="""",K6862=""""),"""",IFERROR(IF(K6862="""","""",query('tbl user'!$A$2:$D10975,""SELECT A WHERE D = '""&amp;K6862&amp;""'"")),""USER TIDAK DIKETAHUI""))"),"")</f>
        <v/>
      </c>
    </row>
    <row r="6863">
      <c r="A6863" s="21" t="str">
        <f t="shared" si="3"/>
        <v/>
      </c>
      <c r="B6863" s="38"/>
      <c r="C6863" s="23"/>
      <c r="D6863" s="23"/>
      <c r="E6863" s="24"/>
      <c r="F6863" s="25"/>
      <c r="G6863" s="25"/>
      <c r="H6863" s="27"/>
      <c r="I6863" s="28"/>
      <c r="J6863" s="39"/>
      <c r="K6863" s="41"/>
      <c r="L6863" s="31" t="str">
        <f>IFERROR(__xludf.DUMMYFUNCTION("IF(OR(E6863="""",K6863=""""),"""",IFERROR(IF(K6863="""","""",query('tbl user'!$A$2:$D10975,""SELECT A WHERE D = '""&amp;K6863&amp;""'"")),""USER TIDAK DIKETAHUI""))"),"")</f>
        <v/>
      </c>
    </row>
    <row r="6864">
      <c r="A6864" s="21" t="str">
        <f t="shared" si="3"/>
        <v/>
      </c>
      <c r="B6864" s="38"/>
      <c r="C6864" s="23"/>
      <c r="D6864" s="23"/>
      <c r="E6864" s="24"/>
      <c r="F6864" s="25"/>
      <c r="G6864" s="25"/>
      <c r="H6864" s="27"/>
      <c r="I6864" s="28"/>
      <c r="J6864" s="39"/>
      <c r="K6864" s="41"/>
      <c r="L6864" s="31" t="str">
        <f>IFERROR(__xludf.DUMMYFUNCTION("IF(OR(E6864="""",K6864=""""),"""",IFERROR(IF(K6864="""","""",query('tbl user'!$A$2:$D10975,""SELECT A WHERE D = '""&amp;K6864&amp;""'"")),""USER TIDAK DIKETAHUI""))"),"")</f>
        <v/>
      </c>
    </row>
    <row r="6865">
      <c r="A6865" s="21" t="str">
        <f t="shared" si="3"/>
        <v/>
      </c>
      <c r="B6865" s="38"/>
      <c r="C6865" s="23"/>
      <c r="D6865" s="23"/>
      <c r="E6865" s="24"/>
      <c r="F6865" s="25"/>
      <c r="G6865" s="25"/>
      <c r="H6865" s="27"/>
      <c r="I6865" s="28"/>
      <c r="J6865" s="39"/>
      <c r="K6865" s="41"/>
      <c r="L6865" s="31" t="str">
        <f>IFERROR(__xludf.DUMMYFUNCTION("IF(OR(E6865="""",K6865=""""),"""",IFERROR(IF(K6865="""","""",query('tbl user'!$A$2:$D10975,""SELECT A WHERE D = '""&amp;K6865&amp;""'"")),""USER TIDAK DIKETAHUI""))"),"")</f>
        <v/>
      </c>
    </row>
    <row r="6866">
      <c r="A6866" s="21" t="str">
        <f t="shared" si="3"/>
        <v/>
      </c>
      <c r="B6866" s="38"/>
      <c r="C6866" s="23"/>
      <c r="D6866" s="23"/>
      <c r="E6866" s="24"/>
      <c r="F6866" s="25"/>
      <c r="G6866" s="25"/>
      <c r="H6866" s="27"/>
      <c r="I6866" s="28"/>
      <c r="J6866" s="39"/>
      <c r="K6866" s="41"/>
      <c r="L6866" s="31" t="str">
        <f>IFERROR(__xludf.DUMMYFUNCTION("IF(OR(E6866="""",K6866=""""),"""",IFERROR(IF(K6866="""","""",query('tbl user'!$A$2:$D10975,""SELECT A WHERE D = '""&amp;K6866&amp;""'"")),""USER TIDAK DIKETAHUI""))"),"")</f>
        <v/>
      </c>
    </row>
    <row r="6867">
      <c r="A6867" s="21" t="str">
        <f t="shared" si="3"/>
        <v/>
      </c>
      <c r="B6867" s="38"/>
      <c r="C6867" s="23"/>
      <c r="D6867" s="23"/>
      <c r="E6867" s="24"/>
      <c r="F6867" s="25"/>
      <c r="G6867" s="25"/>
      <c r="H6867" s="27"/>
      <c r="I6867" s="28"/>
      <c r="J6867" s="39"/>
      <c r="K6867" s="41"/>
      <c r="L6867" s="31" t="str">
        <f>IFERROR(__xludf.DUMMYFUNCTION("IF(OR(E6867="""",K6867=""""),"""",IFERROR(IF(K6867="""","""",query('tbl user'!$A$2:$D10975,""SELECT A WHERE D = '""&amp;K6867&amp;""'"")),""USER TIDAK DIKETAHUI""))"),"")</f>
        <v/>
      </c>
    </row>
    <row r="6868">
      <c r="A6868" s="21" t="str">
        <f t="shared" si="3"/>
        <v/>
      </c>
      <c r="B6868" s="38"/>
      <c r="C6868" s="23"/>
      <c r="D6868" s="23"/>
      <c r="E6868" s="24"/>
      <c r="F6868" s="25"/>
      <c r="G6868" s="25"/>
      <c r="H6868" s="27"/>
      <c r="I6868" s="28"/>
      <c r="J6868" s="39"/>
      <c r="K6868" s="41"/>
      <c r="L6868" s="31" t="str">
        <f>IFERROR(__xludf.DUMMYFUNCTION("IF(OR(E6868="""",K6868=""""),"""",IFERROR(IF(K6868="""","""",query('tbl user'!$A$2:$D10975,""SELECT A WHERE D = '""&amp;K6868&amp;""'"")),""USER TIDAK DIKETAHUI""))"),"")</f>
        <v/>
      </c>
    </row>
    <row r="6869">
      <c r="A6869" s="21" t="str">
        <f t="shared" si="3"/>
        <v/>
      </c>
      <c r="B6869" s="38"/>
      <c r="C6869" s="23"/>
      <c r="D6869" s="23"/>
      <c r="E6869" s="24"/>
      <c r="F6869" s="25"/>
      <c r="G6869" s="25"/>
      <c r="H6869" s="27"/>
      <c r="I6869" s="28"/>
      <c r="J6869" s="39"/>
      <c r="K6869" s="41"/>
      <c r="L6869" s="31" t="str">
        <f>IFERROR(__xludf.DUMMYFUNCTION("IF(OR(E6869="""",K6869=""""),"""",IFERROR(IF(K6869="""","""",query('tbl user'!$A$2:$D10975,""SELECT A WHERE D = '""&amp;K6869&amp;""'"")),""USER TIDAK DIKETAHUI""))"),"")</f>
        <v/>
      </c>
    </row>
    <row r="6870">
      <c r="A6870" s="21" t="str">
        <f t="shared" si="3"/>
        <v/>
      </c>
      <c r="B6870" s="38"/>
      <c r="C6870" s="23"/>
      <c r="D6870" s="23"/>
      <c r="E6870" s="24"/>
      <c r="F6870" s="25"/>
      <c r="G6870" s="25"/>
      <c r="H6870" s="27"/>
      <c r="I6870" s="28"/>
      <c r="J6870" s="39"/>
      <c r="K6870" s="41"/>
      <c r="L6870" s="31" t="str">
        <f>IFERROR(__xludf.DUMMYFUNCTION("IF(OR(E6870="""",K6870=""""),"""",IFERROR(IF(K6870="""","""",query('tbl user'!$A$2:$D10975,""SELECT A WHERE D = '""&amp;K6870&amp;""'"")),""USER TIDAK DIKETAHUI""))"),"")</f>
        <v/>
      </c>
    </row>
    <row r="6871">
      <c r="A6871" s="21" t="str">
        <f t="shared" si="3"/>
        <v/>
      </c>
      <c r="B6871" s="38"/>
      <c r="C6871" s="23"/>
      <c r="D6871" s="23"/>
      <c r="E6871" s="24"/>
      <c r="F6871" s="25"/>
      <c r="G6871" s="25"/>
      <c r="H6871" s="27"/>
      <c r="I6871" s="28"/>
      <c r="J6871" s="39"/>
      <c r="K6871" s="41"/>
      <c r="L6871" s="31" t="str">
        <f>IFERROR(__xludf.DUMMYFUNCTION("IF(OR(E6871="""",K6871=""""),"""",IFERROR(IF(K6871="""","""",query('tbl user'!$A$2:$D10975,""SELECT A WHERE D = '""&amp;K6871&amp;""'"")),""USER TIDAK DIKETAHUI""))"),"")</f>
        <v/>
      </c>
    </row>
    <row r="6872">
      <c r="A6872" s="21" t="str">
        <f t="shared" si="3"/>
        <v/>
      </c>
      <c r="B6872" s="38"/>
      <c r="C6872" s="23"/>
      <c r="D6872" s="23"/>
      <c r="E6872" s="24"/>
      <c r="F6872" s="25"/>
      <c r="G6872" s="25"/>
      <c r="H6872" s="27"/>
      <c r="I6872" s="28"/>
      <c r="J6872" s="39"/>
      <c r="K6872" s="41"/>
      <c r="L6872" s="31" t="str">
        <f>IFERROR(__xludf.DUMMYFUNCTION("IF(OR(E6872="""",K6872=""""),"""",IFERROR(IF(K6872="""","""",query('tbl user'!$A$2:$D10975,""SELECT A WHERE D = '""&amp;K6872&amp;""'"")),""USER TIDAK DIKETAHUI""))"),"")</f>
        <v/>
      </c>
    </row>
    <row r="6873">
      <c r="A6873" s="21" t="str">
        <f t="shared" si="3"/>
        <v/>
      </c>
      <c r="B6873" s="38"/>
      <c r="C6873" s="23"/>
      <c r="D6873" s="23"/>
      <c r="E6873" s="24"/>
      <c r="F6873" s="25"/>
      <c r="G6873" s="25"/>
      <c r="H6873" s="27"/>
      <c r="I6873" s="28"/>
      <c r="J6873" s="39"/>
      <c r="K6873" s="41"/>
      <c r="L6873" s="31" t="str">
        <f>IFERROR(__xludf.DUMMYFUNCTION("IF(OR(E6873="""",K6873=""""),"""",IFERROR(IF(K6873="""","""",query('tbl user'!$A$2:$D10975,""SELECT A WHERE D = '""&amp;K6873&amp;""'"")),""USER TIDAK DIKETAHUI""))"),"")</f>
        <v/>
      </c>
    </row>
    <row r="6874">
      <c r="A6874" s="21" t="str">
        <f t="shared" si="3"/>
        <v/>
      </c>
      <c r="B6874" s="38"/>
      <c r="C6874" s="23"/>
      <c r="D6874" s="23"/>
      <c r="E6874" s="24"/>
      <c r="F6874" s="25"/>
      <c r="G6874" s="25"/>
      <c r="H6874" s="27"/>
      <c r="I6874" s="28"/>
      <c r="J6874" s="39"/>
      <c r="K6874" s="41"/>
      <c r="L6874" s="31" t="str">
        <f>IFERROR(__xludf.DUMMYFUNCTION("IF(OR(E6874="""",K6874=""""),"""",IFERROR(IF(K6874="""","""",query('tbl user'!$A$2:$D10975,""SELECT A WHERE D = '""&amp;K6874&amp;""'"")),""USER TIDAK DIKETAHUI""))"),"")</f>
        <v/>
      </c>
    </row>
    <row r="6875">
      <c r="A6875" s="21" t="str">
        <f t="shared" si="3"/>
        <v/>
      </c>
      <c r="B6875" s="38"/>
      <c r="C6875" s="23"/>
      <c r="D6875" s="23"/>
      <c r="E6875" s="24"/>
      <c r="F6875" s="25"/>
      <c r="G6875" s="25"/>
      <c r="H6875" s="27"/>
      <c r="I6875" s="28"/>
      <c r="J6875" s="39"/>
      <c r="K6875" s="41"/>
      <c r="L6875" s="31" t="str">
        <f>IFERROR(__xludf.DUMMYFUNCTION("IF(OR(E6875="""",K6875=""""),"""",IFERROR(IF(K6875="""","""",query('tbl user'!$A$2:$D10975,""SELECT A WHERE D = '""&amp;K6875&amp;""'"")),""USER TIDAK DIKETAHUI""))"),"")</f>
        <v/>
      </c>
    </row>
    <row r="6876">
      <c r="A6876" s="21" t="str">
        <f t="shared" si="3"/>
        <v/>
      </c>
      <c r="B6876" s="38"/>
      <c r="C6876" s="23"/>
      <c r="D6876" s="23"/>
      <c r="E6876" s="24"/>
      <c r="F6876" s="25"/>
      <c r="G6876" s="25"/>
      <c r="H6876" s="27"/>
      <c r="I6876" s="28"/>
      <c r="J6876" s="39"/>
      <c r="K6876" s="41"/>
      <c r="L6876" s="31" t="str">
        <f>IFERROR(__xludf.DUMMYFUNCTION("IF(OR(E6876="""",K6876=""""),"""",IFERROR(IF(K6876="""","""",query('tbl user'!$A$2:$D10975,""SELECT A WHERE D = '""&amp;K6876&amp;""'"")),""USER TIDAK DIKETAHUI""))"),"")</f>
        <v/>
      </c>
    </row>
    <row r="6877">
      <c r="A6877" s="21" t="str">
        <f t="shared" si="3"/>
        <v/>
      </c>
      <c r="B6877" s="38"/>
      <c r="C6877" s="23"/>
      <c r="D6877" s="23"/>
      <c r="E6877" s="24"/>
      <c r="F6877" s="25"/>
      <c r="G6877" s="25"/>
      <c r="H6877" s="27"/>
      <c r="I6877" s="28"/>
      <c r="J6877" s="39"/>
      <c r="K6877" s="41"/>
      <c r="L6877" s="31" t="str">
        <f>IFERROR(__xludf.DUMMYFUNCTION("IF(OR(E6877="""",K6877=""""),"""",IFERROR(IF(K6877="""","""",query('tbl user'!$A$2:$D10975,""SELECT A WHERE D = '""&amp;K6877&amp;""'"")),""USER TIDAK DIKETAHUI""))"),"")</f>
        <v/>
      </c>
    </row>
    <row r="6878">
      <c r="A6878" s="21" t="str">
        <f t="shared" si="3"/>
        <v/>
      </c>
      <c r="B6878" s="38"/>
      <c r="C6878" s="23"/>
      <c r="D6878" s="23"/>
      <c r="E6878" s="24"/>
      <c r="F6878" s="25"/>
      <c r="G6878" s="25"/>
      <c r="H6878" s="27"/>
      <c r="I6878" s="28"/>
      <c r="J6878" s="39"/>
      <c r="K6878" s="41"/>
      <c r="L6878" s="31" t="str">
        <f>IFERROR(__xludf.DUMMYFUNCTION("IF(OR(E6878="""",K6878=""""),"""",IFERROR(IF(K6878="""","""",query('tbl user'!$A$2:$D10975,""SELECT A WHERE D = '""&amp;K6878&amp;""'"")),""USER TIDAK DIKETAHUI""))"),"")</f>
        <v/>
      </c>
    </row>
    <row r="6879">
      <c r="A6879" s="21" t="str">
        <f t="shared" si="3"/>
        <v/>
      </c>
      <c r="B6879" s="38"/>
      <c r="C6879" s="23"/>
      <c r="D6879" s="23"/>
      <c r="E6879" s="24"/>
      <c r="F6879" s="25"/>
      <c r="G6879" s="25"/>
      <c r="H6879" s="27"/>
      <c r="I6879" s="28"/>
      <c r="J6879" s="39"/>
      <c r="K6879" s="41"/>
      <c r="L6879" s="31" t="str">
        <f>IFERROR(__xludf.DUMMYFUNCTION("IF(OR(E6879="""",K6879=""""),"""",IFERROR(IF(K6879="""","""",query('tbl user'!$A$2:$D10975,""SELECT A WHERE D = '""&amp;K6879&amp;""'"")),""USER TIDAK DIKETAHUI""))"),"")</f>
        <v/>
      </c>
    </row>
    <row r="6880">
      <c r="A6880" s="21" t="str">
        <f t="shared" si="3"/>
        <v/>
      </c>
      <c r="B6880" s="38"/>
      <c r="C6880" s="23"/>
      <c r="D6880" s="23"/>
      <c r="E6880" s="24"/>
      <c r="F6880" s="25"/>
      <c r="G6880" s="25"/>
      <c r="H6880" s="27"/>
      <c r="I6880" s="28"/>
      <c r="J6880" s="39"/>
      <c r="K6880" s="41"/>
      <c r="L6880" s="31" t="str">
        <f>IFERROR(__xludf.DUMMYFUNCTION("IF(OR(E6880="""",K6880=""""),"""",IFERROR(IF(K6880="""","""",query('tbl user'!$A$2:$D10975,""SELECT A WHERE D = '""&amp;K6880&amp;""'"")),""USER TIDAK DIKETAHUI""))"),"")</f>
        <v/>
      </c>
    </row>
    <row r="6881">
      <c r="A6881" s="21" t="str">
        <f t="shared" si="3"/>
        <v/>
      </c>
      <c r="B6881" s="38"/>
      <c r="C6881" s="23"/>
      <c r="D6881" s="23"/>
      <c r="E6881" s="24"/>
      <c r="F6881" s="25"/>
      <c r="G6881" s="25"/>
      <c r="H6881" s="27"/>
      <c r="I6881" s="28"/>
      <c r="J6881" s="39"/>
      <c r="K6881" s="41"/>
      <c r="L6881" s="31" t="str">
        <f>IFERROR(__xludf.DUMMYFUNCTION("IF(OR(E6881="""",K6881=""""),"""",IFERROR(IF(K6881="""","""",query('tbl user'!$A$2:$D10975,""SELECT A WHERE D = '""&amp;K6881&amp;""'"")),""USER TIDAK DIKETAHUI""))"),"")</f>
        <v/>
      </c>
    </row>
    <row r="6882">
      <c r="A6882" s="21" t="str">
        <f t="shared" si="3"/>
        <v/>
      </c>
      <c r="B6882" s="38"/>
      <c r="C6882" s="23"/>
      <c r="D6882" s="23"/>
      <c r="E6882" s="24"/>
      <c r="F6882" s="25"/>
      <c r="G6882" s="25"/>
      <c r="H6882" s="27"/>
      <c r="I6882" s="28"/>
      <c r="J6882" s="39"/>
      <c r="K6882" s="41"/>
      <c r="L6882" s="31" t="str">
        <f>IFERROR(__xludf.DUMMYFUNCTION("IF(OR(E6882="""",K6882=""""),"""",IFERROR(IF(K6882="""","""",query('tbl user'!$A$2:$D10975,""SELECT A WHERE D = '""&amp;K6882&amp;""'"")),""USER TIDAK DIKETAHUI""))"),"")</f>
        <v/>
      </c>
    </row>
    <row r="6883">
      <c r="A6883" s="21" t="str">
        <f t="shared" si="3"/>
        <v/>
      </c>
      <c r="B6883" s="38"/>
      <c r="C6883" s="23"/>
      <c r="D6883" s="23"/>
      <c r="E6883" s="24"/>
      <c r="F6883" s="25"/>
      <c r="G6883" s="25"/>
      <c r="H6883" s="27"/>
      <c r="I6883" s="28"/>
      <c r="J6883" s="39"/>
      <c r="K6883" s="41"/>
      <c r="L6883" s="31" t="str">
        <f>IFERROR(__xludf.DUMMYFUNCTION("IF(OR(E6883="""",K6883=""""),"""",IFERROR(IF(K6883="""","""",query('tbl user'!$A$2:$D10975,""SELECT A WHERE D = '""&amp;K6883&amp;""'"")),""USER TIDAK DIKETAHUI""))"),"")</f>
        <v/>
      </c>
    </row>
    <row r="6884">
      <c r="A6884" s="21" t="str">
        <f t="shared" si="3"/>
        <v/>
      </c>
      <c r="B6884" s="38"/>
      <c r="C6884" s="23"/>
      <c r="D6884" s="23"/>
      <c r="E6884" s="24"/>
      <c r="F6884" s="25"/>
      <c r="G6884" s="25"/>
      <c r="H6884" s="27"/>
      <c r="I6884" s="28"/>
      <c r="J6884" s="39"/>
      <c r="K6884" s="41"/>
      <c r="L6884" s="31" t="str">
        <f>IFERROR(__xludf.DUMMYFUNCTION("IF(OR(E6884="""",K6884=""""),"""",IFERROR(IF(K6884="""","""",query('tbl user'!$A$2:$D10975,""SELECT A WHERE D = '""&amp;K6884&amp;""'"")),""USER TIDAK DIKETAHUI""))"),"")</f>
        <v/>
      </c>
    </row>
    <row r="6885">
      <c r="A6885" s="21" t="str">
        <f t="shared" si="3"/>
        <v/>
      </c>
      <c r="B6885" s="38"/>
      <c r="C6885" s="23"/>
      <c r="D6885" s="23"/>
      <c r="E6885" s="24"/>
      <c r="F6885" s="25"/>
      <c r="G6885" s="25"/>
      <c r="H6885" s="27"/>
      <c r="I6885" s="28"/>
      <c r="J6885" s="39"/>
      <c r="K6885" s="41"/>
      <c r="L6885" s="31" t="str">
        <f>IFERROR(__xludf.DUMMYFUNCTION("IF(OR(E6885="""",K6885=""""),"""",IFERROR(IF(K6885="""","""",query('tbl user'!$A$2:$D10975,""SELECT A WHERE D = '""&amp;K6885&amp;""'"")),""USER TIDAK DIKETAHUI""))"),"")</f>
        <v/>
      </c>
    </row>
    <row r="6886">
      <c r="A6886" s="21" t="str">
        <f t="shared" si="3"/>
        <v/>
      </c>
      <c r="B6886" s="38"/>
      <c r="C6886" s="23"/>
      <c r="D6886" s="23"/>
      <c r="E6886" s="24"/>
      <c r="F6886" s="25"/>
      <c r="G6886" s="25"/>
      <c r="H6886" s="27"/>
      <c r="I6886" s="28"/>
      <c r="J6886" s="39"/>
      <c r="K6886" s="41"/>
      <c r="L6886" s="31" t="str">
        <f>IFERROR(__xludf.DUMMYFUNCTION("IF(OR(E6886="""",K6886=""""),"""",IFERROR(IF(K6886="""","""",query('tbl user'!$A$2:$D10975,""SELECT A WHERE D = '""&amp;K6886&amp;""'"")),""USER TIDAK DIKETAHUI""))"),"")</f>
        <v/>
      </c>
    </row>
    <row r="6887">
      <c r="A6887" s="21" t="str">
        <f t="shared" si="3"/>
        <v/>
      </c>
      <c r="B6887" s="38"/>
      <c r="C6887" s="23"/>
      <c r="D6887" s="23"/>
      <c r="E6887" s="24"/>
      <c r="F6887" s="25"/>
      <c r="G6887" s="25"/>
      <c r="H6887" s="27"/>
      <c r="I6887" s="28"/>
      <c r="J6887" s="39"/>
      <c r="K6887" s="41"/>
      <c r="L6887" s="31" t="str">
        <f>IFERROR(__xludf.DUMMYFUNCTION("IF(OR(E6887="""",K6887=""""),"""",IFERROR(IF(K6887="""","""",query('tbl user'!$A$2:$D10975,""SELECT A WHERE D = '""&amp;K6887&amp;""'"")),""USER TIDAK DIKETAHUI""))"),"")</f>
        <v/>
      </c>
    </row>
    <row r="6888">
      <c r="A6888" s="21" t="str">
        <f t="shared" si="3"/>
        <v/>
      </c>
      <c r="B6888" s="38"/>
      <c r="C6888" s="23"/>
      <c r="D6888" s="23"/>
      <c r="E6888" s="24"/>
      <c r="F6888" s="25"/>
      <c r="G6888" s="25"/>
      <c r="H6888" s="27"/>
      <c r="I6888" s="28"/>
      <c r="J6888" s="39"/>
      <c r="K6888" s="41"/>
      <c r="L6888" s="31" t="str">
        <f>IFERROR(__xludf.DUMMYFUNCTION("IF(OR(E6888="""",K6888=""""),"""",IFERROR(IF(K6888="""","""",query('tbl user'!$A$2:$D10975,""SELECT A WHERE D = '""&amp;K6888&amp;""'"")),""USER TIDAK DIKETAHUI""))"),"")</f>
        <v/>
      </c>
    </row>
    <row r="6889">
      <c r="A6889" s="21" t="str">
        <f t="shared" si="3"/>
        <v/>
      </c>
      <c r="B6889" s="38"/>
      <c r="C6889" s="23"/>
      <c r="D6889" s="23"/>
      <c r="E6889" s="24"/>
      <c r="F6889" s="25"/>
      <c r="G6889" s="25"/>
      <c r="H6889" s="27"/>
      <c r="I6889" s="28"/>
      <c r="J6889" s="39"/>
      <c r="K6889" s="41"/>
      <c r="L6889" s="31" t="str">
        <f>IFERROR(__xludf.DUMMYFUNCTION("IF(OR(E6889="""",K6889=""""),"""",IFERROR(IF(K6889="""","""",query('tbl user'!$A$2:$D10975,""SELECT A WHERE D = '""&amp;K6889&amp;""'"")),""USER TIDAK DIKETAHUI""))"),"")</f>
        <v/>
      </c>
    </row>
    <row r="6890">
      <c r="A6890" s="21" t="str">
        <f t="shared" si="3"/>
        <v/>
      </c>
      <c r="B6890" s="38"/>
      <c r="C6890" s="23"/>
      <c r="D6890" s="23"/>
      <c r="E6890" s="24"/>
      <c r="F6890" s="25"/>
      <c r="G6890" s="25"/>
      <c r="H6890" s="27"/>
      <c r="I6890" s="28"/>
      <c r="J6890" s="39"/>
      <c r="K6890" s="41"/>
      <c r="L6890" s="31" t="str">
        <f>IFERROR(__xludf.DUMMYFUNCTION("IF(OR(E6890="""",K6890=""""),"""",IFERROR(IF(K6890="""","""",query('tbl user'!$A$2:$D10975,""SELECT A WHERE D = '""&amp;K6890&amp;""'"")),""USER TIDAK DIKETAHUI""))"),"")</f>
        <v/>
      </c>
    </row>
    <row r="6891">
      <c r="A6891" s="21" t="str">
        <f t="shared" si="3"/>
        <v/>
      </c>
      <c r="B6891" s="38"/>
      <c r="C6891" s="23"/>
      <c r="D6891" s="23"/>
      <c r="E6891" s="24"/>
      <c r="F6891" s="25"/>
      <c r="G6891" s="25"/>
      <c r="H6891" s="27"/>
      <c r="I6891" s="28"/>
      <c r="J6891" s="39"/>
      <c r="K6891" s="41"/>
      <c r="L6891" s="31" t="str">
        <f>IFERROR(__xludf.DUMMYFUNCTION("IF(OR(E6891="""",K6891=""""),"""",IFERROR(IF(K6891="""","""",query('tbl user'!$A$2:$D10975,""SELECT A WHERE D = '""&amp;K6891&amp;""'"")),""USER TIDAK DIKETAHUI""))"),"")</f>
        <v/>
      </c>
    </row>
    <row r="6892">
      <c r="A6892" s="21" t="str">
        <f t="shared" si="3"/>
        <v/>
      </c>
      <c r="B6892" s="38"/>
      <c r="C6892" s="23"/>
      <c r="D6892" s="23"/>
      <c r="E6892" s="24"/>
      <c r="F6892" s="25"/>
      <c r="G6892" s="25"/>
      <c r="H6892" s="27"/>
      <c r="I6892" s="28"/>
      <c r="J6892" s="39"/>
      <c r="K6892" s="41"/>
      <c r="L6892" s="31" t="str">
        <f>IFERROR(__xludf.DUMMYFUNCTION("IF(OR(E6892="""",K6892=""""),"""",IFERROR(IF(K6892="""","""",query('tbl user'!$A$2:$D10975,""SELECT A WHERE D = '""&amp;K6892&amp;""'"")),""USER TIDAK DIKETAHUI""))"),"")</f>
        <v/>
      </c>
    </row>
    <row r="6893">
      <c r="A6893" s="21" t="str">
        <f t="shared" si="3"/>
        <v/>
      </c>
      <c r="B6893" s="38"/>
      <c r="C6893" s="23"/>
      <c r="D6893" s="23"/>
      <c r="E6893" s="24"/>
      <c r="F6893" s="25"/>
      <c r="G6893" s="25"/>
      <c r="H6893" s="27"/>
      <c r="I6893" s="28"/>
      <c r="J6893" s="39"/>
      <c r="K6893" s="41"/>
      <c r="L6893" s="31" t="str">
        <f>IFERROR(__xludf.DUMMYFUNCTION("IF(OR(E6893="""",K6893=""""),"""",IFERROR(IF(K6893="""","""",query('tbl user'!$A$2:$D10975,""SELECT A WHERE D = '""&amp;K6893&amp;""'"")),""USER TIDAK DIKETAHUI""))"),"")</f>
        <v/>
      </c>
    </row>
    <row r="6894">
      <c r="A6894" s="21" t="str">
        <f t="shared" si="3"/>
        <v/>
      </c>
      <c r="B6894" s="38"/>
      <c r="C6894" s="23"/>
      <c r="D6894" s="23"/>
      <c r="E6894" s="24"/>
      <c r="F6894" s="25"/>
      <c r="G6894" s="25"/>
      <c r="H6894" s="27"/>
      <c r="I6894" s="28"/>
      <c r="J6894" s="39"/>
      <c r="K6894" s="41"/>
      <c r="L6894" s="31" t="str">
        <f>IFERROR(__xludf.DUMMYFUNCTION("IF(OR(E6894="""",K6894=""""),"""",IFERROR(IF(K6894="""","""",query('tbl user'!$A$2:$D10975,""SELECT A WHERE D = '""&amp;K6894&amp;""'"")),""USER TIDAK DIKETAHUI""))"),"")</f>
        <v/>
      </c>
    </row>
    <row r="6895">
      <c r="A6895" s="21" t="str">
        <f t="shared" si="3"/>
        <v/>
      </c>
      <c r="B6895" s="38"/>
      <c r="C6895" s="23"/>
      <c r="D6895" s="23"/>
      <c r="E6895" s="24"/>
      <c r="F6895" s="25"/>
      <c r="G6895" s="25"/>
      <c r="H6895" s="27"/>
      <c r="I6895" s="28"/>
      <c r="J6895" s="39"/>
      <c r="K6895" s="41"/>
      <c r="L6895" s="31" t="str">
        <f>IFERROR(__xludf.DUMMYFUNCTION("IF(OR(E6895="""",K6895=""""),"""",IFERROR(IF(K6895="""","""",query('tbl user'!$A$2:$D10975,""SELECT A WHERE D = '""&amp;K6895&amp;""'"")),""USER TIDAK DIKETAHUI""))"),"")</f>
        <v/>
      </c>
    </row>
    <row r="6896">
      <c r="A6896" s="21" t="str">
        <f t="shared" si="3"/>
        <v/>
      </c>
      <c r="B6896" s="38"/>
      <c r="C6896" s="23"/>
      <c r="D6896" s="23"/>
      <c r="E6896" s="24"/>
      <c r="F6896" s="25"/>
      <c r="G6896" s="25"/>
      <c r="H6896" s="27"/>
      <c r="I6896" s="28"/>
      <c r="J6896" s="39"/>
      <c r="K6896" s="41"/>
      <c r="L6896" s="31" t="str">
        <f>IFERROR(__xludf.DUMMYFUNCTION("IF(OR(E6896="""",K6896=""""),"""",IFERROR(IF(K6896="""","""",query('tbl user'!$A$2:$D10975,""SELECT A WHERE D = '""&amp;K6896&amp;""'"")),""USER TIDAK DIKETAHUI""))"),"")</f>
        <v/>
      </c>
    </row>
    <row r="6897">
      <c r="A6897" s="21" t="str">
        <f t="shared" si="3"/>
        <v/>
      </c>
      <c r="B6897" s="38"/>
      <c r="C6897" s="23"/>
      <c r="D6897" s="23"/>
      <c r="E6897" s="24"/>
      <c r="F6897" s="25"/>
      <c r="G6897" s="25"/>
      <c r="H6897" s="27"/>
      <c r="I6897" s="28"/>
      <c r="J6897" s="39"/>
      <c r="K6897" s="41"/>
      <c r="L6897" s="31" t="str">
        <f>IFERROR(__xludf.DUMMYFUNCTION("IF(OR(E6897="""",K6897=""""),"""",IFERROR(IF(K6897="""","""",query('tbl user'!$A$2:$D10975,""SELECT A WHERE D = '""&amp;K6897&amp;""'"")),""USER TIDAK DIKETAHUI""))"),"")</f>
        <v/>
      </c>
    </row>
    <row r="6898">
      <c r="A6898" s="21" t="str">
        <f t="shared" si="3"/>
        <v/>
      </c>
      <c r="B6898" s="38"/>
      <c r="C6898" s="23"/>
      <c r="D6898" s="23"/>
      <c r="E6898" s="24"/>
      <c r="F6898" s="25"/>
      <c r="G6898" s="25"/>
      <c r="H6898" s="27"/>
      <c r="I6898" s="28"/>
      <c r="J6898" s="39"/>
      <c r="K6898" s="41"/>
      <c r="L6898" s="31" t="str">
        <f>IFERROR(__xludf.DUMMYFUNCTION("IF(OR(E6898="""",K6898=""""),"""",IFERROR(IF(K6898="""","""",query('tbl user'!$A$2:$D10975,""SELECT A WHERE D = '""&amp;K6898&amp;""'"")),""USER TIDAK DIKETAHUI""))"),"")</f>
        <v/>
      </c>
    </row>
    <row r="6899">
      <c r="A6899" s="21" t="str">
        <f t="shared" si="3"/>
        <v/>
      </c>
      <c r="B6899" s="38"/>
      <c r="C6899" s="23"/>
      <c r="D6899" s="23"/>
      <c r="E6899" s="24"/>
      <c r="F6899" s="25"/>
      <c r="G6899" s="25"/>
      <c r="H6899" s="27"/>
      <c r="I6899" s="28"/>
      <c r="J6899" s="39"/>
      <c r="K6899" s="41"/>
      <c r="L6899" s="31" t="str">
        <f>IFERROR(__xludf.DUMMYFUNCTION("IF(OR(E6899="""",K6899=""""),"""",IFERROR(IF(K6899="""","""",query('tbl user'!$A$2:$D10975,""SELECT A WHERE D = '""&amp;K6899&amp;""'"")),""USER TIDAK DIKETAHUI""))"),"")</f>
        <v/>
      </c>
    </row>
    <row r="6900">
      <c r="A6900" s="21" t="str">
        <f t="shared" si="3"/>
        <v/>
      </c>
      <c r="B6900" s="38"/>
      <c r="C6900" s="23"/>
      <c r="D6900" s="23"/>
      <c r="E6900" s="24"/>
      <c r="F6900" s="25"/>
      <c r="G6900" s="25"/>
      <c r="H6900" s="27"/>
      <c r="I6900" s="28"/>
      <c r="J6900" s="39"/>
      <c r="K6900" s="41"/>
      <c r="L6900" s="31" t="str">
        <f>IFERROR(__xludf.DUMMYFUNCTION("IF(OR(E6900="""",K6900=""""),"""",IFERROR(IF(K6900="""","""",query('tbl user'!$A$2:$D10975,""SELECT A WHERE D = '""&amp;K6900&amp;""'"")),""USER TIDAK DIKETAHUI""))"),"")</f>
        <v/>
      </c>
    </row>
    <row r="6901">
      <c r="A6901" s="21" t="str">
        <f t="shared" si="3"/>
        <v/>
      </c>
      <c r="B6901" s="38"/>
      <c r="C6901" s="23"/>
      <c r="D6901" s="23"/>
      <c r="E6901" s="24"/>
      <c r="F6901" s="25"/>
      <c r="G6901" s="25"/>
      <c r="H6901" s="27"/>
      <c r="I6901" s="28"/>
      <c r="J6901" s="39"/>
      <c r="K6901" s="41"/>
      <c r="L6901" s="31" t="str">
        <f>IFERROR(__xludf.DUMMYFUNCTION("IF(OR(E6901="""",K6901=""""),"""",IFERROR(IF(K6901="""","""",query('tbl user'!$A$2:$D10975,""SELECT A WHERE D = '""&amp;K6901&amp;""'"")),""USER TIDAK DIKETAHUI""))"),"")</f>
        <v/>
      </c>
    </row>
    <row r="6902">
      <c r="A6902" s="21" t="str">
        <f t="shared" si="3"/>
        <v/>
      </c>
      <c r="B6902" s="38"/>
      <c r="C6902" s="23"/>
      <c r="D6902" s="23"/>
      <c r="E6902" s="24"/>
      <c r="F6902" s="25"/>
      <c r="G6902" s="25"/>
      <c r="H6902" s="27"/>
      <c r="I6902" s="28"/>
      <c r="J6902" s="39"/>
      <c r="K6902" s="41"/>
      <c r="L6902" s="31" t="str">
        <f>IFERROR(__xludf.DUMMYFUNCTION("IF(OR(E6902="""",K6902=""""),"""",IFERROR(IF(K6902="""","""",query('tbl user'!$A$2:$D10975,""SELECT A WHERE D = '""&amp;K6902&amp;""'"")),""USER TIDAK DIKETAHUI""))"),"")</f>
        <v/>
      </c>
    </row>
    <row r="6903">
      <c r="A6903" s="21" t="str">
        <f t="shared" si="3"/>
        <v/>
      </c>
      <c r="B6903" s="38"/>
      <c r="C6903" s="23"/>
      <c r="D6903" s="23"/>
      <c r="E6903" s="24"/>
      <c r="F6903" s="25"/>
      <c r="G6903" s="25"/>
      <c r="H6903" s="27"/>
      <c r="I6903" s="28"/>
      <c r="J6903" s="39"/>
      <c r="K6903" s="41"/>
      <c r="L6903" s="31" t="str">
        <f>IFERROR(__xludf.DUMMYFUNCTION("IF(OR(E6903="""",K6903=""""),"""",IFERROR(IF(K6903="""","""",query('tbl user'!$A$2:$D10975,""SELECT A WHERE D = '""&amp;K6903&amp;""'"")),""USER TIDAK DIKETAHUI""))"),"")</f>
        <v/>
      </c>
    </row>
    <row r="6904">
      <c r="A6904" s="21" t="str">
        <f t="shared" si="3"/>
        <v/>
      </c>
      <c r="B6904" s="38"/>
      <c r="C6904" s="23"/>
      <c r="D6904" s="23"/>
      <c r="E6904" s="24"/>
      <c r="F6904" s="25"/>
      <c r="G6904" s="25"/>
      <c r="H6904" s="27"/>
      <c r="I6904" s="28"/>
      <c r="J6904" s="39"/>
      <c r="K6904" s="41"/>
      <c r="L6904" s="31" t="str">
        <f>IFERROR(__xludf.DUMMYFUNCTION("IF(OR(E6904="""",K6904=""""),"""",IFERROR(IF(K6904="""","""",query('tbl user'!$A$2:$D10975,""SELECT A WHERE D = '""&amp;K6904&amp;""'"")),""USER TIDAK DIKETAHUI""))"),"")</f>
        <v/>
      </c>
    </row>
    <row r="6905">
      <c r="A6905" s="21" t="str">
        <f t="shared" si="3"/>
        <v/>
      </c>
      <c r="B6905" s="38"/>
      <c r="C6905" s="23"/>
      <c r="D6905" s="23"/>
      <c r="E6905" s="24"/>
      <c r="F6905" s="25"/>
      <c r="G6905" s="25"/>
      <c r="H6905" s="27"/>
      <c r="I6905" s="28"/>
      <c r="J6905" s="39"/>
      <c r="K6905" s="41"/>
      <c r="L6905" s="31" t="str">
        <f>IFERROR(__xludf.DUMMYFUNCTION("IF(OR(E6905="""",K6905=""""),"""",IFERROR(IF(K6905="""","""",query('tbl user'!$A$2:$D10975,""SELECT A WHERE D = '""&amp;K6905&amp;""'"")),""USER TIDAK DIKETAHUI""))"),"")</f>
        <v/>
      </c>
    </row>
    <row r="6906">
      <c r="A6906" s="21" t="str">
        <f t="shared" si="3"/>
        <v/>
      </c>
      <c r="B6906" s="38"/>
      <c r="C6906" s="23"/>
      <c r="D6906" s="23"/>
      <c r="E6906" s="24"/>
      <c r="F6906" s="25"/>
      <c r="G6906" s="25"/>
      <c r="H6906" s="27"/>
      <c r="I6906" s="28"/>
      <c r="J6906" s="39"/>
      <c r="K6906" s="41"/>
      <c r="L6906" s="31" t="str">
        <f>IFERROR(__xludf.DUMMYFUNCTION("IF(OR(E6906="""",K6906=""""),"""",IFERROR(IF(K6906="""","""",query('tbl user'!$A$2:$D10975,""SELECT A WHERE D = '""&amp;K6906&amp;""'"")),""USER TIDAK DIKETAHUI""))"),"")</f>
        <v/>
      </c>
    </row>
    <row r="6907">
      <c r="A6907" s="21" t="str">
        <f t="shared" si="3"/>
        <v/>
      </c>
      <c r="B6907" s="38"/>
      <c r="C6907" s="23"/>
      <c r="D6907" s="23"/>
      <c r="E6907" s="24"/>
      <c r="F6907" s="25"/>
      <c r="G6907" s="25"/>
      <c r="H6907" s="27"/>
      <c r="I6907" s="28"/>
      <c r="J6907" s="39"/>
      <c r="K6907" s="41"/>
      <c r="L6907" s="31" t="str">
        <f>IFERROR(__xludf.DUMMYFUNCTION("IF(OR(E6907="""",K6907=""""),"""",IFERROR(IF(K6907="""","""",query('tbl user'!$A$2:$D10975,""SELECT A WHERE D = '""&amp;K6907&amp;""'"")),""USER TIDAK DIKETAHUI""))"),"")</f>
        <v/>
      </c>
    </row>
    <row r="6908">
      <c r="A6908" s="21" t="str">
        <f t="shared" si="3"/>
        <v/>
      </c>
      <c r="B6908" s="38"/>
      <c r="C6908" s="23"/>
      <c r="D6908" s="23"/>
      <c r="E6908" s="24"/>
      <c r="F6908" s="25"/>
      <c r="G6908" s="25"/>
      <c r="H6908" s="27"/>
      <c r="I6908" s="28"/>
      <c r="J6908" s="39"/>
      <c r="K6908" s="41"/>
      <c r="L6908" s="31" t="str">
        <f>IFERROR(__xludf.DUMMYFUNCTION("IF(OR(E6908="""",K6908=""""),"""",IFERROR(IF(K6908="""","""",query('tbl user'!$A$2:$D10975,""SELECT A WHERE D = '""&amp;K6908&amp;""'"")),""USER TIDAK DIKETAHUI""))"),"")</f>
        <v/>
      </c>
    </row>
    <row r="6909">
      <c r="A6909" s="21" t="str">
        <f t="shared" si="3"/>
        <v/>
      </c>
      <c r="B6909" s="38"/>
      <c r="C6909" s="23"/>
      <c r="D6909" s="23"/>
      <c r="E6909" s="24"/>
      <c r="F6909" s="25"/>
      <c r="G6909" s="25"/>
      <c r="H6909" s="27"/>
      <c r="I6909" s="28"/>
      <c r="J6909" s="39"/>
      <c r="K6909" s="41"/>
      <c r="L6909" s="31" t="str">
        <f>IFERROR(__xludf.DUMMYFUNCTION("IF(OR(E6909="""",K6909=""""),"""",IFERROR(IF(K6909="""","""",query('tbl user'!$A$2:$D10975,""SELECT A WHERE D = '""&amp;K6909&amp;""'"")),""USER TIDAK DIKETAHUI""))"),"")</f>
        <v/>
      </c>
    </row>
    <row r="6910">
      <c r="A6910" s="21" t="str">
        <f t="shared" si="3"/>
        <v/>
      </c>
      <c r="B6910" s="38"/>
      <c r="C6910" s="23"/>
      <c r="D6910" s="23"/>
      <c r="E6910" s="24"/>
      <c r="F6910" s="25"/>
      <c r="G6910" s="25"/>
      <c r="H6910" s="27"/>
      <c r="I6910" s="28"/>
      <c r="J6910" s="39"/>
      <c r="K6910" s="41"/>
      <c r="L6910" s="31" t="str">
        <f>IFERROR(__xludf.DUMMYFUNCTION("IF(OR(E6910="""",K6910=""""),"""",IFERROR(IF(K6910="""","""",query('tbl user'!$A$2:$D10975,""SELECT A WHERE D = '""&amp;K6910&amp;""'"")),""USER TIDAK DIKETAHUI""))"),"")</f>
        <v/>
      </c>
    </row>
    <row r="6911">
      <c r="A6911" s="21" t="str">
        <f t="shared" si="3"/>
        <v/>
      </c>
      <c r="B6911" s="38"/>
      <c r="C6911" s="23"/>
      <c r="D6911" s="23"/>
      <c r="E6911" s="24"/>
      <c r="F6911" s="25"/>
      <c r="G6911" s="25"/>
      <c r="H6911" s="27"/>
      <c r="I6911" s="28"/>
      <c r="J6911" s="39"/>
      <c r="K6911" s="41"/>
      <c r="L6911" s="31" t="str">
        <f>IFERROR(__xludf.DUMMYFUNCTION("IF(OR(E6911="""",K6911=""""),"""",IFERROR(IF(K6911="""","""",query('tbl user'!$A$2:$D10975,""SELECT A WHERE D = '""&amp;K6911&amp;""'"")),""USER TIDAK DIKETAHUI""))"),"")</f>
        <v/>
      </c>
    </row>
    <row r="6912">
      <c r="A6912" s="21" t="str">
        <f t="shared" si="3"/>
        <v/>
      </c>
      <c r="B6912" s="38"/>
      <c r="C6912" s="23"/>
      <c r="D6912" s="23"/>
      <c r="E6912" s="24"/>
      <c r="F6912" s="25"/>
      <c r="G6912" s="25"/>
      <c r="H6912" s="27"/>
      <c r="I6912" s="28"/>
      <c r="J6912" s="39"/>
      <c r="K6912" s="41"/>
      <c r="L6912" s="31" t="str">
        <f>IFERROR(__xludf.DUMMYFUNCTION("IF(OR(E6912="""",K6912=""""),"""",IFERROR(IF(K6912="""","""",query('tbl user'!$A$2:$D10975,""SELECT A WHERE D = '""&amp;K6912&amp;""'"")),""USER TIDAK DIKETAHUI""))"),"")</f>
        <v/>
      </c>
    </row>
    <row r="6913">
      <c r="A6913" s="21" t="str">
        <f t="shared" si="3"/>
        <v/>
      </c>
      <c r="B6913" s="38"/>
      <c r="C6913" s="23"/>
      <c r="D6913" s="23"/>
      <c r="E6913" s="24"/>
      <c r="F6913" s="25"/>
      <c r="G6913" s="25"/>
      <c r="H6913" s="27"/>
      <c r="I6913" s="28"/>
      <c r="J6913" s="39"/>
      <c r="K6913" s="41"/>
      <c r="L6913" s="31" t="str">
        <f>IFERROR(__xludf.DUMMYFUNCTION("IF(OR(E6913="""",K6913=""""),"""",IFERROR(IF(K6913="""","""",query('tbl user'!$A$2:$D10975,""SELECT A WHERE D = '""&amp;K6913&amp;""'"")),""USER TIDAK DIKETAHUI""))"),"")</f>
        <v/>
      </c>
    </row>
    <row r="6914">
      <c r="A6914" s="21" t="str">
        <f t="shared" si="3"/>
        <v/>
      </c>
      <c r="B6914" s="38"/>
      <c r="C6914" s="23"/>
      <c r="D6914" s="23"/>
      <c r="E6914" s="24"/>
      <c r="F6914" s="25"/>
      <c r="G6914" s="25"/>
      <c r="H6914" s="27"/>
      <c r="I6914" s="28"/>
      <c r="J6914" s="39"/>
      <c r="K6914" s="41"/>
      <c r="L6914" s="31" t="str">
        <f>IFERROR(__xludf.DUMMYFUNCTION("IF(OR(E6914="""",K6914=""""),"""",IFERROR(IF(K6914="""","""",query('tbl user'!$A$2:$D10975,""SELECT A WHERE D = '""&amp;K6914&amp;""'"")),""USER TIDAK DIKETAHUI""))"),"")</f>
        <v/>
      </c>
    </row>
    <row r="6915">
      <c r="A6915" s="21" t="str">
        <f t="shared" si="3"/>
        <v/>
      </c>
      <c r="B6915" s="38"/>
      <c r="C6915" s="23"/>
      <c r="D6915" s="23"/>
      <c r="E6915" s="24"/>
      <c r="F6915" s="25"/>
      <c r="G6915" s="25"/>
      <c r="H6915" s="27"/>
      <c r="I6915" s="28"/>
      <c r="J6915" s="39"/>
      <c r="K6915" s="41"/>
      <c r="L6915" s="31" t="str">
        <f>IFERROR(__xludf.DUMMYFUNCTION("IF(OR(E6915="""",K6915=""""),"""",IFERROR(IF(K6915="""","""",query('tbl user'!$A$2:$D10975,""SELECT A WHERE D = '""&amp;K6915&amp;""'"")),""USER TIDAK DIKETAHUI""))"),"")</f>
        <v/>
      </c>
    </row>
    <row r="6916">
      <c r="A6916" s="21" t="str">
        <f t="shared" si="3"/>
        <v/>
      </c>
      <c r="B6916" s="38"/>
      <c r="C6916" s="23"/>
      <c r="D6916" s="23"/>
      <c r="E6916" s="24"/>
      <c r="F6916" s="25"/>
      <c r="G6916" s="25"/>
      <c r="H6916" s="27"/>
      <c r="I6916" s="28"/>
      <c r="J6916" s="39"/>
      <c r="K6916" s="41"/>
      <c r="L6916" s="31" t="str">
        <f>IFERROR(__xludf.DUMMYFUNCTION("IF(OR(E6916="""",K6916=""""),"""",IFERROR(IF(K6916="""","""",query('tbl user'!$A$2:$D10975,""SELECT A WHERE D = '""&amp;K6916&amp;""'"")),""USER TIDAK DIKETAHUI""))"),"")</f>
        <v/>
      </c>
    </row>
    <row r="6917">
      <c r="A6917" s="21" t="str">
        <f t="shared" si="3"/>
        <v/>
      </c>
      <c r="B6917" s="38"/>
      <c r="C6917" s="23"/>
      <c r="D6917" s="23"/>
      <c r="E6917" s="24"/>
      <c r="F6917" s="25"/>
      <c r="G6917" s="25"/>
      <c r="H6917" s="27"/>
      <c r="I6917" s="28"/>
      <c r="J6917" s="39"/>
      <c r="K6917" s="41"/>
      <c r="L6917" s="31" t="str">
        <f>IFERROR(__xludf.DUMMYFUNCTION("IF(OR(E6917="""",K6917=""""),"""",IFERROR(IF(K6917="""","""",query('tbl user'!$A$2:$D10975,""SELECT A WHERE D = '""&amp;K6917&amp;""'"")),""USER TIDAK DIKETAHUI""))"),"")</f>
        <v/>
      </c>
    </row>
    <row r="6918">
      <c r="A6918" s="21" t="str">
        <f t="shared" si="3"/>
        <v/>
      </c>
      <c r="B6918" s="38"/>
      <c r="C6918" s="23"/>
      <c r="D6918" s="23"/>
      <c r="E6918" s="24"/>
      <c r="F6918" s="25"/>
      <c r="G6918" s="25"/>
      <c r="H6918" s="27"/>
      <c r="I6918" s="28"/>
      <c r="J6918" s="39"/>
      <c r="K6918" s="41"/>
      <c r="L6918" s="31" t="str">
        <f>IFERROR(__xludf.DUMMYFUNCTION("IF(OR(E6918="""",K6918=""""),"""",IFERROR(IF(K6918="""","""",query('tbl user'!$A$2:$D10975,""SELECT A WHERE D = '""&amp;K6918&amp;""'"")),""USER TIDAK DIKETAHUI""))"),"")</f>
        <v/>
      </c>
    </row>
    <row r="6919">
      <c r="A6919" s="21" t="str">
        <f t="shared" si="3"/>
        <v/>
      </c>
      <c r="B6919" s="38"/>
      <c r="C6919" s="23"/>
      <c r="D6919" s="23"/>
      <c r="E6919" s="24"/>
      <c r="F6919" s="25"/>
      <c r="G6919" s="25"/>
      <c r="H6919" s="27"/>
      <c r="I6919" s="28"/>
      <c r="J6919" s="39"/>
      <c r="K6919" s="41"/>
      <c r="L6919" s="31" t="str">
        <f>IFERROR(__xludf.DUMMYFUNCTION("IF(OR(E6919="""",K6919=""""),"""",IFERROR(IF(K6919="""","""",query('tbl user'!$A$2:$D10975,""SELECT A WHERE D = '""&amp;K6919&amp;""'"")),""USER TIDAK DIKETAHUI""))"),"")</f>
        <v/>
      </c>
    </row>
    <row r="6920">
      <c r="A6920" s="21" t="str">
        <f t="shared" si="3"/>
        <v/>
      </c>
      <c r="B6920" s="38"/>
      <c r="C6920" s="23"/>
      <c r="D6920" s="23"/>
      <c r="E6920" s="24"/>
      <c r="F6920" s="25"/>
      <c r="G6920" s="25"/>
      <c r="H6920" s="27"/>
      <c r="I6920" s="28"/>
      <c r="J6920" s="39"/>
      <c r="K6920" s="41"/>
      <c r="L6920" s="31" t="str">
        <f>IFERROR(__xludf.DUMMYFUNCTION("IF(OR(E6920="""",K6920=""""),"""",IFERROR(IF(K6920="""","""",query('tbl user'!$A$2:$D10975,""SELECT A WHERE D = '""&amp;K6920&amp;""'"")),""USER TIDAK DIKETAHUI""))"),"")</f>
        <v/>
      </c>
    </row>
    <row r="6921">
      <c r="A6921" s="21" t="str">
        <f t="shared" si="3"/>
        <v/>
      </c>
      <c r="B6921" s="38"/>
      <c r="C6921" s="23"/>
      <c r="D6921" s="23"/>
      <c r="E6921" s="24"/>
      <c r="F6921" s="25"/>
      <c r="G6921" s="25"/>
      <c r="H6921" s="27"/>
      <c r="I6921" s="28"/>
      <c r="J6921" s="39"/>
      <c r="K6921" s="41"/>
      <c r="L6921" s="31" t="str">
        <f>IFERROR(__xludf.DUMMYFUNCTION("IF(OR(E6921="""",K6921=""""),"""",IFERROR(IF(K6921="""","""",query('tbl user'!$A$2:$D10975,""SELECT A WHERE D = '""&amp;K6921&amp;""'"")),""USER TIDAK DIKETAHUI""))"),"")</f>
        <v/>
      </c>
    </row>
    <row r="6922">
      <c r="A6922" s="21" t="str">
        <f t="shared" si="3"/>
        <v/>
      </c>
      <c r="B6922" s="38"/>
      <c r="C6922" s="23"/>
      <c r="D6922" s="23"/>
      <c r="E6922" s="24"/>
      <c r="F6922" s="25"/>
      <c r="G6922" s="25"/>
      <c r="H6922" s="27"/>
      <c r="I6922" s="28"/>
      <c r="J6922" s="39"/>
      <c r="K6922" s="41"/>
      <c r="L6922" s="31" t="str">
        <f>IFERROR(__xludf.DUMMYFUNCTION("IF(OR(E6922="""",K6922=""""),"""",IFERROR(IF(K6922="""","""",query('tbl user'!$A$2:$D10975,""SELECT A WHERE D = '""&amp;K6922&amp;""'"")),""USER TIDAK DIKETAHUI""))"),"")</f>
        <v/>
      </c>
    </row>
    <row r="6923">
      <c r="A6923" s="21" t="str">
        <f t="shared" si="3"/>
        <v/>
      </c>
      <c r="B6923" s="38"/>
      <c r="C6923" s="23"/>
      <c r="D6923" s="23"/>
      <c r="E6923" s="24"/>
      <c r="F6923" s="25"/>
      <c r="G6923" s="25"/>
      <c r="H6923" s="27"/>
      <c r="I6923" s="28"/>
      <c r="J6923" s="39"/>
      <c r="K6923" s="41"/>
      <c r="L6923" s="31" t="str">
        <f>IFERROR(__xludf.DUMMYFUNCTION("IF(OR(E6923="""",K6923=""""),"""",IFERROR(IF(K6923="""","""",query('tbl user'!$A$2:$D10975,""SELECT A WHERE D = '""&amp;K6923&amp;""'"")),""USER TIDAK DIKETAHUI""))"),"")</f>
        <v/>
      </c>
    </row>
    <row r="6924">
      <c r="A6924" s="21" t="str">
        <f t="shared" si="3"/>
        <v/>
      </c>
      <c r="B6924" s="38"/>
      <c r="C6924" s="23"/>
      <c r="D6924" s="23"/>
      <c r="E6924" s="24"/>
      <c r="F6924" s="25"/>
      <c r="G6924" s="25"/>
      <c r="H6924" s="27"/>
      <c r="I6924" s="28"/>
      <c r="J6924" s="39"/>
      <c r="K6924" s="41"/>
      <c r="L6924" s="31" t="str">
        <f>IFERROR(__xludf.DUMMYFUNCTION("IF(OR(E6924="""",K6924=""""),"""",IFERROR(IF(K6924="""","""",query('tbl user'!$A$2:$D10975,""SELECT A WHERE D = '""&amp;K6924&amp;""'"")),""USER TIDAK DIKETAHUI""))"),"")</f>
        <v/>
      </c>
    </row>
    <row r="6925">
      <c r="A6925" s="21" t="str">
        <f t="shared" si="3"/>
        <v/>
      </c>
      <c r="B6925" s="38"/>
      <c r="C6925" s="23"/>
      <c r="D6925" s="23"/>
      <c r="E6925" s="24"/>
      <c r="F6925" s="25"/>
      <c r="G6925" s="25"/>
      <c r="H6925" s="27"/>
      <c r="I6925" s="28"/>
      <c r="J6925" s="39"/>
      <c r="K6925" s="41"/>
      <c r="L6925" s="31" t="str">
        <f>IFERROR(__xludf.DUMMYFUNCTION("IF(OR(E6925="""",K6925=""""),"""",IFERROR(IF(K6925="""","""",query('tbl user'!$A$2:$D10975,""SELECT A WHERE D = '""&amp;K6925&amp;""'"")),""USER TIDAK DIKETAHUI""))"),"")</f>
        <v/>
      </c>
    </row>
    <row r="6926">
      <c r="A6926" s="21" t="str">
        <f t="shared" si="3"/>
        <v/>
      </c>
      <c r="B6926" s="38"/>
      <c r="C6926" s="23"/>
      <c r="D6926" s="23"/>
      <c r="E6926" s="24"/>
      <c r="F6926" s="25"/>
      <c r="G6926" s="25"/>
      <c r="H6926" s="27"/>
      <c r="I6926" s="28"/>
      <c r="J6926" s="39"/>
      <c r="K6926" s="41"/>
      <c r="L6926" s="31" t="str">
        <f>IFERROR(__xludf.DUMMYFUNCTION("IF(OR(E6926="""",K6926=""""),"""",IFERROR(IF(K6926="""","""",query('tbl user'!$A$2:$D10975,""SELECT A WHERE D = '""&amp;K6926&amp;""'"")),""USER TIDAK DIKETAHUI""))"),"")</f>
        <v/>
      </c>
    </row>
    <row r="6927">
      <c r="A6927" s="21" t="str">
        <f t="shared" si="3"/>
        <v/>
      </c>
      <c r="B6927" s="38"/>
      <c r="C6927" s="23"/>
      <c r="D6927" s="23"/>
      <c r="E6927" s="24"/>
      <c r="F6927" s="25"/>
      <c r="G6927" s="25"/>
      <c r="H6927" s="27"/>
      <c r="I6927" s="28"/>
      <c r="J6927" s="39"/>
      <c r="K6927" s="41"/>
      <c r="L6927" s="31" t="str">
        <f>IFERROR(__xludf.DUMMYFUNCTION("IF(OR(E6927="""",K6927=""""),"""",IFERROR(IF(K6927="""","""",query('tbl user'!$A$2:$D10975,""SELECT A WHERE D = '""&amp;K6927&amp;""'"")),""USER TIDAK DIKETAHUI""))"),"")</f>
        <v/>
      </c>
    </row>
    <row r="6928">
      <c r="A6928" s="21" t="str">
        <f t="shared" si="3"/>
        <v/>
      </c>
      <c r="B6928" s="38"/>
      <c r="C6928" s="23"/>
      <c r="D6928" s="23"/>
      <c r="E6928" s="24"/>
      <c r="F6928" s="25"/>
      <c r="G6928" s="25"/>
      <c r="H6928" s="27"/>
      <c r="I6928" s="28"/>
      <c r="J6928" s="39"/>
      <c r="K6928" s="41"/>
      <c r="L6928" s="31" t="str">
        <f>IFERROR(__xludf.DUMMYFUNCTION("IF(OR(E6928="""",K6928=""""),"""",IFERROR(IF(K6928="""","""",query('tbl user'!$A$2:$D10975,""SELECT A WHERE D = '""&amp;K6928&amp;""'"")),""USER TIDAK DIKETAHUI""))"),"")</f>
        <v/>
      </c>
    </row>
    <row r="6929">
      <c r="A6929" s="21" t="str">
        <f t="shared" si="3"/>
        <v/>
      </c>
      <c r="B6929" s="38"/>
      <c r="C6929" s="23"/>
      <c r="D6929" s="23"/>
      <c r="E6929" s="24"/>
      <c r="F6929" s="25"/>
      <c r="G6929" s="25"/>
      <c r="H6929" s="27"/>
      <c r="I6929" s="28"/>
      <c r="J6929" s="39"/>
      <c r="K6929" s="41"/>
      <c r="L6929" s="31" t="str">
        <f>IFERROR(__xludf.DUMMYFUNCTION("IF(OR(E6929="""",K6929=""""),"""",IFERROR(IF(K6929="""","""",query('tbl user'!$A$2:$D10975,""SELECT A WHERE D = '""&amp;K6929&amp;""'"")),""USER TIDAK DIKETAHUI""))"),"")</f>
        <v/>
      </c>
    </row>
    <row r="6930">
      <c r="A6930" s="21" t="str">
        <f t="shared" si="3"/>
        <v/>
      </c>
      <c r="B6930" s="38"/>
      <c r="C6930" s="23"/>
      <c r="D6930" s="23"/>
      <c r="E6930" s="24"/>
      <c r="F6930" s="25"/>
      <c r="G6930" s="25"/>
      <c r="H6930" s="27"/>
      <c r="I6930" s="28"/>
      <c r="J6930" s="39"/>
      <c r="K6930" s="41"/>
      <c r="L6930" s="31" t="str">
        <f>IFERROR(__xludf.DUMMYFUNCTION("IF(OR(E6930="""",K6930=""""),"""",IFERROR(IF(K6930="""","""",query('tbl user'!$A$2:$D10975,""SELECT A WHERE D = '""&amp;K6930&amp;""'"")),""USER TIDAK DIKETAHUI""))"),"")</f>
        <v/>
      </c>
    </row>
    <row r="6931">
      <c r="A6931" s="21" t="str">
        <f t="shared" si="3"/>
        <v/>
      </c>
      <c r="B6931" s="38"/>
      <c r="C6931" s="23"/>
      <c r="D6931" s="23"/>
      <c r="E6931" s="24"/>
      <c r="F6931" s="25"/>
      <c r="G6931" s="25"/>
      <c r="H6931" s="27"/>
      <c r="I6931" s="28"/>
      <c r="J6931" s="39"/>
      <c r="K6931" s="41"/>
      <c r="L6931" s="31" t="str">
        <f>IFERROR(__xludf.DUMMYFUNCTION("IF(OR(E6931="""",K6931=""""),"""",IFERROR(IF(K6931="""","""",query('tbl user'!$A$2:$D10975,""SELECT A WHERE D = '""&amp;K6931&amp;""'"")),""USER TIDAK DIKETAHUI""))"),"")</f>
        <v/>
      </c>
    </row>
    <row r="6932">
      <c r="A6932" s="21" t="str">
        <f t="shared" si="3"/>
        <v/>
      </c>
      <c r="B6932" s="38"/>
      <c r="C6932" s="23"/>
      <c r="D6932" s="23"/>
      <c r="E6932" s="24"/>
      <c r="F6932" s="25"/>
      <c r="G6932" s="25"/>
      <c r="H6932" s="27"/>
      <c r="I6932" s="28"/>
      <c r="J6932" s="39"/>
      <c r="K6932" s="41"/>
      <c r="L6932" s="31" t="str">
        <f>IFERROR(__xludf.DUMMYFUNCTION("IF(OR(E6932="""",K6932=""""),"""",IFERROR(IF(K6932="""","""",query('tbl user'!$A$2:$D10975,""SELECT A WHERE D = '""&amp;K6932&amp;""'"")),""USER TIDAK DIKETAHUI""))"),"")</f>
        <v/>
      </c>
    </row>
    <row r="6933">
      <c r="A6933" s="21" t="str">
        <f t="shared" si="3"/>
        <v/>
      </c>
      <c r="B6933" s="38"/>
      <c r="C6933" s="23"/>
      <c r="D6933" s="23"/>
      <c r="E6933" s="24"/>
      <c r="F6933" s="25"/>
      <c r="G6933" s="25"/>
      <c r="H6933" s="27"/>
      <c r="I6933" s="28"/>
      <c r="J6933" s="39"/>
      <c r="K6933" s="41"/>
      <c r="L6933" s="31" t="str">
        <f>IFERROR(__xludf.DUMMYFUNCTION("IF(OR(E6933="""",K6933=""""),"""",IFERROR(IF(K6933="""","""",query('tbl user'!$A$2:$D10975,""SELECT A WHERE D = '""&amp;K6933&amp;""'"")),""USER TIDAK DIKETAHUI""))"),"")</f>
        <v/>
      </c>
    </row>
    <row r="6934">
      <c r="A6934" s="21" t="str">
        <f t="shared" si="3"/>
        <v/>
      </c>
      <c r="B6934" s="38"/>
      <c r="C6934" s="23"/>
      <c r="D6934" s="23"/>
      <c r="E6934" s="24"/>
      <c r="F6934" s="25"/>
      <c r="G6934" s="25"/>
      <c r="H6934" s="27"/>
      <c r="I6934" s="28"/>
      <c r="J6934" s="39"/>
      <c r="K6934" s="41"/>
      <c r="L6934" s="31" t="str">
        <f>IFERROR(__xludf.DUMMYFUNCTION("IF(OR(E6934="""",K6934=""""),"""",IFERROR(IF(K6934="""","""",query('tbl user'!$A$2:$D10975,""SELECT A WHERE D = '""&amp;K6934&amp;""'"")),""USER TIDAK DIKETAHUI""))"),"")</f>
        <v/>
      </c>
    </row>
    <row r="6935">
      <c r="A6935" s="21" t="str">
        <f t="shared" si="3"/>
        <v/>
      </c>
      <c r="B6935" s="38"/>
      <c r="C6935" s="23"/>
      <c r="D6935" s="23"/>
      <c r="E6935" s="24"/>
      <c r="F6935" s="25"/>
      <c r="G6935" s="25"/>
      <c r="H6935" s="27"/>
      <c r="I6935" s="28"/>
      <c r="J6935" s="39"/>
      <c r="K6935" s="41"/>
      <c r="L6935" s="31" t="str">
        <f>IFERROR(__xludf.DUMMYFUNCTION("IF(OR(E6935="""",K6935=""""),"""",IFERROR(IF(K6935="""","""",query('tbl user'!$A$2:$D10975,""SELECT A WHERE D = '""&amp;K6935&amp;""'"")),""USER TIDAK DIKETAHUI""))"),"")</f>
        <v/>
      </c>
    </row>
    <row r="6936">
      <c r="A6936" s="21" t="str">
        <f t="shared" si="3"/>
        <v/>
      </c>
      <c r="B6936" s="38"/>
      <c r="C6936" s="23"/>
      <c r="D6936" s="23"/>
      <c r="E6936" s="24"/>
      <c r="F6936" s="25"/>
      <c r="G6936" s="25"/>
      <c r="H6936" s="27"/>
      <c r="I6936" s="28"/>
      <c r="J6936" s="39"/>
      <c r="K6936" s="41"/>
      <c r="L6936" s="31" t="str">
        <f>IFERROR(__xludf.DUMMYFUNCTION("IF(OR(E6936="""",K6936=""""),"""",IFERROR(IF(K6936="""","""",query('tbl user'!$A$2:$D10975,""SELECT A WHERE D = '""&amp;K6936&amp;""'"")),""USER TIDAK DIKETAHUI""))"),"")</f>
        <v/>
      </c>
    </row>
    <row r="6937">
      <c r="A6937" s="21" t="str">
        <f t="shared" si="3"/>
        <v/>
      </c>
      <c r="B6937" s="38"/>
      <c r="C6937" s="23"/>
      <c r="D6937" s="23"/>
      <c r="E6937" s="24"/>
      <c r="F6937" s="25"/>
      <c r="G6937" s="25"/>
      <c r="H6937" s="27"/>
      <c r="I6937" s="28"/>
      <c r="J6937" s="39"/>
      <c r="K6937" s="41"/>
      <c r="L6937" s="31" t="str">
        <f>IFERROR(__xludf.DUMMYFUNCTION("IF(OR(E6937="""",K6937=""""),"""",IFERROR(IF(K6937="""","""",query('tbl user'!$A$2:$D10975,""SELECT A WHERE D = '""&amp;K6937&amp;""'"")),""USER TIDAK DIKETAHUI""))"),"")</f>
        <v/>
      </c>
    </row>
    <row r="6938">
      <c r="A6938" s="21" t="str">
        <f t="shared" si="3"/>
        <v/>
      </c>
      <c r="B6938" s="38"/>
      <c r="C6938" s="23"/>
      <c r="D6938" s="23"/>
      <c r="E6938" s="24"/>
      <c r="F6938" s="25"/>
      <c r="G6938" s="25"/>
      <c r="H6938" s="27"/>
      <c r="I6938" s="28"/>
      <c r="J6938" s="39"/>
      <c r="K6938" s="41"/>
      <c r="L6938" s="31" t="str">
        <f>IFERROR(__xludf.DUMMYFUNCTION("IF(OR(E6938="""",K6938=""""),"""",IFERROR(IF(K6938="""","""",query('tbl user'!$A$2:$D10975,""SELECT A WHERE D = '""&amp;K6938&amp;""'"")),""USER TIDAK DIKETAHUI""))"),"")</f>
        <v/>
      </c>
    </row>
    <row r="6939">
      <c r="A6939" s="21" t="str">
        <f t="shared" si="3"/>
        <v/>
      </c>
      <c r="B6939" s="38"/>
      <c r="C6939" s="23"/>
      <c r="D6939" s="23"/>
      <c r="E6939" s="24"/>
      <c r="F6939" s="25"/>
      <c r="G6939" s="25"/>
      <c r="H6939" s="27"/>
      <c r="I6939" s="28"/>
      <c r="J6939" s="39"/>
      <c r="K6939" s="41"/>
      <c r="L6939" s="31" t="str">
        <f>IFERROR(__xludf.DUMMYFUNCTION("IF(OR(E6939="""",K6939=""""),"""",IFERROR(IF(K6939="""","""",query('tbl user'!$A$2:$D10975,""SELECT A WHERE D = '""&amp;K6939&amp;""'"")),""USER TIDAK DIKETAHUI""))"),"")</f>
        <v/>
      </c>
    </row>
    <row r="6940">
      <c r="A6940" s="21" t="str">
        <f t="shared" si="3"/>
        <v/>
      </c>
      <c r="B6940" s="38"/>
      <c r="C6940" s="23"/>
      <c r="D6940" s="23"/>
      <c r="E6940" s="24"/>
      <c r="F6940" s="25"/>
      <c r="G6940" s="25"/>
      <c r="H6940" s="27"/>
      <c r="I6940" s="28"/>
      <c r="J6940" s="39"/>
      <c r="K6940" s="41"/>
      <c r="L6940" s="31" t="str">
        <f>IFERROR(__xludf.DUMMYFUNCTION("IF(OR(E6940="""",K6940=""""),"""",IFERROR(IF(K6940="""","""",query('tbl user'!$A$2:$D10975,""SELECT A WHERE D = '""&amp;K6940&amp;""'"")),""USER TIDAK DIKETAHUI""))"),"")</f>
        <v/>
      </c>
    </row>
    <row r="6941">
      <c r="A6941" s="21" t="str">
        <f t="shared" si="3"/>
        <v/>
      </c>
      <c r="B6941" s="38"/>
      <c r="C6941" s="23"/>
      <c r="D6941" s="23"/>
      <c r="E6941" s="24"/>
      <c r="F6941" s="25"/>
      <c r="G6941" s="25"/>
      <c r="H6941" s="27"/>
      <c r="I6941" s="28"/>
      <c r="J6941" s="39"/>
      <c r="K6941" s="41"/>
      <c r="L6941" s="31" t="str">
        <f>IFERROR(__xludf.DUMMYFUNCTION("IF(OR(E6941="""",K6941=""""),"""",IFERROR(IF(K6941="""","""",query('tbl user'!$A$2:$D10975,""SELECT A WHERE D = '""&amp;K6941&amp;""'"")),""USER TIDAK DIKETAHUI""))"),"")</f>
        <v/>
      </c>
    </row>
    <row r="6942">
      <c r="A6942" s="21" t="str">
        <f t="shared" si="3"/>
        <v/>
      </c>
      <c r="B6942" s="38"/>
      <c r="C6942" s="23"/>
      <c r="D6942" s="23"/>
      <c r="E6942" s="24"/>
      <c r="F6942" s="25"/>
      <c r="G6942" s="25"/>
      <c r="H6942" s="27"/>
      <c r="I6942" s="28"/>
      <c r="J6942" s="39"/>
      <c r="K6942" s="41"/>
      <c r="L6942" s="31" t="str">
        <f>IFERROR(__xludf.DUMMYFUNCTION("IF(OR(E6942="""",K6942=""""),"""",IFERROR(IF(K6942="""","""",query('tbl user'!$A$2:$D10975,""SELECT A WHERE D = '""&amp;K6942&amp;""'"")),""USER TIDAK DIKETAHUI""))"),"")</f>
        <v/>
      </c>
    </row>
    <row r="6943">
      <c r="A6943" s="21" t="str">
        <f t="shared" si="3"/>
        <v/>
      </c>
      <c r="B6943" s="38"/>
      <c r="C6943" s="23"/>
      <c r="D6943" s="23"/>
      <c r="E6943" s="24"/>
      <c r="F6943" s="25"/>
      <c r="G6943" s="25"/>
      <c r="H6943" s="27"/>
      <c r="I6943" s="28"/>
      <c r="J6943" s="39"/>
      <c r="K6943" s="41"/>
      <c r="L6943" s="31" t="str">
        <f>IFERROR(__xludf.DUMMYFUNCTION("IF(OR(E6943="""",K6943=""""),"""",IFERROR(IF(K6943="""","""",query('tbl user'!$A$2:$D10975,""SELECT A WHERE D = '""&amp;K6943&amp;""'"")),""USER TIDAK DIKETAHUI""))"),"")</f>
        <v/>
      </c>
    </row>
    <row r="6944">
      <c r="A6944" s="21" t="str">
        <f t="shared" si="3"/>
        <v/>
      </c>
      <c r="B6944" s="38"/>
      <c r="C6944" s="23"/>
      <c r="D6944" s="23"/>
      <c r="E6944" s="24"/>
      <c r="F6944" s="25"/>
      <c r="G6944" s="25"/>
      <c r="H6944" s="27"/>
      <c r="I6944" s="28"/>
      <c r="J6944" s="39"/>
      <c r="K6944" s="41"/>
      <c r="L6944" s="31" t="str">
        <f>IFERROR(__xludf.DUMMYFUNCTION("IF(OR(E6944="""",K6944=""""),"""",IFERROR(IF(K6944="""","""",query('tbl user'!$A$2:$D10975,""SELECT A WHERE D = '""&amp;K6944&amp;""'"")),""USER TIDAK DIKETAHUI""))"),"")</f>
        <v/>
      </c>
    </row>
    <row r="6945">
      <c r="A6945" s="21" t="str">
        <f t="shared" si="3"/>
        <v/>
      </c>
      <c r="B6945" s="38"/>
      <c r="C6945" s="23"/>
      <c r="D6945" s="23"/>
      <c r="E6945" s="24"/>
      <c r="F6945" s="25"/>
      <c r="G6945" s="25"/>
      <c r="H6945" s="27"/>
      <c r="I6945" s="28"/>
      <c r="J6945" s="39"/>
      <c r="K6945" s="41"/>
      <c r="L6945" s="31" t="str">
        <f>IFERROR(__xludf.DUMMYFUNCTION("IF(OR(E6945="""",K6945=""""),"""",IFERROR(IF(K6945="""","""",query('tbl user'!$A$2:$D10975,""SELECT A WHERE D = '""&amp;K6945&amp;""'"")),""USER TIDAK DIKETAHUI""))"),"")</f>
        <v/>
      </c>
    </row>
    <row r="6946">
      <c r="A6946" s="21" t="str">
        <f t="shared" si="3"/>
        <v/>
      </c>
      <c r="B6946" s="38"/>
      <c r="C6946" s="23"/>
      <c r="D6946" s="23"/>
      <c r="E6946" s="24"/>
      <c r="F6946" s="25"/>
      <c r="G6946" s="25"/>
      <c r="H6946" s="27"/>
      <c r="I6946" s="28"/>
      <c r="J6946" s="39"/>
      <c r="K6946" s="41"/>
      <c r="L6946" s="31" t="str">
        <f>IFERROR(__xludf.DUMMYFUNCTION("IF(OR(E6946="""",K6946=""""),"""",IFERROR(IF(K6946="""","""",query('tbl user'!$A$2:$D10975,""SELECT A WHERE D = '""&amp;K6946&amp;""'"")),""USER TIDAK DIKETAHUI""))"),"")</f>
        <v/>
      </c>
    </row>
    <row r="6947">
      <c r="A6947" s="21" t="str">
        <f t="shared" si="3"/>
        <v/>
      </c>
      <c r="B6947" s="38"/>
      <c r="C6947" s="23"/>
      <c r="D6947" s="23"/>
      <c r="E6947" s="24"/>
      <c r="F6947" s="25"/>
      <c r="G6947" s="25"/>
      <c r="H6947" s="27"/>
      <c r="I6947" s="28"/>
      <c r="J6947" s="39"/>
      <c r="K6947" s="41"/>
      <c r="L6947" s="31" t="str">
        <f>IFERROR(__xludf.DUMMYFUNCTION("IF(OR(E6947="""",K6947=""""),"""",IFERROR(IF(K6947="""","""",query('tbl user'!$A$2:$D10975,""SELECT A WHERE D = '""&amp;K6947&amp;""'"")),""USER TIDAK DIKETAHUI""))"),"")</f>
        <v/>
      </c>
    </row>
    <row r="6948">
      <c r="A6948" s="21" t="str">
        <f t="shared" si="3"/>
        <v/>
      </c>
      <c r="B6948" s="38"/>
      <c r="C6948" s="23"/>
      <c r="D6948" s="23"/>
      <c r="E6948" s="24"/>
      <c r="F6948" s="25"/>
      <c r="G6948" s="25"/>
      <c r="H6948" s="27"/>
      <c r="I6948" s="28"/>
      <c r="J6948" s="39"/>
      <c r="K6948" s="41"/>
      <c r="L6948" s="31" t="str">
        <f>IFERROR(__xludf.DUMMYFUNCTION("IF(OR(E6948="""",K6948=""""),"""",IFERROR(IF(K6948="""","""",query('tbl user'!$A$2:$D10975,""SELECT A WHERE D = '""&amp;K6948&amp;""'"")),""USER TIDAK DIKETAHUI""))"),"")</f>
        <v/>
      </c>
    </row>
    <row r="6949">
      <c r="A6949" s="21" t="str">
        <f t="shared" si="3"/>
        <v/>
      </c>
      <c r="B6949" s="38"/>
      <c r="C6949" s="23"/>
      <c r="D6949" s="23"/>
      <c r="E6949" s="24"/>
      <c r="F6949" s="25"/>
      <c r="G6949" s="25"/>
      <c r="H6949" s="27"/>
      <c r="I6949" s="28"/>
      <c r="J6949" s="39"/>
      <c r="K6949" s="41"/>
      <c r="L6949" s="31" t="str">
        <f>IFERROR(__xludf.DUMMYFUNCTION("IF(OR(E6949="""",K6949=""""),"""",IFERROR(IF(K6949="""","""",query('tbl user'!$A$2:$D10975,""SELECT A WHERE D = '""&amp;K6949&amp;""'"")),""USER TIDAK DIKETAHUI""))"),"")</f>
        <v/>
      </c>
    </row>
    <row r="6950">
      <c r="A6950" s="21" t="str">
        <f t="shared" si="3"/>
        <v/>
      </c>
      <c r="B6950" s="38"/>
      <c r="C6950" s="23"/>
      <c r="D6950" s="23"/>
      <c r="E6950" s="24"/>
      <c r="F6950" s="25"/>
      <c r="G6950" s="25"/>
      <c r="H6950" s="27"/>
      <c r="I6950" s="28"/>
      <c r="J6950" s="39"/>
      <c r="K6950" s="41"/>
      <c r="L6950" s="31" t="str">
        <f>IFERROR(__xludf.DUMMYFUNCTION("IF(OR(E6950="""",K6950=""""),"""",IFERROR(IF(K6950="""","""",query('tbl user'!$A$2:$D10975,""SELECT A WHERE D = '""&amp;K6950&amp;""'"")),""USER TIDAK DIKETAHUI""))"),"")</f>
        <v/>
      </c>
    </row>
    <row r="6951">
      <c r="A6951" s="21" t="str">
        <f t="shared" si="3"/>
        <v/>
      </c>
      <c r="B6951" s="38"/>
      <c r="C6951" s="23"/>
      <c r="D6951" s="23"/>
      <c r="E6951" s="24"/>
      <c r="F6951" s="25"/>
      <c r="G6951" s="25"/>
      <c r="H6951" s="27"/>
      <c r="I6951" s="28"/>
      <c r="J6951" s="39"/>
      <c r="K6951" s="41"/>
      <c r="L6951" s="31" t="str">
        <f>IFERROR(__xludf.DUMMYFUNCTION("IF(OR(E6951="""",K6951=""""),"""",IFERROR(IF(K6951="""","""",query('tbl user'!$A$2:$D10975,""SELECT A WHERE D = '""&amp;K6951&amp;""'"")),""USER TIDAK DIKETAHUI""))"),"")</f>
        <v/>
      </c>
    </row>
    <row r="6952">
      <c r="A6952" s="21" t="str">
        <f t="shared" si="3"/>
        <v/>
      </c>
      <c r="B6952" s="38"/>
      <c r="C6952" s="23"/>
      <c r="D6952" s="23"/>
      <c r="E6952" s="24"/>
      <c r="F6952" s="25"/>
      <c r="G6952" s="25"/>
      <c r="H6952" s="27"/>
      <c r="I6952" s="28"/>
      <c r="J6952" s="39"/>
      <c r="K6952" s="41"/>
      <c r="L6952" s="31" t="str">
        <f>IFERROR(__xludf.DUMMYFUNCTION("IF(OR(E6952="""",K6952=""""),"""",IFERROR(IF(K6952="""","""",query('tbl user'!$A$2:$D10975,""SELECT A WHERE D = '""&amp;K6952&amp;""'"")),""USER TIDAK DIKETAHUI""))"),"")</f>
        <v/>
      </c>
    </row>
    <row r="6953">
      <c r="A6953" s="21" t="str">
        <f t="shared" si="3"/>
        <v/>
      </c>
      <c r="B6953" s="38"/>
      <c r="C6953" s="23"/>
      <c r="D6953" s="23"/>
      <c r="E6953" s="24"/>
      <c r="F6953" s="25"/>
      <c r="G6953" s="25"/>
      <c r="H6953" s="27"/>
      <c r="I6953" s="28"/>
      <c r="J6953" s="39"/>
      <c r="K6953" s="41"/>
      <c r="L6953" s="31" t="str">
        <f>IFERROR(__xludf.DUMMYFUNCTION("IF(OR(E6953="""",K6953=""""),"""",IFERROR(IF(K6953="""","""",query('tbl user'!$A$2:$D10975,""SELECT A WHERE D = '""&amp;K6953&amp;""'"")),""USER TIDAK DIKETAHUI""))"),"")</f>
        <v/>
      </c>
    </row>
    <row r="6954">
      <c r="A6954" s="21" t="str">
        <f t="shared" si="3"/>
        <v/>
      </c>
      <c r="B6954" s="38"/>
      <c r="C6954" s="23"/>
      <c r="D6954" s="23"/>
      <c r="E6954" s="24"/>
      <c r="F6954" s="25"/>
      <c r="G6954" s="25"/>
      <c r="H6954" s="27"/>
      <c r="I6954" s="28"/>
      <c r="J6954" s="39"/>
      <c r="K6954" s="41"/>
      <c r="L6954" s="31" t="str">
        <f>IFERROR(__xludf.DUMMYFUNCTION("IF(OR(E6954="""",K6954=""""),"""",IFERROR(IF(K6954="""","""",query('tbl user'!$A$2:$D10975,""SELECT A WHERE D = '""&amp;K6954&amp;""'"")),""USER TIDAK DIKETAHUI""))"),"")</f>
        <v/>
      </c>
    </row>
    <row r="6955">
      <c r="A6955" s="21" t="str">
        <f t="shared" si="3"/>
        <v/>
      </c>
      <c r="B6955" s="38"/>
      <c r="C6955" s="23"/>
      <c r="D6955" s="23"/>
      <c r="E6955" s="24"/>
      <c r="F6955" s="25"/>
      <c r="G6955" s="25"/>
      <c r="H6955" s="27"/>
      <c r="I6955" s="28"/>
      <c r="J6955" s="39"/>
      <c r="K6955" s="41"/>
      <c r="L6955" s="31" t="str">
        <f>IFERROR(__xludf.DUMMYFUNCTION("IF(OR(E6955="""",K6955=""""),"""",IFERROR(IF(K6955="""","""",query('tbl user'!$A$2:$D10975,""SELECT A WHERE D = '""&amp;K6955&amp;""'"")),""USER TIDAK DIKETAHUI""))"),"")</f>
        <v/>
      </c>
    </row>
    <row r="6956">
      <c r="A6956" s="21" t="str">
        <f t="shared" si="3"/>
        <v/>
      </c>
      <c r="B6956" s="38"/>
      <c r="C6956" s="23"/>
      <c r="D6956" s="23"/>
      <c r="E6956" s="24"/>
      <c r="F6956" s="25"/>
      <c r="G6956" s="25"/>
      <c r="H6956" s="27"/>
      <c r="I6956" s="28"/>
      <c r="J6956" s="39"/>
      <c r="K6956" s="41"/>
      <c r="L6956" s="31" t="str">
        <f>IFERROR(__xludf.DUMMYFUNCTION("IF(OR(E6956="""",K6956=""""),"""",IFERROR(IF(K6956="""","""",query('tbl user'!$A$2:$D10975,""SELECT A WHERE D = '""&amp;K6956&amp;""'"")),""USER TIDAK DIKETAHUI""))"),"")</f>
        <v/>
      </c>
    </row>
    <row r="6957">
      <c r="A6957" s="21" t="str">
        <f t="shared" si="3"/>
        <v/>
      </c>
      <c r="B6957" s="38"/>
      <c r="C6957" s="23"/>
      <c r="D6957" s="23"/>
      <c r="E6957" s="24"/>
      <c r="F6957" s="25"/>
      <c r="G6957" s="25"/>
      <c r="H6957" s="27"/>
      <c r="I6957" s="28"/>
      <c r="J6957" s="39"/>
      <c r="K6957" s="41"/>
      <c r="L6957" s="31" t="str">
        <f>IFERROR(__xludf.DUMMYFUNCTION("IF(OR(E6957="""",K6957=""""),"""",IFERROR(IF(K6957="""","""",query('tbl user'!$A$2:$D10975,""SELECT A WHERE D = '""&amp;K6957&amp;""'"")),""USER TIDAK DIKETAHUI""))"),"")</f>
        <v/>
      </c>
    </row>
    <row r="6958">
      <c r="A6958" s="21" t="str">
        <f t="shared" si="3"/>
        <v/>
      </c>
      <c r="B6958" s="38"/>
      <c r="C6958" s="23"/>
      <c r="D6958" s="23"/>
      <c r="E6958" s="24"/>
      <c r="F6958" s="25"/>
      <c r="G6958" s="25"/>
      <c r="H6958" s="27"/>
      <c r="I6958" s="28"/>
      <c r="J6958" s="39"/>
      <c r="K6958" s="41"/>
      <c r="L6958" s="31" t="str">
        <f>IFERROR(__xludf.DUMMYFUNCTION("IF(OR(E6958="""",K6958=""""),"""",IFERROR(IF(K6958="""","""",query('tbl user'!$A$2:$D10975,""SELECT A WHERE D = '""&amp;K6958&amp;""'"")),""USER TIDAK DIKETAHUI""))"),"")</f>
        <v/>
      </c>
    </row>
    <row r="6959">
      <c r="A6959" s="21" t="str">
        <f t="shared" si="3"/>
        <v/>
      </c>
      <c r="B6959" s="38"/>
      <c r="C6959" s="23"/>
      <c r="D6959" s="23"/>
      <c r="E6959" s="24"/>
      <c r="F6959" s="25"/>
      <c r="G6959" s="25"/>
      <c r="H6959" s="27"/>
      <c r="I6959" s="28"/>
      <c r="J6959" s="39"/>
      <c r="K6959" s="41"/>
      <c r="L6959" s="31" t="str">
        <f>IFERROR(__xludf.DUMMYFUNCTION("IF(OR(E6959="""",K6959=""""),"""",IFERROR(IF(K6959="""","""",query('tbl user'!$A$2:$D10975,""SELECT A WHERE D = '""&amp;K6959&amp;""'"")),""USER TIDAK DIKETAHUI""))"),"")</f>
        <v/>
      </c>
    </row>
    <row r="6960">
      <c r="A6960" s="21" t="str">
        <f t="shared" si="3"/>
        <v/>
      </c>
      <c r="B6960" s="38"/>
      <c r="C6960" s="23"/>
      <c r="D6960" s="23"/>
      <c r="E6960" s="24"/>
      <c r="F6960" s="25"/>
      <c r="G6960" s="25"/>
      <c r="H6960" s="27"/>
      <c r="I6960" s="28"/>
      <c r="J6960" s="39"/>
      <c r="K6960" s="41"/>
      <c r="L6960" s="31" t="str">
        <f>IFERROR(__xludf.DUMMYFUNCTION("IF(OR(E6960="""",K6960=""""),"""",IFERROR(IF(K6960="""","""",query('tbl user'!$A$2:$D10975,""SELECT A WHERE D = '""&amp;K6960&amp;""'"")),""USER TIDAK DIKETAHUI""))"),"")</f>
        <v/>
      </c>
    </row>
    <row r="6961">
      <c r="A6961" s="21" t="str">
        <f t="shared" si="3"/>
        <v/>
      </c>
      <c r="B6961" s="38"/>
      <c r="C6961" s="23"/>
      <c r="D6961" s="23"/>
      <c r="E6961" s="24"/>
      <c r="F6961" s="25"/>
      <c r="G6961" s="25"/>
      <c r="H6961" s="27"/>
      <c r="I6961" s="28"/>
      <c r="J6961" s="39"/>
      <c r="K6961" s="41"/>
      <c r="L6961" s="31" t="str">
        <f>IFERROR(__xludf.DUMMYFUNCTION("IF(OR(E6961="""",K6961=""""),"""",IFERROR(IF(K6961="""","""",query('tbl user'!$A$2:$D10975,""SELECT A WHERE D = '""&amp;K6961&amp;""'"")),""USER TIDAK DIKETAHUI""))"),"")</f>
        <v/>
      </c>
    </row>
    <row r="6962">
      <c r="A6962" s="21" t="str">
        <f t="shared" si="3"/>
        <v/>
      </c>
      <c r="B6962" s="38"/>
      <c r="C6962" s="23"/>
      <c r="D6962" s="23"/>
      <c r="E6962" s="24"/>
      <c r="F6962" s="25"/>
      <c r="G6962" s="25"/>
      <c r="H6962" s="27"/>
      <c r="I6962" s="28"/>
      <c r="J6962" s="39"/>
      <c r="K6962" s="41"/>
      <c r="L6962" s="31" t="str">
        <f>IFERROR(__xludf.DUMMYFUNCTION("IF(OR(E6962="""",K6962=""""),"""",IFERROR(IF(K6962="""","""",query('tbl user'!$A$2:$D10975,""SELECT A WHERE D = '""&amp;K6962&amp;""'"")),""USER TIDAK DIKETAHUI""))"),"")</f>
        <v/>
      </c>
    </row>
    <row r="6963">
      <c r="A6963" s="21" t="str">
        <f t="shared" si="3"/>
        <v/>
      </c>
      <c r="B6963" s="38"/>
      <c r="C6963" s="23"/>
      <c r="D6963" s="23"/>
      <c r="E6963" s="24"/>
      <c r="F6963" s="25"/>
      <c r="G6963" s="25"/>
      <c r="H6963" s="27"/>
      <c r="I6963" s="28"/>
      <c r="J6963" s="39"/>
      <c r="K6963" s="41"/>
      <c r="L6963" s="31" t="str">
        <f>IFERROR(__xludf.DUMMYFUNCTION("IF(OR(E6963="""",K6963=""""),"""",IFERROR(IF(K6963="""","""",query('tbl user'!$A$2:$D10975,""SELECT A WHERE D = '""&amp;K6963&amp;""'"")),""USER TIDAK DIKETAHUI""))"),"")</f>
        <v/>
      </c>
    </row>
    <row r="6964">
      <c r="A6964" s="21" t="str">
        <f t="shared" si="3"/>
        <v/>
      </c>
      <c r="B6964" s="38"/>
      <c r="C6964" s="23"/>
      <c r="D6964" s="23"/>
      <c r="E6964" s="24"/>
      <c r="F6964" s="25"/>
      <c r="G6964" s="25"/>
      <c r="H6964" s="27"/>
      <c r="I6964" s="28"/>
      <c r="J6964" s="39"/>
      <c r="K6964" s="41"/>
      <c r="L6964" s="31" t="str">
        <f>IFERROR(__xludf.DUMMYFUNCTION("IF(OR(E6964="""",K6964=""""),"""",IFERROR(IF(K6964="""","""",query('tbl user'!$A$2:$D10975,""SELECT A WHERE D = '""&amp;K6964&amp;""'"")),""USER TIDAK DIKETAHUI""))"),"")</f>
        <v/>
      </c>
    </row>
    <row r="6965">
      <c r="A6965" s="21" t="str">
        <f t="shared" si="3"/>
        <v/>
      </c>
      <c r="B6965" s="38"/>
      <c r="C6965" s="23"/>
      <c r="D6965" s="23"/>
      <c r="E6965" s="24"/>
      <c r="F6965" s="25"/>
      <c r="G6965" s="25"/>
      <c r="H6965" s="27"/>
      <c r="I6965" s="28"/>
      <c r="J6965" s="39"/>
      <c r="K6965" s="41"/>
      <c r="L6965" s="31" t="str">
        <f>IFERROR(__xludf.DUMMYFUNCTION("IF(OR(E6965="""",K6965=""""),"""",IFERROR(IF(K6965="""","""",query('tbl user'!$A$2:$D10975,""SELECT A WHERE D = '""&amp;K6965&amp;""'"")),""USER TIDAK DIKETAHUI""))"),"")</f>
        <v/>
      </c>
    </row>
    <row r="6966">
      <c r="A6966" s="21" t="str">
        <f t="shared" si="3"/>
        <v/>
      </c>
      <c r="B6966" s="38"/>
      <c r="C6966" s="23"/>
      <c r="D6966" s="23"/>
      <c r="E6966" s="24"/>
      <c r="F6966" s="25"/>
      <c r="G6966" s="25"/>
      <c r="H6966" s="27"/>
      <c r="I6966" s="28"/>
      <c r="J6966" s="39"/>
      <c r="K6966" s="41"/>
      <c r="L6966" s="31" t="str">
        <f>IFERROR(__xludf.DUMMYFUNCTION("IF(OR(E6966="""",K6966=""""),"""",IFERROR(IF(K6966="""","""",query('tbl user'!$A$2:$D10975,""SELECT A WHERE D = '""&amp;K6966&amp;""'"")),""USER TIDAK DIKETAHUI""))"),"")</f>
        <v/>
      </c>
    </row>
    <row r="6967">
      <c r="A6967" s="21" t="str">
        <f t="shared" si="3"/>
        <v/>
      </c>
      <c r="B6967" s="38"/>
      <c r="C6967" s="23"/>
      <c r="D6967" s="23"/>
      <c r="E6967" s="24"/>
      <c r="F6967" s="25"/>
      <c r="G6967" s="25"/>
      <c r="H6967" s="27"/>
      <c r="I6967" s="28"/>
      <c r="J6967" s="39"/>
      <c r="K6967" s="41"/>
      <c r="L6967" s="31" t="str">
        <f>IFERROR(__xludf.DUMMYFUNCTION("IF(OR(E6967="""",K6967=""""),"""",IFERROR(IF(K6967="""","""",query('tbl user'!$A$2:$D10975,""SELECT A WHERE D = '""&amp;K6967&amp;""'"")),""USER TIDAK DIKETAHUI""))"),"")</f>
        <v/>
      </c>
    </row>
    <row r="6968">
      <c r="A6968" s="21" t="str">
        <f t="shared" si="3"/>
        <v/>
      </c>
      <c r="B6968" s="38"/>
      <c r="C6968" s="23"/>
      <c r="D6968" s="23"/>
      <c r="E6968" s="24"/>
      <c r="F6968" s="25"/>
      <c r="G6968" s="25"/>
      <c r="H6968" s="27"/>
      <c r="I6968" s="28"/>
      <c r="J6968" s="39"/>
      <c r="K6968" s="41"/>
      <c r="L6968" s="31" t="str">
        <f>IFERROR(__xludf.DUMMYFUNCTION("IF(OR(E6968="""",K6968=""""),"""",IFERROR(IF(K6968="""","""",query('tbl user'!$A$2:$D10975,""SELECT A WHERE D = '""&amp;K6968&amp;""'"")),""USER TIDAK DIKETAHUI""))"),"")</f>
        <v/>
      </c>
    </row>
    <row r="6969">
      <c r="A6969" s="21" t="str">
        <f t="shared" si="3"/>
        <v/>
      </c>
      <c r="B6969" s="38"/>
      <c r="C6969" s="23"/>
      <c r="D6969" s="23"/>
      <c r="E6969" s="24"/>
      <c r="F6969" s="25"/>
      <c r="G6969" s="25"/>
      <c r="H6969" s="27"/>
      <c r="I6969" s="28"/>
      <c r="J6969" s="39"/>
      <c r="K6969" s="41"/>
      <c r="L6969" s="31" t="str">
        <f>IFERROR(__xludf.DUMMYFUNCTION("IF(OR(E6969="""",K6969=""""),"""",IFERROR(IF(K6969="""","""",query('tbl user'!$A$2:$D10975,""SELECT A WHERE D = '""&amp;K6969&amp;""'"")),""USER TIDAK DIKETAHUI""))"),"")</f>
        <v/>
      </c>
    </row>
    <row r="6970">
      <c r="A6970" s="21" t="str">
        <f t="shared" si="3"/>
        <v/>
      </c>
      <c r="B6970" s="38"/>
      <c r="C6970" s="23"/>
      <c r="D6970" s="23"/>
      <c r="E6970" s="24"/>
      <c r="F6970" s="25"/>
      <c r="G6970" s="25"/>
      <c r="H6970" s="27"/>
      <c r="I6970" s="28"/>
      <c r="J6970" s="39"/>
      <c r="K6970" s="41"/>
      <c r="L6970" s="31" t="str">
        <f>IFERROR(__xludf.DUMMYFUNCTION("IF(OR(E6970="""",K6970=""""),"""",IFERROR(IF(K6970="""","""",query('tbl user'!$A$2:$D10975,""SELECT A WHERE D = '""&amp;K6970&amp;""'"")),""USER TIDAK DIKETAHUI""))"),"")</f>
        <v/>
      </c>
    </row>
    <row r="6971">
      <c r="A6971" s="21" t="str">
        <f t="shared" si="3"/>
        <v/>
      </c>
      <c r="B6971" s="38"/>
      <c r="C6971" s="23"/>
      <c r="D6971" s="23"/>
      <c r="E6971" s="24"/>
      <c r="F6971" s="25"/>
      <c r="G6971" s="25"/>
      <c r="H6971" s="27"/>
      <c r="I6971" s="28"/>
      <c r="J6971" s="39"/>
      <c r="K6971" s="41"/>
      <c r="L6971" s="31" t="str">
        <f>IFERROR(__xludf.DUMMYFUNCTION("IF(OR(E6971="""",K6971=""""),"""",IFERROR(IF(K6971="""","""",query('tbl user'!$A$2:$D10975,""SELECT A WHERE D = '""&amp;K6971&amp;""'"")),""USER TIDAK DIKETAHUI""))"),"")</f>
        <v/>
      </c>
    </row>
    <row r="6972">
      <c r="A6972" s="21" t="str">
        <f t="shared" si="3"/>
        <v/>
      </c>
      <c r="B6972" s="38"/>
      <c r="C6972" s="23"/>
      <c r="D6972" s="23"/>
      <c r="E6972" s="24"/>
      <c r="F6972" s="25"/>
      <c r="G6972" s="25"/>
      <c r="H6972" s="27"/>
      <c r="I6972" s="28"/>
      <c r="J6972" s="39"/>
      <c r="K6972" s="41"/>
      <c r="L6972" s="31" t="str">
        <f>IFERROR(__xludf.DUMMYFUNCTION("IF(OR(E6972="""",K6972=""""),"""",IFERROR(IF(K6972="""","""",query('tbl user'!$A$2:$D10975,""SELECT A WHERE D = '""&amp;K6972&amp;""'"")),""USER TIDAK DIKETAHUI""))"),"")</f>
        <v/>
      </c>
    </row>
    <row r="6973">
      <c r="A6973" s="21" t="str">
        <f t="shared" si="3"/>
        <v/>
      </c>
      <c r="B6973" s="38"/>
      <c r="C6973" s="23"/>
      <c r="D6973" s="23"/>
      <c r="E6973" s="24"/>
      <c r="F6973" s="25"/>
      <c r="G6973" s="25"/>
      <c r="H6973" s="27"/>
      <c r="I6973" s="28"/>
      <c r="J6973" s="39"/>
      <c r="K6973" s="41"/>
      <c r="L6973" s="31" t="str">
        <f>IFERROR(__xludf.DUMMYFUNCTION("IF(OR(E6973="""",K6973=""""),"""",IFERROR(IF(K6973="""","""",query('tbl user'!$A$2:$D10975,""SELECT A WHERE D = '""&amp;K6973&amp;""'"")),""USER TIDAK DIKETAHUI""))"),"")</f>
        <v/>
      </c>
    </row>
    <row r="6974">
      <c r="A6974" s="21" t="str">
        <f t="shared" si="3"/>
        <v/>
      </c>
      <c r="B6974" s="38"/>
      <c r="C6974" s="23"/>
      <c r="D6974" s="23"/>
      <c r="E6974" s="24"/>
      <c r="F6974" s="25"/>
      <c r="G6974" s="25"/>
      <c r="H6974" s="27"/>
      <c r="I6974" s="28"/>
      <c r="J6974" s="39"/>
      <c r="K6974" s="41"/>
      <c r="L6974" s="31" t="str">
        <f>IFERROR(__xludf.DUMMYFUNCTION("IF(OR(E6974="""",K6974=""""),"""",IFERROR(IF(K6974="""","""",query('tbl user'!$A$2:$D10975,""SELECT A WHERE D = '""&amp;K6974&amp;""'"")),""USER TIDAK DIKETAHUI""))"),"")</f>
        <v/>
      </c>
    </row>
    <row r="6975">
      <c r="A6975" s="21" t="str">
        <f t="shared" si="3"/>
        <v/>
      </c>
      <c r="B6975" s="38"/>
      <c r="C6975" s="23"/>
      <c r="D6975" s="23"/>
      <c r="E6975" s="24"/>
      <c r="F6975" s="25"/>
      <c r="G6975" s="25"/>
      <c r="H6975" s="27"/>
      <c r="I6975" s="28"/>
      <c r="J6975" s="39"/>
      <c r="K6975" s="41"/>
      <c r="L6975" s="31" t="str">
        <f>IFERROR(__xludf.DUMMYFUNCTION("IF(OR(E6975="""",K6975=""""),"""",IFERROR(IF(K6975="""","""",query('tbl user'!$A$2:$D10975,""SELECT A WHERE D = '""&amp;K6975&amp;""'"")),""USER TIDAK DIKETAHUI""))"),"")</f>
        <v/>
      </c>
    </row>
    <row r="6976">
      <c r="A6976" s="21" t="str">
        <f t="shared" si="3"/>
        <v/>
      </c>
      <c r="B6976" s="38"/>
      <c r="C6976" s="23"/>
      <c r="D6976" s="23"/>
      <c r="E6976" s="24"/>
      <c r="F6976" s="25"/>
      <c r="G6976" s="25"/>
      <c r="H6976" s="27"/>
      <c r="I6976" s="28"/>
      <c r="J6976" s="39"/>
      <c r="K6976" s="41"/>
      <c r="L6976" s="31" t="str">
        <f>IFERROR(__xludf.DUMMYFUNCTION("IF(OR(E6976="""",K6976=""""),"""",IFERROR(IF(K6976="""","""",query('tbl user'!$A$2:$D10975,""SELECT A WHERE D = '""&amp;K6976&amp;""'"")),""USER TIDAK DIKETAHUI""))"),"")</f>
        <v/>
      </c>
    </row>
    <row r="6977">
      <c r="A6977" s="21" t="str">
        <f t="shared" si="3"/>
        <v/>
      </c>
      <c r="B6977" s="38"/>
      <c r="C6977" s="23"/>
      <c r="D6977" s="23"/>
      <c r="E6977" s="24"/>
      <c r="F6977" s="25"/>
      <c r="G6977" s="25"/>
      <c r="H6977" s="27"/>
      <c r="I6977" s="28"/>
      <c r="J6977" s="39"/>
      <c r="K6977" s="41"/>
      <c r="L6977" s="31" t="str">
        <f>IFERROR(__xludf.DUMMYFUNCTION("IF(OR(E6977="""",K6977=""""),"""",IFERROR(IF(K6977="""","""",query('tbl user'!$A$2:$D10975,""SELECT A WHERE D = '""&amp;K6977&amp;""'"")),""USER TIDAK DIKETAHUI""))"),"")</f>
        <v/>
      </c>
    </row>
    <row r="6978">
      <c r="A6978" s="21" t="str">
        <f t="shared" si="3"/>
        <v/>
      </c>
      <c r="B6978" s="38"/>
      <c r="C6978" s="23"/>
      <c r="D6978" s="23"/>
      <c r="E6978" s="24"/>
      <c r="F6978" s="25"/>
      <c r="G6978" s="25"/>
      <c r="H6978" s="27"/>
      <c r="I6978" s="28"/>
      <c r="J6978" s="39"/>
      <c r="K6978" s="41"/>
      <c r="L6978" s="31" t="str">
        <f>IFERROR(__xludf.DUMMYFUNCTION("IF(OR(E6978="""",K6978=""""),"""",IFERROR(IF(K6978="""","""",query('tbl user'!$A$2:$D10975,""SELECT A WHERE D = '""&amp;K6978&amp;""'"")),""USER TIDAK DIKETAHUI""))"),"")</f>
        <v/>
      </c>
    </row>
    <row r="6979">
      <c r="A6979" s="21" t="str">
        <f t="shared" si="3"/>
        <v/>
      </c>
      <c r="B6979" s="38"/>
      <c r="C6979" s="23"/>
      <c r="D6979" s="23"/>
      <c r="E6979" s="24"/>
      <c r="F6979" s="25"/>
      <c r="G6979" s="25"/>
      <c r="H6979" s="27"/>
      <c r="I6979" s="28"/>
      <c r="J6979" s="39"/>
      <c r="K6979" s="41"/>
      <c r="L6979" s="31" t="str">
        <f>IFERROR(__xludf.DUMMYFUNCTION("IF(OR(E6979="""",K6979=""""),"""",IFERROR(IF(K6979="""","""",query('tbl user'!$A$2:$D10975,""SELECT A WHERE D = '""&amp;K6979&amp;""'"")),""USER TIDAK DIKETAHUI""))"),"")</f>
        <v/>
      </c>
    </row>
    <row r="6980">
      <c r="A6980" s="21" t="str">
        <f t="shared" si="3"/>
        <v/>
      </c>
      <c r="B6980" s="38"/>
      <c r="C6980" s="23"/>
      <c r="D6980" s="23"/>
      <c r="E6980" s="24"/>
      <c r="F6980" s="25"/>
      <c r="G6980" s="25"/>
      <c r="H6980" s="27"/>
      <c r="I6980" s="28"/>
      <c r="J6980" s="39"/>
      <c r="K6980" s="41"/>
      <c r="L6980" s="31" t="str">
        <f>IFERROR(__xludf.DUMMYFUNCTION("IF(OR(E6980="""",K6980=""""),"""",IFERROR(IF(K6980="""","""",query('tbl user'!$A$2:$D10975,""SELECT A WHERE D = '""&amp;K6980&amp;""'"")),""USER TIDAK DIKETAHUI""))"),"")</f>
        <v/>
      </c>
    </row>
    <row r="6981">
      <c r="A6981" s="21" t="str">
        <f t="shared" si="3"/>
        <v/>
      </c>
      <c r="B6981" s="38"/>
      <c r="C6981" s="23"/>
      <c r="D6981" s="23"/>
      <c r="E6981" s="24"/>
      <c r="F6981" s="25"/>
      <c r="G6981" s="25"/>
      <c r="H6981" s="27"/>
      <c r="I6981" s="28"/>
      <c r="J6981" s="39"/>
      <c r="K6981" s="41"/>
      <c r="L6981" s="31" t="str">
        <f>IFERROR(__xludf.DUMMYFUNCTION("IF(OR(E6981="""",K6981=""""),"""",IFERROR(IF(K6981="""","""",query('tbl user'!$A$2:$D10975,""SELECT A WHERE D = '""&amp;K6981&amp;""'"")),""USER TIDAK DIKETAHUI""))"),"")</f>
        <v/>
      </c>
    </row>
    <row r="6982">
      <c r="A6982" s="21" t="str">
        <f t="shared" si="3"/>
        <v/>
      </c>
      <c r="B6982" s="38"/>
      <c r="C6982" s="23"/>
      <c r="D6982" s="23"/>
      <c r="E6982" s="24"/>
      <c r="F6982" s="25"/>
      <c r="G6982" s="25"/>
      <c r="H6982" s="27"/>
      <c r="I6982" s="28"/>
      <c r="J6982" s="39"/>
      <c r="K6982" s="41"/>
      <c r="L6982" s="31" t="str">
        <f>IFERROR(__xludf.DUMMYFUNCTION("IF(OR(E6982="""",K6982=""""),"""",IFERROR(IF(K6982="""","""",query('tbl user'!$A$2:$D10975,""SELECT A WHERE D = '""&amp;K6982&amp;""'"")),""USER TIDAK DIKETAHUI""))"),"")</f>
        <v/>
      </c>
    </row>
    <row r="6983">
      <c r="A6983" s="21" t="str">
        <f t="shared" si="3"/>
        <v/>
      </c>
      <c r="B6983" s="38"/>
      <c r="C6983" s="23"/>
      <c r="D6983" s="23"/>
      <c r="E6983" s="24"/>
      <c r="F6983" s="25"/>
      <c r="G6983" s="25"/>
      <c r="H6983" s="27"/>
      <c r="I6983" s="28"/>
      <c r="J6983" s="39"/>
      <c r="K6983" s="41"/>
      <c r="L6983" s="31" t="str">
        <f>IFERROR(__xludf.DUMMYFUNCTION("IF(OR(E6983="""",K6983=""""),"""",IFERROR(IF(K6983="""","""",query('tbl user'!$A$2:$D10975,""SELECT A WHERE D = '""&amp;K6983&amp;""'"")),""USER TIDAK DIKETAHUI""))"),"")</f>
        <v/>
      </c>
    </row>
    <row r="6984">
      <c r="A6984" s="21" t="str">
        <f t="shared" si="3"/>
        <v/>
      </c>
      <c r="B6984" s="38"/>
      <c r="C6984" s="23"/>
      <c r="D6984" s="23"/>
      <c r="E6984" s="24"/>
      <c r="F6984" s="25"/>
      <c r="G6984" s="25"/>
      <c r="H6984" s="27"/>
      <c r="I6984" s="28"/>
      <c r="J6984" s="39"/>
      <c r="K6984" s="41"/>
      <c r="L6984" s="31" t="str">
        <f>IFERROR(__xludf.DUMMYFUNCTION("IF(OR(E6984="""",K6984=""""),"""",IFERROR(IF(K6984="""","""",query('tbl user'!$A$2:$D10975,""SELECT A WHERE D = '""&amp;K6984&amp;""'"")),""USER TIDAK DIKETAHUI""))"),"")</f>
        <v/>
      </c>
    </row>
    <row r="6985">
      <c r="A6985" s="21" t="str">
        <f t="shared" si="3"/>
        <v/>
      </c>
      <c r="B6985" s="38"/>
      <c r="C6985" s="23"/>
      <c r="D6985" s="23"/>
      <c r="E6985" s="24"/>
      <c r="F6985" s="25"/>
      <c r="G6985" s="25"/>
      <c r="H6985" s="27"/>
      <c r="I6985" s="28"/>
      <c r="J6985" s="39"/>
      <c r="K6985" s="41"/>
      <c r="L6985" s="31" t="str">
        <f>IFERROR(__xludf.DUMMYFUNCTION("IF(OR(E6985="""",K6985=""""),"""",IFERROR(IF(K6985="""","""",query('tbl user'!$A$2:$D10975,""SELECT A WHERE D = '""&amp;K6985&amp;""'"")),""USER TIDAK DIKETAHUI""))"),"")</f>
        <v/>
      </c>
    </row>
    <row r="6986">
      <c r="A6986" s="21" t="str">
        <f t="shared" si="3"/>
        <v/>
      </c>
      <c r="B6986" s="38"/>
      <c r="C6986" s="23"/>
      <c r="D6986" s="23"/>
      <c r="E6986" s="24"/>
      <c r="F6986" s="25"/>
      <c r="G6986" s="25"/>
      <c r="H6986" s="27"/>
      <c r="I6986" s="28"/>
      <c r="J6986" s="39"/>
      <c r="K6986" s="41"/>
      <c r="L6986" s="31" t="str">
        <f>IFERROR(__xludf.DUMMYFUNCTION("IF(OR(E6986="""",K6986=""""),"""",IFERROR(IF(K6986="""","""",query('tbl user'!$A$2:$D10975,""SELECT A WHERE D = '""&amp;K6986&amp;""'"")),""USER TIDAK DIKETAHUI""))"),"")</f>
        <v/>
      </c>
    </row>
    <row r="6987">
      <c r="A6987" s="21" t="str">
        <f t="shared" si="3"/>
        <v/>
      </c>
      <c r="B6987" s="38"/>
      <c r="C6987" s="23"/>
      <c r="D6987" s="23"/>
      <c r="E6987" s="24"/>
      <c r="F6987" s="25"/>
      <c r="G6987" s="25"/>
      <c r="H6987" s="27"/>
      <c r="I6987" s="28"/>
      <c r="J6987" s="39"/>
      <c r="K6987" s="41"/>
      <c r="L6987" s="31" t="str">
        <f>IFERROR(__xludf.DUMMYFUNCTION("IF(OR(E6987="""",K6987=""""),"""",IFERROR(IF(K6987="""","""",query('tbl user'!$A$2:$D10975,""SELECT A WHERE D = '""&amp;K6987&amp;""'"")),""USER TIDAK DIKETAHUI""))"),"")</f>
        <v/>
      </c>
    </row>
    <row r="6988">
      <c r="A6988" s="21" t="str">
        <f t="shared" si="3"/>
        <v/>
      </c>
      <c r="B6988" s="38"/>
      <c r="C6988" s="23"/>
      <c r="D6988" s="23"/>
      <c r="E6988" s="24"/>
      <c r="F6988" s="25"/>
      <c r="G6988" s="25"/>
      <c r="H6988" s="27"/>
      <c r="I6988" s="28"/>
      <c r="J6988" s="39"/>
      <c r="K6988" s="41"/>
      <c r="L6988" s="31" t="str">
        <f>IFERROR(__xludf.DUMMYFUNCTION("IF(OR(E6988="""",K6988=""""),"""",IFERROR(IF(K6988="""","""",query('tbl user'!$A$2:$D10975,""SELECT A WHERE D = '""&amp;K6988&amp;""'"")),""USER TIDAK DIKETAHUI""))"),"")</f>
        <v/>
      </c>
    </row>
    <row r="6989">
      <c r="A6989" s="21" t="str">
        <f t="shared" si="3"/>
        <v/>
      </c>
      <c r="B6989" s="38"/>
      <c r="C6989" s="23"/>
      <c r="D6989" s="23"/>
      <c r="E6989" s="24"/>
      <c r="F6989" s="25"/>
      <c r="G6989" s="25"/>
      <c r="H6989" s="27"/>
      <c r="I6989" s="28"/>
      <c r="J6989" s="39"/>
      <c r="K6989" s="41"/>
      <c r="L6989" s="31" t="str">
        <f>IFERROR(__xludf.DUMMYFUNCTION("IF(OR(E6989="""",K6989=""""),"""",IFERROR(IF(K6989="""","""",query('tbl user'!$A$2:$D10975,""SELECT A WHERE D = '""&amp;K6989&amp;""'"")),""USER TIDAK DIKETAHUI""))"),"")</f>
        <v/>
      </c>
    </row>
    <row r="6990">
      <c r="A6990" s="21" t="str">
        <f t="shared" si="3"/>
        <v/>
      </c>
      <c r="B6990" s="38"/>
      <c r="C6990" s="23"/>
      <c r="D6990" s="23"/>
      <c r="E6990" s="24"/>
      <c r="F6990" s="25"/>
      <c r="G6990" s="25"/>
      <c r="H6990" s="27"/>
      <c r="I6990" s="28"/>
      <c r="J6990" s="39"/>
      <c r="K6990" s="41"/>
      <c r="L6990" s="31" t="str">
        <f>IFERROR(__xludf.DUMMYFUNCTION("IF(OR(E6990="""",K6990=""""),"""",IFERROR(IF(K6990="""","""",query('tbl user'!$A$2:$D10975,""SELECT A WHERE D = '""&amp;K6990&amp;""'"")),""USER TIDAK DIKETAHUI""))"),"")</f>
        <v/>
      </c>
    </row>
    <row r="6991">
      <c r="A6991" s="21" t="str">
        <f t="shared" si="3"/>
        <v/>
      </c>
      <c r="B6991" s="38"/>
      <c r="C6991" s="23"/>
      <c r="D6991" s="23"/>
      <c r="E6991" s="24"/>
      <c r="F6991" s="25"/>
      <c r="G6991" s="25"/>
      <c r="H6991" s="27"/>
      <c r="I6991" s="28"/>
      <c r="J6991" s="39"/>
      <c r="K6991" s="41"/>
      <c r="L6991" s="31" t="str">
        <f>IFERROR(__xludf.DUMMYFUNCTION("IF(OR(E6991="""",K6991=""""),"""",IFERROR(IF(K6991="""","""",query('tbl user'!$A$2:$D10975,""SELECT A WHERE D = '""&amp;K6991&amp;""'"")),""USER TIDAK DIKETAHUI""))"),"")</f>
        <v/>
      </c>
    </row>
    <row r="6992">
      <c r="A6992" s="21" t="str">
        <f t="shared" si="3"/>
        <v/>
      </c>
      <c r="B6992" s="38"/>
      <c r="C6992" s="23"/>
      <c r="D6992" s="23"/>
      <c r="E6992" s="24"/>
      <c r="F6992" s="25"/>
      <c r="G6992" s="25"/>
      <c r="H6992" s="27"/>
      <c r="I6992" s="28"/>
      <c r="J6992" s="39"/>
      <c r="K6992" s="41"/>
      <c r="L6992" s="31" t="str">
        <f>IFERROR(__xludf.DUMMYFUNCTION("IF(OR(E6992="""",K6992=""""),"""",IFERROR(IF(K6992="""","""",query('tbl user'!$A$2:$D10975,""SELECT A WHERE D = '""&amp;K6992&amp;""'"")),""USER TIDAK DIKETAHUI""))"),"")</f>
        <v/>
      </c>
    </row>
    <row r="6993">
      <c r="A6993" s="21" t="str">
        <f t="shared" si="3"/>
        <v/>
      </c>
      <c r="B6993" s="38"/>
      <c r="C6993" s="23"/>
      <c r="D6993" s="23"/>
      <c r="E6993" s="24"/>
      <c r="F6993" s="25"/>
      <c r="G6993" s="25"/>
      <c r="H6993" s="27"/>
      <c r="I6993" s="28"/>
      <c r="J6993" s="39"/>
      <c r="K6993" s="41"/>
      <c r="L6993" s="31" t="str">
        <f>IFERROR(__xludf.DUMMYFUNCTION("IF(OR(E6993="""",K6993=""""),"""",IFERROR(IF(K6993="""","""",query('tbl user'!$A$2:$D10975,""SELECT A WHERE D = '""&amp;K6993&amp;""'"")),""USER TIDAK DIKETAHUI""))"),"")</f>
        <v/>
      </c>
    </row>
    <row r="6994">
      <c r="A6994" s="21" t="str">
        <f t="shared" si="3"/>
        <v/>
      </c>
      <c r="B6994" s="38"/>
      <c r="C6994" s="23"/>
      <c r="D6994" s="23"/>
      <c r="E6994" s="24"/>
      <c r="F6994" s="25"/>
      <c r="G6994" s="25"/>
      <c r="H6994" s="27"/>
      <c r="I6994" s="28"/>
      <c r="J6994" s="39"/>
      <c r="K6994" s="41"/>
      <c r="L6994" s="31" t="str">
        <f>IFERROR(__xludf.DUMMYFUNCTION("IF(OR(E6994="""",K6994=""""),"""",IFERROR(IF(K6994="""","""",query('tbl user'!$A$2:$D10975,""SELECT A WHERE D = '""&amp;K6994&amp;""'"")),""USER TIDAK DIKETAHUI""))"),"")</f>
        <v/>
      </c>
    </row>
    <row r="6995">
      <c r="A6995" s="21" t="str">
        <f t="shared" si="3"/>
        <v/>
      </c>
      <c r="B6995" s="38"/>
      <c r="C6995" s="23"/>
      <c r="D6995" s="23"/>
      <c r="E6995" s="24"/>
      <c r="F6995" s="25"/>
      <c r="G6995" s="25"/>
      <c r="H6995" s="27"/>
      <c r="I6995" s="28"/>
      <c r="J6995" s="39"/>
      <c r="K6995" s="41"/>
      <c r="L6995" s="31" t="str">
        <f>IFERROR(__xludf.DUMMYFUNCTION("IF(OR(E6995="""",K6995=""""),"""",IFERROR(IF(K6995="""","""",query('tbl user'!$A$2:$D10975,""SELECT A WHERE D = '""&amp;K6995&amp;""'"")),""USER TIDAK DIKETAHUI""))"),"")</f>
        <v/>
      </c>
    </row>
    <row r="6996">
      <c r="A6996" s="21" t="str">
        <f t="shared" si="3"/>
        <v/>
      </c>
      <c r="B6996" s="38"/>
      <c r="C6996" s="23"/>
      <c r="D6996" s="23"/>
      <c r="E6996" s="24"/>
      <c r="F6996" s="25"/>
      <c r="G6996" s="25"/>
      <c r="H6996" s="27"/>
      <c r="I6996" s="28"/>
      <c r="J6996" s="39"/>
      <c r="K6996" s="41"/>
      <c r="L6996" s="31" t="str">
        <f>IFERROR(__xludf.DUMMYFUNCTION("IF(OR(E6996="""",K6996=""""),"""",IFERROR(IF(K6996="""","""",query('tbl user'!$A$2:$D10975,""SELECT A WHERE D = '""&amp;K6996&amp;""'"")),""USER TIDAK DIKETAHUI""))"),"")</f>
        <v/>
      </c>
    </row>
    <row r="6997">
      <c r="A6997" s="21" t="str">
        <f t="shared" si="3"/>
        <v/>
      </c>
      <c r="B6997" s="38"/>
      <c r="C6997" s="23"/>
      <c r="D6997" s="23"/>
      <c r="E6997" s="24"/>
      <c r="F6997" s="25"/>
      <c r="G6997" s="25"/>
      <c r="H6997" s="27"/>
      <c r="I6997" s="28"/>
      <c r="J6997" s="39"/>
      <c r="K6997" s="41"/>
      <c r="L6997" s="31" t="str">
        <f>IFERROR(__xludf.DUMMYFUNCTION("IF(OR(E6997="""",K6997=""""),"""",IFERROR(IF(K6997="""","""",query('tbl user'!$A$2:$D10975,""SELECT A WHERE D = '""&amp;K6997&amp;""'"")),""USER TIDAK DIKETAHUI""))"),"")</f>
        <v/>
      </c>
    </row>
    <row r="6998">
      <c r="A6998" s="21" t="str">
        <f t="shared" si="3"/>
        <v/>
      </c>
      <c r="B6998" s="38"/>
      <c r="C6998" s="23"/>
      <c r="D6998" s="23"/>
      <c r="E6998" s="24"/>
      <c r="F6998" s="25"/>
      <c r="G6998" s="25"/>
      <c r="H6998" s="27"/>
      <c r="I6998" s="28"/>
      <c r="J6998" s="39"/>
      <c r="K6998" s="41"/>
      <c r="L6998" s="31" t="str">
        <f>IFERROR(__xludf.DUMMYFUNCTION("IF(OR(E6998="""",K6998=""""),"""",IFERROR(IF(K6998="""","""",query('tbl user'!$A$2:$D10975,""SELECT A WHERE D = '""&amp;K6998&amp;""'"")),""USER TIDAK DIKETAHUI""))"),"")</f>
        <v/>
      </c>
    </row>
    <row r="6999">
      <c r="A6999" s="21" t="str">
        <f t="shared" si="3"/>
        <v/>
      </c>
      <c r="B6999" s="38"/>
      <c r="C6999" s="23"/>
      <c r="D6999" s="23"/>
      <c r="E6999" s="24"/>
      <c r="F6999" s="25"/>
      <c r="G6999" s="25"/>
      <c r="H6999" s="27"/>
      <c r="I6999" s="28"/>
      <c r="J6999" s="39"/>
      <c r="K6999" s="41"/>
      <c r="L6999" s="31" t="str">
        <f>IFERROR(__xludf.DUMMYFUNCTION("IF(OR(E6999="""",K6999=""""),"""",IFERROR(IF(K6999="""","""",query('tbl user'!$A$2:$D10975,""SELECT A WHERE D = '""&amp;K6999&amp;""'"")),""USER TIDAK DIKETAHUI""))"),"")</f>
        <v/>
      </c>
    </row>
    <row r="7000">
      <c r="A7000" s="21" t="str">
        <f t="shared" si="3"/>
        <v/>
      </c>
      <c r="B7000" s="38"/>
      <c r="C7000" s="23"/>
      <c r="D7000" s="23"/>
      <c r="E7000" s="24"/>
      <c r="F7000" s="25"/>
      <c r="G7000" s="25"/>
      <c r="H7000" s="27"/>
      <c r="I7000" s="28"/>
      <c r="J7000" s="39"/>
      <c r="K7000" s="41"/>
      <c r="L7000" s="31" t="str">
        <f>IFERROR(__xludf.DUMMYFUNCTION("IF(OR(E7000="""",K7000=""""),"""",IFERROR(IF(K7000="""","""",query('tbl user'!$A$2:$D10975,""SELECT A WHERE D = '""&amp;K7000&amp;""'"")),""USER TIDAK DIKETAHUI""))"),"")</f>
        <v/>
      </c>
    </row>
    <row r="7001">
      <c r="A7001" s="21" t="str">
        <f t="shared" si="3"/>
        <v/>
      </c>
      <c r="B7001" s="38"/>
      <c r="C7001" s="23"/>
      <c r="D7001" s="23"/>
      <c r="E7001" s="24"/>
      <c r="F7001" s="25"/>
      <c r="G7001" s="25"/>
      <c r="H7001" s="27"/>
      <c r="I7001" s="28"/>
      <c r="J7001" s="39"/>
      <c r="K7001" s="41"/>
      <c r="L7001" s="31" t="str">
        <f>IFERROR(__xludf.DUMMYFUNCTION("IF(OR(E7001="""",K7001=""""),"""",IFERROR(IF(K7001="""","""",query('tbl user'!$A$2:$D10975,""SELECT A WHERE D = '""&amp;K7001&amp;""'"")),""USER TIDAK DIKETAHUI""))"),"")</f>
        <v/>
      </c>
    </row>
    <row r="7002">
      <c r="A7002" s="21" t="str">
        <f t="shared" si="3"/>
        <v/>
      </c>
      <c r="B7002" s="38"/>
      <c r="C7002" s="23"/>
      <c r="D7002" s="23"/>
      <c r="E7002" s="24"/>
      <c r="F7002" s="25"/>
      <c r="G7002" s="25"/>
      <c r="H7002" s="27"/>
      <c r="I7002" s="28"/>
      <c r="J7002" s="39"/>
      <c r="K7002" s="41"/>
      <c r="L7002" s="31" t="str">
        <f>IFERROR(__xludf.DUMMYFUNCTION("IF(OR(E7002="""",K7002=""""),"""",IFERROR(IF(K7002="""","""",query('tbl user'!$A$2:$D10975,""SELECT A WHERE D = '""&amp;K7002&amp;""'"")),""USER TIDAK DIKETAHUI""))"),"")</f>
        <v/>
      </c>
    </row>
    <row r="7003">
      <c r="A7003" s="21" t="str">
        <f t="shared" si="3"/>
        <v/>
      </c>
      <c r="B7003" s="38"/>
      <c r="C7003" s="23"/>
      <c r="D7003" s="23"/>
      <c r="E7003" s="24"/>
      <c r="F7003" s="25"/>
      <c r="G7003" s="25"/>
      <c r="H7003" s="27"/>
      <c r="I7003" s="28"/>
      <c r="J7003" s="39"/>
      <c r="K7003" s="41"/>
      <c r="L7003" s="31" t="str">
        <f>IFERROR(__xludf.DUMMYFUNCTION("IF(OR(E7003="""",K7003=""""),"""",IFERROR(IF(K7003="""","""",query('tbl user'!$A$2:$D10975,""SELECT A WHERE D = '""&amp;K7003&amp;""'"")),""USER TIDAK DIKETAHUI""))"),"")</f>
        <v/>
      </c>
    </row>
    <row r="7004">
      <c r="A7004" s="21" t="str">
        <f t="shared" si="3"/>
        <v/>
      </c>
      <c r="B7004" s="38"/>
      <c r="C7004" s="23"/>
      <c r="D7004" s="23"/>
      <c r="E7004" s="24"/>
      <c r="F7004" s="25"/>
      <c r="G7004" s="25"/>
      <c r="H7004" s="27"/>
      <c r="I7004" s="28"/>
      <c r="J7004" s="39"/>
      <c r="K7004" s="41"/>
      <c r="L7004" s="31" t="str">
        <f>IFERROR(__xludf.DUMMYFUNCTION("IF(OR(E7004="""",K7004=""""),"""",IFERROR(IF(K7004="""","""",query('tbl user'!$A$2:$D10975,""SELECT A WHERE D = '""&amp;K7004&amp;""'"")),""USER TIDAK DIKETAHUI""))"),"")</f>
        <v/>
      </c>
    </row>
    <row r="7005">
      <c r="A7005" s="21" t="str">
        <f t="shared" si="3"/>
        <v/>
      </c>
      <c r="B7005" s="38"/>
      <c r="C7005" s="23"/>
      <c r="D7005" s="23"/>
      <c r="E7005" s="24"/>
      <c r="F7005" s="25"/>
      <c r="G7005" s="25"/>
      <c r="H7005" s="27"/>
      <c r="I7005" s="28"/>
      <c r="J7005" s="39"/>
      <c r="K7005" s="41"/>
      <c r="L7005" s="31" t="str">
        <f>IFERROR(__xludf.DUMMYFUNCTION("IF(OR(E7005="""",K7005=""""),"""",IFERROR(IF(K7005="""","""",query('tbl user'!$A$2:$D10975,""SELECT A WHERE D = '""&amp;K7005&amp;""'"")),""USER TIDAK DIKETAHUI""))"),"")</f>
        <v/>
      </c>
    </row>
    <row r="7006">
      <c r="A7006" s="21" t="str">
        <f t="shared" si="3"/>
        <v/>
      </c>
      <c r="B7006" s="38"/>
      <c r="C7006" s="23"/>
      <c r="D7006" s="23"/>
      <c r="E7006" s="24"/>
      <c r="F7006" s="25"/>
      <c r="G7006" s="25"/>
      <c r="H7006" s="27"/>
      <c r="I7006" s="28"/>
      <c r="J7006" s="39"/>
      <c r="K7006" s="41"/>
      <c r="L7006" s="31" t="str">
        <f>IFERROR(__xludf.DUMMYFUNCTION("IF(OR(E7006="""",K7006=""""),"""",IFERROR(IF(K7006="""","""",query('tbl user'!$A$2:$D10975,""SELECT A WHERE D = '""&amp;K7006&amp;""'"")),""USER TIDAK DIKETAHUI""))"),"")</f>
        <v/>
      </c>
    </row>
    <row r="7007">
      <c r="A7007" s="21" t="str">
        <f t="shared" si="3"/>
        <v/>
      </c>
      <c r="B7007" s="38"/>
      <c r="C7007" s="23"/>
      <c r="D7007" s="23"/>
      <c r="E7007" s="24"/>
      <c r="F7007" s="25"/>
      <c r="G7007" s="25"/>
      <c r="H7007" s="27"/>
      <c r="I7007" s="28"/>
      <c r="J7007" s="39"/>
      <c r="K7007" s="41"/>
      <c r="L7007" s="31" t="str">
        <f>IFERROR(__xludf.DUMMYFUNCTION("IF(OR(E7007="""",K7007=""""),"""",IFERROR(IF(K7007="""","""",query('tbl user'!$A$2:$D10975,""SELECT A WHERE D = '""&amp;K7007&amp;""'"")),""USER TIDAK DIKETAHUI""))"),"")</f>
        <v/>
      </c>
    </row>
    <row r="7008">
      <c r="A7008" s="21" t="str">
        <f t="shared" si="3"/>
        <v/>
      </c>
      <c r="B7008" s="38"/>
      <c r="C7008" s="23"/>
      <c r="D7008" s="23"/>
      <c r="E7008" s="24"/>
      <c r="F7008" s="25"/>
      <c r="G7008" s="25"/>
      <c r="H7008" s="27"/>
      <c r="I7008" s="28"/>
      <c r="J7008" s="39"/>
      <c r="K7008" s="41"/>
      <c r="L7008" s="31" t="str">
        <f>IFERROR(__xludf.DUMMYFUNCTION("IF(OR(E7008="""",K7008=""""),"""",IFERROR(IF(K7008="""","""",query('tbl user'!$A$2:$D10975,""SELECT A WHERE D = '""&amp;K7008&amp;""'"")),""USER TIDAK DIKETAHUI""))"),"")</f>
        <v/>
      </c>
    </row>
    <row r="7009">
      <c r="A7009" s="21" t="str">
        <f t="shared" si="3"/>
        <v/>
      </c>
      <c r="B7009" s="38"/>
      <c r="C7009" s="23"/>
      <c r="D7009" s="23"/>
      <c r="E7009" s="24"/>
      <c r="F7009" s="25"/>
      <c r="G7009" s="25"/>
      <c r="H7009" s="27"/>
      <c r="I7009" s="28"/>
      <c r="J7009" s="39"/>
      <c r="K7009" s="41"/>
      <c r="L7009" s="31" t="str">
        <f>IFERROR(__xludf.DUMMYFUNCTION("IF(OR(E7009="""",K7009=""""),"""",IFERROR(IF(K7009="""","""",query('tbl user'!$A$2:$D10975,""SELECT A WHERE D = '""&amp;K7009&amp;""'"")),""USER TIDAK DIKETAHUI""))"),"")</f>
        <v/>
      </c>
    </row>
    <row r="7010">
      <c r="A7010" s="21" t="str">
        <f t="shared" si="3"/>
        <v/>
      </c>
      <c r="B7010" s="38"/>
      <c r="C7010" s="23"/>
      <c r="D7010" s="23"/>
      <c r="E7010" s="24"/>
      <c r="F7010" s="25"/>
      <c r="G7010" s="25"/>
      <c r="H7010" s="27"/>
      <c r="I7010" s="28"/>
      <c r="J7010" s="39"/>
      <c r="K7010" s="41"/>
      <c r="L7010" s="31" t="str">
        <f>IFERROR(__xludf.DUMMYFUNCTION("IF(OR(E7010="""",K7010=""""),"""",IFERROR(IF(K7010="""","""",query('tbl user'!$A$2:$D10975,""SELECT A WHERE D = '""&amp;K7010&amp;""'"")),""USER TIDAK DIKETAHUI""))"),"")</f>
        <v/>
      </c>
    </row>
    <row r="7011">
      <c r="A7011" s="21" t="str">
        <f t="shared" si="3"/>
        <v/>
      </c>
      <c r="B7011" s="38"/>
      <c r="C7011" s="23"/>
      <c r="D7011" s="23"/>
      <c r="E7011" s="24"/>
      <c r="F7011" s="25"/>
      <c r="G7011" s="25"/>
      <c r="H7011" s="27"/>
      <c r="I7011" s="28"/>
      <c r="J7011" s="39"/>
      <c r="K7011" s="41"/>
      <c r="L7011" s="31" t="str">
        <f>IFERROR(__xludf.DUMMYFUNCTION("IF(OR(E7011="""",K7011=""""),"""",IFERROR(IF(K7011="""","""",query('tbl user'!$A$2:$D10975,""SELECT A WHERE D = '""&amp;K7011&amp;""'"")),""USER TIDAK DIKETAHUI""))"),"")</f>
        <v/>
      </c>
    </row>
    <row r="7012">
      <c r="A7012" s="21" t="str">
        <f t="shared" si="3"/>
        <v/>
      </c>
      <c r="B7012" s="38"/>
      <c r="C7012" s="23"/>
      <c r="D7012" s="23"/>
      <c r="E7012" s="24"/>
      <c r="F7012" s="25"/>
      <c r="G7012" s="25"/>
      <c r="H7012" s="27"/>
      <c r="I7012" s="28"/>
      <c r="J7012" s="39"/>
      <c r="K7012" s="41"/>
      <c r="L7012" s="31" t="str">
        <f>IFERROR(__xludf.DUMMYFUNCTION("IF(OR(E7012="""",K7012=""""),"""",IFERROR(IF(K7012="""","""",query('tbl user'!$A$2:$D10975,""SELECT A WHERE D = '""&amp;K7012&amp;""'"")),""USER TIDAK DIKETAHUI""))"),"")</f>
        <v/>
      </c>
    </row>
    <row r="7013">
      <c r="A7013" s="21" t="str">
        <f t="shared" si="3"/>
        <v/>
      </c>
      <c r="B7013" s="38"/>
      <c r="C7013" s="23"/>
      <c r="D7013" s="23"/>
      <c r="E7013" s="24"/>
      <c r="F7013" s="25"/>
      <c r="G7013" s="25"/>
      <c r="H7013" s="27"/>
      <c r="I7013" s="28"/>
      <c r="J7013" s="39"/>
      <c r="K7013" s="41"/>
      <c r="L7013" s="31" t="str">
        <f>IFERROR(__xludf.DUMMYFUNCTION("IF(OR(E7013="""",K7013=""""),"""",IFERROR(IF(K7013="""","""",query('tbl user'!$A$2:$D10975,""SELECT A WHERE D = '""&amp;K7013&amp;""'"")),""USER TIDAK DIKETAHUI""))"),"")</f>
        <v/>
      </c>
    </row>
    <row r="7014">
      <c r="A7014" s="21" t="str">
        <f t="shared" si="3"/>
        <v/>
      </c>
      <c r="B7014" s="38"/>
      <c r="C7014" s="23"/>
      <c r="D7014" s="23"/>
      <c r="E7014" s="24"/>
      <c r="F7014" s="25"/>
      <c r="G7014" s="25"/>
      <c r="H7014" s="27"/>
      <c r="I7014" s="28"/>
      <c r="J7014" s="39"/>
      <c r="K7014" s="41"/>
      <c r="L7014" s="31" t="str">
        <f>IFERROR(__xludf.DUMMYFUNCTION("IF(OR(E7014="""",K7014=""""),"""",IFERROR(IF(K7014="""","""",query('tbl user'!$A$2:$D10975,""SELECT A WHERE D = '""&amp;K7014&amp;""'"")),""USER TIDAK DIKETAHUI""))"),"")</f>
        <v/>
      </c>
    </row>
    <row r="7015">
      <c r="A7015" s="21" t="str">
        <f t="shared" si="3"/>
        <v/>
      </c>
      <c r="B7015" s="38"/>
      <c r="C7015" s="23"/>
      <c r="D7015" s="23"/>
      <c r="E7015" s="24"/>
      <c r="F7015" s="25"/>
      <c r="G7015" s="25"/>
      <c r="H7015" s="27"/>
      <c r="I7015" s="28"/>
      <c r="J7015" s="39"/>
      <c r="K7015" s="41"/>
      <c r="L7015" s="31" t="str">
        <f>IFERROR(__xludf.DUMMYFUNCTION("IF(OR(E7015="""",K7015=""""),"""",IFERROR(IF(K7015="""","""",query('tbl user'!$A$2:$D10975,""SELECT A WHERE D = '""&amp;K7015&amp;""'"")),""USER TIDAK DIKETAHUI""))"),"")</f>
        <v/>
      </c>
    </row>
    <row r="7016">
      <c r="A7016" s="21" t="str">
        <f t="shared" si="3"/>
        <v/>
      </c>
      <c r="B7016" s="38"/>
      <c r="C7016" s="23"/>
      <c r="D7016" s="23"/>
      <c r="E7016" s="24"/>
      <c r="F7016" s="25"/>
      <c r="G7016" s="25"/>
      <c r="H7016" s="27"/>
      <c r="I7016" s="28"/>
      <c r="J7016" s="39"/>
      <c r="K7016" s="41"/>
      <c r="L7016" s="31" t="str">
        <f>IFERROR(__xludf.DUMMYFUNCTION("IF(OR(E7016="""",K7016=""""),"""",IFERROR(IF(K7016="""","""",query('tbl user'!$A$2:$D10975,""SELECT A WHERE D = '""&amp;K7016&amp;""'"")),""USER TIDAK DIKETAHUI""))"),"")</f>
        <v/>
      </c>
    </row>
    <row r="7017">
      <c r="A7017" s="21" t="str">
        <f t="shared" si="3"/>
        <v/>
      </c>
      <c r="B7017" s="38"/>
      <c r="C7017" s="23"/>
      <c r="D7017" s="23"/>
      <c r="E7017" s="24"/>
      <c r="F7017" s="25"/>
      <c r="G7017" s="25"/>
      <c r="H7017" s="27"/>
      <c r="I7017" s="28"/>
      <c r="J7017" s="39"/>
      <c r="K7017" s="41"/>
      <c r="L7017" s="31" t="str">
        <f>IFERROR(__xludf.DUMMYFUNCTION("IF(OR(E7017="""",K7017=""""),"""",IFERROR(IF(K7017="""","""",query('tbl user'!$A$2:$D10975,""SELECT A WHERE D = '""&amp;K7017&amp;""'"")),""USER TIDAK DIKETAHUI""))"),"")</f>
        <v/>
      </c>
    </row>
    <row r="7018">
      <c r="A7018" s="21" t="str">
        <f t="shared" si="3"/>
        <v/>
      </c>
      <c r="B7018" s="38"/>
      <c r="C7018" s="23"/>
      <c r="D7018" s="23"/>
      <c r="E7018" s="24"/>
      <c r="F7018" s="25"/>
      <c r="G7018" s="25"/>
      <c r="H7018" s="27"/>
      <c r="I7018" s="28"/>
      <c r="J7018" s="39"/>
      <c r="K7018" s="41"/>
      <c r="L7018" s="31" t="str">
        <f>IFERROR(__xludf.DUMMYFUNCTION("IF(OR(E7018="""",K7018=""""),"""",IFERROR(IF(K7018="""","""",query('tbl user'!$A$2:$D10975,""SELECT A WHERE D = '""&amp;K7018&amp;""'"")),""USER TIDAK DIKETAHUI""))"),"")</f>
        <v/>
      </c>
    </row>
    <row r="7019">
      <c r="A7019" s="21" t="str">
        <f t="shared" si="3"/>
        <v/>
      </c>
      <c r="B7019" s="38"/>
      <c r="C7019" s="23"/>
      <c r="D7019" s="23"/>
      <c r="E7019" s="24"/>
      <c r="F7019" s="25"/>
      <c r="G7019" s="25"/>
      <c r="H7019" s="27"/>
      <c r="I7019" s="28"/>
      <c r="J7019" s="39"/>
      <c r="K7019" s="41"/>
      <c r="L7019" s="31" t="str">
        <f>IFERROR(__xludf.DUMMYFUNCTION("IF(OR(E7019="""",K7019=""""),"""",IFERROR(IF(K7019="""","""",query('tbl user'!$A$2:$D10975,""SELECT A WHERE D = '""&amp;K7019&amp;""'"")),""USER TIDAK DIKETAHUI""))"),"")</f>
        <v/>
      </c>
    </row>
    <row r="7020">
      <c r="A7020" s="21" t="str">
        <f t="shared" si="3"/>
        <v/>
      </c>
      <c r="B7020" s="38"/>
      <c r="C7020" s="23"/>
      <c r="D7020" s="23"/>
      <c r="E7020" s="24"/>
      <c r="F7020" s="25"/>
      <c r="G7020" s="25"/>
      <c r="H7020" s="27"/>
      <c r="I7020" s="28"/>
      <c r="J7020" s="39"/>
      <c r="K7020" s="41"/>
      <c r="L7020" s="31" t="str">
        <f>IFERROR(__xludf.DUMMYFUNCTION("IF(OR(E7020="""",K7020=""""),"""",IFERROR(IF(K7020="""","""",query('tbl user'!$A$2:$D10975,""SELECT A WHERE D = '""&amp;K7020&amp;""'"")),""USER TIDAK DIKETAHUI""))"),"")</f>
        <v/>
      </c>
    </row>
    <row r="7021">
      <c r="A7021" s="21" t="str">
        <f t="shared" si="3"/>
        <v/>
      </c>
      <c r="B7021" s="38"/>
      <c r="C7021" s="23"/>
      <c r="D7021" s="23"/>
      <c r="E7021" s="24"/>
      <c r="F7021" s="25"/>
      <c r="G7021" s="25"/>
      <c r="H7021" s="27"/>
      <c r="I7021" s="28"/>
      <c r="J7021" s="39"/>
      <c r="K7021" s="41"/>
      <c r="L7021" s="31" t="str">
        <f>IFERROR(__xludf.DUMMYFUNCTION("IF(OR(E7021="""",K7021=""""),"""",IFERROR(IF(K7021="""","""",query('tbl user'!$A$2:$D10975,""SELECT A WHERE D = '""&amp;K7021&amp;""'"")),""USER TIDAK DIKETAHUI""))"),"")</f>
        <v/>
      </c>
    </row>
    <row r="7022">
      <c r="A7022" s="21" t="str">
        <f t="shared" si="3"/>
        <v/>
      </c>
      <c r="B7022" s="38"/>
      <c r="C7022" s="23"/>
      <c r="D7022" s="23"/>
      <c r="E7022" s="24"/>
      <c r="F7022" s="25"/>
      <c r="G7022" s="25"/>
      <c r="H7022" s="27"/>
      <c r="I7022" s="28"/>
      <c r="J7022" s="39"/>
      <c r="K7022" s="41"/>
      <c r="L7022" s="31" t="str">
        <f>IFERROR(__xludf.DUMMYFUNCTION("IF(OR(E7022="""",K7022=""""),"""",IFERROR(IF(K7022="""","""",query('tbl user'!$A$2:$D10975,""SELECT A WHERE D = '""&amp;K7022&amp;""'"")),""USER TIDAK DIKETAHUI""))"),"")</f>
        <v/>
      </c>
    </row>
    <row r="7023">
      <c r="A7023" s="21" t="str">
        <f t="shared" si="3"/>
        <v/>
      </c>
      <c r="B7023" s="38"/>
      <c r="C7023" s="23"/>
      <c r="D7023" s="23"/>
      <c r="E7023" s="24"/>
      <c r="F7023" s="25"/>
      <c r="G7023" s="25"/>
      <c r="H7023" s="27"/>
      <c r="I7023" s="28"/>
      <c r="J7023" s="39"/>
      <c r="K7023" s="41"/>
      <c r="L7023" s="31" t="str">
        <f>IFERROR(__xludf.DUMMYFUNCTION("IF(OR(E7023="""",K7023=""""),"""",IFERROR(IF(K7023="""","""",query('tbl user'!$A$2:$D10975,""SELECT A WHERE D = '""&amp;K7023&amp;""'"")),""USER TIDAK DIKETAHUI""))"),"")</f>
        <v/>
      </c>
    </row>
    <row r="7024">
      <c r="A7024" s="21" t="str">
        <f t="shared" si="3"/>
        <v/>
      </c>
      <c r="B7024" s="38"/>
      <c r="C7024" s="23"/>
      <c r="D7024" s="23"/>
      <c r="E7024" s="24"/>
      <c r="F7024" s="25"/>
      <c r="G7024" s="25"/>
      <c r="H7024" s="27"/>
      <c r="I7024" s="28"/>
      <c r="J7024" s="39"/>
      <c r="K7024" s="41"/>
      <c r="L7024" s="31" t="str">
        <f>IFERROR(__xludf.DUMMYFUNCTION("IF(OR(E7024="""",K7024=""""),"""",IFERROR(IF(K7024="""","""",query('tbl user'!$A$2:$D10975,""SELECT A WHERE D = '""&amp;K7024&amp;""'"")),""USER TIDAK DIKETAHUI""))"),"")</f>
        <v/>
      </c>
    </row>
    <row r="7025">
      <c r="A7025" s="21" t="str">
        <f t="shared" si="3"/>
        <v/>
      </c>
      <c r="B7025" s="38"/>
      <c r="C7025" s="23"/>
      <c r="D7025" s="23"/>
      <c r="E7025" s="24"/>
      <c r="F7025" s="25"/>
      <c r="G7025" s="25"/>
      <c r="H7025" s="27"/>
      <c r="I7025" s="28"/>
      <c r="J7025" s="39"/>
      <c r="K7025" s="41"/>
      <c r="L7025" s="31" t="str">
        <f>IFERROR(__xludf.DUMMYFUNCTION("IF(OR(E7025="""",K7025=""""),"""",IFERROR(IF(K7025="""","""",query('tbl user'!$A$2:$D10975,""SELECT A WHERE D = '""&amp;K7025&amp;""'"")),""USER TIDAK DIKETAHUI""))"),"")</f>
        <v/>
      </c>
    </row>
    <row r="7026">
      <c r="A7026" s="21" t="str">
        <f t="shared" si="3"/>
        <v/>
      </c>
      <c r="B7026" s="38"/>
      <c r="C7026" s="23"/>
      <c r="D7026" s="23"/>
      <c r="E7026" s="24"/>
      <c r="F7026" s="25"/>
      <c r="G7026" s="25"/>
      <c r="H7026" s="27"/>
      <c r="I7026" s="28"/>
      <c r="J7026" s="39"/>
      <c r="K7026" s="41"/>
      <c r="L7026" s="31" t="str">
        <f>IFERROR(__xludf.DUMMYFUNCTION("IF(OR(E7026="""",K7026=""""),"""",IFERROR(IF(K7026="""","""",query('tbl user'!$A$2:$D10975,""SELECT A WHERE D = '""&amp;K7026&amp;""'"")),""USER TIDAK DIKETAHUI""))"),"")</f>
        <v/>
      </c>
    </row>
    <row r="7027">
      <c r="A7027" s="21" t="str">
        <f t="shared" si="3"/>
        <v/>
      </c>
      <c r="B7027" s="38"/>
      <c r="C7027" s="23"/>
      <c r="D7027" s="23"/>
      <c r="E7027" s="24"/>
      <c r="F7027" s="25"/>
      <c r="G7027" s="25"/>
      <c r="H7027" s="27"/>
      <c r="I7027" s="28"/>
      <c r="J7027" s="39"/>
      <c r="K7027" s="41"/>
      <c r="L7027" s="31" t="str">
        <f>IFERROR(__xludf.DUMMYFUNCTION("IF(OR(E7027="""",K7027=""""),"""",IFERROR(IF(K7027="""","""",query('tbl user'!$A$2:$D10975,""SELECT A WHERE D = '""&amp;K7027&amp;""'"")),""USER TIDAK DIKETAHUI""))"),"")</f>
        <v/>
      </c>
    </row>
    <row r="7028">
      <c r="A7028" s="21" t="str">
        <f t="shared" si="3"/>
        <v/>
      </c>
      <c r="B7028" s="38"/>
      <c r="C7028" s="23"/>
      <c r="D7028" s="23"/>
      <c r="E7028" s="24"/>
      <c r="F7028" s="25"/>
      <c r="G7028" s="25"/>
      <c r="H7028" s="27"/>
      <c r="I7028" s="28"/>
      <c r="J7028" s="39"/>
      <c r="K7028" s="41"/>
      <c r="L7028" s="31" t="str">
        <f>IFERROR(__xludf.DUMMYFUNCTION("IF(OR(E7028="""",K7028=""""),"""",IFERROR(IF(K7028="""","""",query('tbl user'!$A$2:$D10975,""SELECT A WHERE D = '""&amp;K7028&amp;""'"")),""USER TIDAK DIKETAHUI""))"),"")</f>
        <v/>
      </c>
    </row>
    <row r="7029">
      <c r="A7029" s="21" t="str">
        <f t="shared" si="3"/>
        <v/>
      </c>
      <c r="B7029" s="38"/>
      <c r="C7029" s="23"/>
      <c r="D7029" s="23"/>
      <c r="E7029" s="24"/>
      <c r="F7029" s="25"/>
      <c r="G7029" s="25"/>
      <c r="H7029" s="27"/>
      <c r="I7029" s="28"/>
      <c r="J7029" s="39"/>
      <c r="K7029" s="41"/>
      <c r="L7029" s="31" t="str">
        <f>IFERROR(__xludf.DUMMYFUNCTION("IF(OR(E7029="""",K7029=""""),"""",IFERROR(IF(K7029="""","""",query('tbl user'!$A$2:$D10975,""SELECT A WHERE D = '""&amp;K7029&amp;""'"")),""USER TIDAK DIKETAHUI""))"),"")</f>
        <v/>
      </c>
    </row>
    <row r="7030">
      <c r="A7030" s="21" t="str">
        <f t="shared" si="3"/>
        <v/>
      </c>
      <c r="B7030" s="38"/>
      <c r="C7030" s="23"/>
      <c r="D7030" s="23"/>
      <c r="E7030" s="24"/>
      <c r="F7030" s="25"/>
      <c r="G7030" s="25"/>
      <c r="H7030" s="27"/>
      <c r="I7030" s="28"/>
      <c r="J7030" s="39"/>
      <c r="K7030" s="41"/>
      <c r="L7030" s="31" t="str">
        <f>IFERROR(__xludf.DUMMYFUNCTION("IF(OR(E7030="""",K7030=""""),"""",IFERROR(IF(K7030="""","""",query('tbl user'!$A$2:$D10975,""SELECT A WHERE D = '""&amp;K7030&amp;""'"")),""USER TIDAK DIKETAHUI""))"),"")</f>
        <v/>
      </c>
    </row>
    <row r="7031">
      <c r="A7031" s="21" t="str">
        <f t="shared" si="3"/>
        <v/>
      </c>
      <c r="B7031" s="38"/>
      <c r="C7031" s="23"/>
      <c r="D7031" s="23"/>
      <c r="E7031" s="24"/>
      <c r="F7031" s="25"/>
      <c r="G7031" s="25"/>
      <c r="H7031" s="27"/>
      <c r="I7031" s="28"/>
      <c r="J7031" s="39"/>
      <c r="K7031" s="41"/>
      <c r="L7031" s="31" t="str">
        <f>IFERROR(__xludf.DUMMYFUNCTION("IF(OR(E7031="""",K7031=""""),"""",IFERROR(IF(K7031="""","""",query('tbl user'!$A$2:$D10975,""SELECT A WHERE D = '""&amp;K7031&amp;""'"")),""USER TIDAK DIKETAHUI""))"),"")</f>
        <v/>
      </c>
    </row>
    <row r="7032">
      <c r="A7032" s="21" t="str">
        <f t="shared" si="3"/>
        <v/>
      </c>
      <c r="B7032" s="38"/>
      <c r="C7032" s="23"/>
      <c r="D7032" s="23"/>
      <c r="E7032" s="24"/>
      <c r="F7032" s="25"/>
      <c r="G7032" s="25"/>
      <c r="H7032" s="27"/>
      <c r="I7032" s="28"/>
      <c r="J7032" s="39"/>
      <c r="K7032" s="41"/>
      <c r="L7032" s="31" t="str">
        <f>IFERROR(__xludf.DUMMYFUNCTION("IF(OR(E7032="""",K7032=""""),"""",IFERROR(IF(K7032="""","""",query('tbl user'!$A$2:$D10975,""SELECT A WHERE D = '""&amp;K7032&amp;""'"")),""USER TIDAK DIKETAHUI""))"),"")</f>
        <v/>
      </c>
    </row>
    <row r="7033">
      <c r="A7033" s="21" t="str">
        <f t="shared" si="3"/>
        <v/>
      </c>
      <c r="B7033" s="38"/>
      <c r="C7033" s="23"/>
      <c r="D7033" s="23"/>
      <c r="E7033" s="24"/>
      <c r="F7033" s="25"/>
      <c r="G7033" s="25"/>
      <c r="H7033" s="27"/>
      <c r="I7033" s="28"/>
      <c r="J7033" s="39"/>
      <c r="K7033" s="41"/>
      <c r="L7033" s="31" t="str">
        <f>IFERROR(__xludf.DUMMYFUNCTION("IF(OR(E7033="""",K7033=""""),"""",IFERROR(IF(K7033="""","""",query('tbl user'!$A$2:$D10975,""SELECT A WHERE D = '""&amp;K7033&amp;""'"")),""USER TIDAK DIKETAHUI""))"),"")</f>
        <v/>
      </c>
    </row>
    <row r="7034">
      <c r="A7034" s="21" t="str">
        <f t="shared" si="3"/>
        <v/>
      </c>
      <c r="B7034" s="38"/>
      <c r="C7034" s="23"/>
      <c r="D7034" s="23"/>
      <c r="E7034" s="24"/>
      <c r="F7034" s="25"/>
      <c r="G7034" s="25"/>
      <c r="H7034" s="27"/>
      <c r="I7034" s="28"/>
      <c r="J7034" s="39"/>
      <c r="K7034" s="41"/>
      <c r="L7034" s="31" t="str">
        <f>IFERROR(__xludf.DUMMYFUNCTION("IF(OR(E7034="""",K7034=""""),"""",IFERROR(IF(K7034="""","""",query('tbl user'!$A$2:$D10975,""SELECT A WHERE D = '""&amp;K7034&amp;""'"")),""USER TIDAK DIKETAHUI""))"),"")</f>
        <v/>
      </c>
    </row>
    <row r="7035">
      <c r="A7035" s="21" t="str">
        <f t="shared" si="3"/>
        <v/>
      </c>
      <c r="B7035" s="38"/>
      <c r="C7035" s="23"/>
      <c r="D7035" s="23"/>
      <c r="E7035" s="24"/>
      <c r="F7035" s="25"/>
      <c r="G7035" s="25"/>
      <c r="H7035" s="27"/>
      <c r="I7035" s="28"/>
      <c r="J7035" s="39"/>
      <c r="K7035" s="41"/>
      <c r="L7035" s="31" t="str">
        <f>IFERROR(__xludf.DUMMYFUNCTION("IF(OR(E7035="""",K7035=""""),"""",IFERROR(IF(K7035="""","""",query('tbl user'!$A$2:$D10975,""SELECT A WHERE D = '""&amp;K7035&amp;""'"")),""USER TIDAK DIKETAHUI""))"),"")</f>
        <v/>
      </c>
    </row>
    <row r="7036">
      <c r="A7036" s="21" t="str">
        <f t="shared" si="3"/>
        <v/>
      </c>
      <c r="B7036" s="38"/>
      <c r="C7036" s="23"/>
      <c r="D7036" s="23"/>
      <c r="E7036" s="24"/>
      <c r="F7036" s="25"/>
      <c r="G7036" s="25"/>
      <c r="H7036" s="27"/>
      <c r="I7036" s="28"/>
      <c r="J7036" s="39"/>
      <c r="K7036" s="41"/>
      <c r="L7036" s="31" t="str">
        <f>IFERROR(__xludf.DUMMYFUNCTION("IF(OR(E7036="""",K7036=""""),"""",IFERROR(IF(K7036="""","""",query('tbl user'!$A$2:$D10975,""SELECT A WHERE D = '""&amp;K7036&amp;""'"")),""USER TIDAK DIKETAHUI""))"),"")</f>
        <v/>
      </c>
    </row>
    <row r="7037">
      <c r="A7037" s="21" t="str">
        <f t="shared" si="3"/>
        <v/>
      </c>
      <c r="B7037" s="38"/>
      <c r="C7037" s="23"/>
      <c r="D7037" s="23"/>
      <c r="E7037" s="24"/>
      <c r="F7037" s="25"/>
      <c r="G7037" s="25"/>
      <c r="H7037" s="27"/>
      <c r="I7037" s="28"/>
      <c r="J7037" s="39"/>
      <c r="K7037" s="41"/>
      <c r="L7037" s="31" t="str">
        <f>IFERROR(__xludf.DUMMYFUNCTION("IF(OR(E7037="""",K7037=""""),"""",IFERROR(IF(K7037="""","""",query('tbl user'!$A$2:$D10975,""SELECT A WHERE D = '""&amp;K7037&amp;""'"")),""USER TIDAK DIKETAHUI""))"),"")</f>
        <v/>
      </c>
    </row>
    <row r="7038">
      <c r="A7038" s="21" t="str">
        <f t="shared" si="3"/>
        <v/>
      </c>
      <c r="B7038" s="38"/>
      <c r="C7038" s="23"/>
      <c r="D7038" s="23"/>
      <c r="E7038" s="24"/>
      <c r="F7038" s="25"/>
      <c r="G7038" s="25"/>
      <c r="H7038" s="27"/>
      <c r="I7038" s="28"/>
      <c r="J7038" s="39"/>
      <c r="K7038" s="41"/>
      <c r="L7038" s="31" t="str">
        <f>IFERROR(__xludf.DUMMYFUNCTION("IF(OR(E7038="""",K7038=""""),"""",IFERROR(IF(K7038="""","""",query('tbl user'!$A$2:$D10975,""SELECT A WHERE D = '""&amp;K7038&amp;""'"")),""USER TIDAK DIKETAHUI""))"),"")</f>
        <v/>
      </c>
    </row>
    <row r="7039">
      <c r="A7039" s="21" t="str">
        <f t="shared" si="3"/>
        <v/>
      </c>
      <c r="B7039" s="38"/>
      <c r="C7039" s="23"/>
      <c r="D7039" s="23"/>
      <c r="E7039" s="24"/>
      <c r="F7039" s="25"/>
      <c r="G7039" s="25"/>
      <c r="H7039" s="27"/>
      <c r="I7039" s="28"/>
      <c r="J7039" s="39"/>
      <c r="K7039" s="41"/>
      <c r="L7039" s="31" t="str">
        <f>IFERROR(__xludf.DUMMYFUNCTION("IF(OR(E7039="""",K7039=""""),"""",IFERROR(IF(K7039="""","""",query('tbl user'!$A$2:$D10975,""SELECT A WHERE D = '""&amp;K7039&amp;""'"")),""USER TIDAK DIKETAHUI""))"),"")</f>
        <v/>
      </c>
    </row>
    <row r="7040">
      <c r="A7040" s="21" t="str">
        <f t="shared" si="3"/>
        <v/>
      </c>
      <c r="B7040" s="38"/>
      <c r="C7040" s="23"/>
      <c r="D7040" s="23"/>
      <c r="E7040" s="24"/>
      <c r="F7040" s="25"/>
      <c r="G7040" s="25"/>
      <c r="H7040" s="27"/>
      <c r="I7040" s="28"/>
      <c r="J7040" s="39"/>
      <c r="K7040" s="41"/>
      <c r="L7040" s="31" t="str">
        <f>IFERROR(__xludf.DUMMYFUNCTION("IF(OR(E7040="""",K7040=""""),"""",IFERROR(IF(K7040="""","""",query('tbl user'!$A$2:$D10975,""SELECT A WHERE D = '""&amp;K7040&amp;""'"")),""USER TIDAK DIKETAHUI""))"),"")</f>
        <v/>
      </c>
    </row>
    <row r="7041">
      <c r="A7041" s="21" t="str">
        <f t="shared" si="3"/>
        <v/>
      </c>
      <c r="B7041" s="38"/>
      <c r="C7041" s="23"/>
      <c r="D7041" s="23"/>
      <c r="E7041" s="24"/>
      <c r="F7041" s="25"/>
      <c r="G7041" s="25"/>
      <c r="H7041" s="27"/>
      <c r="I7041" s="28"/>
      <c r="J7041" s="39"/>
      <c r="K7041" s="41"/>
      <c r="L7041" s="31" t="str">
        <f>IFERROR(__xludf.DUMMYFUNCTION("IF(OR(E7041="""",K7041=""""),"""",IFERROR(IF(K7041="""","""",query('tbl user'!$A$2:$D10975,""SELECT A WHERE D = '""&amp;K7041&amp;""'"")),""USER TIDAK DIKETAHUI""))"),"")</f>
        <v/>
      </c>
    </row>
    <row r="7042">
      <c r="A7042" s="21" t="str">
        <f t="shared" si="3"/>
        <v/>
      </c>
      <c r="B7042" s="38"/>
      <c r="C7042" s="23"/>
      <c r="D7042" s="23"/>
      <c r="E7042" s="24"/>
      <c r="F7042" s="25"/>
      <c r="G7042" s="25"/>
      <c r="H7042" s="27"/>
      <c r="I7042" s="28"/>
      <c r="J7042" s="39"/>
      <c r="K7042" s="41"/>
      <c r="L7042" s="31" t="str">
        <f>IFERROR(__xludf.DUMMYFUNCTION("IF(OR(E7042="""",K7042=""""),"""",IFERROR(IF(K7042="""","""",query('tbl user'!$A$2:$D10975,""SELECT A WHERE D = '""&amp;K7042&amp;""'"")),""USER TIDAK DIKETAHUI""))"),"")</f>
        <v/>
      </c>
    </row>
    <row r="7043">
      <c r="A7043" s="21" t="str">
        <f t="shared" si="3"/>
        <v/>
      </c>
      <c r="B7043" s="38"/>
      <c r="C7043" s="23"/>
      <c r="D7043" s="23"/>
      <c r="E7043" s="24"/>
      <c r="F7043" s="25"/>
      <c r="G7043" s="25"/>
      <c r="H7043" s="27"/>
      <c r="I7043" s="28"/>
      <c r="J7043" s="39"/>
      <c r="K7043" s="41"/>
      <c r="L7043" s="31" t="str">
        <f>IFERROR(__xludf.DUMMYFUNCTION("IF(OR(E7043="""",K7043=""""),"""",IFERROR(IF(K7043="""","""",query('tbl user'!$A$2:$D10975,""SELECT A WHERE D = '""&amp;K7043&amp;""'"")),""USER TIDAK DIKETAHUI""))"),"")</f>
        <v/>
      </c>
    </row>
    <row r="7044">
      <c r="A7044" s="21" t="str">
        <f t="shared" si="3"/>
        <v/>
      </c>
      <c r="B7044" s="38"/>
      <c r="C7044" s="23"/>
      <c r="D7044" s="23"/>
      <c r="E7044" s="24"/>
      <c r="F7044" s="25"/>
      <c r="G7044" s="25"/>
      <c r="H7044" s="27"/>
      <c r="I7044" s="28"/>
      <c r="J7044" s="39"/>
      <c r="K7044" s="41"/>
      <c r="L7044" s="31" t="str">
        <f>IFERROR(__xludf.DUMMYFUNCTION("IF(OR(E7044="""",K7044=""""),"""",IFERROR(IF(K7044="""","""",query('tbl user'!$A$2:$D10975,""SELECT A WHERE D = '""&amp;K7044&amp;""'"")),""USER TIDAK DIKETAHUI""))"),"")</f>
        <v/>
      </c>
    </row>
    <row r="7045">
      <c r="A7045" s="21" t="str">
        <f t="shared" si="3"/>
        <v/>
      </c>
      <c r="B7045" s="38"/>
      <c r="C7045" s="23"/>
      <c r="D7045" s="23"/>
      <c r="E7045" s="24"/>
      <c r="F7045" s="25"/>
      <c r="G7045" s="25"/>
      <c r="H7045" s="27"/>
      <c r="I7045" s="28"/>
      <c r="J7045" s="39"/>
      <c r="K7045" s="41"/>
      <c r="L7045" s="31" t="str">
        <f>IFERROR(__xludf.DUMMYFUNCTION("IF(OR(E7045="""",K7045=""""),"""",IFERROR(IF(K7045="""","""",query('tbl user'!$A$2:$D10975,""SELECT A WHERE D = '""&amp;K7045&amp;""'"")),""USER TIDAK DIKETAHUI""))"),"")</f>
        <v/>
      </c>
    </row>
    <row r="7046">
      <c r="A7046" s="21" t="str">
        <f t="shared" si="3"/>
        <v/>
      </c>
      <c r="B7046" s="38"/>
      <c r="C7046" s="23"/>
      <c r="D7046" s="23"/>
      <c r="E7046" s="24"/>
      <c r="F7046" s="25"/>
      <c r="G7046" s="25"/>
      <c r="H7046" s="27"/>
      <c r="I7046" s="28"/>
      <c r="J7046" s="39"/>
      <c r="K7046" s="41"/>
      <c r="L7046" s="31" t="str">
        <f>IFERROR(__xludf.DUMMYFUNCTION("IF(OR(E7046="""",K7046=""""),"""",IFERROR(IF(K7046="""","""",query('tbl user'!$A$2:$D10975,""SELECT A WHERE D = '""&amp;K7046&amp;""'"")),""USER TIDAK DIKETAHUI""))"),"")</f>
        <v/>
      </c>
    </row>
    <row r="7047">
      <c r="A7047" s="21" t="str">
        <f t="shared" si="3"/>
        <v/>
      </c>
      <c r="B7047" s="38"/>
      <c r="C7047" s="23"/>
      <c r="D7047" s="23"/>
      <c r="E7047" s="24"/>
      <c r="F7047" s="25"/>
      <c r="G7047" s="25"/>
      <c r="H7047" s="27"/>
      <c r="I7047" s="28"/>
      <c r="J7047" s="39"/>
      <c r="K7047" s="41"/>
      <c r="L7047" s="31" t="str">
        <f>IFERROR(__xludf.DUMMYFUNCTION("IF(OR(E7047="""",K7047=""""),"""",IFERROR(IF(K7047="""","""",query('tbl user'!$A$2:$D10975,""SELECT A WHERE D = '""&amp;K7047&amp;""'"")),""USER TIDAK DIKETAHUI""))"),"")</f>
        <v/>
      </c>
    </row>
    <row r="7048">
      <c r="A7048" s="21" t="str">
        <f t="shared" si="3"/>
        <v/>
      </c>
      <c r="B7048" s="38"/>
      <c r="C7048" s="23"/>
      <c r="D7048" s="23"/>
      <c r="E7048" s="24"/>
      <c r="F7048" s="25"/>
      <c r="G7048" s="25"/>
      <c r="H7048" s="27"/>
      <c r="I7048" s="28"/>
      <c r="J7048" s="39"/>
      <c r="K7048" s="41"/>
      <c r="L7048" s="31" t="str">
        <f>IFERROR(__xludf.DUMMYFUNCTION("IF(OR(E7048="""",K7048=""""),"""",IFERROR(IF(K7048="""","""",query('tbl user'!$A$2:$D10975,""SELECT A WHERE D = '""&amp;K7048&amp;""'"")),""USER TIDAK DIKETAHUI""))"),"")</f>
        <v/>
      </c>
    </row>
    <row r="7049">
      <c r="A7049" s="21" t="str">
        <f t="shared" si="3"/>
        <v/>
      </c>
      <c r="B7049" s="38"/>
      <c r="C7049" s="23"/>
      <c r="D7049" s="23"/>
      <c r="E7049" s="24"/>
      <c r="F7049" s="25"/>
      <c r="G7049" s="25"/>
      <c r="H7049" s="27"/>
      <c r="I7049" s="28"/>
      <c r="J7049" s="39"/>
      <c r="K7049" s="41"/>
      <c r="L7049" s="31" t="str">
        <f>IFERROR(__xludf.DUMMYFUNCTION("IF(OR(E7049="""",K7049=""""),"""",IFERROR(IF(K7049="""","""",query('tbl user'!$A$2:$D10975,""SELECT A WHERE D = '""&amp;K7049&amp;""'"")),""USER TIDAK DIKETAHUI""))"),"")</f>
        <v/>
      </c>
    </row>
    <row r="7050">
      <c r="A7050" s="21" t="str">
        <f t="shared" si="3"/>
        <v/>
      </c>
      <c r="B7050" s="38"/>
      <c r="C7050" s="23"/>
      <c r="D7050" s="23"/>
      <c r="E7050" s="24"/>
      <c r="F7050" s="25"/>
      <c r="G7050" s="25"/>
      <c r="H7050" s="27"/>
      <c r="I7050" s="28"/>
      <c r="J7050" s="39"/>
      <c r="K7050" s="41"/>
      <c r="L7050" s="31" t="str">
        <f>IFERROR(__xludf.DUMMYFUNCTION("IF(OR(E7050="""",K7050=""""),"""",IFERROR(IF(K7050="""","""",query('tbl user'!$A$2:$D10975,""SELECT A WHERE D = '""&amp;K7050&amp;""'"")),""USER TIDAK DIKETAHUI""))"),"")</f>
        <v/>
      </c>
    </row>
    <row r="7051">
      <c r="A7051" s="21" t="str">
        <f t="shared" si="3"/>
        <v/>
      </c>
      <c r="B7051" s="38"/>
      <c r="C7051" s="23"/>
      <c r="D7051" s="23"/>
      <c r="E7051" s="24"/>
      <c r="F7051" s="25"/>
      <c r="G7051" s="25"/>
      <c r="H7051" s="27"/>
      <c r="I7051" s="28"/>
      <c r="J7051" s="39"/>
      <c r="K7051" s="41"/>
      <c r="L7051" s="31" t="str">
        <f>IFERROR(__xludf.DUMMYFUNCTION("IF(OR(E7051="""",K7051=""""),"""",IFERROR(IF(K7051="""","""",query('tbl user'!$A$2:$D10975,""SELECT A WHERE D = '""&amp;K7051&amp;""'"")),""USER TIDAK DIKETAHUI""))"),"")</f>
        <v/>
      </c>
    </row>
    <row r="7052">
      <c r="A7052" s="21" t="str">
        <f t="shared" si="3"/>
        <v/>
      </c>
      <c r="B7052" s="38"/>
      <c r="C7052" s="23"/>
      <c r="D7052" s="23"/>
      <c r="E7052" s="24"/>
      <c r="F7052" s="25"/>
      <c r="G7052" s="25"/>
      <c r="H7052" s="27"/>
      <c r="I7052" s="28"/>
      <c r="J7052" s="39"/>
      <c r="K7052" s="41"/>
      <c r="L7052" s="31" t="str">
        <f>IFERROR(__xludf.DUMMYFUNCTION("IF(OR(E7052="""",K7052=""""),"""",IFERROR(IF(K7052="""","""",query('tbl user'!$A$2:$D10975,""SELECT A WHERE D = '""&amp;K7052&amp;""'"")),""USER TIDAK DIKETAHUI""))"),"")</f>
        <v/>
      </c>
    </row>
    <row r="7053">
      <c r="A7053" s="21" t="str">
        <f t="shared" si="3"/>
        <v/>
      </c>
      <c r="B7053" s="38"/>
      <c r="C7053" s="23"/>
      <c r="D7053" s="23"/>
      <c r="E7053" s="24"/>
      <c r="F7053" s="25"/>
      <c r="G7053" s="25"/>
      <c r="H7053" s="27"/>
      <c r="I7053" s="28"/>
      <c r="J7053" s="39"/>
      <c r="K7053" s="41"/>
      <c r="L7053" s="31" t="str">
        <f>IFERROR(__xludf.DUMMYFUNCTION("IF(OR(E7053="""",K7053=""""),"""",IFERROR(IF(K7053="""","""",query('tbl user'!$A$2:$D10975,""SELECT A WHERE D = '""&amp;K7053&amp;""'"")),""USER TIDAK DIKETAHUI""))"),"")</f>
        <v/>
      </c>
    </row>
    <row r="7054">
      <c r="A7054" s="21" t="str">
        <f t="shared" si="3"/>
        <v/>
      </c>
      <c r="B7054" s="38"/>
      <c r="C7054" s="23"/>
      <c r="D7054" s="23"/>
      <c r="E7054" s="24"/>
      <c r="F7054" s="25"/>
      <c r="G7054" s="25"/>
      <c r="H7054" s="27"/>
      <c r="I7054" s="28"/>
      <c r="J7054" s="39"/>
      <c r="K7054" s="41"/>
      <c r="L7054" s="31" t="str">
        <f>IFERROR(__xludf.DUMMYFUNCTION("IF(OR(E7054="""",K7054=""""),"""",IFERROR(IF(K7054="""","""",query('tbl user'!$A$2:$D10975,""SELECT A WHERE D = '""&amp;K7054&amp;""'"")),""USER TIDAK DIKETAHUI""))"),"")</f>
        <v/>
      </c>
    </row>
    <row r="7055">
      <c r="A7055" s="21" t="str">
        <f t="shared" si="3"/>
        <v/>
      </c>
      <c r="B7055" s="38"/>
      <c r="C7055" s="23"/>
      <c r="D7055" s="23"/>
      <c r="E7055" s="24"/>
      <c r="F7055" s="25"/>
      <c r="G7055" s="25"/>
      <c r="H7055" s="27"/>
      <c r="I7055" s="28"/>
      <c r="J7055" s="39"/>
      <c r="K7055" s="41"/>
      <c r="L7055" s="31" t="str">
        <f>IFERROR(__xludf.DUMMYFUNCTION("IF(OR(E7055="""",K7055=""""),"""",IFERROR(IF(K7055="""","""",query('tbl user'!$A$2:$D10975,""SELECT A WHERE D = '""&amp;K7055&amp;""'"")),""USER TIDAK DIKETAHUI""))"),"")</f>
        <v/>
      </c>
    </row>
    <row r="7056">
      <c r="A7056" s="21" t="str">
        <f t="shared" si="3"/>
        <v/>
      </c>
      <c r="B7056" s="38"/>
      <c r="C7056" s="23"/>
      <c r="D7056" s="23"/>
      <c r="E7056" s="24"/>
      <c r="F7056" s="25"/>
      <c r="G7056" s="25"/>
      <c r="H7056" s="27"/>
      <c r="I7056" s="28"/>
      <c r="J7056" s="39"/>
      <c r="K7056" s="41"/>
      <c r="L7056" s="31" t="str">
        <f>IFERROR(__xludf.DUMMYFUNCTION("IF(OR(E7056="""",K7056=""""),"""",IFERROR(IF(K7056="""","""",query('tbl user'!$A$2:$D10975,""SELECT A WHERE D = '""&amp;K7056&amp;""'"")),""USER TIDAK DIKETAHUI""))"),"")</f>
        <v/>
      </c>
    </row>
    <row r="7057">
      <c r="A7057" s="21" t="str">
        <f t="shared" si="3"/>
        <v/>
      </c>
      <c r="B7057" s="38"/>
      <c r="C7057" s="23"/>
      <c r="D7057" s="23"/>
      <c r="E7057" s="24"/>
      <c r="F7057" s="25"/>
      <c r="G7057" s="25"/>
      <c r="H7057" s="27"/>
      <c r="I7057" s="28"/>
      <c r="J7057" s="39"/>
      <c r="K7057" s="41"/>
      <c r="L7057" s="31" t="str">
        <f>IFERROR(__xludf.DUMMYFUNCTION("IF(OR(E7057="""",K7057=""""),"""",IFERROR(IF(K7057="""","""",query('tbl user'!$A$2:$D10975,""SELECT A WHERE D = '""&amp;K7057&amp;""'"")),""USER TIDAK DIKETAHUI""))"),"")</f>
        <v/>
      </c>
    </row>
    <row r="7058">
      <c r="A7058" s="21" t="str">
        <f t="shared" si="3"/>
        <v/>
      </c>
      <c r="B7058" s="38"/>
      <c r="C7058" s="23"/>
      <c r="D7058" s="23"/>
      <c r="E7058" s="24"/>
      <c r="F7058" s="25"/>
      <c r="G7058" s="25"/>
      <c r="H7058" s="27"/>
      <c r="I7058" s="28"/>
      <c r="J7058" s="39"/>
      <c r="K7058" s="41"/>
      <c r="L7058" s="31" t="str">
        <f>IFERROR(__xludf.DUMMYFUNCTION("IF(OR(E7058="""",K7058=""""),"""",IFERROR(IF(K7058="""","""",query('tbl user'!$A$2:$D10975,""SELECT A WHERE D = '""&amp;K7058&amp;""'"")),""USER TIDAK DIKETAHUI""))"),"")</f>
        <v/>
      </c>
    </row>
    <row r="7059">
      <c r="A7059" s="21" t="str">
        <f t="shared" si="3"/>
        <v/>
      </c>
      <c r="B7059" s="38"/>
      <c r="C7059" s="23"/>
      <c r="D7059" s="23"/>
      <c r="E7059" s="24"/>
      <c r="F7059" s="25"/>
      <c r="G7059" s="25"/>
      <c r="H7059" s="27"/>
      <c r="I7059" s="28"/>
      <c r="J7059" s="39"/>
      <c r="K7059" s="41"/>
      <c r="L7059" s="31" t="str">
        <f>IFERROR(__xludf.DUMMYFUNCTION("IF(OR(E7059="""",K7059=""""),"""",IFERROR(IF(K7059="""","""",query('tbl user'!$A$2:$D10975,""SELECT A WHERE D = '""&amp;K7059&amp;""'"")),""USER TIDAK DIKETAHUI""))"),"")</f>
        <v/>
      </c>
    </row>
    <row r="7060">
      <c r="A7060" s="21" t="str">
        <f t="shared" si="3"/>
        <v/>
      </c>
      <c r="B7060" s="38"/>
      <c r="C7060" s="23"/>
      <c r="D7060" s="23"/>
      <c r="E7060" s="24"/>
      <c r="F7060" s="25"/>
      <c r="G7060" s="25"/>
      <c r="H7060" s="27"/>
      <c r="I7060" s="28"/>
      <c r="J7060" s="39"/>
      <c r="K7060" s="41"/>
      <c r="L7060" s="31" t="str">
        <f>IFERROR(__xludf.DUMMYFUNCTION("IF(OR(E7060="""",K7060=""""),"""",IFERROR(IF(K7060="""","""",query('tbl user'!$A$2:$D10975,""SELECT A WHERE D = '""&amp;K7060&amp;""'"")),""USER TIDAK DIKETAHUI""))"),"")</f>
        <v/>
      </c>
    </row>
    <row r="7061">
      <c r="A7061" s="21" t="str">
        <f t="shared" si="3"/>
        <v/>
      </c>
      <c r="B7061" s="38"/>
      <c r="C7061" s="23"/>
      <c r="D7061" s="23"/>
      <c r="E7061" s="24"/>
      <c r="F7061" s="25"/>
      <c r="G7061" s="25"/>
      <c r="H7061" s="27"/>
      <c r="I7061" s="28"/>
      <c r="J7061" s="39"/>
      <c r="K7061" s="41"/>
      <c r="L7061" s="31" t="str">
        <f>IFERROR(__xludf.DUMMYFUNCTION("IF(OR(E7061="""",K7061=""""),"""",IFERROR(IF(K7061="""","""",query('tbl user'!$A$2:$D10975,""SELECT A WHERE D = '""&amp;K7061&amp;""'"")),""USER TIDAK DIKETAHUI""))"),"")</f>
        <v/>
      </c>
    </row>
    <row r="7062">
      <c r="A7062" s="21" t="str">
        <f t="shared" si="3"/>
        <v/>
      </c>
      <c r="B7062" s="38"/>
      <c r="C7062" s="23"/>
      <c r="D7062" s="23"/>
      <c r="E7062" s="24"/>
      <c r="F7062" s="25"/>
      <c r="G7062" s="25"/>
      <c r="H7062" s="27"/>
      <c r="I7062" s="28"/>
      <c r="J7062" s="39"/>
      <c r="K7062" s="41"/>
      <c r="L7062" s="31" t="str">
        <f>IFERROR(__xludf.DUMMYFUNCTION("IF(OR(E7062="""",K7062=""""),"""",IFERROR(IF(K7062="""","""",query('tbl user'!$A$2:$D10975,""SELECT A WHERE D = '""&amp;K7062&amp;""'"")),""USER TIDAK DIKETAHUI""))"),"")</f>
        <v/>
      </c>
    </row>
    <row r="7063">
      <c r="A7063" s="21" t="str">
        <f t="shared" si="3"/>
        <v/>
      </c>
      <c r="B7063" s="38"/>
      <c r="C7063" s="23"/>
      <c r="D7063" s="23"/>
      <c r="E7063" s="24"/>
      <c r="F7063" s="25"/>
      <c r="G7063" s="25"/>
      <c r="H7063" s="27"/>
      <c r="I7063" s="28"/>
      <c r="J7063" s="39"/>
      <c r="K7063" s="41"/>
      <c r="L7063" s="31" t="str">
        <f>IFERROR(__xludf.DUMMYFUNCTION("IF(OR(E7063="""",K7063=""""),"""",IFERROR(IF(K7063="""","""",query('tbl user'!$A$2:$D10975,""SELECT A WHERE D = '""&amp;K7063&amp;""'"")),""USER TIDAK DIKETAHUI""))"),"")</f>
        <v/>
      </c>
    </row>
    <row r="7064">
      <c r="A7064" s="21" t="str">
        <f t="shared" si="3"/>
        <v/>
      </c>
      <c r="B7064" s="38"/>
      <c r="C7064" s="23"/>
      <c r="D7064" s="23"/>
      <c r="E7064" s="24"/>
      <c r="F7064" s="25"/>
      <c r="G7064" s="25"/>
      <c r="H7064" s="27"/>
      <c r="I7064" s="28"/>
      <c r="J7064" s="39"/>
      <c r="K7064" s="41"/>
      <c r="L7064" s="31" t="str">
        <f>IFERROR(__xludf.DUMMYFUNCTION("IF(OR(E7064="""",K7064=""""),"""",IFERROR(IF(K7064="""","""",query('tbl user'!$A$2:$D10975,""SELECT A WHERE D = '""&amp;K7064&amp;""'"")),""USER TIDAK DIKETAHUI""))"),"")</f>
        <v/>
      </c>
    </row>
    <row r="7065">
      <c r="A7065" s="21" t="str">
        <f t="shared" si="3"/>
        <v/>
      </c>
      <c r="B7065" s="38"/>
      <c r="C7065" s="23"/>
      <c r="D7065" s="23"/>
      <c r="E7065" s="24"/>
      <c r="F7065" s="25"/>
      <c r="G7065" s="25"/>
      <c r="H7065" s="27"/>
      <c r="I7065" s="28"/>
      <c r="J7065" s="39"/>
      <c r="K7065" s="41"/>
      <c r="L7065" s="31" t="str">
        <f>IFERROR(__xludf.DUMMYFUNCTION("IF(OR(E7065="""",K7065=""""),"""",IFERROR(IF(K7065="""","""",query('tbl user'!$A$2:$D10975,""SELECT A WHERE D = '""&amp;K7065&amp;""'"")),""USER TIDAK DIKETAHUI""))"),"")</f>
        <v/>
      </c>
    </row>
    <row r="7066">
      <c r="A7066" s="21" t="str">
        <f t="shared" si="3"/>
        <v/>
      </c>
      <c r="B7066" s="38"/>
      <c r="C7066" s="23"/>
      <c r="D7066" s="23"/>
      <c r="E7066" s="24"/>
      <c r="F7066" s="25"/>
      <c r="G7066" s="25"/>
      <c r="H7066" s="27"/>
      <c r="I7066" s="28"/>
      <c r="J7066" s="39"/>
      <c r="K7066" s="41"/>
      <c r="L7066" s="31" t="str">
        <f>IFERROR(__xludf.DUMMYFUNCTION("IF(OR(E7066="""",K7066=""""),"""",IFERROR(IF(K7066="""","""",query('tbl user'!$A$2:$D10975,""SELECT A WHERE D = '""&amp;K7066&amp;""'"")),""USER TIDAK DIKETAHUI""))"),"")</f>
        <v/>
      </c>
    </row>
    <row r="7067">
      <c r="A7067" s="21" t="str">
        <f t="shared" si="3"/>
        <v/>
      </c>
      <c r="B7067" s="38"/>
      <c r="C7067" s="23"/>
      <c r="D7067" s="23"/>
      <c r="E7067" s="24"/>
      <c r="F7067" s="25"/>
      <c r="G7067" s="25"/>
      <c r="H7067" s="27"/>
      <c r="I7067" s="28"/>
      <c r="J7067" s="39"/>
      <c r="K7067" s="41"/>
      <c r="L7067" s="31" t="str">
        <f>IFERROR(__xludf.DUMMYFUNCTION("IF(OR(E7067="""",K7067=""""),"""",IFERROR(IF(K7067="""","""",query('tbl user'!$A$2:$D10975,""SELECT A WHERE D = '""&amp;K7067&amp;""'"")),""USER TIDAK DIKETAHUI""))"),"")</f>
        <v/>
      </c>
    </row>
    <row r="7068">
      <c r="A7068" s="21" t="str">
        <f t="shared" si="3"/>
        <v/>
      </c>
      <c r="B7068" s="38"/>
      <c r="C7068" s="23"/>
      <c r="D7068" s="23"/>
      <c r="E7068" s="24"/>
      <c r="F7068" s="25"/>
      <c r="G7068" s="25"/>
      <c r="H7068" s="27"/>
      <c r="I7068" s="28"/>
      <c r="J7068" s="39"/>
      <c r="K7068" s="41"/>
      <c r="L7068" s="31" t="str">
        <f>IFERROR(__xludf.DUMMYFUNCTION("IF(OR(E7068="""",K7068=""""),"""",IFERROR(IF(K7068="""","""",query('tbl user'!$A$2:$D10975,""SELECT A WHERE D = '""&amp;K7068&amp;""'"")),""USER TIDAK DIKETAHUI""))"),"")</f>
        <v/>
      </c>
    </row>
    <row r="7069">
      <c r="A7069" s="21" t="str">
        <f t="shared" si="3"/>
        <v/>
      </c>
      <c r="B7069" s="38"/>
      <c r="C7069" s="23"/>
      <c r="D7069" s="23"/>
      <c r="E7069" s="24"/>
      <c r="F7069" s="25"/>
      <c r="G7069" s="25"/>
      <c r="H7069" s="27"/>
      <c r="I7069" s="28"/>
      <c r="J7069" s="39"/>
      <c r="K7069" s="41"/>
      <c r="L7069" s="31" t="str">
        <f>IFERROR(__xludf.DUMMYFUNCTION("IF(OR(E7069="""",K7069=""""),"""",IFERROR(IF(K7069="""","""",query('tbl user'!$A$2:$D10975,""SELECT A WHERE D = '""&amp;K7069&amp;""'"")),""USER TIDAK DIKETAHUI""))"),"")</f>
        <v/>
      </c>
    </row>
    <row r="7070">
      <c r="A7070" s="21" t="str">
        <f t="shared" si="3"/>
        <v/>
      </c>
      <c r="B7070" s="38"/>
      <c r="C7070" s="23"/>
      <c r="D7070" s="23"/>
      <c r="E7070" s="24"/>
      <c r="F7070" s="25"/>
      <c r="G7070" s="25"/>
      <c r="H7070" s="27"/>
      <c r="I7070" s="28"/>
      <c r="J7070" s="39"/>
      <c r="K7070" s="41"/>
      <c r="L7070" s="31" t="str">
        <f>IFERROR(__xludf.DUMMYFUNCTION("IF(OR(E7070="""",K7070=""""),"""",IFERROR(IF(K7070="""","""",query('tbl user'!$A$2:$D10975,""SELECT A WHERE D = '""&amp;K7070&amp;""'"")),""USER TIDAK DIKETAHUI""))"),"")</f>
        <v/>
      </c>
    </row>
    <row r="7071">
      <c r="A7071" s="21" t="str">
        <f t="shared" si="3"/>
        <v/>
      </c>
      <c r="B7071" s="38"/>
      <c r="C7071" s="23"/>
      <c r="D7071" s="23"/>
      <c r="E7071" s="24"/>
      <c r="F7071" s="25"/>
      <c r="G7071" s="25"/>
      <c r="H7071" s="27"/>
      <c r="I7071" s="28"/>
      <c r="J7071" s="39"/>
      <c r="K7071" s="41"/>
      <c r="L7071" s="31" t="str">
        <f>IFERROR(__xludf.DUMMYFUNCTION("IF(OR(E7071="""",K7071=""""),"""",IFERROR(IF(K7071="""","""",query('tbl user'!$A$2:$D10975,""SELECT A WHERE D = '""&amp;K7071&amp;""'"")),""USER TIDAK DIKETAHUI""))"),"")</f>
        <v/>
      </c>
    </row>
    <row r="7072">
      <c r="A7072" s="21" t="str">
        <f t="shared" si="3"/>
        <v/>
      </c>
      <c r="B7072" s="38"/>
      <c r="C7072" s="23"/>
      <c r="D7072" s="23"/>
      <c r="E7072" s="24"/>
      <c r="F7072" s="25"/>
      <c r="G7072" s="25"/>
      <c r="H7072" s="27"/>
      <c r="I7072" s="28"/>
      <c r="J7072" s="39"/>
      <c r="K7072" s="41"/>
      <c r="L7072" s="31" t="str">
        <f>IFERROR(__xludf.DUMMYFUNCTION("IF(OR(E7072="""",K7072=""""),"""",IFERROR(IF(K7072="""","""",query('tbl user'!$A$2:$D10975,""SELECT A WHERE D = '""&amp;K7072&amp;""'"")),""USER TIDAK DIKETAHUI""))"),"")</f>
        <v/>
      </c>
    </row>
    <row r="7073">
      <c r="A7073" s="21" t="str">
        <f t="shared" si="3"/>
        <v/>
      </c>
      <c r="B7073" s="38"/>
      <c r="C7073" s="23"/>
      <c r="D7073" s="23"/>
      <c r="E7073" s="24"/>
      <c r="F7073" s="25"/>
      <c r="G7073" s="25"/>
      <c r="H7073" s="27"/>
      <c r="I7073" s="28"/>
      <c r="J7073" s="39"/>
      <c r="K7073" s="41"/>
      <c r="L7073" s="31" t="str">
        <f>IFERROR(__xludf.DUMMYFUNCTION("IF(OR(E7073="""",K7073=""""),"""",IFERROR(IF(K7073="""","""",query('tbl user'!$A$2:$D10975,""SELECT A WHERE D = '""&amp;K7073&amp;""'"")),""USER TIDAK DIKETAHUI""))"),"")</f>
        <v/>
      </c>
    </row>
    <row r="7074">
      <c r="A7074" s="21" t="str">
        <f t="shared" si="3"/>
        <v/>
      </c>
      <c r="B7074" s="38"/>
      <c r="C7074" s="23"/>
      <c r="D7074" s="23"/>
      <c r="E7074" s="24"/>
      <c r="F7074" s="25"/>
      <c r="G7074" s="25"/>
      <c r="H7074" s="27"/>
      <c r="I7074" s="28"/>
      <c r="J7074" s="39"/>
      <c r="K7074" s="41"/>
      <c r="L7074" s="31" t="str">
        <f>IFERROR(__xludf.DUMMYFUNCTION("IF(OR(E7074="""",K7074=""""),"""",IFERROR(IF(K7074="""","""",query('tbl user'!$A$2:$D10975,""SELECT A WHERE D = '""&amp;K7074&amp;""'"")),""USER TIDAK DIKETAHUI""))"),"")</f>
        <v/>
      </c>
    </row>
    <row r="7075">
      <c r="A7075" s="21" t="str">
        <f t="shared" si="3"/>
        <v/>
      </c>
      <c r="B7075" s="38"/>
      <c r="C7075" s="23"/>
      <c r="D7075" s="23"/>
      <c r="E7075" s="24"/>
      <c r="F7075" s="25"/>
      <c r="G7075" s="25"/>
      <c r="H7075" s="27"/>
      <c r="I7075" s="28"/>
      <c r="J7075" s="39"/>
      <c r="K7075" s="41"/>
      <c r="L7075" s="31" t="str">
        <f>IFERROR(__xludf.DUMMYFUNCTION("IF(OR(E7075="""",K7075=""""),"""",IFERROR(IF(K7075="""","""",query('tbl user'!$A$2:$D10975,""SELECT A WHERE D = '""&amp;K7075&amp;""'"")),""USER TIDAK DIKETAHUI""))"),"")</f>
        <v/>
      </c>
    </row>
    <row r="7076">
      <c r="A7076" s="21" t="str">
        <f t="shared" si="3"/>
        <v/>
      </c>
      <c r="B7076" s="38"/>
      <c r="C7076" s="23"/>
      <c r="D7076" s="23"/>
      <c r="E7076" s="24"/>
      <c r="F7076" s="25"/>
      <c r="G7076" s="25"/>
      <c r="H7076" s="27"/>
      <c r="I7076" s="28"/>
      <c r="J7076" s="39"/>
      <c r="K7076" s="41"/>
      <c r="L7076" s="31" t="str">
        <f>IFERROR(__xludf.DUMMYFUNCTION("IF(OR(E7076="""",K7076=""""),"""",IFERROR(IF(K7076="""","""",query('tbl user'!$A$2:$D10975,""SELECT A WHERE D = '""&amp;K7076&amp;""'"")),""USER TIDAK DIKETAHUI""))"),"")</f>
        <v/>
      </c>
    </row>
    <row r="7077">
      <c r="A7077" s="21" t="str">
        <f t="shared" si="3"/>
        <v/>
      </c>
      <c r="B7077" s="38"/>
      <c r="C7077" s="23"/>
      <c r="D7077" s="23"/>
      <c r="E7077" s="24"/>
      <c r="F7077" s="25"/>
      <c r="G7077" s="25"/>
      <c r="H7077" s="27"/>
      <c r="I7077" s="28"/>
      <c r="J7077" s="39"/>
      <c r="K7077" s="41"/>
      <c r="L7077" s="31" t="str">
        <f>IFERROR(__xludf.DUMMYFUNCTION("IF(OR(E7077="""",K7077=""""),"""",IFERROR(IF(K7077="""","""",query('tbl user'!$A$2:$D10975,""SELECT A WHERE D = '""&amp;K7077&amp;""'"")),""USER TIDAK DIKETAHUI""))"),"")</f>
        <v/>
      </c>
    </row>
    <row r="7078">
      <c r="A7078" s="21" t="str">
        <f t="shared" si="3"/>
        <v/>
      </c>
      <c r="B7078" s="38"/>
      <c r="C7078" s="23"/>
      <c r="D7078" s="23"/>
      <c r="E7078" s="24"/>
      <c r="F7078" s="25"/>
      <c r="G7078" s="25"/>
      <c r="H7078" s="27"/>
      <c r="I7078" s="28"/>
      <c r="J7078" s="39"/>
      <c r="K7078" s="41"/>
      <c r="L7078" s="31" t="str">
        <f>IFERROR(__xludf.DUMMYFUNCTION("IF(OR(E7078="""",K7078=""""),"""",IFERROR(IF(K7078="""","""",query('tbl user'!$A$2:$D10975,""SELECT A WHERE D = '""&amp;K7078&amp;""'"")),""USER TIDAK DIKETAHUI""))"),"")</f>
        <v/>
      </c>
    </row>
    <row r="7079">
      <c r="A7079" s="21" t="str">
        <f t="shared" si="3"/>
        <v/>
      </c>
      <c r="B7079" s="38"/>
      <c r="C7079" s="23"/>
      <c r="D7079" s="23"/>
      <c r="E7079" s="24"/>
      <c r="F7079" s="25"/>
      <c r="G7079" s="25"/>
      <c r="H7079" s="27"/>
      <c r="I7079" s="28"/>
      <c r="J7079" s="39"/>
      <c r="K7079" s="41"/>
      <c r="L7079" s="31" t="str">
        <f>IFERROR(__xludf.DUMMYFUNCTION("IF(OR(E7079="""",K7079=""""),"""",IFERROR(IF(K7079="""","""",query('tbl user'!$A$2:$D10975,""SELECT A WHERE D = '""&amp;K7079&amp;""'"")),""USER TIDAK DIKETAHUI""))"),"")</f>
        <v/>
      </c>
    </row>
    <row r="7080">
      <c r="A7080" s="21" t="str">
        <f t="shared" si="3"/>
        <v/>
      </c>
      <c r="B7080" s="38"/>
      <c r="C7080" s="23"/>
      <c r="D7080" s="23"/>
      <c r="E7080" s="24"/>
      <c r="F7080" s="25"/>
      <c r="G7080" s="25"/>
      <c r="H7080" s="27"/>
      <c r="I7080" s="28"/>
      <c r="J7080" s="39"/>
      <c r="K7080" s="41"/>
      <c r="L7080" s="31" t="str">
        <f>IFERROR(__xludf.DUMMYFUNCTION("IF(OR(E7080="""",K7080=""""),"""",IFERROR(IF(K7080="""","""",query('tbl user'!$A$2:$D10975,""SELECT A WHERE D = '""&amp;K7080&amp;""'"")),""USER TIDAK DIKETAHUI""))"),"")</f>
        <v/>
      </c>
    </row>
    <row r="7081">
      <c r="A7081" s="21" t="str">
        <f t="shared" si="3"/>
        <v/>
      </c>
      <c r="B7081" s="38"/>
      <c r="C7081" s="23"/>
      <c r="D7081" s="23"/>
      <c r="E7081" s="24"/>
      <c r="F7081" s="25"/>
      <c r="G7081" s="25"/>
      <c r="H7081" s="27"/>
      <c r="I7081" s="28"/>
      <c r="J7081" s="39"/>
      <c r="K7081" s="41"/>
      <c r="L7081" s="31" t="str">
        <f>IFERROR(__xludf.DUMMYFUNCTION("IF(OR(E7081="""",K7081=""""),"""",IFERROR(IF(K7081="""","""",query('tbl user'!$A$2:$D10975,""SELECT A WHERE D = '""&amp;K7081&amp;""'"")),""USER TIDAK DIKETAHUI""))"),"")</f>
        <v/>
      </c>
    </row>
    <row r="7082">
      <c r="A7082" s="21" t="str">
        <f t="shared" si="3"/>
        <v/>
      </c>
      <c r="B7082" s="38"/>
      <c r="C7082" s="23"/>
      <c r="D7082" s="23"/>
      <c r="E7082" s="24"/>
      <c r="F7082" s="25"/>
      <c r="G7082" s="25"/>
      <c r="H7082" s="27"/>
      <c r="I7082" s="28"/>
      <c r="J7082" s="39"/>
      <c r="K7082" s="41"/>
      <c r="L7082" s="31" t="str">
        <f>IFERROR(__xludf.DUMMYFUNCTION("IF(OR(E7082="""",K7082=""""),"""",IFERROR(IF(K7082="""","""",query('tbl user'!$A$2:$D10975,""SELECT A WHERE D = '""&amp;K7082&amp;""'"")),""USER TIDAK DIKETAHUI""))"),"")</f>
        <v/>
      </c>
    </row>
    <row r="7083">
      <c r="A7083" s="21" t="str">
        <f t="shared" si="3"/>
        <v/>
      </c>
      <c r="B7083" s="38"/>
      <c r="C7083" s="23"/>
      <c r="D7083" s="23"/>
      <c r="E7083" s="24"/>
      <c r="F7083" s="25"/>
      <c r="G7083" s="25"/>
      <c r="H7083" s="27"/>
      <c r="I7083" s="28"/>
      <c r="J7083" s="39"/>
      <c r="K7083" s="41"/>
      <c r="L7083" s="31" t="str">
        <f>IFERROR(__xludf.DUMMYFUNCTION("IF(OR(E7083="""",K7083=""""),"""",IFERROR(IF(K7083="""","""",query('tbl user'!$A$2:$D10975,""SELECT A WHERE D = '""&amp;K7083&amp;""'"")),""USER TIDAK DIKETAHUI""))"),"")</f>
        <v/>
      </c>
    </row>
    <row r="7084">
      <c r="A7084" s="21" t="str">
        <f t="shared" si="3"/>
        <v/>
      </c>
      <c r="B7084" s="38"/>
      <c r="C7084" s="23"/>
      <c r="D7084" s="23"/>
      <c r="E7084" s="24"/>
      <c r="F7084" s="25"/>
      <c r="G7084" s="25"/>
      <c r="H7084" s="27"/>
      <c r="I7084" s="28"/>
      <c r="J7084" s="39"/>
      <c r="K7084" s="41"/>
      <c r="L7084" s="31" t="str">
        <f>IFERROR(__xludf.DUMMYFUNCTION("IF(OR(E7084="""",K7084=""""),"""",IFERROR(IF(K7084="""","""",query('tbl user'!$A$2:$D10975,""SELECT A WHERE D = '""&amp;K7084&amp;""'"")),""USER TIDAK DIKETAHUI""))"),"")</f>
        <v/>
      </c>
    </row>
    <row r="7085">
      <c r="A7085" s="21" t="str">
        <f t="shared" si="3"/>
        <v/>
      </c>
      <c r="B7085" s="38"/>
      <c r="C7085" s="23"/>
      <c r="D7085" s="23"/>
      <c r="E7085" s="24"/>
      <c r="F7085" s="25"/>
      <c r="G7085" s="25"/>
      <c r="H7085" s="27"/>
      <c r="I7085" s="28"/>
      <c r="J7085" s="39"/>
      <c r="K7085" s="41"/>
      <c r="L7085" s="31" t="str">
        <f>IFERROR(__xludf.DUMMYFUNCTION("IF(OR(E7085="""",K7085=""""),"""",IFERROR(IF(K7085="""","""",query('tbl user'!$A$2:$D10975,""SELECT A WHERE D = '""&amp;K7085&amp;""'"")),""USER TIDAK DIKETAHUI""))"),"")</f>
        <v/>
      </c>
    </row>
    <row r="7086">
      <c r="A7086" s="21" t="str">
        <f t="shared" si="3"/>
        <v/>
      </c>
      <c r="B7086" s="38"/>
      <c r="C7086" s="23"/>
      <c r="D7086" s="23"/>
      <c r="E7086" s="24"/>
      <c r="F7086" s="25"/>
      <c r="G7086" s="25"/>
      <c r="H7086" s="27"/>
      <c r="I7086" s="28"/>
      <c r="J7086" s="39"/>
      <c r="K7086" s="41"/>
      <c r="L7086" s="31" t="str">
        <f>IFERROR(__xludf.DUMMYFUNCTION("IF(OR(E7086="""",K7086=""""),"""",IFERROR(IF(K7086="""","""",query('tbl user'!$A$2:$D10975,""SELECT A WHERE D = '""&amp;K7086&amp;""'"")),""USER TIDAK DIKETAHUI""))"),"")</f>
        <v/>
      </c>
    </row>
    <row r="7087">
      <c r="A7087" s="21" t="str">
        <f t="shared" si="3"/>
        <v/>
      </c>
      <c r="B7087" s="38"/>
      <c r="C7087" s="23"/>
      <c r="D7087" s="23"/>
      <c r="E7087" s="24"/>
      <c r="F7087" s="25"/>
      <c r="G7087" s="25"/>
      <c r="H7087" s="27"/>
      <c r="I7087" s="28"/>
      <c r="J7087" s="39"/>
      <c r="K7087" s="41"/>
      <c r="L7087" s="31" t="str">
        <f>IFERROR(__xludf.DUMMYFUNCTION("IF(OR(E7087="""",K7087=""""),"""",IFERROR(IF(K7087="""","""",query('tbl user'!$A$2:$D10975,""SELECT A WHERE D = '""&amp;K7087&amp;""'"")),""USER TIDAK DIKETAHUI""))"),"")</f>
        <v/>
      </c>
    </row>
    <row r="7088">
      <c r="A7088" s="21" t="str">
        <f t="shared" si="3"/>
        <v/>
      </c>
      <c r="B7088" s="38"/>
      <c r="C7088" s="23"/>
      <c r="D7088" s="23"/>
      <c r="E7088" s="24"/>
      <c r="F7088" s="25"/>
      <c r="G7088" s="25"/>
      <c r="H7088" s="27"/>
      <c r="I7088" s="28"/>
      <c r="J7088" s="39"/>
      <c r="K7088" s="41"/>
      <c r="L7088" s="31" t="str">
        <f>IFERROR(__xludf.DUMMYFUNCTION("IF(OR(E7088="""",K7088=""""),"""",IFERROR(IF(K7088="""","""",query('tbl user'!$A$2:$D10975,""SELECT A WHERE D = '""&amp;K7088&amp;""'"")),""USER TIDAK DIKETAHUI""))"),"")</f>
        <v/>
      </c>
    </row>
    <row r="7089">
      <c r="A7089" s="21" t="str">
        <f t="shared" si="3"/>
        <v/>
      </c>
      <c r="B7089" s="38"/>
      <c r="C7089" s="23"/>
      <c r="D7089" s="23"/>
      <c r="E7089" s="24"/>
      <c r="F7089" s="25"/>
      <c r="G7089" s="25"/>
      <c r="H7089" s="27"/>
      <c r="I7089" s="28"/>
      <c r="J7089" s="39"/>
      <c r="K7089" s="41"/>
      <c r="L7089" s="31" t="str">
        <f>IFERROR(__xludf.DUMMYFUNCTION("IF(OR(E7089="""",K7089=""""),"""",IFERROR(IF(K7089="""","""",query('tbl user'!$A$2:$D10975,""SELECT A WHERE D = '""&amp;K7089&amp;""'"")),""USER TIDAK DIKETAHUI""))"),"")</f>
        <v/>
      </c>
    </row>
    <row r="7090">
      <c r="A7090" s="21" t="str">
        <f t="shared" si="3"/>
        <v/>
      </c>
      <c r="B7090" s="38"/>
      <c r="C7090" s="23"/>
      <c r="D7090" s="23"/>
      <c r="E7090" s="24"/>
      <c r="F7090" s="25"/>
      <c r="G7090" s="25"/>
      <c r="H7090" s="27"/>
      <c r="I7090" s="28"/>
      <c r="J7090" s="39"/>
      <c r="K7090" s="41"/>
      <c r="L7090" s="31" t="str">
        <f>IFERROR(__xludf.DUMMYFUNCTION("IF(OR(E7090="""",K7090=""""),"""",IFERROR(IF(K7090="""","""",query('tbl user'!$A$2:$D10975,""SELECT A WHERE D = '""&amp;K7090&amp;""'"")),""USER TIDAK DIKETAHUI""))"),"")</f>
        <v/>
      </c>
    </row>
    <row r="7091">
      <c r="A7091" s="21" t="str">
        <f t="shared" si="3"/>
        <v/>
      </c>
      <c r="B7091" s="38"/>
      <c r="C7091" s="23"/>
      <c r="D7091" s="23"/>
      <c r="E7091" s="24"/>
      <c r="F7091" s="25"/>
      <c r="G7091" s="25"/>
      <c r="H7091" s="27"/>
      <c r="I7091" s="28"/>
      <c r="J7091" s="39"/>
      <c r="K7091" s="41"/>
      <c r="L7091" s="31" t="str">
        <f>IFERROR(__xludf.DUMMYFUNCTION("IF(OR(E7091="""",K7091=""""),"""",IFERROR(IF(K7091="""","""",query('tbl user'!$A$2:$D10975,""SELECT A WHERE D = '""&amp;K7091&amp;""'"")),""USER TIDAK DIKETAHUI""))"),"")</f>
        <v/>
      </c>
    </row>
    <row r="7092">
      <c r="A7092" s="21" t="str">
        <f t="shared" si="3"/>
        <v/>
      </c>
      <c r="B7092" s="38"/>
      <c r="C7092" s="23"/>
      <c r="D7092" s="23"/>
      <c r="E7092" s="24"/>
      <c r="F7092" s="25"/>
      <c r="G7092" s="25"/>
      <c r="H7092" s="27"/>
      <c r="I7092" s="28"/>
      <c r="J7092" s="39"/>
      <c r="K7092" s="41"/>
      <c r="L7092" s="31" t="str">
        <f>IFERROR(__xludf.DUMMYFUNCTION("IF(OR(E7092="""",K7092=""""),"""",IFERROR(IF(K7092="""","""",query('tbl user'!$A$2:$D10975,""SELECT A WHERE D = '""&amp;K7092&amp;""'"")),""USER TIDAK DIKETAHUI""))"),"")</f>
        <v/>
      </c>
    </row>
    <row r="7093">
      <c r="A7093" s="21" t="str">
        <f t="shared" si="3"/>
        <v/>
      </c>
      <c r="B7093" s="38"/>
      <c r="C7093" s="23"/>
      <c r="D7093" s="23"/>
      <c r="E7093" s="24"/>
      <c r="F7093" s="25"/>
      <c r="G7093" s="25"/>
      <c r="H7093" s="27"/>
      <c r="I7093" s="28"/>
      <c r="J7093" s="39"/>
      <c r="K7093" s="41"/>
      <c r="L7093" s="31" t="str">
        <f>IFERROR(__xludf.DUMMYFUNCTION("IF(OR(E7093="""",K7093=""""),"""",IFERROR(IF(K7093="""","""",query('tbl user'!$A$2:$D10975,""SELECT A WHERE D = '""&amp;K7093&amp;""'"")),""USER TIDAK DIKETAHUI""))"),"")</f>
        <v/>
      </c>
    </row>
    <row r="7094">
      <c r="A7094" s="21" t="str">
        <f t="shared" si="3"/>
        <v/>
      </c>
      <c r="B7094" s="38"/>
      <c r="C7094" s="23"/>
      <c r="D7094" s="23"/>
      <c r="E7094" s="24"/>
      <c r="F7094" s="25"/>
      <c r="G7094" s="25"/>
      <c r="H7094" s="27"/>
      <c r="I7094" s="28"/>
      <c r="J7094" s="39"/>
      <c r="K7094" s="41"/>
      <c r="L7094" s="31" t="str">
        <f>IFERROR(__xludf.DUMMYFUNCTION("IF(OR(E7094="""",K7094=""""),"""",IFERROR(IF(K7094="""","""",query('tbl user'!$A$2:$D10975,""SELECT A WHERE D = '""&amp;K7094&amp;""'"")),""USER TIDAK DIKETAHUI""))"),"")</f>
        <v/>
      </c>
    </row>
    <row r="7095">
      <c r="A7095" s="21" t="str">
        <f t="shared" si="3"/>
        <v/>
      </c>
      <c r="B7095" s="38"/>
      <c r="C7095" s="23"/>
      <c r="D7095" s="23"/>
      <c r="E7095" s="24"/>
      <c r="F7095" s="25"/>
      <c r="G7095" s="25"/>
      <c r="H7095" s="27"/>
      <c r="I7095" s="28"/>
      <c r="J7095" s="39"/>
      <c r="K7095" s="41"/>
      <c r="L7095" s="31" t="str">
        <f>IFERROR(__xludf.DUMMYFUNCTION("IF(OR(E7095="""",K7095=""""),"""",IFERROR(IF(K7095="""","""",query('tbl user'!$A$2:$D10975,""SELECT A WHERE D = '""&amp;K7095&amp;""'"")),""USER TIDAK DIKETAHUI""))"),"")</f>
        <v/>
      </c>
    </row>
    <row r="7096">
      <c r="A7096" s="21" t="str">
        <f t="shared" si="3"/>
        <v/>
      </c>
      <c r="B7096" s="38"/>
      <c r="C7096" s="23"/>
      <c r="D7096" s="23"/>
      <c r="E7096" s="24"/>
      <c r="F7096" s="25"/>
      <c r="G7096" s="25"/>
      <c r="H7096" s="27"/>
      <c r="I7096" s="28"/>
      <c r="J7096" s="39"/>
      <c r="K7096" s="41"/>
      <c r="L7096" s="31" t="str">
        <f>IFERROR(__xludf.DUMMYFUNCTION("IF(OR(E7096="""",K7096=""""),"""",IFERROR(IF(K7096="""","""",query('tbl user'!$A$2:$D10975,""SELECT A WHERE D = '""&amp;K7096&amp;""'"")),""USER TIDAK DIKETAHUI""))"),"")</f>
        <v/>
      </c>
    </row>
    <row r="7097">
      <c r="A7097" s="21" t="str">
        <f t="shared" si="3"/>
        <v/>
      </c>
      <c r="B7097" s="38"/>
      <c r="C7097" s="23"/>
      <c r="D7097" s="23"/>
      <c r="E7097" s="24"/>
      <c r="F7097" s="25"/>
      <c r="G7097" s="25"/>
      <c r="H7097" s="27"/>
      <c r="I7097" s="28"/>
      <c r="J7097" s="39"/>
      <c r="K7097" s="41"/>
      <c r="L7097" s="31" t="str">
        <f>IFERROR(__xludf.DUMMYFUNCTION("IF(OR(E7097="""",K7097=""""),"""",IFERROR(IF(K7097="""","""",query('tbl user'!$A$2:$D10975,""SELECT A WHERE D = '""&amp;K7097&amp;""'"")),""USER TIDAK DIKETAHUI""))"),"")</f>
        <v/>
      </c>
    </row>
    <row r="7098">
      <c r="A7098" s="21" t="str">
        <f t="shared" si="3"/>
        <v/>
      </c>
      <c r="B7098" s="38"/>
      <c r="C7098" s="23"/>
      <c r="D7098" s="23"/>
      <c r="E7098" s="24"/>
      <c r="F7098" s="25"/>
      <c r="G7098" s="25"/>
      <c r="H7098" s="27"/>
      <c r="I7098" s="28"/>
      <c r="J7098" s="39"/>
      <c r="K7098" s="41"/>
      <c r="L7098" s="31" t="str">
        <f>IFERROR(__xludf.DUMMYFUNCTION("IF(OR(E7098="""",K7098=""""),"""",IFERROR(IF(K7098="""","""",query('tbl user'!$A$2:$D10975,""SELECT A WHERE D = '""&amp;K7098&amp;""'"")),""USER TIDAK DIKETAHUI""))"),"")</f>
        <v/>
      </c>
    </row>
    <row r="7099">
      <c r="A7099" s="21" t="str">
        <f t="shared" si="3"/>
        <v/>
      </c>
      <c r="B7099" s="38"/>
      <c r="C7099" s="23"/>
      <c r="D7099" s="23"/>
      <c r="E7099" s="24"/>
      <c r="F7099" s="25"/>
      <c r="G7099" s="25"/>
      <c r="H7099" s="27"/>
      <c r="I7099" s="28"/>
      <c r="J7099" s="39"/>
      <c r="K7099" s="41"/>
      <c r="L7099" s="31" t="str">
        <f>IFERROR(__xludf.DUMMYFUNCTION("IF(OR(E7099="""",K7099=""""),"""",IFERROR(IF(K7099="""","""",query('tbl user'!$A$2:$D10975,""SELECT A WHERE D = '""&amp;K7099&amp;""'"")),""USER TIDAK DIKETAHUI""))"),"")</f>
        <v/>
      </c>
    </row>
    <row r="7100">
      <c r="A7100" s="21" t="str">
        <f t="shared" si="3"/>
        <v/>
      </c>
      <c r="B7100" s="38"/>
      <c r="C7100" s="23"/>
      <c r="D7100" s="23"/>
      <c r="E7100" s="24"/>
      <c r="F7100" s="25"/>
      <c r="G7100" s="25"/>
      <c r="H7100" s="27"/>
      <c r="I7100" s="28"/>
      <c r="J7100" s="39"/>
      <c r="K7100" s="41"/>
      <c r="L7100" s="31" t="str">
        <f>IFERROR(__xludf.DUMMYFUNCTION("IF(OR(E7100="""",K7100=""""),"""",IFERROR(IF(K7100="""","""",query('tbl user'!$A$2:$D10975,""SELECT A WHERE D = '""&amp;K7100&amp;""'"")),""USER TIDAK DIKETAHUI""))"),"")</f>
        <v/>
      </c>
    </row>
    <row r="7101">
      <c r="A7101" s="21" t="str">
        <f t="shared" si="3"/>
        <v/>
      </c>
      <c r="B7101" s="38"/>
      <c r="C7101" s="23"/>
      <c r="D7101" s="23"/>
      <c r="E7101" s="24"/>
      <c r="F7101" s="25"/>
      <c r="G7101" s="25"/>
      <c r="H7101" s="27"/>
      <c r="I7101" s="28"/>
      <c r="J7101" s="39"/>
      <c r="K7101" s="41"/>
      <c r="L7101" s="31" t="str">
        <f>IFERROR(__xludf.DUMMYFUNCTION("IF(OR(E7101="""",K7101=""""),"""",IFERROR(IF(K7101="""","""",query('tbl user'!$A$2:$D10975,""SELECT A WHERE D = '""&amp;K7101&amp;""'"")),""USER TIDAK DIKETAHUI""))"),"")</f>
        <v/>
      </c>
    </row>
    <row r="7102">
      <c r="A7102" s="21" t="str">
        <f t="shared" si="3"/>
        <v/>
      </c>
      <c r="B7102" s="38"/>
      <c r="C7102" s="23"/>
      <c r="D7102" s="23"/>
      <c r="E7102" s="24"/>
      <c r="F7102" s="25"/>
      <c r="G7102" s="25"/>
      <c r="H7102" s="27"/>
      <c r="I7102" s="28"/>
      <c r="J7102" s="39"/>
      <c r="K7102" s="41"/>
      <c r="L7102" s="31" t="str">
        <f>IFERROR(__xludf.DUMMYFUNCTION("IF(OR(E7102="""",K7102=""""),"""",IFERROR(IF(K7102="""","""",query('tbl user'!$A$2:$D10975,""SELECT A WHERE D = '""&amp;K7102&amp;""'"")),""USER TIDAK DIKETAHUI""))"),"")</f>
        <v/>
      </c>
    </row>
    <row r="7103">
      <c r="A7103" s="21" t="str">
        <f t="shared" si="3"/>
        <v/>
      </c>
      <c r="B7103" s="38"/>
      <c r="C7103" s="23"/>
      <c r="D7103" s="23"/>
      <c r="E7103" s="24"/>
      <c r="F7103" s="25"/>
      <c r="G7103" s="25"/>
      <c r="H7103" s="27"/>
      <c r="I7103" s="28"/>
      <c r="J7103" s="39"/>
      <c r="K7103" s="41"/>
      <c r="L7103" s="31" t="str">
        <f>IFERROR(__xludf.DUMMYFUNCTION("IF(OR(E7103="""",K7103=""""),"""",IFERROR(IF(K7103="""","""",query('tbl user'!$A$2:$D10975,""SELECT A WHERE D = '""&amp;K7103&amp;""'"")),""USER TIDAK DIKETAHUI""))"),"")</f>
        <v/>
      </c>
    </row>
    <row r="7104">
      <c r="A7104" s="21" t="str">
        <f t="shared" si="3"/>
        <v/>
      </c>
      <c r="B7104" s="38"/>
      <c r="C7104" s="23"/>
      <c r="D7104" s="23"/>
      <c r="E7104" s="24"/>
      <c r="F7104" s="25"/>
      <c r="G7104" s="25"/>
      <c r="H7104" s="27"/>
      <c r="I7104" s="28"/>
      <c r="J7104" s="39"/>
      <c r="K7104" s="41"/>
      <c r="L7104" s="31" t="str">
        <f>IFERROR(__xludf.DUMMYFUNCTION("IF(OR(E7104="""",K7104=""""),"""",IFERROR(IF(K7104="""","""",query('tbl user'!$A$2:$D10975,""SELECT A WHERE D = '""&amp;K7104&amp;""'"")),""USER TIDAK DIKETAHUI""))"),"")</f>
        <v/>
      </c>
    </row>
    <row r="7105">
      <c r="A7105" s="21" t="str">
        <f t="shared" si="3"/>
        <v/>
      </c>
      <c r="B7105" s="38"/>
      <c r="C7105" s="23"/>
      <c r="D7105" s="23"/>
      <c r="E7105" s="24"/>
      <c r="F7105" s="25"/>
      <c r="G7105" s="25"/>
      <c r="H7105" s="27"/>
      <c r="I7105" s="28"/>
      <c r="J7105" s="39"/>
      <c r="K7105" s="41"/>
      <c r="L7105" s="31" t="str">
        <f>IFERROR(__xludf.DUMMYFUNCTION("IF(OR(E7105="""",K7105=""""),"""",IFERROR(IF(K7105="""","""",query('tbl user'!$A$2:$D10975,""SELECT A WHERE D = '""&amp;K7105&amp;""'"")),""USER TIDAK DIKETAHUI""))"),"")</f>
        <v/>
      </c>
    </row>
    <row r="7106">
      <c r="A7106" s="21" t="str">
        <f t="shared" si="3"/>
        <v/>
      </c>
      <c r="B7106" s="38"/>
      <c r="C7106" s="23"/>
      <c r="D7106" s="23"/>
      <c r="E7106" s="24"/>
      <c r="F7106" s="25"/>
      <c r="G7106" s="25"/>
      <c r="H7106" s="27"/>
      <c r="I7106" s="28"/>
      <c r="J7106" s="39"/>
      <c r="K7106" s="41"/>
      <c r="L7106" s="31" t="str">
        <f>IFERROR(__xludf.DUMMYFUNCTION("IF(OR(E7106="""",K7106=""""),"""",IFERROR(IF(K7106="""","""",query('tbl user'!$A$2:$D10975,""SELECT A WHERE D = '""&amp;K7106&amp;""'"")),""USER TIDAK DIKETAHUI""))"),"")</f>
        <v/>
      </c>
    </row>
    <row r="7107">
      <c r="A7107" s="21" t="str">
        <f t="shared" si="3"/>
        <v/>
      </c>
      <c r="B7107" s="38"/>
      <c r="C7107" s="23"/>
      <c r="D7107" s="23"/>
      <c r="E7107" s="24"/>
      <c r="F7107" s="25"/>
      <c r="G7107" s="25"/>
      <c r="H7107" s="27"/>
      <c r="I7107" s="28"/>
      <c r="J7107" s="39"/>
      <c r="K7107" s="41"/>
      <c r="L7107" s="31" t="str">
        <f>IFERROR(__xludf.DUMMYFUNCTION("IF(OR(E7107="""",K7107=""""),"""",IFERROR(IF(K7107="""","""",query('tbl user'!$A$2:$D10975,""SELECT A WHERE D = '""&amp;K7107&amp;""'"")),""USER TIDAK DIKETAHUI""))"),"")</f>
        <v/>
      </c>
    </row>
    <row r="7108">
      <c r="A7108" s="21" t="str">
        <f t="shared" si="3"/>
        <v/>
      </c>
      <c r="B7108" s="38"/>
      <c r="C7108" s="23"/>
      <c r="D7108" s="23"/>
      <c r="E7108" s="24"/>
      <c r="F7108" s="25"/>
      <c r="G7108" s="25"/>
      <c r="H7108" s="27"/>
      <c r="I7108" s="28"/>
      <c r="J7108" s="39"/>
      <c r="K7108" s="41"/>
      <c r="L7108" s="31" t="str">
        <f>IFERROR(__xludf.DUMMYFUNCTION("IF(OR(E7108="""",K7108=""""),"""",IFERROR(IF(K7108="""","""",query('tbl user'!$A$2:$D10975,""SELECT A WHERE D = '""&amp;K7108&amp;""'"")),""USER TIDAK DIKETAHUI""))"),"")</f>
        <v/>
      </c>
    </row>
    <row r="7109">
      <c r="A7109" s="21" t="str">
        <f t="shared" si="3"/>
        <v/>
      </c>
      <c r="B7109" s="38"/>
      <c r="C7109" s="23"/>
      <c r="D7109" s="23"/>
      <c r="E7109" s="24"/>
      <c r="F7109" s="25"/>
      <c r="G7109" s="25"/>
      <c r="H7109" s="27"/>
      <c r="I7109" s="28"/>
      <c r="J7109" s="39"/>
      <c r="K7109" s="41"/>
      <c r="L7109" s="31" t="str">
        <f>IFERROR(__xludf.DUMMYFUNCTION("IF(OR(E7109="""",K7109=""""),"""",IFERROR(IF(K7109="""","""",query('tbl user'!$A$2:$D10975,""SELECT A WHERE D = '""&amp;K7109&amp;""'"")),""USER TIDAK DIKETAHUI""))"),"")</f>
        <v/>
      </c>
    </row>
    <row r="7110">
      <c r="A7110" s="21" t="str">
        <f t="shared" si="3"/>
        <v/>
      </c>
      <c r="B7110" s="38"/>
      <c r="C7110" s="23"/>
      <c r="D7110" s="23"/>
      <c r="E7110" s="24"/>
      <c r="F7110" s="25"/>
      <c r="G7110" s="25"/>
      <c r="H7110" s="27"/>
      <c r="I7110" s="28"/>
      <c r="J7110" s="39"/>
      <c r="K7110" s="41"/>
      <c r="L7110" s="31" t="str">
        <f>IFERROR(__xludf.DUMMYFUNCTION("IF(OR(E7110="""",K7110=""""),"""",IFERROR(IF(K7110="""","""",query('tbl user'!$A$2:$D10975,""SELECT A WHERE D = '""&amp;K7110&amp;""'"")),""USER TIDAK DIKETAHUI""))"),"")</f>
        <v/>
      </c>
    </row>
    <row r="7111">
      <c r="A7111" s="21" t="str">
        <f t="shared" si="3"/>
        <v/>
      </c>
      <c r="B7111" s="38"/>
      <c r="C7111" s="23"/>
      <c r="D7111" s="23"/>
      <c r="E7111" s="24"/>
      <c r="F7111" s="25"/>
      <c r="G7111" s="25"/>
      <c r="H7111" s="27"/>
      <c r="I7111" s="28"/>
      <c r="J7111" s="39"/>
      <c r="K7111" s="41"/>
      <c r="L7111" s="31" t="str">
        <f>IFERROR(__xludf.DUMMYFUNCTION("IF(OR(E7111="""",K7111=""""),"""",IFERROR(IF(K7111="""","""",query('tbl user'!$A$2:$D10975,""SELECT A WHERE D = '""&amp;K7111&amp;""'"")),""USER TIDAK DIKETAHUI""))"),"")</f>
        <v/>
      </c>
    </row>
    <row r="7112">
      <c r="A7112" s="21" t="str">
        <f t="shared" si="3"/>
        <v/>
      </c>
      <c r="B7112" s="38"/>
      <c r="C7112" s="23"/>
      <c r="D7112" s="23"/>
      <c r="E7112" s="24"/>
      <c r="F7112" s="25"/>
      <c r="G7112" s="25"/>
      <c r="H7112" s="27"/>
      <c r="I7112" s="28"/>
      <c r="J7112" s="39"/>
      <c r="K7112" s="41"/>
      <c r="L7112" s="31" t="str">
        <f>IFERROR(__xludf.DUMMYFUNCTION("IF(OR(E7112="""",K7112=""""),"""",IFERROR(IF(K7112="""","""",query('tbl user'!$A$2:$D10975,""SELECT A WHERE D = '""&amp;K7112&amp;""'"")),""USER TIDAK DIKETAHUI""))"),"")</f>
        <v/>
      </c>
    </row>
    <row r="7113">
      <c r="A7113" s="21" t="str">
        <f t="shared" si="3"/>
        <v/>
      </c>
      <c r="B7113" s="38"/>
      <c r="C7113" s="23"/>
      <c r="D7113" s="23"/>
      <c r="E7113" s="24"/>
      <c r="F7113" s="25"/>
      <c r="G7113" s="25"/>
      <c r="H7113" s="27"/>
      <c r="I7113" s="28"/>
      <c r="J7113" s="39"/>
      <c r="K7113" s="41"/>
      <c r="L7113" s="31" t="str">
        <f>IFERROR(__xludf.DUMMYFUNCTION("IF(OR(E7113="""",K7113=""""),"""",IFERROR(IF(K7113="""","""",query('tbl user'!$A$2:$D10975,""SELECT A WHERE D = '""&amp;K7113&amp;""'"")),""USER TIDAK DIKETAHUI""))"),"")</f>
        <v/>
      </c>
    </row>
    <row r="7114">
      <c r="A7114" s="21" t="str">
        <f t="shared" si="3"/>
        <v/>
      </c>
      <c r="B7114" s="38"/>
      <c r="C7114" s="23"/>
      <c r="D7114" s="23"/>
      <c r="E7114" s="24"/>
      <c r="F7114" s="25"/>
      <c r="G7114" s="25"/>
      <c r="H7114" s="27"/>
      <c r="I7114" s="28"/>
      <c r="J7114" s="39"/>
      <c r="K7114" s="41"/>
      <c r="L7114" s="31" t="str">
        <f>IFERROR(__xludf.DUMMYFUNCTION("IF(OR(E7114="""",K7114=""""),"""",IFERROR(IF(K7114="""","""",query('tbl user'!$A$2:$D10975,""SELECT A WHERE D = '""&amp;K7114&amp;""'"")),""USER TIDAK DIKETAHUI""))"),"")</f>
        <v/>
      </c>
    </row>
    <row r="7115">
      <c r="A7115" s="21" t="str">
        <f t="shared" si="3"/>
        <v/>
      </c>
      <c r="B7115" s="38"/>
      <c r="C7115" s="23"/>
      <c r="D7115" s="23"/>
      <c r="E7115" s="24"/>
      <c r="F7115" s="25"/>
      <c r="G7115" s="25"/>
      <c r="H7115" s="27"/>
      <c r="I7115" s="28"/>
      <c r="J7115" s="39"/>
      <c r="K7115" s="41"/>
      <c r="L7115" s="31" t="str">
        <f>IFERROR(__xludf.DUMMYFUNCTION("IF(OR(E7115="""",K7115=""""),"""",IFERROR(IF(K7115="""","""",query('tbl user'!$A$2:$D10975,""SELECT A WHERE D = '""&amp;K7115&amp;""'"")),""USER TIDAK DIKETAHUI""))"),"")</f>
        <v/>
      </c>
    </row>
    <row r="7116">
      <c r="A7116" s="21" t="str">
        <f t="shared" si="3"/>
        <v/>
      </c>
      <c r="B7116" s="38"/>
      <c r="C7116" s="23"/>
      <c r="D7116" s="23"/>
      <c r="E7116" s="24"/>
      <c r="F7116" s="25"/>
      <c r="G7116" s="25"/>
      <c r="H7116" s="27"/>
      <c r="I7116" s="28"/>
      <c r="J7116" s="39"/>
      <c r="K7116" s="41"/>
      <c r="L7116" s="31" t="str">
        <f>IFERROR(__xludf.DUMMYFUNCTION("IF(OR(E7116="""",K7116=""""),"""",IFERROR(IF(K7116="""","""",query('tbl user'!$A$2:$D10975,""SELECT A WHERE D = '""&amp;K7116&amp;""'"")),""USER TIDAK DIKETAHUI""))"),"")</f>
        <v/>
      </c>
    </row>
    <row r="7117">
      <c r="A7117" s="21" t="str">
        <f t="shared" si="3"/>
        <v/>
      </c>
      <c r="B7117" s="38"/>
      <c r="C7117" s="23"/>
      <c r="D7117" s="23"/>
      <c r="E7117" s="24"/>
      <c r="F7117" s="25"/>
      <c r="G7117" s="25"/>
      <c r="H7117" s="27"/>
      <c r="I7117" s="28"/>
      <c r="J7117" s="39"/>
      <c r="K7117" s="41"/>
      <c r="L7117" s="31" t="str">
        <f>IFERROR(__xludf.DUMMYFUNCTION("IF(OR(E7117="""",K7117=""""),"""",IFERROR(IF(K7117="""","""",query('tbl user'!$A$2:$D10975,""SELECT A WHERE D = '""&amp;K7117&amp;""'"")),""USER TIDAK DIKETAHUI""))"),"")</f>
        <v/>
      </c>
    </row>
    <row r="7118">
      <c r="A7118" s="21" t="str">
        <f t="shared" si="3"/>
        <v/>
      </c>
      <c r="B7118" s="38"/>
      <c r="C7118" s="23"/>
      <c r="D7118" s="23"/>
      <c r="E7118" s="24"/>
      <c r="F7118" s="25"/>
      <c r="G7118" s="25"/>
      <c r="H7118" s="27"/>
      <c r="I7118" s="28"/>
      <c r="J7118" s="39"/>
      <c r="K7118" s="41"/>
      <c r="L7118" s="31" t="str">
        <f>IFERROR(__xludf.DUMMYFUNCTION("IF(OR(E7118="""",K7118=""""),"""",IFERROR(IF(K7118="""","""",query('tbl user'!$A$2:$D10975,""SELECT A WHERE D = '""&amp;K7118&amp;""'"")),""USER TIDAK DIKETAHUI""))"),"")</f>
        <v/>
      </c>
    </row>
    <row r="7119">
      <c r="A7119" s="21" t="str">
        <f t="shared" si="3"/>
        <v/>
      </c>
      <c r="B7119" s="38"/>
      <c r="C7119" s="23"/>
      <c r="D7119" s="23"/>
      <c r="E7119" s="24"/>
      <c r="F7119" s="25"/>
      <c r="G7119" s="25"/>
      <c r="H7119" s="27"/>
      <c r="I7119" s="28"/>
      <c r="J7119" s="39"/>
      <c r="K7119" s="41"/>
      <c r="L7119" s="31" t="str">
        <f>IFERROR(__xludf.DUMMYFUNCTION("IF(OR(E7119="""",K7119=""""),"""",IFERROR(IF(K7119="""","""",query('tbl user'!$A$2:$D10975,""SELECT A WHERE D = '""&amp;K7119&amp;""'"")),""USER TIDAK DIKETAHUI""))"),"")</f>
        <v/>
      </c>
    </row>
    <row r="7120">
      <c r="A7120" s="21" t="str">
        <f t="shared" si="3"/>
        <v/>
      </c>
      <c r="B7120" s="38"/>
      <c r="C7120" s="23"/>
      <c r="D7120" s="23"/>
      <c r="E7120" s="24"/>
      <c r="F7120" s="25"/>
      <c r="G7120" s="25"/>
      <c r="H7120" s="27"/>
      <c r="I7120" s="28"/>
      <c r="J7120" s="39"/>
      <c r="K7120" s="41"/>
      <c r="L7120" s="31" t="str">
        <f>IFERROR(__xludf.DUMMYFUNCTION("IF(OR(E7120="""",K7120=""""),"""",IFERROR(IF(K7120="""","""",query('tbl user'!$A$2:$D10975,""SELECT A WHERE D = '""&amp;K7120&amp;""'"")),""USER TIDAK DIKETAHUI""))"),"")</f>
        <v/>
      </c>
    </row>
    <row r="7121">
      <c r="A7121" s="21" t="str">
        <f t="shared" si="3"/>
        <v/>
      </c>
      <c r="B7121" s="38"/>
      <c r="C7121" s="23"/>
      <c r="D7121" s="23"/>
      <c r="E7121" s="24"/>
      <c r="F7121" s="25"/>
      <c r="G7121" s="25"/>
      <c r="H7121" s="27"/>
      <c r="I7121" s="28"/>
      <c r="J7121" s="39"/>
      <c r="K7121" s="41"/>
      <c r="L7121" s="31" t="str">
        <f>IFERROR(__xludf.DUMMYFUNCTION("IF(OR(E7121="""",K7121=""""),"""",IFERROR(IF(K7121="""","""",query('tbl user'!$A$2:$D10975,""SELECT A WHERE D = '""&amp;K7121&amp;""'"")),""USER TIDAK DIKETAHUI""))"),"")</f>
        <v/>
      </c>
    </row>
    <row r="7122">
      <c r="A7122" s="21" t="str">
        <f t="shared" si="3"/>
        <v/>
      </c>
      <c r="B7122" s="38"/>
      <c r="C7122" s="23"/>
      <c r="D7122" s="23"/>
      <c r="E7122" s="24"/>
      <c r="F7122" s="25"/>
      <c r="G7122" s="25"/>
      <c r="H7122" s="27"/>
      <c r="I7122" s="28"/>
      <c r="J7122" s="39"/>
      <c r="K7122" s="41"/>
      <c r="L7122" s="31" t="str">
        <f>IFERROR(__xludf.DUMMYFUNCTION("IF(OR(E7122="""",K7122=""""),"""",IFERROR(IF(K7122="""","""",query('tbl user'!$A$2:$D10975,""SELECT A WHERE D = '""&amp;K7122&amp;""'"")),""USER TIDAK DIKETAHUI""))"),"")</f>
        <v/>
      </c>
    </row>
    <row r="7123">
      <c r="A7123" s="21" t="str">
        <f t="shared" si="3"/>
        <v/>
      </c>
      <c r="B7123" s="38"/>
      <c r="C7123" s="23"/>
      <c r="D7123" s="23"/>
      <c r="E7123" s="24"/>
      <c r="F7123" s="25"/>
      <c r="G7123" s="25"/>
      <c r="H7123" s="27"/>
      <c r="I7123" s="28"/>
      <c r="J7123" s="39"/>
      <c r="K7123" s="41"/>
      <c r="L7123" s="31" t="str">
        <f>IFERROR(__xludf.DUMMYFUNCTION("IF(OR(E7123="""",K7123=""""),"""",IFERROR(IF(K7123="""","""",query('tbl user'!$A$2:$D10975,""SELECT A WHERE D = '""&amp;K7123&amp;""'"")),""USER TIDAK DIKETAHUI""))"),"")</f>
        <v/>
      </c>
    </row>
    <row r="7124">
      <c r="A7124" s="21" t="str">
        <f t="shared" si="3"/>
        <v/>
      </c>
      <c r="B7124" s="38"/>
      <c r="C7124" s="23"/>
      <c r="D7124" s="23"/>
      <c r="E7124" s="24"/>
      <c r="F7124" s="25"/>
      <c r="G7124" s="25"/>
      <c r="H7124" s="27"/>
      <c r="I7124" s="28"/>
      <c r="J7124" s="39"/>
      <c r="K7124" s="41"/>
      <c r="L7124" s="31" t="str">
        <f>IFERROR(__xludf.DUMMYFUNCTION("IF(OR(E7124="""",K7124=""""),"""",IFERROR(IF(K7124="""","""",query('tbl user'!$A$2:$D10975,""SELECT A WHERE D = '""&amp;K7124&amp;""'"")),""USER TIDAK DIKETAHUI""))"),"")</f>
        <v/>
      </c>
    </row>
    <row r="7125">
      <c r="A7125" s="21" t="str">
        <f t="shared" si="3"/>
        <v/>
      </c>
      <c r="B7125" s="38"/>
      <c r="C7125" s="23"/>
      <c r="D7125" s="23"/>
      <c r="E7125" s="24"/>
      <c r="F7125" s="25"/>
      <c r="G7125" s="25"/>
      <c r="H7125" s="27"/>
      <c r="I7125" s="28"/>
      <c r="J7125" s="39"/>
      <c r="K7125" s="41"/>
      <c r="L7125" s="31" t="str">
        <f>IFERROR(__xludf.DUMMYFUNCTION("IF(OR(E7125="""",K7125=""""),"""",IFERROR(IF(K7125="""","""",query('tbl user'!$A$2:$D10975,""SELECT A WHERE D = '""&amp;K7125&amp;""'"")),""USER TIDAK DIKETAHUI""))"),"")</f>
        <v/>
      </c>
    </row>
    <row r="7126">
      <c r="A7126" s="21" t="str">
        <f t="shared" si="3"/>
        <v/>
      </c>
      <c r="B7126" s="38"/>
      <c r="C7126" s="23"/>
      <c r="D7126" s="23"/>
      <c r="E7126" s="24"/>
      <c r="F7126" s="25"/>
      <c r="G7126" s="25"/>
      <c r="H7126" s="27"/>
      <c r="I7126" s="28"/>
      <c r="J7126" s="39"/>
      <c r="K7126" s="41"/>
      <c r="L7126" s="31" t="str">
        <f>IFERROR(__xludf.DUMMYFUNCTION("IF(OR(E7126="""",K7126=""""),"""",IFERROR(IF(K7126="""","""",query('tbl user'!$A$2:$D10975,""SELECT A WHERE D = '""&amp;K7126&amp;""'"")),""USER TIDAK DIKETAHUI""))"),"")</f>
        <v/>
      </c>
    </row>
    <row r="7127">
      <c r="A7127" s="21" t="str">
        <f t="shared" si="3"/>
        <v/>
      </c>
      <c r="B7127" s="38"/>
      <c r="C7127" s="23"/>
      <c r="D7127" s="23"/>
      <c r="E7127" s="24"/>
      <c r="F7127" s="25"/>
      <c r="G7127" s="25"/>
      <c r="H7127" s="27"/>
      <c r="I7127" s="28"/>
      <c r="J7127" s="39"/>
      <c r="K7127" s="41"/>
      <c r="L7127" s="31" t="str">
        <f>IFERROR(__xludf.DUMMYFUNCTION("IF(OR(E7127="""",K7127=""""),"""",IFERROR(IF(K7127="""","""",query('tbl user'!$A$2:$D10975,""SELECT A WHERE D = '""&amp;K7127&amp;""'"")),""USER TIDAK DIKETAHUI""))"),"")</f>
        <v/>
      </c>
    </row>
    <row r="7128">
      <c r="A7128" s="21" t="str">
        <f t="shared" si="3"/>
        <v/>
      </c>
      <c r="B7128" s="38"/>
      <c r="C7128" s="23"/>
      <c r="D7128" s="23"/>
      <c r="E7128" s="24"/>
      <c r="F7128" s="25"/>
      <c r="G7128" s="25"/>
      <c r="H7128" s="27"/>
      <c r="I7128" s="28"/>
      <c r="J7128" s="39"/>
      <c r="K7128" s="41"/>
      <c r="L7128" s="31" t="str">
        <f>IFERROR(__xludf.DUMMYFUNCTION("IF(OR(E7128="""",K7128=""""),"""",IFERROR(IF(K7128="""","""",query('tbl user'!$A$2:$D10975,""SELECT A WHERE D = '""&amp;K7128&amp;""'"")),""USER TIDAK DIKETAHUI""))"),"")</f>
        <v/>
      </c>
    </row>
    <row r="7129">
      <c r="A7129" s="21" t="str">
        <f t="shared" si="3"/>
        <v/>
      </c>
      <c r="B7129" s="38"/>
      <c r="C7129" s="23"/>
      <c r="D7129" s="23"/>
      <c r="E7129" s="24"/>
      <c r="F7129" s="25"/>
      <c r="G7129" s="25"/>
      <c r="H7129" s="27"/>
      <c r="I7129" s="28"/>
      <c r="J7129" s="39"/>
      <c r="K7129" s="41"/>
      <c r="L7129" s="31" t="str">
        <f>IFERROR(__xludf.DUMMYFUNCTION("IF(OR(E7129="""",K7129=""""),"""",IFERROR(IF(K7129="""","""",query('tbl user'!$A$2:$D10975,""SELECT A WHERE D = '""&amp;K7129&amp;""'"")),""USER TIDAK DIKETAHUI""))"),"")</f>
        <v/>
      </c>
    </row>
    <row r="7130">
      <c r="A7130" s="21" t="str">
        <f t="shared" si="3"/>
        <v/>
      </c>
      <c r="B7130" s="38"/>
      <c r="C7130" s="23"/>
      <c r="D7130" s="23"/>
      <c r="E7130" s="24"/>
      <c r="F7130" s="25"/>
      <c r="G7130" s="25"/>
      <c r="H7130" s="27"/>
      <c r="I7130" s="28"/>
      <c r="J7130" s="39"/>
      <c r="K7130" s="41"/>
      <c r="L7130" s="31" t="str">
        <f>IFERROR(__xludf.DUMMYFUNCTION("IF(OR(E7130="""",K7130=""""),"""",IFERROR(IF(K7130="""","""",query('tbl user'!$A$2:$D10975,""SELECT A WHERE D = '""&amp;K7130&amp;""'"")),""USER TIDAK DIKETAHUI""))"),"")</f>
        <v/>
      </c>
    </row>
    <row r="7131">
      <c r="A7131" s="21" t="str">
        <f t="shared" si="3"/>
        <v/>
      </c>
      <c r="B7131" s="38"/>
      <c r="C7131" s="23"/>
      <c r="D7131" s="23"/>
      <c r="E7131" s="24"/>
      <c r="F7131" s="25"/>
      <c r="G7131" s="25"/>
      <c r="H7131" s="27"/>
      <c r="I7131" s="28"/>
      <c r="J7131" s="39"/>
      <c r="K7131" s="41"/>
      <c r="L7131" s="31" t="str">
        <f>IFERROR(__xludf.DUMMYFUNCTION("IF(OR(E7131="""",K7131=""""),"""",IFERROR(IF(K7131="""","""",query('tbl user'!$A$2:$D10975,""SELECT A WHERE D = '""&amp;K7131&amp;""'"")),""USER TIDAK DIKETAHUI""))"),"")</f>
        <v/>
      </c>
    </row>
    <row r="7132">
      <c r="A7132" s="21" t="str">
        <f t="shared" si="3"/>
        <v/>
      </c>
      <c r="B7132" s="38"/>
      <c r="C7132" s="23"/>
      <c r="D7132" s="23"/>
      <c r="E7132" s="24"/>
      <c r="F7132" s="25"/>
      <c r="G7132" s="25"/>
      <c r="H7132" s="27"/>
      <c r="I7132" s="28"/>
      <c r="J7132" s="39"/>
      <c r="K7132" s="41"/>
      <c r="L7132" s="31" t="str">
        <f>IFERROR(__xludf.DUMMYFUNCTION("IF(OR(E7132="""",K7132=""""),"""",IFERROR(IF(K7132="""","""",query('tbl user'!$A$2:$D10975,""SELECT A WHERE D = '""&amp;K7132&amp;""'"")),""USER TIDAK DIKETAHUI""))"),"")</f>
        <v/>
      </c>
    </row>
    <row r="7133">
      <c r="A7133" s="21" t="str">
        <f t="shared" si="3"/>
        <v/>
      </c>
      <c r="B7133" s="38"/>
      <c r="C7133" s="23"/>
      <c r="D7133" s="23"/>
      <c r="E7133" s="24"/>
      <c r="F7133" s="25"/>
      <c r="G7133" s="25"/>
      <c r="H7133" s="27"/>
      <c r="I7133" s="28"/>
      <c r="J7133" s="39"/>
      <c r="K7133" s="41"/>
      <c r="L7133" s="31" t="str">
        <f>IFERROR(__xludf.DUMMYFUNCTION("IF(OR(E7133="""",K7133=""""),"""",IFERROR(IF(K7133="""","""",query('tbl user'!$A$2:$D10975,""SELECT A WHERE D = '""&amp;K7133&amp;""'"")),""USER TIDAK DIKETAHUI""))"),"")</f>
        <v/>
      </c>
    </row>
    <row r="7134">
      <c r="A7134" s="21" t="str">
        <f t="shared" si="3"/>
        <v/>
      </c>
      <c r="B7134" s="38"/>
      <c r="C7134" s="23"/>
      <c r="D7134" s="23"/>
      <c r="E7134" s="24"/>
      <c r="F7134" s="25"/>
      <c r="G7134" s="25"/>
      <c r="H7134" s="27"/>
      <c r="I7134" s="28"/>
      <c r="J7134" s="39"/>
      <c r="K7134" s="41"/>
      <c r="L7134" s="31" t="str">
        <f>IFERROR(__xludf.DUMMYFUNCTION("IF(OR(E7134="""",K7134=""""),"""",IFERROR(IF(K7134="""","""",query('tbl user'!$A$2:$D10975,""SELECT A WHERE D = '""&amp;K7134&amp;""'"")),""USER TIDAK DIKETAHUI""))"),"")</f>
        <v/>
      </c>
    </row>
    <row r="7135">
      <c r="A7135" s="21" t="str">
        <f t="shared" si="3"/>
        <v/>
      </c>
      <c r="B7135" s="38"/>
      <c r="C7135" s="23"/>
      <c r="D7135" s="23"/>
      <c r="E7135" s="24"/>
      <c r="F7135" s="25"/>
      <c r="G7135" s="25"/>
      <c r="H7135" s="27"/>
      <c r="I7135" s="28"/>
      <c r="J7135" s="39"/>
      <c r="K7135" s="41"/>
      <c r="L7135" s="31" t="str">
        <f>IFERROR(__xludf.DUMMYFUNCTION("IF(OR(E7135="""",K7135=""""),"""",IFERROR(IF(K7135="""","""",query('tbl user'!$A$2:$D10975,""SELECT A WHERE D = '""&amp;K7135&amp;""'"")),""USER TIDAK DIKETAHUI""))"),"")</f>
        <v/>
      </c>
    </row>
    <row r="7136">
      <c r="A7136" s="21" t="str">
        <f t="shared" si="3"/>
        <v/>
      </c>
      <c r="B7136" s="38"/>
      <c r="C7136" s="23"/>
      <c r="D7136" s="23"/>
      <c r="E7136" s="24"/>
      <c r="F7136" s="25"/>
      <c r="G7136" s="25"/>
      <c r="H7136" s="27"/>
      <c r="I7136" s="28"/>
      <c r="J7136" s="39"/>
      <c r="K7136" s="41"/>
      <c r="L7136" s="31" t="str">
        <f>IFERROR(__xludf.DUMMYFUNCTION("IF(OR(E7136="""",K7136=""""),"""",IFERROR(IF(K7136="""","""",query('tbl user'!$A$2:$D10975,""SELECT A WHERE D = '""&amp;K7136&amp;""'"")),""USER TIDAK DIKETAHUI""))"),"")</f>
        <v/>
      </c>
    </row>
    <row r="7137">
      <c r="A7137" s="21" t="str">
        <f t="shared" si="3"/>
        <v/>
      </c>
      <c r="B7137" s="38"/>
      <c r="C7137" s="23"/>
      <c r="D7137" s="23"/>
      <c r="E7137" s="24"/>
      <c r="F7137" s="25"/>
      <c r="G7137" s="25"/>
      <c r="H7137" s="27"/>
      <c r="I7137" s="28"/>
      <c r="J7137" s="39"/>
      <c r="K7137" s="41"/>
      <c r="L7137" s="31" t="str">
        <f>IFERROR(__xludf.DUMMYFUNCTION("IF(OR(E7137="""",K7137=""""),"""",IFERROR(IF(K7137="""","""",query('tbl user'!$A$2:$D10975,""SELECT A WHERE D = '""&amp;K7137&amp;""'"")),""USER TIDAK DIKETAHUI""))"),"")</f>
        <v/>
      </c>
    </row>
    <row r="7138">
      <c r="A7138" s="21" t="str">
        <f t="shared" si="3"/>
        <v/>
      </c>
      <c r="B7138" s="38"/>
      <c r="C7138" s="23"/>
      <c r="D7138" s="23"/>
      <c r="E7138" s="24"/>
      <c r="F7138" s="25"/>
      <c r="G7138" s="25"/>
      <c r="H7138" s="27"/>
      <c r="I7138" s="28"/>
      <c r="J7138" s="39"/>
      <c r="K7138" s="41"/>
      <c r="L7138" s="31" t="str">
        <f>IFERROR(__xludf.DUMMYFUNCTION("IF(OR(E7138="""",K7138=""""),"""",IFERROR(IF(K7138="""","""",query('tbl user'!$A$2:$D10975,""SELECT A WHERE D = '""&amp;K7138&amp;""'"")),""USER TIDAK DIKETAHUI""))"),"")</f>
        <v/>
      </c>
    </row>
    <row r="7139">
      <c r="A7139" s="21" t="str">
        <f t="shared" si="3"/>
        <v/>
      </c>
      <c r="B7139" s="38"/>
      <c r="C7139" s="23"/>
      <c r="D7139" s="23"/>
      <c r="E7139" s="24"/>
      <c r="F7139" s="25"/>
      <c r="G7139" s="25"/>
      <c r="H7139" s="27"/>
      <c r="I7139" s="28"/>
      <c r="J7139" s="39"/>
      <c r="K7139" s="41"/>
      <c r="L7139" s="31" t="str">
        <f>IFERROR(__xludf.DUMMYFUNCTION("IF(OR(E7139="""",K7139=""""),"""",IFERROR(IF(K7139="""","""",query('tbl user'!$A$2:$D10975,""SELECT A WHERE D = '""&amp;K7139&amp;""'"")),""USER TIDAK DIKETAHUI""))"),"")</f>
        <v/>
      </c>
    </row>
    <row r="7140">
      <c r="A7140" s="21" t="str">
        <f t="shared" si="3"/>
        <v/>
      </c>
      <c r="B7140" s="38"/>
      <c r="C7140" s="23"/>
      <c r="D7140" s="23"/>
      <c r="E7140" s="24"/>
      <c r="F7140" s="25"/>
      <c r="G7140" s="25"/>
      <c r="H7140" s="27"/>
      <c r="I7140" s="28"/>
      <c r="J7140" s="39"/>
      <c r="K7140" s="41"/>
      <c r="L7140" s="31" t="str">
        <f>IFERROR(__xludf.DUMMYFUNCTION("IF(OR(E7140="""",K7140=""""),"""",IFERROR(IF(K7140="""","""",query('tbl user'!$A$2:$D10975,""SELECT A WHERE D = '""&amp;K7140&amp;""'"")),""USER TIDAK DIKETAHUI""))"),"")</f>
        <v/>
      </c>
    </row>
    <row r="7141">
      <c r="A7141" s="21" t="str">
        <f t="shared" si="3"/>
        <v/>
      </c>
      <c r="B7141" s="38"/>
      <c r="C7141" s="23"/>
      <c r="D7141" s="23"/>
      <c r="E7141" s="24"/>
      <c r="F7141" s="25"/>
      <c r="G7141" s="25"/>
      <c r="H7141" s="27"/>
      <c r="I7141" s="28"/>
      <c r="J7141" s="39"/>
      <c r="K7141" s="41"/>
      <c r="L7141" s="31" t="str">
        <f>IFERROR(__xludf.DUMMYFUNCTION("IF(OR(E7141="""",K7141=""""),"""",IFERROR(IF(K7141="""","""",query('tbl user'!$A$2:$D10975,""SELECT A WHERE D = '""&amp;K7141&amp;""'"")),""USER TIDAK DIKETAHUI""))"),"")</f>
        <v/>
      </c>
    </row>
    <row r="7142">
      <c r="A7142" s="21" t="str">
        <f t="shared" si="3"/>
        <v/>
      </c>
      <c r="B7142" s="38"/>
      <c r="C7142" s="23"/>
      <c r="D7142" s="23"/>
      <c r="E7142" s="24"/>
      <c r="F7142" s="25"/>
      <c r="G7142" s="25"/>
      <c r="H7142" s="27"/>
      <c r="I7142" s="28"/>
      <c r="J7142" s="39"/>
      <c r="K7142" s="41"/>
      <c r="L7142" s="31" t="str">
        <f>IFERROR(__xludf.DUMMYFUNCTION("IF(OR(E7142="""",K7142=""""),"""",IFERROR(IF(K7142="""","""",query('tbl user'!$A$2:$D10975,""SELECT A WHERE D = '""&amp;K7142&amp;""'"")),""USER TIDAK DIKETAHUI""))"),"")</f>
        <v/>
      </c>
    </row>
    <row r="7143">
      <c r="A7143" s="21" t="str">
        <f t="shared" si="3"/>
        <v/>
      </c>
      <c r="B7143" s="38"/>
      <c r="C7143" s="23"/>
      <c r="D7143" s="23"/>
      <c r="E7143" s="24"/>
      <c r="F7143" s="25"/>
      <c r="G7143" s="25"/>
      <c r="H7143" s="27"/>
      <c r="I7143" s="28"/>
      <c r="J7143" s="39"/>
      <c r="K7143" s="41"/>
      <c r="L7143" s="31" t="str">
        <f>IFERROR(__xludf.DUMMYFUNCTION("IF(OR(E7143="""",K7143=""""),"""",IFERROR(IF(K7143="""","""",query('tbl user'!$A$2:$D10975,""SELECT A WHERE D = '""&amp;K7143&amp;""'"")),""USER TIDAK DIKETAHUI""))"),"")</f>
        <v/>
      </c>
    </row>
    <row r="7144">
      <c r="A7144" s="21" t="str">
        <f t="shared" si="3"/>
        <v/>
      </c>
      <c r="B7144" s="38"/>
      <c r="C7144" s="23"/>
      <c r="D7144" s="23"/>
      <c r="E7144" s="24"/>
      <c r="F7144" s="25"/>
      <c r="G7144" s="25"/>
      <c r="H7144" s="27"/>
      <c r="I7144" s="28"/>
      <c r="J7144" s="39"/>
      <c r="K7144" s="41"/>
      <c r="L7144" s="31" t="str">
        <f>IFERROR(__xludf.DUMMYFUNCTION("IF(OR(E7144="""",K7144=""""),"""",IFERROR(IF(K7144="""","""",query('tbl user'!$A$2:$D10975,""SELECT A WHERE D = '""&amp;K7144&amp;""'"")),""USER TIDAK DIKETAHUI""))"),"")</f>
        <v/>
      </c>
    </row>
    <row r="7145">
      <c r="A7145" s="21" t="str">
        <f t="shared" si="3"/>
        <v/>
      </c>
      <c r="B7145" s="38"/>
      <c r="C7145" s="23"/>
      <c r="D7145" s="23"/>
      <c r="E7145" s="24"/>
      <c r="F7145" s="25"/>
      <c r="G7145" s="25"/>
      <c r="H7145" s="27"/>
      <c r="I7145" s="28"/>
      <c r="J7145" s="39"/>
      <c r="K7145" s="41"/>
      <c r="L7145" s="31" t="str">
        <f>IFERROR(__xludf.DUMMYFUNCTION("IF(OR(E7145="""",K7145=""""),"""",IFERROR(IF(K7145="""","""",query('tbl user'!$A$2:$D10975,""SELECT A WHERE D = '""&amp;K7145&amp;""'"")),""USER TIDAK DIKETAHUI""))"),"")</f>
        <v/>
      </c>
    </row>
    <row r="7146">
      <c r="A7146" s="21" t="str">
        <f t="shared" si="3"/>
        <v/>
      </c>
      <c r="B7146" s="38"/>
      <c r="C7146" s="23"/>
      <c r="D7146" s="23"/>
      <c r="E7146" s="24"/>
      <c r="F7146" s="25"/>
      <c r="G7146" s="25"/>
      <c r="H7146" s="27"/>
      <c r="I7146" s="28"/>
      <c r="J7146" s="39"/>
      <c r="K7146" s="41"/>
      <c r="L7146" s="31" t="str">
        <f>IFERROR(__xludf.DUMMYFUNCTION("IF(OR(E7146="""",K7146=""""),"""",IFERROR(IF(K7146="""","""",query('tbl user'!$A$2:$D10975,""SELECT A WHERE D = '""&amp;K7146&amp;""'"")),""USER TIDAK DIKETAHUI""))"),"")</f>
        <v/>
      </c>
    </row>
    <row r="7147">
      <c r="A7147" s="21" t="str">
        <f t="shared" si="3"/>
        <v/>
      </c>
      <c r="B7147" s="38"/>
      <c r="C7147" s="23"/>
      <c r="D7147" s="23"/>
      <c r="E7147" s="24"/>
      <c r="F7147" s="25"/>
      <c r="G7147" s="25"/>
      <c r="H7147" s="27"/>
      <c r="I7147" s="28"/>
      <c r="J7147" s="39"/>
      <c r="K7147" s="41"/>
      <c r="L7147" s="31" t="str">
        <f>IFERROR(__xludf.DUMMYFUNCTION("IF(OR(E7147="""",K7147=""""),"""",IFERROR(IF(K7147="""","""",query('tbl user'!$A$2:$D10975,""SELECT A WHERE D = '""&amp;K7147&amp;""'"")),""USER TIDAK DIKETAHUI""))"),"")</f>
        <v/>
      </c>
    </row>
    <row r="7148">
      <c r="A7148" s="21" t="str">
        <f t="shared" si="3"/>
        <v/>
      </c>
      <c r="B7148" s="38"/>
      <c r="C7148" s="23"/>
      <c r="D7148" s="23"/>
      <c r="E7148" s="24"/>
      <c r="F7148" s="25"/>
      <c r="G7148" s="25"/>
      <c r="H7148" s="27"/>
      <c r="I7148" s="28"/>
      <c r="J7148" s="39"/>
      <c r="K7148" s="41"/>
      <c r="L7148" s="31" t="str">
        <f>IFERROR(__xludf.DUMMYFUNCTION("IF(OR(E7148="""",K7148=""""),"""",IFERROR(IF(K7148="""","""",query('tbl user'!$A$2:$D10975,""SELECT A WHERE D = '""&amp;K7148&amp;""'"")),""USER TIDAK DIKETAHUI""))"),"")</f>
        <v/>
      </c>
    </row>
    <row r="7149">
      <c r="A7149" s="21" t="str">
        <f t="shared" si="3"/>
        <v/>
      </c>
      <c r="B7149" s="38"/>
      <c r="C7149" s="23"/>
      <c r="D7149" s="23"/>
      <c r="E7149" s="24"/>
      <c r="F7149" s="25"/>
      <c r="G7149" s="25"/>
      <c r="H7149" s="27"/>
      <c r="I7149" s="28"/>
      <c r="J7149" s="39"/>
      <c r="K7149" s="41"/>
      <c r="L7149" s="31" t="str">
        <f>IFERROR(__xludf.DUMMYFUNCTION("IF(OR(E7149="""",K7149=""""),"""",IFERROR(IF(K7149="""","""",query('tbl user'!$A$2:$D10975,""SELECT A WHERE D = '""&amp;K7149&amp;""'"")),""USER TIDAK DIKETAHUI""))"),"")</f>
        <v/>
      </c>
    </row>
    <row r="7150">
      <c r="A7150" s="21" t="str">
        <f t="shared" si="3"/>
        <v/>
      </c>
      <c r="B7150" s="38"/>
      <c r="C7150" s="23"/>
      <c r="D7150" s="23"/>
      <c r="E7150" s="24"/>
      <c r="F7150" s="25"/>
      <c r="G7150" s="25"/>
      <c r="H7150" s="27"/>
      <c r="I7150" s="28"/>
      <c r="J7150" s="39"/>
      <c r="K7150" s="41"/>
      <c r="L7150" s="31" t="str">
        <f>IFERROR(__xludf.DUMMYFUNCTION("IF(OR(E7150="""",K7150=""""),"""",IFERROR(IF(K7150="""","""",query('tbl user'!$A$2:$D10975,""SELECT A WHERE D = '""&amp;K7150&amp;""'"")),""USER TIDAK DIKETAHUI""))"),"")</f>
        <v/>
      </c>
    </row>
    <row r="7151">
      <c r="A7151" s="21" t="str">
        <f t="shared" si="3"/>
        <v/>
      </c>
      <c r="B7151" s="38"/>
      <c r="C7151" s="23"/>
      <c r="D7151" s="23"/>
      <c r="E7151" s="24"/>
      <c r="F7151" s="25"/>
      <c r="G7151" s="25"/>
      <c r="H7151" s="27"/>
      <c r="I7151" s="28"/>
      <c r="J7151" s="39"/>
      <c r="K7151" s="41"/>
      <c r="L7151" s="31" t="str">
        <f>IFERROR(__xludf.DUMMYFUNCTION("IF(OR(E7151="""",K7151=""""),"""",IFERROR(IF(K7151="""","""",query('tbl user'!$A$2:$D10975,""SELECT A WHERE D = '""&amp;K7151&amp;""'"")),""USER TIDAK DIKETAHUI""))"),"")</f>
        <v/>
      </c>
    </row>
    <row r="7152">
      <c r="A7152" s="21" t="str">
        <f t="shared" si="3"/>
        <v/>
      </c>
      <c r="B7152" s="38"/>
      <c r="C7152" s="23"/>
      <c r="D7152" s="23"/>
      <c r="E7152" s="24"/>
      <c r="F7152" s="25"/>
      <c r="G7152" s="25"/>
      <c r="H7152" s="27"/>
      <c r="I7152" s="28"/>
      <c r="J7152" s="39"/>
      <c r="K7152" s="41"/>
      <c r="L7152" s="31" t="str">
        <f>IFERROR(__xludf.DUMMYFUNCTION("IF(OR(E7152="""",K7152=""""),"""",IFERROR(IF(K7152="""","""",query('tbl user'!$A$2:$D10975,""SELECT A WHERE D = '""&amp;K7152&amp;""'"")),""USER TIDAK DIKETAHUI""))"),"")</f>
        <v/>
      </c>
    </row>
    <row r="7153">
      <c r="A7153" s="21" t="str">
        <f t="shared" si="3"/>
        <v/>
      </c>
      <c r="B7153" s="38"/>
      <c r="C7153" s="23"/>
      <c r="D7153" s="23"/>
      <c r="E7153" s="24"/>
      <c r="F7153" s="25"/>
      <c r="G7153" s="25"/>
      <c r="H7153" s="27"/>
      <c r="I7153" s="28"/>
      <c r="J7153" s="39"/>
      <c r="K7153" s="41"/>
      <c r="L7153" s="31" t="str">
        <f>IFERROR(__xludf.DUMMYFUNCTION("IF(OR(E7153="""",K7153=""""),"""",IFERROR(IF(K7153="""","""",query('tbl user'!$A$2:$D10975,""SELECT A WHERE D = '""&amp;K7153&amp;""'"")),""USER TIDAK DIKETAHUI""))"),"")</f>
        <v/>
      </c>
    </row>
    <row r="7154">
      <c r="A7154" s="21" t="str">
        <f t="shared" si="3"/>
        <v/>
      </c>
      <c r="B7154" s="38"/>
      <c r="C7154" s="23"/>
      <c r="D7154" s="23"/>
      <c r="E7154" s="24"/>
      <c r="F7154" s="25"/>
      <c r="G7154" s="25"/>
      <c r="H7154" s="27"/>
      <c r="I7154" s="28"/>
      <c r="J7154" s="39"/>
      <c r="K7154" s="41"/>
      <c r="L7154" s="31" t="str">
        <f>IFERROR(__xludf.DUMMYFUNCTION("IF(OR(E7154="""",K7154=""""),"""",IFERROR(IF(K7154="""","""",query('tbl user'!$A$2:$D10975,""SELECT A WHERE D = '""&amp;K7154&amp;""'"")),""USER TIDAK DIKETAHUI""))"),"")</f>
        <v/>
      </c>
    </row>
    <row r="7155">
      <c r="A7155" s="21" t="str">
        <f t="shared" si="3"/>
        <v/>
      </c>
      <c r="B7155" s="38"/>
      <c r="C7155" s="23"/>
      <c r="D7155" s="23"/>
      <c r="E7155" s="24"/>
      <c r="F7155" s="25"/>
      <c r="G7155" s="25"/>
      <c r="H7155" s="27"/>
      <c r="I7155" s="28"/>
      <c r="J7155" s="39"/>
      <c r="K7155" s="41"/>
      <c r="L7155" s="31" t="str">
        <f>IFERROR(__xludf.DUMMYFUNCTION("IF(OR(E7155="""",K7155=""""),"""",IFERROR(IF(K7155="""","""",query('tbl user'!$A$2:$D10975,""SELECT A WHERE D = '""&amp;K7155&amp;""'"")),""USER TIDAK DIKETAHUI""))"),"")</f>
        <v/>
      </c>
    </row>
    <row r="7156">
      <c r="A7156" s="21" t="str">
        <f t="shared" si="3"/>
        <v/>
      </c>
      <c r="B7156" s="38"/>
      <c r="C7156" s="23"/>
      <c r="D7156" s="23"/>
      <c r="E7156" s="24"/>
      <c r="F7156" s="25"/>
      <c r="G7156" s="25"/>
      <c r="H7156" s="27"/>
      <c r="I7156" s="28"/>
      <c r="J7156" s="39"/>
      <c r="K7156" s="41"/>
      <c r="L7156" s="31" t="str">
        <f>IFERROR(__xludf.DUMMYFUNCTION("IF(OR(E7156="""",K7156=""""),"""",IFERROR(IF(K7156="""","""",query('tbl user'!$A$2:$D10975,""SELECT A WHERE D = '""&amp;K7156&amp;""'"")),""USER TIDAK DIKETAHUI""))"),"")</f>
        <v/>
      </c>
    </row>
    <row r="7157">
      <c r="A7157" s="21" t="str">
        <f t="shared" si="3"/>
        <v/>
      </c>
      <c r="B7157" s="38"/>
      <c r="C7157" s="23"/>
      <c r="D7157" s="23"/>
      <c r="E7157" s="24"/>
      <c r="F7157" s="25"/>
      <c r="G7157" s="25"/>
      <c r="H7157" s="27"/>
      <c r="I7157" s="28"/>
      <c r="J7157" s="39"/>
      <c r="K7157" s="41"/>
      <c r="L7157" s="31" t="str">
        <f>IFERROR(__xludf.DUMMYFUNCTION("IF(OR(E7157="""",K7157=""""),"""",IFERROR(IF(K7157="""","""",query('tbl user'!$A$2:$D10975,""SELECT A WHERE D = '""&amp;K7157&amp;""'"")),""USER TIDAK DIKETAHUI""))"),"")</f>
        <v/>
      </c>
    </row>
    <row r="7158">
      <c r="A7158" s="21" t="str">
        <f t="shared" si="3"/>
        <v/>
      </c>
      <c r="B7158" s="38"/>
      <c r="C7158" s="23"/>
      <c r="D7158" s="23"/>
      <c r="E7158" s="24"/>
      <c r="F7158" s="25"/>
      <c r="G7158" s="25"/>
      <c r="H7158" s="27"/>
      <c r="I7158" s="28"/>
      <c r="J7158" s="39"/>
      <c r="K7158" s="41"/>
      <c r="L7158" s="31" t="str">
        <f>IFERROR(__xludf.DUMMYFUNCTION("IF(OR(E7158="""",K7158=""""),"""",IFERROR(IF(K7158="""","""",query('tbl user'!$A$2:$D10975,""SELECT A WHERE D = '""&amp;K7158&amp;""'"")),""USER TIDAK DIKETAHUI""))"),"")</f>
        <v/>
      </c>
    </row>
    <row r="7159">
      <c r="A7159" s="21" t="str">
        <f t="shared" si="3"/>
        <v/>
      </c>
      <c r="B7159" s="38"/>
      <c r="C7159" s="23"/>
      <c r="D7159" s="23"/>
      <c r="E7159" s="24"/>
      <c r="F7159" s="25"/>
      <c r="G7159" s="25"/>
      <c r="H7159" s="27"/>
      <c r="I7159" s="28"/>
      <c r="J7159" s="39"/>
      <c r="K7159" s="41"/>
      <c r="L7159" s="31" t="str">
        <f>IFERROR(__xludf.DUMMYFUNCTION("IF(OR(E7159="""",K7159=""""),"""",IFERROR(IF(K7159="""","""",query('tbl user'!$A$2:$D10975,""SELECT A WHERE D = '""&amp;K7159&amp;""'"")),""USER TIDAK DIKETAHUI""))"),"")</f>
        <v/>
      </c>
    </row>
    <row r="7160">
      <c r="A7160" s="21" t="str">
        <f t="shared" si="3"/>
        <v/>
      </c>
      <c r="B7160" s="38"/>
      <c r="C7160" s="23"/>
      <c r="D7160" s="23"/>
      <c r="E7160" s="24"/>
      <c r="F7160" s="25"/>
      <c r="G7160" s="25"/>
      <c r="H7160" s="27"/>
      <c r="I7160" s="28"/>
      <c r="J7160" s="39"/>
      <c r="K7160" s="41"/>
      <c r="L7160" s="31" t="str">
        <f>IFERROR(__xludf.DUMMYFUNCTION("IF(OR(E7160="""",K7160=""""),"""",IFERROR(IF(K7160="""","""",query('tbl user'!$A$2:$D10975,""SELECT A WHERE D = '""&amp;K7160&amp;""'"")),""USER TIDAK DIKETAHUI""))"),"")</f>
        <v/>
      </c>
    </row>
    <row r="7161">
      <c r="A7161" s="21" t="str">
        <f t="shared" si="3"/>
        <v/>
      </c>
      <c r="B7161" s="38"/>
      <c r="C7161" s="23"/>
      <c r="D7161" s="23"/>
      <c r="E7161" s="24"/>
      <c r="F7161" s="25"/>
      <c r="G7161" s="25"/>
      <c r="H7161" s="27"/>
      <c r="I7161" s="28"/>
      <c r="J7161" s="39"/>
      <c r="K7161" s="41"/>
      <c r="L7161" s="31" t="str">
        <f>IFERROR(__xludf.DUMMYFUNCTION("IF(OR(E7161="""",K7161=""""),"""",IFERROR(IF(K7161="""","""",query('tbl user'!$A$2:$D10975,""SELECT A WHERE D = '""&amp;K7161&amp;""'"")),""USER TIDAK DIKETAHUI""))"),"")</f>
        <v/>
      </c>
    </row>
    <row r="7162">
      <c r="A7162" s="21" t="str">
        <f t="shared" si="3"/>
        <v/>
      </c>
      <c r="B7162" s="38"/>
      <c r="C7162" s="23"/>
      <c r="D7162" s="23"/>
      <c r="E7162" s="24"/>
      <c r="F7162" s="25"/>
      <c r="G7162" s="25"/>
      <c r="H7162" s="27"/>
      <c r="I7162" s="28"/>
      <c r="J7162" s="39"/>
      <c r="K7162" s="41"/>
      <c r="L7162" s="31" t="str">
        <f>IFERROR(__xludf.DUMMYFUNCTION("IF(OR(E7162="""",K7162=""""),"""",IFERROR(IF(K7162="""","""",query('tbl user'!$A$2:$D10975,""SELECT A WHERE D = '""&amp;K7162&amp;""'"")),""USER TIDAK DIKETAHUI""))"),"")</f>
        <v/>
      </c>
    </row>
    <row r="7163">
      <c r="A7163" s="21" t="str">
        <f t="shared" si="3"/>
        <v/>
      </c>
      <c r="B7163" s="38"/>
      <c r="C7163" s="23"/>
      <c r="D7163" s="23"/>
      <c r="E7163" s="24"/>
      <c r="F7163" s="25"/>
      <c r="G7163" s="25"/>
      <c r="H7163" s="27"/>
      <c r="I7163" s="28"/>
      <c r="J7163" s="39"/>
      <c r="K7163" s="41"/>
      <c r="L7163" s="31" t="str">
        <f>IFERROR(__xludf.DUMMYFUNCTION("IF(OR(E7163="""",K7163=""""),"""",IFERROR(IF(K7163="""","""",query('tbl user'!$A$2:$D10975,""SELECT A WHERE D = '""&amp;K7163&amp;""'"")),""USER TIDAK DIKETAHUI""))"),"")</f>
        <v/>
      </c>
    </row>
    <row r="7164">
      <c r="A7164" s="21" t="str">
        <f t="shared" si="3"/>
        <v/>
      </c>
      <c r="B7164" s="38"/>
      <c r="C7164" s="23"/>
      <c r="D7164" s="23"/>
      <c r="E7164" s="24"/>
      <c r="F7164" s="25"/>
      <c r="G7164" s="25"/>
      <c r="H7164" s="27"/>
      <c r="I7164" s="28"/>
      <c r="J7164" s="39"/>
      <c r="K7164" s="41"/>
      <c r="L7164" s="31" t="str">
        <f>IFERROR(__xludf.DUMMYFUNCTION("IF(OR(E7164="""",K7164=""""),"""",IFERROR(IF(K7164="""","""",query('tbl user'!$A$2:$D10975,""SELECT A WHERE D = '""&amp;K7164&amp;""'"")),""USER TIDAK DIKETAHUI""))"),"")</f>
        <v/>
      </c>
    </row>
    <row r="7165">
      <c r="A7165" s="21" t="str">
        <f t="shared" si="3"/>
        <v/>
      </c>
      <c r="B7165" s="38"/>
      <c r="C7165" s="23"/>
      <c r="D7165" s="23"/>
      <c r="E7165" s="24"/>
      <c r="F7165" s="25"/>
      <c r="G7165" s="25"/>
      <c r="H7165" s="27"/>
      <c r="I7165" s="28"/>
      <c r="J7165" s="39"/>
      <c r="K7165" s="41"/>
      <c r="L7165" s="31" t="str">
        <f>IFERROR(__xludf.DUMMYFUNCTION("IF(OR(E7165="""",K7165=""""),"""",IFERROR(IF(K7165="""","""",query('tbl user'!$A$2:$D10975,""SELECT A WHERE D = '""&amp;K7165&amp;""'"")),""USER TIDAK DIKETAHUI""))"),"")</f>
        <v/>
      </c>
    </row>
    <row r="7166">
      <c r="A7166" s="21" t="str">
        <f t="shared" si="3"/>
        <v/>
      </c>
      <c r="B7166" s="38"/>
      <c r="C7166" s="23"/>
      <c r="D7166" s="23"/>
      <c r="E7166" s="24"/>
      <c r="F7166" s="25"/>
      <c r="G7166" s="25"/>
      <c r="H7166" s="27"/>
      <c r="I7166" s="28"/>
      <c r="J7166" s="39"/>
      <c r="K7166" s="41"/>
      <c r="L7166" s="31" t="str">
        <f>IFERROR(__xludf.DUMMYFUNCTION("IF(OR(E7166="""",K7166=""""),"""",IFERROR(IF(K7166="""","""",query('tbl user'!$A$2:$D10975,""SELECT A WHERE D = '""&amp;K7166&amp;""'"")),""USER TIDAK DIKETAHUI""))"),"")</f>
        <v/>
      </c>
    </row>
    <row r="7167">
      <c r="A7167" s="21" t="str">
        <f t="shared" si="3"/>
        <v/>
      </c>
      <c r="B7167" s="38"/>
      <c r="C7167" s="23"/>
      <c r="D7167" s="23"/>
      <c r="E7167" s="24"/>
      <c r="F7167" s="25"/>
      <c r="G7167" s="25"/>
      <c r="H7167" s="27"/>
      <c r="I7167" s="28"/>
      <c r="J7167" s="39"/>
      <c r="K7167" s="41"/>
      <c r="L7167" s="31" t="str">
        <f>IFERROR(__xludf.DUMMYFUNCTION("IF(OR(E7167="""",K7167=""""),"""",IFERROR(IF(K7167="""","""",query('tbl user'!$A$2:$D10975,""SELECT A WHERE D = '""&amp;K7167&amp;""'"")),""USER TIDAK DIKETAHUI""))"),"")</f>
        <v/>
      </c>
    </row>
    <row r="7168">
      <c r="A7168" s="21" t="str">
        <f t="shared" si="3"/>
        <v/>
      </c>
      <c r="B7168" s="38"/>
      <c r="C7168" s="23"/>
      <c r="D7168" s="23"/>
      <c r="E7168" s="24"/>
      <c r="F7168" s="25"/>
      <c r="G7168" s="25"/>
      <c r="H7168" s="27"/>
      <c r="I7168" s="28"/>
      <c r="J7168" s="39"/>
      <c r="K7168" s="41"/>
      <c r="L7168" s="31" t="str">
        <f>IFERROR(__xludf.DUMMYFUNCTION("IF(OR(E7168="""",K7168=""""),"""",IFERROR(IF(K7168="""","""",query('tbl user'!$A$2:$D10975,""SELECT A WHERE D = '""&amp;K7168&amp;""'"")),""USER TIDAK DIKETAHUI""))"),"")</f>
        <v/>
      </c>
    </row>
    <row r="7169">
      <c r="A7169" s="21" t="str">
        <f t="shared" si="3"/>
        <v/>
      </c>
      <c r="B7169" s="38"/>
      <c r="C7169" s="23"/>
      <c r="D7169" s="23"/>
      <c r="E7169" s="24"/>
      <c r="F7169" s="25"/>
      <c r="G7169" s="25"/>
      <c r="H7169" s="27"/>
      <c r="I7169" s="28"/>
      <c r="J7169" s="39"/>
      <c r="K7169" s="41"/>
      <c r="L7169" s="31" t="str">
        <f>IFERROR(__xludf.DUMMYFUNCTION("IF(OR(E7169="""",K7169=""""),"""",IFERROR(IF(K7169="""","""",query('tbl user'!$A$2:$D10975,""SELECT A WHERE D = '""&amp;K7169&amp;""'"")),""USER TIDAK DIKETAHUI""))"),"")</f>
        <v/>
      </c>
    </row>
    <row r="7170">
      <c r="A7170" s="21" t="str">
        <f t="shared" si="3"/>
        <v/>
      </c>
      <c r="B7170" s="38"/>
      <c r="C7170" s="23"/>
      <c r="D7170" s="23"/>
      <c r="E7170" s="24"/>
      <c r="F7170" s="25"/>
      <c r="G7170" s="25"/>
      <c r="H7170" s="27"/>
      <c r="I7170" s="28"/>
      <c r="J7170" s="39"/>
      <c r="K7170" s="41"/>
      <c r="L7170" s="31" t="str">
        <f>IFERROR(__xludf.DUMMYFUNCTION("IF(OR(E7170="""",K7170=""""),"""",IFERROR(IF(K7170="""","""",query('tbl user'!$A$2:$D10975,""SELECT A WHERE D = '""&amp;K7170&amp;""'"")),""USER TIDAK DIKETAHUI""))"),"")</f>
        <v/>
      </c>
    </row>
    <row r="7171">
      <c r="A7171" s="21" t="str">
        <f t="shared" si="3"/>
        <v/>
      </c>
      <c r="B7171" s="38"/>
      <c r="C7171" s="23"/>
      <c r="D7171" s="23"/>
      <c r="E7171" s="24"/>
      <c r="F7171" s="25"/>
      <c r="G7171" s="25"/>
      <c r="H7171" s="27"/>
      <c r="I7171" s="28"/>
      <c r="J7171" s="39"/>
      <c r="K7171" s="41"/>
      <c r="L7171" s="31" t="str">
        <f>IFERROR(__xludf.DUMMYFUNCTION("IF(OR(E7171="""",K7171=""""),"""",IFERROR(IF(K7171="""","""",query('tbl user'!$A$2:$D10975,""SELECT A WHERE D = '""&amp;K7171&amp;""'"")),""USER TIDAK DIKETAHUI""))"),"")</f>
        <v/>
      </c>
    </row>
    <row r="7172">
      <c r="A7172" s="21" t="str">
        <f t="shared" si="3"/>
        <v/>
      </c>
      <c r="B7172" s="38"/>
      <c r="C7172" s="23"/>
      <c r="D7172" s="23"/>
      <c r="E7172" s="24"/>
      <c r="F7172" s="25"/>
      <c r="G7172" s="25"/>
      <c r="H7172" s="27"/>
      <c r="I7172" s="28"/>
      <c r="J7172" s="39"/>
      <c r="K7172" s="41"/>
      <c r="L7172" s="31" t="str">
        <f>IFERROR(__xludf.DUMMYFUNCTION("IF(OR(E7172="""",K7172=""""),"""",IFERROR(IF(K7172="""","""",query('tbl user'!$A$2:$D10975,""SELECT A WHERE D = '""&amp;K7172&amp;""'"")),""USER TIDAK DIKETAHUI""))"),"")</f>
        <v/>
      </c>
    </row>
    <row r="7173">
      <c r="A7173" s="21" t="str">
        <f t="shared" si="3"/>
        <v/>
      </c>
      <c r="B7173" s="38"/>
      <c r="C7173" s="23"/>
      <c r="D7173" s="23"/>
      <c r="E7173" s="24"/>
      <c r="F7173" s="25"/>
      <c r="G7173" s="25"/>
      <c r="H7173" s="27"/>
      <c r="I7173" s="28"/>
      <c r="J7173" s="39"/>
      <c r="K7173" s="41"/>
      <c r="L7173" s="31" t="str">
        <f>IFERROR(__xludf.DUMMYFUNCTION("IF(OR(E7173="""",K7173=""""),"""",IFERROR(IF(K7173="""","""",query('tbl user'!$A$2:$D10975,""SELECT A WHERE D = '""&amp;K7173&amp;""'"")),""USER TIDAK DIKETAHUI""))"),"")</f>
        <v/>
      </c>
    </row>
    <row r="7174">
      <c r="A7174" s="21" t="str">
        <f t="shared" si="3"/>
        <v/>
      </c>
      <c r="B7174" s="38"/>
      <c r="C7174" s="23"/>
      <c r="D7174" s="23"/>
      <c r="E7174" s="24"/>
      <c r="F7174" s="25"/>
      <c r="G7174" s="25"/>
      <c r="H7174" s="27"/>
      <c r="I7174" s="28"/>
      <c r="J7174" s="39"/>
      <c r="K7174" s="41"/>
      <c r="L7174" s="31" t="str">
        <f>IFERROR(__xludf.DUMMYFUNCTION("IF(OR(E7174="""",K7174=""""),"""",IFERROR(IF(K7174="""","""",query('tbl user'!$A$2:$D10975,""SELECT A WHERE D = '""&amp;K7174&amp;""'"")),""USER TIDAK DIKETAHUI""))"),"")</f>
        <v/>
      </c>
    </row>
    <row r="7175">
      <c r="A7175" s="21" t="str">
        <f t="shared" si="3"/>
        <v/>
      </c>
      <c r="B7175" s="38"/>
      <c r="C7175" s="23"/>
      <c r="D7175" s="23"/>
      <c r="E7175" s="24"/>
      <c r="F7175" s="25"/>
      <c r="G7175" s="25"/>
      <c r="H7175" s="27"/>
      <c r="I7175" s="28"/>
      <c r="J7175" s="39"/>
      <c r="K7175" s="41"/>
      <c r="L7175" s="31" t="str">
        <f>IFERROR(__xludf.DUMMYFUNCTION("IF(OR(E7175="""",K7175=""""),"""",IFERROR(IF(K7175="""","""",query('tbl user'!$A$2:$D10975,""SELECT A WHERE D = '""&amp;K7175&amp;""'"")),""USER TIDAK DIKETAHUI""))"),"")</f>
        <v/>
      </c>
    </row>
    <row r="7176">
      <c r="A7176" s="21" t="str">
        <f t="shared" si="3"/>
        <v/>
      </c>
      <c r="B7176" s="38"/>
      <c r="C7176" s="23"/>
      <c r="D7176" s="23"/>
      <c r="E7176" s="24"/>
      <c r="F7176" s="25"/>
      <c r="G7176" s="25"/>
      <c r="H7176" s="27"/>
      <c r="I7176" s="28"/>
      <c r="J7176" s="39"/>
      <c r="K7176" s="41"/>
      <c r="L7176" s="31" t="str">
        <f>IFERROR(__xludf.DUMMYFUNCTION("IF(OR(E7176="""",K7176=""""),"""",IFERROR(IF(K7176="""","""",query('tbl user'!$A$2:$D10975,""SELECT A WHERE D = '""&amp;K7176&amp;""'"")),""USER TIDAK DIKETAHUI""))"),"")</f>
        <v/>
      </c>
    </row>
    <row r="7177">
      <c r="A7177" s="21" t="str">
        <f t="shared" si="3"/>
        <v/>
      </c>
      <c r="B7177" s="38"/>
      <c r="C7177" s="23"/>
      <c r="D7177" s="23"/>
      <c r="E7177" s="24"/>
      <c r="F7177" s="25"/>
      <c r="G7177" s="25"/>
      <c r="H7177" s="27"/>
      <c r="I7177" s="28"/>
      <c r="J7177" s="39"/>
      <c r="K7177" s="41"/>
      <c r="L7177" s="31" t="str">
        <f>IFERROR(__xludf.DUMMYFUNCTION("IF(OR(E7177="""",K7177=""""),"""",IFERROR(IF(K7177="""","""",query('tbl user'!$A$2:$D10975,""SELECT A WHERE D = '""&amp;K7177&amp;""'"")),""USER TIDAK DIKETAHUI""))"),"")</f>
        <v/>
      </c>
    </row>
    <row r="7178">
      <c r="A7178" s="21" t="str">
        <f t="shared" si="3"/>
        <v/>
      </c>
      <c r="B7178" s="38"/>
      <c r="C7178" s="23"/>
      <c r="D7178" s="23"/>
      <c r="E7178" s="24"/>
      <c r="F7178" s="25"/>
      <c r="G7178" s="25"/>
      <c r="H7178" s="27"/>
      <c r="I7178" s="28"/>
      <c r="J7178" s="39"/>
      <c r="K7178" s="41"/>
      <c r="L7178" s="31" t="str">
        <f>IFERROR(__xludf.DUMMYFUNCTION("IF(OR(E7178="""",K7178=""""),"""",IFERROR(IF(K7178="""","""",query('tbl user'!$A$2:$D10975,""SELECT A WHERE D = '""&amp;K7178&amp;""'"")),""USER TIDAK DIKETAHUI""))"),"")</f>
        <v/>
      </c>
    </row>
    <row r="7179">
      <c r="A7179" s="21" t="str">
        <f t="shared" si="3"/>
        <v/>
      </c>
      <c r="B7179" s="38"/>
      <c r="C7179" s="23"/>
      <c r="D7179" s="23"/>
      <c r="E7179" s="24"/>
      <c r="F7179" s="25"/>
      <c r="G7179" s="25"/>
      <c r="H7179" s="27"/>
      <c r="I7179" s="28"/>
      <c r="J7179" s="39"/>
      <c r="K7179" s="41"/>
      <c r="L7179" s="31" t="str">
        <f>IFERROR(__xludf.DUMMYFUNCTION("IF(OR(E7179="""",K7179=""""),"""",IFERROR(IF(K7179="""","""",query('tbl user'!$A$2:$D10975,""SELECT A WHERE D = '""&amp;K7179&amp;""'"")),""USER TIDAK DIKETAHUI""))"),"")</f>
        <v/>
      </c>
    </row>
    <row r="7180">
      <c r="A7180" s="21" t="str">
        <f t="shared" si="3"/>
        <v/>
      </c>
      <c r="B7180" s="38"/>
      <c r="C7180" s="23"/>
      <c r="D7180" s="23"/>
      <c r="E7180" s="24"/>
      <c r="F7180" s="25"/>
      <c r="G7180" s="25"/>
      <c r="H7180" s="27"/>
      <c r="I7180" s="28"/>
      <c r="J7180" s="39"/>
      <c r="K7180" s="41"/>
      <c r="L7180" s="31" t="str">
        <f>IFERROR(__xludf.DUMMYFUNCTION("IF(OR(E7180="""",K7180=""""),"""",IFERROR(IF(K7180="""","""",query('tbl user'!$A$2:$D10975,""SELECT A WHERE D = '""&amp;K7180&amp;""'"")),""USER TIDAK DIKETAHUI""))"),"")</f>
        <v/>
      </c>
    </row>
    <row r="7181">
      <c r="A7181" s="21" t="str">
        <f t="shared" si="3"/>
        <v/>
      </c>
      <c r="B7181" s="38"/>
      <c r="C7181" s="23"/>
      <c r="D7181" s="23"/>
      <c r="E7181" s="24"/>
      <c r="F7181" s="25"/>
      <c r="G7181" s="25"/>
      <c r="H7181" s="27"/>
      <c r="I7181" s="28"/>
      <c r="J7181" s="39"/>
      <c r="K7181" s="41"/>
      <c r="L7181" s="31" t="str">
        <f>IFERROR(__xludf.DUMMYFUNCTION("IF(OR(E7181="""",K7181=""""),"""",IFERROR(IF(K7181="""","""",query('tbl user'!$A$2:$D10975,""SELECT A WHERE D = '""&amp;K7181&amp;""'"")),""USER TIDAK DIKETAHUI""))"),"")</f>
        <v/>
      </c>
    </row>
    <row r="7182">
      <c r="A7182" s="21" t="str">
        <f t="shared" si="3"/>
        <v/>
      </c>
      <c r="B7182" s="38"/>
      <c r="C7182" s="23"/>
      <c r="D7182" s="23"/>
      <c r="E7182" s="24"/>
      <c r="F7182" s="25"/>
      <c r="G7182" s="25"/>
      <c r="H7182" s="27"/>
      <c r="I7182" s="28"/>
      <c r="J7182" s="39"/>
      <c r="K7182" s="41"/>
      <c r="L7182" s="31" t="str">
        <f>IFERROR(__xludf.DUMMYFUNCTION("IF(OR(E7182="""",K7182=""""),"""",IFERROR(IF(K7182="""","""",query('tbl user'!$A$2:$D10975,""SELECT A WHERE D = '""&amp;K7182&amp;""'"")),""USER TIDAK DIKETAHUI""))"),"")</f>
        <v/>
      </c>
    </row>
    <row r="7183">
      <c r="A7183" s="21" t="str">
        <f t="shared" si="3"/>
        <v/>
      </c>
      <c r="B7183" s="38"/>
      <c r="C7183" s="23"/>
      <c r="D7183" s="23"/>
      <c r="E7183" s="24"/>
      <c r="F7183" s="25"/>
      <c r="G7183" s="25"/>
      <c r="H7183" s="27"/>
      <c r="I7183" s="28"/>
      <c r="J7183" s="39"/>
      <c r="K7183" s="41"/>
      <c r="L7183" s="31" t="str">
        <f>IFERROR(__xludf.DUMMYFUNCTION("IF(OR(E7183="""",K7183=""""),"""",IFERROR(IF(K7183="""","""",query('tbl user'!$A$2:$D10975,""SELECT A WHERE D = '""&amp;K7183&amp;""'"")),""USER TIDAK DIKETAHUI""))"),"")</f>
        <v/>
      </c>
    </row>
    <row r="7184">
      <c r="A7184" s="21" t="str">
        <f t="shared" si="3"/>
        <v/>
      </c>
      <c r="B7184" s="38"/>
      <c r="C7184" s="23"/>
      <c r="D7184" s="23"/>
      <c r="E7184" s="24"/>
      <c r="F7184" s="25"/>
      <c r="G7184" s="25"/>
      <c r="H7184" s="27"/>
      <c r="I7184" s="28"/>
      <c r="J7184" s="39"/>
      <c r="K7184" s="41"/>
      <c r="L7184" s="31" t="str">
        <f>IFERROR(__xludf.DUMMYFUNCTION("IF(OR(E7184="""",K7184=""""),"""",IFERROR(IF(K7184="""","""",query('tbl user'!$A$2:$D10975,""SELECT A WHERE D = '""&amp;K7184&amp;""'"")),""USER TIDAK DIKETAHUI""))"),"")</f>
        <v/>
      </c>
    </row>
    <row r="7185">
      <c r="A7185" s="21" t="str">
        <f t="shared" si="3"/>
        <v/>
      </c>
      <c r="B7185" s="38"/>
      <c r="C7185" s="23"/>
      <c r="D7185" s="23"/>
      <c r="E7185" s="24"/>
      <c r="F7185" s="25"/>
      <c r="G7185" s="25"/>
      <c r="H7185" s="27"/>
      <c r="I7185" s="28"/>
      <c r="J7185" s="39"/>
      <c r="K7185" s="41"/>
      <c r="L7185" s="31" t="str">
        <f>IFERROR(__xludf.DUMMYFUNCTION("IF(OR(E7185="""",K7185=""""),"""",IFERROR(IF(K7185="""","""",query('tbl user'!$A$2:$D10975,""SELECT A WHERE D = '""&amp;K7185&amp;""'"")),""USER TIDAK DIKETAHUI""))"),"")</f>
        <v/>
      </c>
    </row>
    <row r="7186">
      <c r="A7186" s="21" t="str">
        <f t="shared" si="3"/>
        <v/>
      </c>
      <c r="B7186" s="38"/>
      <c r="C7186" s="23"/>
      <c r="D7186" s="23"/>
      <c r="E7186" s="24"/>
      <c r="F7186" s="25"/>
      <c r="G7186" s="25"/>
      <c r="H7186" s="27"/>
      <c r="I7186" s="28"/>
      <c r="J7186" s="39"/>
      <c r="K7186" s="41"/>
      <c r="L7186" s="31" t="str">
        <f>IFERROR(__xludf.DUMMYFUNCTION("IF(OR(E7186="""",K7186=""""),"""",IFERROR(IF(K7186="""","""",query('tbl user'!$A$2:$D10975,""SELECT A WHERE D = '""&amp;K7186&amp;""'"")),""USER TIDAK DIKETAHUI""))"),"")</f>
        <v/>
      </c>
    </row>
    <row r="7187">
      <c r="A7187" s="21" t="str">
        <f t="shared" si="3"/>
        <v/>
      </c>
      <c r="B7187" s="38"/>
      <c r="C7187" s="23"/>
      <c r="D7187" s="23"/>
      <c r="E7187" s="24"/>
      <c r="F7187" s="25"/>
      <c r="G7187" s="25"/>
      <c r="H7187" s="27"/>
      <c r="I7187" s="28"/>
      <c r="J7187" s="39"/>
      <c r="K7187" s="41"/>
      <c r="L7187" s="31" t="str">
        <f>IFERROR(__xludf.DUMMYFUNCTION("IF(OR(E7187="""",K7187=""""),"""",IFERROR(IF(K7187="""","""",query('tbl user'!$A$2:$D10975,""SELECT A WHERE D = '""&amp;K7187&amp;""'"")),""USER TIDAK DIKETAHUI""))"),"")</f>
        <v/>
      </c>
    </row>
    <row r="7188">
      <c r="A7188" s="21" t="str">
        <f t="shared" si="3"/>
        <v/>
      </c>
      <c r="B7188" s="38"/>
      <c r="C7188" s="23"/>
      <c r="D7188" s="23"/>
      <c r="E7188" s="24"/>
      <c r="F7188" s="25"/>
      <c r="G7188" s="25"/>
      <c r="H7188" s="27"/>
      <c r="I7188" s="28"/>
      <c r="J7188" s="39"/>
      <c r="K7188" s="41"/>
      <c r="L7188" s="31" t="str">
        <f>IFERROR(__xludf.DUMMYFUNCTION("IF(OR(E7188="""",K7188=""""),"""",IFERROR(IF(K7188="""","""",query('tbl user'!$A$2:$D10975,""SELECT A WHERE D = '""&amp;K7188&amp;""'"")),""USER TIDAK DIKETAHUI""))"),"")</f>
        <v/>
      </c>
    </row>
    <row r="7189">
      <c r="A7189" s="21" t="str">
        <f t="shared" si="3"/>
        <v/>
      </c>
      <c r="B7189" s="38"/>
      <c r="C7189" s="23"/>
      <c r="D7189" s="23"/>
      <c r="E7189" s="24"/>
      <c r="F7189" s="25"/>
      <c r="G7189" s="25"/>
      <c r="H7189" s="27"/>
      <c r="I7189" s="28"/>
      <c r="J7189" s="39"/>
      <c r="K7189" s="41"/>
      <c r="L7189" s="31" t="str">
        <f>IFERROR(__xludf.DUMMYFUNCTION("IF(OR(E7189="""",K7189=""""),"""",IFERROR(IF(K7189="""","""",query('tbl user'!$A$2:$D10975,""SELECT A WHERE D = '""&amp;K7189&amp;""'"")),""USER TIDAK DIKETAHUI""))"),"")</f>
        <v/>
      </c>
    </row>
    <row r="7190">
      <c r="A7190" s="21" t="str">
        <f t="shared" si="3"/>
        <v/>
      </c>
      <c r="B7190" s="38"/>
      <c r="C7190" s="23"/>
      <c r="D7190" s="23"/>
      <c r="E7190" s="24"/>
      <c r="F7190" s="25"/>
      <c r="G7190" s="25"/>
      <c r="H7190" s="27"/>
      <c r="I7190" s="28"/>
      <c r="J7190" s="39"/>
      <c r="K7190" s="41"/>
      <c r="L7190" s="31" t="str">
        <f>IFERROR(__xludf.DUMMYFUNCTION("IF(OR(E7190="""",K7190=""""),"""",IFERROR(IF(K7190="""","""",query('tbl user'!$A$2:$D10975,""SELECT A WHERE D = '""&amp;K7190&amp;""'"")),""USER TIDAK DIKETAHUI""))"),"")</f>
        <v/>
      </c>
    </row>
    <row r="7191">
      <c r="A7191" s="21" t="str">
        <f t="shared" si="3"/>
        <v/>
      </c>
      <c r="B7191" s="38"/>
      <c r="C7191" s="23"/>
      <c r="D7191" s="23"/>
      <c r="E7191" s="24"/>
      <c r="F7191" s="25"/>
      <c r="G7191" s="25"/>
      <c r="H7191" s="27"/>
      <c r="I7191" s="28"/>
      <c r="J7191" s="39"/>
      <c r="K7191" s="41"/>
      <c r="L7191" s="31" t="str">
        <f>IFERROR(__xludf.DUMMYFUNCTION("IF(OR(E7191="""",K7191=""""),"""",IFERROR(IF(K7191="""","""",query('tbl user'!$A$2:$D10975,""SELECT A WHERE D = '""&amp;K7191&amp;""'"")),""USER TIDAK DIKETAHUI""))"),"")</f>
        <v/>
      </c>
    </row>
    <row r="7192">
      <c r="A7192" s="21" t="str">
        <f t="shared" si="3"/>
        <v/>
      </c>
      <c r="B7192" s="38"/>
      <c r="C7192" s="23"/>
      <c r="D7192" s="23"/>
      <c r="E7192" s="24"/>
      <c r="F7192" s="25"/>
      <c r="G7192" s="25"/>
      <c r="H7192" s="27"/>
      <c r="I7192" s="28"/>
      <c r="J7192" s="39"/>
      <c r="K7192" s="41"/>
      <c r="L7192" s="31" t="str">
        <f>IFERROR(__xludf.DUMMYFUNCTION("IF(OR(E7192="""",K7192=""""),"""",IFERROR(IF(K7192="""","""",query('tbl user'!$A$2:$D10975,""SELECT A WHERE D = '""&amp;K7192&amp;""'"")),""USER TIDAK DIKETAHUI""))"),"")</f>
        <v/>
      </c>
    </row>
    <row r="7193">
      <c r="A7193" s="21" t="str">
        <f t="shared" si="3"/>
        <v/>
      </c>
      <c r="B7193" s="38"/>
      <c r="C7193" s="23"/>
      <c r="D7193" s="23"/>
      <c r="E7193" s="24"/>
      <c r="F7193" s="25"/>
      <c r="G7193" s="25"/>
      <c r="H7193" s="27"/>
      <c r="I7193" s="28"/>
      <c r="J7193" s="39"/>
      <c r="K7193" s="41"/>
      <c r="L7193" s="31" t="str">
        <f>IFERROR(__xludf.DUMMYFUNCTION("IF(OR(E7193="""",K7193=""""),"""",IFERROR(IF(K7193="""","""",query('tbl user'!$A$2:$D10975,""SELECT A WHERE D = '""&amp;K7193&amp;""'"")),""USER TIDAK DIKETAHUI""))"),"")</f>
        <v/>
      </c>
    </row>
    <row r="7194">
      <c r="A7194" s="21" t="str">
        <f t="shared" si="3"/>
        <v/>
      </c>
      <c r="B7194" s="38"/>
      <c r="C7194" s="23"/>
      <c r="D7194" s="23"/>
      <c r="E7194" s="24"/>
      <c r="F7194" s="25"/>
      <c r="G7194" s="25"/>
      <c r="H7194" s="27"/>
      <c r="I7194" s="28"/>
      <c r="J7194" s="39"/>
      <c r="K7194" s="41"/>
      <c r="L7194" s="31" t="str">
        <f>IFERROR(__xludf.DUMMYFUNCTION("IF(OR(E7194="""",K7194=""""),"""",IFERROR(IF(K7194="""","""",query('tbl user'!$A$2:$D10975,""SELECT A WHERE D = '""&amp;K7194&amp;""'"")),""USER TIDAK DIKETAHUI""))"),"")</f>
        <v/>
      </c>
    </row>
    <row r="7195">
      <c r="A7195" s="21" t="str">
        <f t="shared" si="3"/>
        <v/>
      </c>
      <c r="B7195" s="38"/>
      <c r="C7195" s="23"/>
      <c r="D7195" s="23"/>
      <c r="E7195" s="24"/>
      <c r="F7195" s="25"/>
      <c r="G7195" s="25"/>
      <c r="H7195" s="27"/>
      <c r="I7195" s="28"/>
      <c r="J7195" s="39"/>
      <c r="K7195" s="41"/>
      <c r="L7195" s="31" t="str">
        <f>IFERROR(__xludf.DUMMYFUNCTION("IF(OR(E7195="""",K7195=""""),"""",IFERROR(IF(K7195="""","""",query('tbl user'!$A$2:$D10975,""SELECT A WHERE D = '""&amp;K7195&amp;""'"")),""USER TIDAK DIKETAHUI""))"),"")</f>
        <v/>
      </c>
    </row>
    <row r="7196">
      <c r="A7196" s="21" t="str">
        <f t="shared" si="3"/>
        <v/>
      </c>
      <c r="B7196" s="38"/>
      <c r="C7196" s="23"/>
      <c r="D7196" s="23"/>
      <c r="E7196" s="24"/>
      <c r="F7196" s="25"/>
      <c r="G7196" s="25"/>
      <c r="H7196" s="27"/>
      <c r="I7196" s="28"/>
      <c r="J7196" s="39"/>
      <c r="K7196" s="41"/>
      <c r="L7196" s="31" t="str">
        <f>IFERROR(__xludf.DUMMYFUNCTION("IF(OR(E7196="""",K7196=""""),"""",IFERROR(IF(K7196="""","""",query('tbl user'!$A$2:$D10975,""SELECT A WHERE D = '""&amp;K7196&amp;""'"")),""USER TIDAK DIKETAHUI""))"),"")</f>
        <v/>
      </c>
    </row>
    <row r="7197">
      <c r="A7197" s="21" t="str">
        <f t="shared" si="3"/>
        <v/>
      </c>
      <c r="B7197" s="38"/>
      <c r="C7197" s="23"/>
      <c r="D7197" s="23"/>
      <c r="E7197" s="24"/>
      <c r="F7197" s="25"/>
      <c r="G7197" s="25"/>
      <c r="H7197" s="27"/>
      <c r="I7197" s="28"/>
      <c r="J7197" s="39"/>
      <c r="K7197" s="41"/>
      <c r="L7197" s="31" t="str">
        <f>IFERROR(__xludf.DUMMYFUNCTION("IF(OR(E7197="""",K7197=""""),"""",IFERROR(IF(K7197="""","""",query('tbl user'!$A$2:$D10975,""SELECT A WHERE D = '""&amp;K7197&amp;""'"")),""USER TIDAK DIKETAHUI""))"),"")</f>
        <v/>
      </c>
    </row>
    <row r="7198">
      <c r="A7198" s="21" t="str">
        <f t="shared" si="3"/>
        <v/>
      </c>
      <c r="B7198" s="38"/>
      <c r="C7198" s="23"/>
      <c r="D7198" s="23"/>
      <c r="E7198" s="24"/>
      <c r="F7198" s="25"/>
      <c r="G7198" s="25"/>
      <c r="H7198" s="27"/>
      <c r="I7198" s="28"/>
      <c r="J7198" s="39"/>
      <c r="K7198" s="41"/>
      <c r="L7198" s="31" t="str">
        <f>IFERROR(__xludf.DUMMYFUNCTION("IF(OR(E7198="""",K7198=""""),"""",IFERROR(IF(K7198="""","""",query('tbl user'!$A$2:$D10975,""SELECT A WHERE D = '""&amp;K7198&amp;""'"")),""USER TIDAK DIKETAHUI""))"),"")</f>
        <v/>
      </c>
    </row>
    <row r="7199">
      <c r="A7199" s="21" t="str">
        <f t="shared" si="3"/>
        <v/>
      </c>
      <c r="B7199" s="38"/>
      <c r="C7199" s="23"/>
      <c r="D7199" s="23"/>
      <c r="E7199" s="24"/>
      <c r="F7199" s="25"/>
      <c r="G7199" s="25"/>
      <c r="H7199" s="27"/>
      <c r="I7199" s="28"/>
      <c r="J7199" s="39"/>
      <c r="K7199" s="41"/>
      <c r="L7199" s="31" t="str">
        <f>IFERROR(__xludf.DUMMYFUNCTION("IF(OR(E7199="""",K7199=""""),"""",IFERROR(IF(K7199="""","""",query('tbl user'!$A$2:$D10975,""SELECT A WHERE D = '""&amp;K7199&amp;""'"")),""USER TIDAK DIKETAHUI""))"),"")</f>
        <v/>
      </c>
    </row>
    <row r="7200">
      <c r="A7200" s="21" t="str">
        <f t="shared" si="3"/>
        <v/>
      </c>
      <c r="B7200" s="38"/>
      <c r="C7200" s="23"/>
      <c r="D7200" s="23"/>
      <c r="E7200" s="24"/>
      <c r="F7200" s="25"/>
      <c r="G7200" s="25"/>
      <c r="H7200" s="27"/>
      <c r="I7200" s="28"/>
      <c r="J7200" s="39"/>
      <c r="K7200" s="41"/>
      <c r="L7200" s="31" t="str">
        <f>IFERROR(__xludf.DUMMYFUNCTION("IF(OR(E7200="""",K7200=""""),"""",IFERROR(IF(K7200="""","""",query('tbl user'!$A$2:$D10975,""SELECT A WHERE D = '""&amp;K7200&amp;""'"")),""USER TIDAK DIKETAHUI""))"),"")</f>
        <v/>
      </c>
    </row>
    <row r="7201">
      <c r="A7201" s="21" t="str">
        <f t="shared" si="3"/>
        <v/>
      </c>
      <c r="B7201" s="38"/>
      <c r="C7201" s="23"/>
      <c r="D7201" s="23"/>
      <c r="E7201" s="24"/>
      <c r="F7201" s="25"/>
      <c r="G7201" s="25"/>
      <c r="H7201" s="27"/>
      <c r="I7201" s="28"/>
      <c r="J7201" s="39"/>
      <c r="K7201" s="41"/>
      <c r="L7201" s="31" t="str">
        <f>IFERROR(__xludf.DUMMYFUNCTION("IF(OR(E7201="""",K7201=""""),"""",IFERROR(IF(K7201="""","""",query('tbl user'!$A$2:$D10975,""SELECT A WHERE D = '""&amp;K7201&amp;""'"")),""USER TIDAK DIKETAHUI""))"),"")</f>
        <v/>
      </c>
    </row>
    <row r="7202">
      <c r="A7202" s="21" t="str">
        <f t="shared" si="3"/>
        <v/>
      </c>
      <c r="B7202" s="38"/>
      <c r="C7202" s="23"/>
      <c r="D7202" s="23"/>
      <c r="E7202" s="24"/>
      <c r="F7202" s="25"/>
      <c r="G7202" s="25"/>
      <c r="H7202" s="27"/>
      <c r="I7202" s="28"/>
      <c r="J7202" s="39"/>
      <c r="K7202" s="41"/>
      <c r="L7202" s="31" t="str">
        <f>IFERROR(__xludf.DUMMYFUNCTION("IF(OR(E7202="""",K7202=""""),"""",IFERROR(IF(K7202="""","""",query('tbl user'!$A$2:$D10975,""SELECT A WHERE D = '""&amp;K7202&amp;""'"")),""USER TIDAK DIKETAHUI""))"),"")</f>
        <v/>
      </c>
    </row>
    <row r="7203">
      <c r="A7203" s="21" t="str">
        <f t="shared" si="3"/>
        <v/>
      </c>
      <c r="B7203" s="38"/>
      <c r="C7203" s="23"/>
      <c r="D7203" s="23"/>
      <c r="E7203" s="24"/>
      <c r="F7203" s="25"/>
      <c r="G7203" s="25"/>
      <c r="H7203" s="27"/>
      <c r="I7203" s="28"/>
      <c r="J7203" s="39"/>
      <c r="K7203" s="41"/>
      <c r="L7203" s="31" t="str">
        <f>IFERROR(__xludf.DUMMYFUNCTION("IF(OR(E7203="""",K7203=""""),"""",IFERROR(IF(K7203="""","""",query('tbl user'!$A$2:$D10975,""SELECT A WHERE D = '""&amp;K7203&amp;""'"")),""USER TIDAK DIKETAHUI""))"),"")</f>
        <v/>
      </c>
    </row>
    <row r="7204">
      <c r="A7204" s="21" t="str">
        <f t="shared" si="3"/>
        <v/>
      </c>
      <c r="B7204" s="38"/>
      <c r="C7204" s="23"/>
      <c r="D7204" s="23"/>
      <c r="E7204" s="24"/>
      <c r="F7204" s="25"/>
      <c r="G7204" s="25"/>
      <c r="H7204" s="27"/>
      <c r="I7204" s="28"/>
      <c r="J7204" s="39"/>
      <c r="K7204" s="41"/>
      <c r="L7204" s="31" t="str">
        <f>IFERROR(__xludf.DUMMYFUNCTION("IF(OR(E7204="""",K7204=""""),"""",IFERROR(IF(K7204="""","""",query('tbl user'!$A$2:$D10975,""SELECT A WHERE D = '""&amp;K7204&amp;""'"")),""USER TIDAK DIKETAHUI""))"),"")</f>
        <v/>
      </c>
    </row>
    <row r="7205">
      <c r="A7205" s="21" t="str">
        <f t="shared" si="3"/>
        <v/>
      </c>
      <c r="B7205" s="38"/>
      <c r="C7205" s="23"/>
      <c r="D7205" s="23"/>
      <c r="E7205" s="24"/>
      <c r="F7205" s="25"/>
      <c r="G7205" s="25"/>
      <c r="H7205" s="27"/>
      <c r="I7205" s="28"/>
      <c r="J7205" s="39"/>
      <c r="K7205" s="41"/>
      <c r="L7205" s="31" t="str">
        <f>IFERROR(__xludf.DUMMYFUNCTION("IF(OR(E7205="""",K7205=""""),"""",IFERROR(IF(K7205="""","""",query('tbl user'!$A$2:$D10975,""SELECT A WHERE D = '""&amp;K7205&amp;""'"")),""USER TIDAK DIKETAHUI""))"),"")</f>
        <v/>
      </c>
    </row>
    <row r="7206">
      <c r="A7206" s="21" t="str">
        <f t="shared" si="3"/>
        <v/>
      </c>
      <c r="B7206" s="38"/>
      <c r="C7206" s="23"/>
      <c r="D7206" s="23"/>
      <c r="E7206" s="24"/>
      <c r="F7206" s="25"/>
      <c r="G7206" s="25"/>
      <c r="H7206" s="27"/>
      <c r="I7206" s="28"/>
      <c r="J7206" s="39"/>
      <c r="K7206" s="41"/>
      <c r="L7206" s="31" t="str">
        <f>IFERROR(__xludf.DUMMYFUNCTION("IF(OR(E7206="""",K7206=""""),"""",IFERROR(IF(K7206="""","""",query('tbl user'!$A$2:$D10975,""SELECT A WHERE D = '""&amp;K7206&amp;""'"")),""USER TIDAK DIKETAHUI""))"),"")</f>
        <v/>
      </c>
    </row>
    <row r="7207">
      <c r="A7207" s="21" t="str">
        <f t="shared" si="3"/>
        <v/>
      </c>
      <c r="B7207" s="38"/>
      <c r="C7207" s="23"/>
      <c r="D7207" s="23"/>
      <c r="E7207" s="24"/>
      <c r="F7207" s="25"/>
      <c r="G7207" s="25"/>
      <c r="H7207" s="27"/>
      <c r="I7207" s="28"/>
      <c r="J7207" s="39"/>
      <c r="K7207" s="41"/>
      <c r="L7207" s="31" t="str">
        <f>IFERROR(__xludf.DUMMYFUNCTION("IF(OR(E7207="""",K7207=""""),"""",IFERROR(IF(K7207="""","""",query('tbl user'!$A$2:$D10975,""SELECT A WHERE D = '""&amp;K7207&amp;""'"")),""USER TIDAK DIKETAHUI""))"),"")</f>
        <v/>
      </c>
    </row>
    <row r="7208">
      <c r="A7208" s="21" t="str">
        <f t="shared" si="3"/>
        <v/>
      </c>
      <c r="B7208" s="38"/>
      <c r="C7208" s="23"/>
      <c r="D7208" s="23"/>
      <c r="E7208" s="24"/>
      <c r="F7208" s="25"/>
      <c r="G7208" s="25"/>
      <c r="H7208" s="27"/>
      <c r="I7208" s="28"/>
      <c r="J7208" s="39"/>
      <c r="K7208" s="41"/>
      <c r="L7208" s="31" t="str">
        <f>IFERROR(__xludf.DUMMYFUNCTION("IF(OR(E7208="""",K7208=""""),"""",IFERROR(IF(K7208="""","""",query('tbl user'!$A$2:$D10975,""SELECT A WHERE D = '""&amp;K7208&amp;""'"")),""USER TIDAK DIKETAHUI""))"),"")</f>
        <v/>
      </c>
    </row>
    <row r="7209">
      <c r="A7209" s="21" t="str">
        <f t="shared" si="3"/>
        <v/>
      </c>
      <c r="B7209" s="38"/>
      <c r="C7209" s="23"/>
      <c r="D7209" s="23"/>
      <c r="E7209" s="24"/>
      <c r="F7209" s="25"/>
      <c r="G7209" s="25"/>
      <c r="H7209" s="27"/>
      <c r="I7209" s="28"/>
      <c r="J7209" s="39"/>
      <c r="K7209" s="41"/>
      <c r="L7209" s="31" t="str">
        <f>IFERROR(__xludf.DUMMYFUNCTION("IF(OR(E7209="""",K7209=""""),"""",IFERROR(IF(K7209="""","""",query('tbl user'!$A$2:$D10975,""SELECT A WHERE D = '""&amp;K7209&amp;""'"")),""USER TIDAK DIKETAHUI""))"),"")</f>
        <v/>
      </c>
    </row>
    <row r="7210">
      <c r="A7210" s="21" t="str">
        <f t="shared" si="3"/>
        <v/>
      </c>
      <c r="B7210" s="38"/>
      <c r="C7210" s="23"/>
      <c r="D7210" s="23"/>
      <c r="E7210" s="24"/>
      <c r="F7210" s="25"/>
      <c r="G7210" s="25"/>
      <c r="H7210" s="27"/>
      <c r="I7210" s="28"/>
      <c r="J7210" s="39"/>
      <c r="K7210" s="41"/>
      <c r="L7210" s="31" t="str">
        <f>IFERROR(__xludf.DUMMYFUNCTION("IF(OR(E7210="""",K7210=""""),"""",IFERROR(IF(K7210="""","""",query('tbl user'!$A$2:$D10975,""SELECT A WHERE D = '""&amp;K7210&amp;""'"")),""USER TIDAK DIKETAHUI""))"),"")</f>
        <v/>
      </c>
    </row>
    <row r="7211">
      <c r="A7211" s="21" t="str">
        <f t="shared" si="3"/>
        <v/>
      </c>
      <c r="B7211" s="38"/>
      <c r="C7211" s="23"/>
      <c r="D7211" s="23"/>
      <c r="E7211" s="24"/>
      <c r="F7211" s="25"/>
      <c r="G7211" s="25"/>
      <c r="H7211" s="27"/>
      <c r="I7211" s="28"/>
      <c r="J7211" s="39"/>
      <c r="K7211" s="41"/>
      <c r="L7211" s="31" t="str">
        <f>IFERROR(__xludf.DUMMYFUNCTION("IF(OR(E7211="""",K7211=""""),"""",IFERROR(IF(K7211="""","""",query('tbl user'!$A$2:$D10975,""SELECT A WHERE D = '""&amp;K7211&amp;""'"")),""USER TIDAK DIKETAHUI""))"),"")</f>
        <v/>
      </c>
    </row>
    <row r="7212">
      <c r="A7212" s="21" t="str">
        <f t="shared" si="3"/>
        <v/>
      </c>
      <c r="B7212" s="38"/>
      <c r="C7212" s="23"/>
      <c r="D7212" s="23"/>
      <c r="E7212" s="24"/>
      <c r="F7212" s="25"/>
      <c r="G7212" s="25"/>
      <c r="H7212" s="27"/>
      <c r="I7212" s="28"/>
      <c r="J7212" s="39"/>
      <c r="K7212" s="41"/>
      <c r="L7212" s="31" t="str">
        <f>IFERROR(__xludf.DUMMYFUNCTION("IF(OR(E7212="""",K7212=""""),"""",IFERROR(IF(K7212="""","""",query('tbl user'!$A$2:$D10975,""SELECT A WHERE D = '""&amp;K7212&amp;""'"")),""USER TIDAK DIKETAHUI""))"),"")</f>
        <v/>
      </c>
    </row>
    <row r="7213">
      <c r="A7213" s="21" t="str">
        <f t="shared" si="3"/>
        <v/>
      </c>
      <c r="B7213" s="38"/>
      <c r="C7213" s="23"/>
      <c r="D7213" s="23"/>
      <c r="E7213" s="24"/>
      <c r="F7213" s="25"/>
      <c r="G7213" s="25"/>
      <c r="H7213" s="27"/>
      <c r="I7213" s="28"/>
      <c r="J7213" s="39"/>
      <c r="K7213" s="41"/>
      <c r="L7213" s="31" t="str">
        <f>IFERROR(__xludf.DUMMYFUNCTION("IF(OR(E7213="""",K7213=""""),"""",IFERROR(IF(K7213="""","""",query('tbl user'!$A$2:$D10975,""SELECT A WHERE D = '""&amp;K7213&amp;""'"")),""USER TIDAK DIKETAHUI""))"),"")</f>
        <v/>
      </c>
    </row>
    <row r="7214">
      <c r="A7214" s="21" t="str">
        <f t="shared" si="3"/>
        <v/>
      </c>
      <c r="B7214" s="38"/>
      <c r="C7214" s="23"/>
      <c r="D7214" s="23"/>
      <c r="E7214" s="24"/>
      <c r="F7214" s="25"/>
      <c r="G7214" s="25"/>
      <c r="H7214" s="27"/>
      <c r="I7214" s="28"/>
      <c r="J7214" s="39"/>
      <c r="K7214" s="41"/>
      <c r="L7214" s="31" t="str">
        <f>IFERROR(__xludf.DUMMYFUNCTION("IF(OR(E7214="""",K7214=""""),"""",IFERROR(IF(K7214="""","""",query('tbl user'!$A$2:$D10975,""SELECT A WHERE D = '""&amp;K7214&amp;""'"")),""USER TIDAK DIKETAHUI""))"),"")</f>
        <v/>
      </c>
    </row>
    <row r="7215">
      <c r="A7215" s="21" t="str">
        <f t="shared" si="3"/>
        <v/>
      </c>
      <c r="B7215" s="38"/>
      <c r="C7215" s="23"/>
      <c r="D7215" s="23"/>
      <c r="E7215" s="24"/>
      <c r="F7215" s="25"/>
      <c r="G7215" s="25"/>
      <c r="H7215" s="27"/>
      <c r="I7215" s="28"/>
      <c r="J7215" s="39"/>
      <c r="K7215" s="41"/>
      <c r="L7215" s="31" t="str">
        <f>IFERROR(__xludf.DUMMYFUNCTION("IF(OR(E7215="""",K7215=""""),"""",IFERROR(IF(K7215="""","""",query('tbl user'!$A$2:$D10975,""SELECT A WHERE D = '""&amp;K7215&amp;""'"")),""USER TIDAK DIKETAHUI""))"),"")</f>
        <v/>
      </c>
    </row>
    <row r="7216">
      <c r="A7216" s="21" t="str">
        <f t="shared" si="3"/>
        <v/>
      </c>
      <c r="B7216" s="38"/>
      <c r="C7216" s="23"/>
      <c r="D7216" s="23"/>
      <c r="E7216" s="24"/>
      <c r="F7216" s="25"/>
      <c r="G7216" s="25"/>
      <c r="H7216" s="27"/>
      <c r="I7216" s="28"/>
      <c r="J7216" s="39"/>
      <c r="K7216" s="41"/>
      <c r="L7216" s="31" t="str">
        <f>IFERROR(__xludf.DUMMYFUNCTION("IF(OR(E7216="""",K7216=""""),"""",IFERROR(IF(K7216="""","""",query('tbl user'!$A$2:$D10975,""SELECT A WHERE D = '""&amp;K7216&amp;""'"")),""USER TIDAK DIKETAHUI""))"),"")</f>
        <v/>
      </c>
    </row>
    <row r="7217">
      <c r="A7217" s="21" t="str">
        <f t="shared" si="3"/>
        <v/>
      </c>
      <c r="B7217" s="38"/>
      <c r="C7217" s="23"/>
      <c r="D7217" s="23"/>
      <c r="E7217" s="24"/>
      <c r="F7217" s="25"/>
      <c r="G7217" s="25"/>
      <c r="H7217" s="27"/>
      <c r="I7217" s="28"/>
      <c r="J7217" s="39"/>
      <c r="K7217" s="41"/>
      <c r="L7217" s="31" t="str">
        <f>IFERROR(__xludf.DUMMYFUNCTION("IF(OR(E7217="""",K7217=""""),"""",IFERROR(IF(K7217="""","""",query('tbl user'!$A$2:$D10975,""SELECT A WHERE D = '""&amp;K7217&amp;""'"")),""USER TIDAK DIKETAHUI""))"),"")</f>
        <v/>
      </c>
    </row>
    <row r="7218">
      <c r="A7218" s="21" t="str">
        <f t="shared" si="3"/>
        <v/>
      </c>
      <c r="B7218" s="38"/>
      <c r="C7218" s="23"/>
      <c r="D7218" s="23"/>
      <c r="E7218" s="24"/>
      <c r="F7218" s="25"/>
      <c r="G7218" s="25"/>
      <c r="H7218" s="27"/>
      <c r="I7218" s="28"/>
      <c r="J7218" s="39"/>
      <c r="K7218" s="41"/>
      <c r="L7218" s="31" t="str">
        <f>IFERROR(__xludf.DUMMYFUNCTION("IF(OR(E7218="""",K7218=""""),"""",IFERROR(IF(K7218="""","""",query('tbl user'!$A$2:$D10975,""SELECT A WHERE D = '""&amp;K7218&amp;""'"")),""USER TIDAK DIKETAHUI""))"),"")</f>
        <v/>
      </c>
    </row>
    <row r="7219">
      <c r="A7219" s="21" t="str">
        <f t="shared" si="3"/>
        <v/>
      </c>
      <c r="B7219" s="38"/>
      <c r="C7219" s="23"/>
      <c r="D7219" s="23"/>
      <c r="E7219" s="24"/>
      <c r="F7219" s="25"/>
      <c r="G7219" s="25"/>
      <c r="H7219" s="27"/>
      <c r="I7219" s="28"/>
      <c r="J7219" s="39"/>
      <c r="K7219" s="41"/>
      <c r="L7219" s="31" t="str">
        <f>IFERROR(__xludf.DUMMYFUNCTION("IF(OR(E7219="""",K7219=""""),"""",IFERROR(IF(K7219="""","""",query('tbl user'!$A$2:$D10975,""SELECT A WHERE D = '""&amp;K7219&amp;""'"")),""USER TIDAK DIKETAHUI""))"),"")</f>
        <v/>
      </c>
    </row>
    <row r="7220">
      <c r="A7220" s="21" t="str">
        <f t="shared" si="3"/>
        <v/>
      </c>
      <c r="B7220" s="38"/>
      <c r="C7220" s="23"/>
      <c r="D7220" s="23"/>
      <c r="E7220" s="24"/>
      <c r="F7220" s="25"/>
      <c r="G7220" s="25"/>
      <c r="H7220" s="27"/>
      <c r="I7220" s="28"/>
      <c r="J7220" s="39"/>
      <c r="K7220" s="41"/>
      <c r="L7220" s="31" t="str">
        <f>IFERROR(__xludf.DUMMYFUNCTION("IF(OR(E7220="""",K7220=""""),"""",IFERROR(IF(K7220="""","""",query('tbl user'!$A$2:$D10975,""SELECT A WHERE D = '""&amp;K7220&amp;""'"")),""USER TIDAK DIKETAHUI""))"),"")</f>
        <v/>
      </c>
    </row>
    <row r="7221">
      <c r="A7221" s="21" t="str">
        <f t="shared" si="3"/>
        <v/>
      </c>
      <c r="B7221" s="38"/>
      <c r="C7221" s="23"/>
      <c r="D7221" s="23"/>
      <c r="E7221" s="24"/>
      <c r="F7221" s="25"/>
      <c r="G7221" s="25"/>
      <c r="H7221" s="27"/>
      <c r="I7221" s="28"/>
      <c r="J7221" s="39"/>
      <c r="K7221" s="41"/>
      <c r="L7221" s="31" t="str">
        <f>IFERROR(__xludf.DUMMYFUNCTION("IF(OR(E7221="""",K7221=""""),"""",IFERROR(IF(K7221="""","""",query('tbl user'!$A$2:$D10975,""SELECT A WHERE D = '""&amp;K7221&amp;""'"")),""USER TIDAK DIKETAHUI""))"),"")</f>
        <v/>
      </c>
    </row>
    <row r="7222">
      <c r="A7222" s="21" t="str">
        <f t="shared" si="3"/>
        <v/>
      </c>
      <c r="B7222" s="38"/>
      <c r="C7222" s="23"/>
      <c r="D7222" s="23"/>
      <c r="E7222" s="24"/>
      <c r="F7222" s="25"/>
      <c r="G7222" s="25"/>
      <c r="H7222" s="27"/>
      <c r="I7222" s="28"/>
      <c r="J7222" s="39"/>
      <c r="K7222" s="41"/>
      <c r="L7222" s="31" t="str">
        <f>IFERROR(__xludf.DUMMYFUNCTION("IF(OR(E7222="""",K7222=""""),"""",IFERROR(IF(K7222="""","""",query('tbl user'!$A$2:$D10975,""SELECT A WHERE D = '""&amp;K7222&amp;""'"")),""USER TIDAK DIKETAHUI""))"),"")</f>
        <v/>
      </c>
    </row>
    <row r="7223">
      <c r="A7223" s="21" t="str">
        <f t="shared" si="3"/>
        <v/>
      </c>
      <c r="B7223" s="38"/>
      <c r="C7223" s="23"/>
      <c r="D7223" s="23"/>
      <c r="E7223" s="24"/>
      <c r="F7223" s="25"/>
      <c r="G7223" s="25"/>
      <c r="H7223" s="27"/>
      <c r="I7223" s="28"/>
      <c r="J7223" s="39"/>
      <c r="K7223" s="41"/>
      <c r="L7223" s="31" t="str">
        <f>IFERROR(__xludf.DUMMYFUNCTION("IF(OR(E7223="""",K7223=""""),"""",IFERROR(IF(K7223="""","""",query('tbl user'!$A$2:$D10975,""SELECT A WHERE D = '""&amp;K7223&amp;""'"")),""USER TIDAK DIKETAHUI""))"),"")</f>
        <v/>
      </c>
    </row>
    <row r="7224">
      <c r="A7224" s="21" t="str">
        <f t="shared" si="3"/>
        <v/>
      </c>
      <c r="B7224" s="38"/>
      <c r="C7224" s="23"/>
      <c r="D7224" s="23"/>
      <c r="E7224" s="24"/>
      <c r="F7224" s="25"/>
      <c r="G7224" s="25"/>
      <c r="H7224" s="27"/>
      <c r="I7224" s="28"/>
      <c r="J7224" s="39"/>
      <c r="K7224" s="41"/>
      <c r="L7224" s="31" t="str">
        <f>IFERROR(__xludf.DUMMYFUNCTION("IF(OR(E7224="""",K7224=""""),"""",IFERROR(IF(K7224="""","""",query('tbl user'!$A$2:$D10975,""SELECT A WHERE D = '""&amp;K7224&amp;""'"")),""USER TIDAK DIKETAHUI""))"),"")</f>
        <v/>
      </c>
    </row>
    <row r="7225">
      <c r="A7225" s="21" t="str">
        <f t="shared" si="3"/>
        <v/>
      </c>
      <c r="B7225" s="38"/>
      <c r="C7225" s="23"/>
      <c r="D7225" s="23"/>
      <c r="E7225" s="24"/>
      <c r="F7225" s="25"/>
      <c r="G7225" s="25"/>
      <c r="H7225" s="27"/>
      <c r="I7225" s="28"/>
      <c r="J7225" s="39"/>
      <c r="K7225" s="41"/>
      <c r="L7225" s="31" t="str">
        <f>IFERROR(__xludf.DUMMYFUNCTION("IF(OR(E7225="""",K7225=""""),"""",IFERROR(IF(K7225="""","""",query('tbl user'!$A$2:$D10975,""SELECT A WHERE D = '""&amp;K7225&amp;""'"")),""USER TIDAK DIKETAHUI""))"),"")</f>
        <v/>
      </c>
    </row>
    <row r="7226">
      <c r="A7226" s="21" t="str">
        <f t="shared" si="3"/>
        <v/>
      </c>
      <c r="B7226" s="38"/>
      <c r="C7226" s="23"/>
      <c r="D7226" s="23"/>
      <c r="E7226" s="24"/>
      <c r="F7226" s="25"/>
      <c r="G7226" s="25"/>
      <c r="H7226" s="27"/>
      <c r="I7226" s="28"/>
      <c r="J7226" s="39"/>
      <c r="K7226" s="41"/>
      <c r="L7226" s="31" t="str">
        <f>IFERROR(__xludf.DUMMYFUNCTION("IF(OR(E7226="""",K7226=""""),"""",IFERROR(IF(K7226="""","""",query('tbl user'!$A$2:$D10975,""SELECT A WHERE D = '""&amp;K7226&amp;""'"")),""USER TIDAK DIKETAHUI""))"),"")</f>
        <v/>
      </c>
    </row>
    <row r="7227">
      <c r="A7227" s="21" t="str">
        <f t="shared" si="3"/>
        <v/>
      </c>
      <c r="B7227" s="38"/>
      <c r="C7227" s="23"/>
      <c r="D7227" s="23"/>
      <c r="E7227" s="24"/>
      <c r="F7227" s="25"/>
      <c r="G7227" s="25"/>
      <c r="H7227" s="27"/>
      <c r="I7227" s="28"/>
      <c r="J7227" s="39"/>
      <c r="K7227" s="41"/>
      <c r="L7227" s="31" t="str">
        <f>IFERROR(__xludf.DUMMYFUNCTION("IF(OR(E7227="""",K7227=""""),"""",IFERROR(IF(K7227="""","""",query('tbl user'!$A$2:$D10975,""SELECT A WHERE D = '""&amp;K7227&amp;""'"")),""USER TIDAK DIKETAHUI""))"),"")</f>
        <v/>
      </c>
    </row>
    <row r="7228">
      <c r="A7228" s="21" t="str">
        <f t="shared" si="3"/>
        <v/>
      </c>
      <c r="B7228" s="38"/>
      <c r="C7228" s="23"/>
      <c r="D7228" s="23"/>
      <c r="E7228" s="24"/>
      <c r="F7228" s="25"/>
      <c r="G7228" s="25"/>
      <c r="H7228" s="27"/>
      <c r="I7228" s="28"/>
      <c r="J7228" s="39"/>
      <c r="K7228" s="41"/>
      <c r="L7228" s="31" t="str">
        <f>IFERROR(__xludf.DUMMYFUNCTION("IF(OR(E7228="""",K7228=""""),"""",IFERROR(IF(K7228="""","""",query('tbl user'!$A$2:$D10975,""SELECT A WHERE D = '""&amp;K7228&amp;""'"")),""USER TIDAK DIKETAHUI""))"),"")</f>
        <v/>
      </c>
    </row>
    <row r="7229">
      <c r="A7229" s="21" t="str">
        <f t="shared" si="3"/>
        <v/>
      </c>
      <c r="B7229" s="38"/>
      <c r="C7229" s="23"/>
      <c r="D7229" s="23"/>
      <c r="E7229" s="24"/>
      <c r="F7229" s="25"/>
      <c r="G7229" s="25"/>
      <c r="H7229" s="27"/>
      <c r="I7229" s="28"/>
      <c r="J7229" s="39"/>
      <c r="K7229" s="41"/>
      <c r="L7229" s="31" t="str">
        <f>IFERROR(__xludf.DUMMYFUNCTION("IF(OR(E7229="""",K7229=""""),"""",IFERROR(IF(K7229="""","""",query('tbl user'!$A$2:$D10975,""SELECT A WHERE D = '""&amp;K7229&amp;""'"")),""USER TIDAK DIKETAHUI""))"),"")</f>
        <v/>
      </c>
    </row>
    <row r="7230">
      <c r="A7230" s="21" t="str">
        <f t="shared" si="3"/>
        <v/>
      </c>
      <c r="B7230" s="38"/>
      <c r="C7230" s="23"/>
      <c r="D7230" s="23"/>
      <c r="E7230" s="24"/>
      <c r="F7230" s="25"/>
      <c r="G7230" s="25"/>
      <c r="H7230" s="27"/>
      <c r="I7230" s="28"/>
      <c r="J7230" s="39"/>
      <c r="K7230" s="41"/>
      <c r="L7230" s="31" t="str">
        <f>IFERROR(__xludf.DUMMYFUNCTION("IF(OR(E7230="""",K7230=""""),"""",IFERROR(IF(K7230="""","""",query('tbl user'!$A$2:$D10975,""SELECT A WHERE D = '""&amp;K7230&amp;""'"")),""USER TIDAK DIKETAHUI""))"),"")</f>
        <v/>
      </c>
    </row>
    <row r="7231">
      <c r="A7231" s="21" t="str">
        <f t="shared" si="3"/>
        <v/>
      </c>
      <c r="B7231" s="38"/>
      <c r="C7231" s="23"/>
      <c r="D7231" s="23"/>
      <c r="E7231" s="24"/>
      <c r="F7231" s="25"/>
      <c r="G7231" s="25"/>
      <c r="H7231" s="27"/>
      <c r="I7231" s="28"/>
      <c r="J7231" s="39"/>
      <c r="K7231" s="41"/>
      <c r="L7231" s="31" t="str">
        <f>IFERROR(__xludf.DUMMYFUNCTION("IF(OR(E7231="""",K7231=""""),"""",IFERROR(IF(K7231="""","""",query('tbl user'!$A$2:$D10975,""SELECT A WHERE D = '""&amp;K7231&amp;""'"")),""USER TIDAK DIKETAHUI""))"),"")</f>
        <v/>
      </c>
    </row>
    <row r="7232">
      <c r="A7232" s="21" t="str">
        <f t="shared" si="3"/>
        <v/>
      </c>
      <c r="B7232" s="38"/>
      <c r="C7232" s="23"/>
      <c r="D7232" s="23"/>
      <c r="E7232" s="24"/>
      <c r="F7232" s="25"/>
      <c r="G7232" s="25"/>
      <c r="H7232" s="27"/>
      <c r="I7232" s="28"/>
      <c r="J7232" s="39"/>
      <c r="K7232" s="41"/>
      <c r="L7232" s="31" t="str">
        <f>IFERROR(__xludf.DUMMYFUNCTION("IF(OR(E7232="""",K7232=""""),"""",IFERROR(IF(K7232="""","""",query('tbl user'!$A$2:$D10975,""SELECT A WHERE D = '""&amp;K7232&amp;""'"")),""USER TIDAK DIKETAHUI""))"),"")</f>
        <v/>
      </c>
    </row>
    <row r="7233">
      <c r="A7233" s="21" t="str">
        <f t="shared" si="3"/>
        <v/>
      </c>
      <c r="B7233" s="38"/>
      <c r="C7233" s="23"/>
      <c r="D7233" s="23"/>
      <c r="E7233" s="24"/>
      <c r="F7233" s="25"/>
      <c r="G7233" s="25"/>
      <c r="H7233" s="27"/>
      <c r="I7233" s="28"/>
      <c r="J7233" s="39"/>
      <c r="K7233" s="41"/>
      <c r="L7233" s="31" t="str">
        <f>IFERROR(__xludf.DUMMYFUNCTION("IF(OR(E7233="""",K7233=""""),"""",IFERROR(IF(K7233="""","""",query('tbl user'!$A$2:$D10975,""SELECT A WHERE D = '""&amp;K7233&amp;""'"")),""USER TIDAK DIKETAHUI""))"),"")</f>
        <v/>
      </c>
    </row>
    <row r="7234">
      <c r="A7234" s="21" t="str">
        <f t="shared" si="3"/>
        <v/>
      </c>
      <c r="B7234" s="38"/>
      <c r="C7234" s="23"/>
      <c r="D7234" s="23"/>
      <c r="E7234" s="24"/>
      <c r="F7234" s="25"/>
      <c r="G7234" s="25"/>
      <c r="H7234" s="27"/>
      <c r="I7234" s="28"/>
      <c r="J7234" s="39"/>
      <c r="K7234" s="41"/>
      <c r="L7234" s="31" t="str">
        <f>IFERROR(__xludf.DUMMYFUNCTION("IF(OR(E7234="""",K7234=""""),"""",IFERROR(IF(K7234="""","""",query('tbl user'!$A$2:$D10975,""SELECT A WHERE D = '""&amp;K7234&amp;""'"")),""USER TIDAK DIKETAHUI""))"),"")</f>
        <v/>
      </c>
    </row>
    <row r="7235">
      <c r="A7235" s="21" t="str">
        <f t="shared" si="3"/>
        <v/>
      </c>
      <c r="B7235" s="38"/>
      <c r="C7235" s="23"/>
      <c r="D7235" s="23"/>
      <c r="E7235" s="24"/>
      <c r="F7235" s="25"/>
      <c r="G7235" s="25"/>
      <c r="H7235" s="27"/>
      <c r="I7235" s="28"/>
      <c r="J7235" s="39"/>
      <c r="K7235" s="41"/>
      <c r="L7235" s="31" t="str">
        <f>IFERROR(__xludf.DUMMYFUNCTION("IF(OR(E7235="""",K7235=""""),"""",IFERROR(IF(K7235="""","""",query('tbl user'!$A$2:$D10975,""SELECT A WHERE D = '""&amp;K7235&amp;""'"")),""USER TIDAK DIKETAHUI""))"),"")</f>
        <v/>
      </c>
    </row>
    <row r="7236">
      <c r="A7236" s="21" t="str">
        <f t="shared" si="3"/>
        <v/>
      </c>
      <c r="B7236" s="38"/>
      <c r="C7236" s="23"/>
      <c r="D7236" s="23"/>
      <c r="E7236" s="24"/>
      <c r="F7236" s="25"/>
      <c r="G7236" s="25"/>
      <c r="H7236" s="27"/>
      <c r="I7236" s="28"/>
      <c r="J7236" s="39"/>
      <c r="K7236" s="41"/>
      <c r="L7236" s="31" t="str">
        <f>IFERROR(__xludf.DUMMYFUNCTION("IF(OR(E7236="""",K7236=""""),"""",IFERROR(IF(K7236="""","""",query('tbl user'!$A$2:$D10975,""SELECT A WHERE D = '""&amp;K7236&amp;""'"")),""USER TIDAK DIKETAHUI""))"),"")</f>
        <v/>
      </c>
    </row>
    <row r="7237">
      <c r="A7237" s="21" t="str">
        <f t="shared" si="3"/>
        <v/>
      </c>
      <c r="B7237" s="38"/>
      <c r="C7237" s="23"/>
      <c r="D7237" s="23"/>
      <c r="E7237" s="24"/>
      <c r="F7237" s="25"/>
      <c r="G7237" s="25"/>
      <c r="H7237" s="27"/>
      <c r="I7237" s="28"/>
      <c r="J7237" s="39"/>
      <c r="K7237" s="41"/>
      <c r="L7237" s="31" t="str">
        <f>IFERROR(__xludf.DUMMYFUNCTION("IF(OR(E7237="""",K7237=""""),"""",IFERROR(IF(K7237="""","""",query('tbl user'!$A$2:$D10975,""SELECT A WHERE D = '""&amp;K7237&amp;""'"")),""USER TIDAK DIKETAHUI""))"),"")</f>
        <v/>
      </c>
    </row>
    <row r="7238">
      <c r="A7238" s="21" t="str">
        <f t="shared" si="3"/>
        <v/>
      </c>
      <c r="B7238" s="38"/>
      <c r="C7238" s="23"/>
      <c r="D7238" s="23"/>
      <c r="E7238" s="24"/>
      <c r="F7238" s="25"/>
      <c r="G7238" s="25"/>
      <c r="H7238" s="27"/>
      <c r="I7238" s="28"/>
      <c r="J7238" s="39"/>
      <c r="K7238" s="41"/>
      <c r="L7238" s="31" t="str">
        <f>IFERROR(__xludf.DUMMYFUNCTION("IF(OR(E7238="""",K7238=""""),"""",IFERROR(IF(K7238="""","""",query('tbl user'!$A$2:$D10975,""SELECT A WHERE D = '""&amp;K7238&amp;""'"")),""USER TIDAK DIKETAHUI""))"),"")</f>
        <v/>
      </c>
    </row>
    <row r="7239">
      <c r="A7239" s="21" t="str">
        <f t="shared" si="3"/>
        <v/>
      </c>
      <c r="B7239" s="38"/>
      <c r="C7239" s="23"/>
      <c r="D7239" s="23"/>
      <c r="E7239" s="24"/>
      <c r="F7239" s="25"/>
      <c r="G7239" s="25"/>
      <c r="H7239" s="27"/>
      <c r="I7239" s="28"/>
      <c r="J7239" s="39"/>
      <c r="K7239" s="41"/>
      <c r="L7239" s="31" t="str">
        <f>IFERROR(__xludf.DUMMYFUNCTION("IF(OR(E7239="""",K7239=""""),"""",IFERROR(IF(K7239="""","""",query('tbl user'!$A$2:$D10975,""SELECT A WHERE D = '""&amp;K7239&amp;""'"")),""USER TIDAK DIKETAHUI""))"),"")</f>
        <v/>
      </c>
    </row>
    <row r="7240">
      <c r="A7240" s="21" t="str">
        <f t="shared" si="3"/>
        <v/>
      </c>
      <c r="B7240" s="38"/>
      <c r="C7240" s="23"/>
      <c r="D7240" s="23"/>
      <c r="E7240" s="24"/>
      <c r="F7240" s="25"/>
      <c r="G7240" s="25"/>
      <c r="H7240" s="27"/>
      <c r="I7240" s="28"/>
      <c r="J7240" s="39"/>
      <c r="K7240" s="41"/>
      <c r="L7240" s="31" t="str">
        <f>IFERROR(__xludf.DUMMYFUNCTION("IF(OR(E7240="""",K7240=""""),"""",IFERROR(IF(K7240="""","""",query('tbl user'!$A$2:$D10975,""SELECT A WHERE D = '""&amp;K7240&amp;""'"")),""USER TIDAK DIKETAHUI""))"),"")</f>
        <v/>
      </c>
    </row>
    <row r="7241">
      <c r="A7241" s="21" t="str">
        <f t="shared" si="3"/>
        <v/>
      </c>
      <c r="B7241" s="38"/>
      <c r="C7241" s="23"/>
      <c r="D7241" s="23"/>
      <c r="E7241" s="24"/>
      <c r="F7241" s="25"/>
      <c r="G7241" s="25"/>
      <c r="H7241" s="27"/>
      <c r="I7241" s="28"/>
      <c r="J7241" s="39"/>
      <c r="K7241" s="41"/>
      <c r="L7241" s="31" t="str">
        <f>IFERROR(__xludf.DUMMYFUNCTION("IF(OR(E7241="""",K7241=""""),"""",IFERROR(IF(K7241="""","""",query('tbl user'!$A$2:$D10975,""SELECT A WHERE D = '""&amp;K7241&amp;""'"")),""USER TIDAK DIKETAHUI""))"),"")</f>
        <v/>
      </c>
    </row>
    <row r="7242">
      <c r="A7242" s="21" t="str">
        <f t="shared" si="3"/>
        <v/>
      </c>
      <c r="B7242" s="38"/>
      <c r="C7242" s="23"/>
      <c r="D7242" s="23"/>
      <c r="E7242" s="24"/>
      <c r="F7242" s="25"/>
      <c r="G7242" s="25"/>
      <c r="H7242" s="27"/>
      <c r="I7242" s="28"/>
      <c r="J7242" s="39"/>
      <c r="K7242" s="41"/>
      <c r="L7242" s="31" t="str">
        <f>IFERROR(__xludf.DUMMYFUNCTION("IF(OR(E7242="""",K7242=""""),"""",IFERROR(IF(K7242="""","""",query('tbl user'!$A$2:$D10975,""SELECT A WHERE D = '""&amp;K7242&amp;""'"")),""USER TIDAK DIKETAHUI""))"),"")</f>
        <v/>
      </c>
    </row>
    <row r="7243">
      <c r="A7243" s="21" t="str">
        <f t="shared" si="3"/>
        <v/>
      </c>
      <c r="B7243" s="38"/>
      <c r="C7243" s="23"/>
      <c r="D7243" s="23"/>
      <c r="E7243" s="24"/>
      <c r="F7243" s="25"/>
      <c r="G7243" s="25"/>
      <c r="H7243" s="27"/>
      <c r="I7243" s="28"/>
      <c r="J7243" s="39"/>
      <c r="K7243" s="41"/>
      <c r="L7243" s="31" t="str">
        <f>IFERROR(__xludf.DUMMYFUNCTION("IF(OR(E7243="""",K7243=""""),"""",IFERROR(IF(K7243="""","""",query('tbl user'!$A$2:$D10975,""SELECT A WHERE D = '""&amp;K7243&amp;""'"")),""USER TIDAK DIKETAHUI""))"),"")</f>
        <v/>
      </c>
    </row>
    <row r="7244">
      <c r="A7244" s="21" t="str">
        <f t="shared" si="3"/>
        <v/>
      </c>
      <c r="B7244" s="38"/>
      <c r="C7244" s="23"/>
      <c r="D7244" s="23"/>
      <c r="E7244" s="24"/>
      <c r="F7244" s="25"/>
      <c r="G7244" s="25"/>
      <c r="H7244" s="27"/>
      <c r="I7244" s="28"/>
      <c r="J7244" s="39"/>
      <c r="K7244" s="41"/>
      <c r="L7244" s="31" t="str">
        <f>IFERROR(__xludf.DUMMYFUNCTION("IF(OR(E7244="""",K7244=""""),"""",IFERROR(IF(K7244="""","""",query('tbl user'!$A$2:$D10975,""SELECT A WHERE D = '""&amp;K7244&amp;""'"")),""USER TIDAK DIKETAHUI""))"),"")</f>
        <v/>
      </c>
    </row>
    <row r="7245">
      <c r="A7245" s="21" t="str">
        <f t="shared" si="3"/>
        <v/>
      </c>
      <c r="B7245" s="38"/>
      <c r="C7245" s="23"/>
      <c r="D7245" s="23"/>
      <c r="E7245" s="24"/>
      <c r="F7245" s="25"/>
      <c r="G7245" s="25"/>
      <c r="H7245" s="27"/>
      <c r="I7245" s="28"/>
      <c r="J7245" s="39"/>
      <c r="K7245" s="41"/>
      <c r="L7245" s="31" t="str">
        <f>IFERROR(__xludf.DUMMYFUNCTION("IF(OR(E7245="""",K7245=""""),"""",IFERROR(IF(K7245="""","""",query('tbl user'!$A$2:$D10975,""SELECT A WHERE D = '""&amp;K7245&amp;""'"")),""USER TIDAK DIKETAHUI""))"),"")</f>
        <v/>
      </c>
    </row>
    <row r="7246">
      <c r="A7246" s="21" t="str">
        <f t="shared" si="3"/>
        <v/>
      </c>
      <c r="B7246" s="38"/>
      <c r="C7246" s="23"/>
      <c r="D7246" s="23"/>
      <c r="E7246" s="24"/>
      <c r="F7246" s="25"/>
      <c r="G7246" s="25"/>
      <c r="H7246" s="27"/>
      <c r="I7246" s="28"/>
      <c r="J7246" s="39"/>
      <c r="K7246" s="41"/>
      <c r="L7246" s="31" t="str">
        <f>IFERROR(__xludf.DUMMYFUNCTION("IF(OR(E7246="""",K7246=""""),"""",IFERROR(IF(K7246="""","""",query('tbl user'!$A$2:$D10975,""SELECT A WHERE D = '""&amp;K7246&amp;""'"")),""USER TIDAK DIKETAHUI""))"),"")</f>
        <v/>
      </c>
    </row>
    <row r="7247">
      <c r="A7247" s="21" t="str">
        <f t="shared" si="3"/>
        <v/>
      </c>
      <c r="B7247" s="38"/>
      <c r="C7247" s="23"/>
      <c r="D7247" s="23"/>
      <c r="E7247" s="24"/>
      <c r="F7247" s="25"/>
      <c r="G7247" s="25"/>
      <c r="H7247" s="27"/>
      <c r="I7247" s="28"/>
      <c r="J7247" s="39"/>
      <c r="K7247" s="41"/>
      <c r="L7247" s="31" t="str">
        <f>IFERROR(__xludf.DUMMYFUNCTION("IF(OR(E7247="""",K7247=""""),"""",IFERROR(IF(K7247="""","""",query('tbl user'!$A$2:$D10975,""SELECT A WHERE D = '""&amp;K7247&amp;""'"")),""USER TIDAK DIKETAHUI""))"),"")</f>
        <v/>
      </c>
    </row>
    <row r="7248">
      <c r="A7248" s="21" t="str">
        <f t="shared" si="3"/>
        <v/>
      </c>
      <c r="B7248" s="38"/>
      <c r="C7248" s="23"/>
      <c r="D7248" s="23"/>
      <c r="E7248" s="24"/>
      <c r="F7248" s="25"/>
      <c r="G7248" s="25"/>
      <c r="H7248" s="27"/>
      <c r="I7248" s="28"/>
      <c r="J7248" s="39"/>
      <c r="K7248" s="41"/>
      <c r="L7248" s="31" t="str">
        <f>IFERROR(__xludf.DUMMYFUNCTION("IF(OR(E7248="""",K7248=""""),"""",IFERROR(IF(K7248="""","""",query('tbl user'!$A$2:$D10975,""SELECT A WHERE D = '""&amp;K7248&amp;""'"")),""USER TIDAK DIKETAHUI""))"),"")</f>
        <v/>
      </c>
    </row>
    <row r="7249">
      <c r="A7249" s="21" t="str">
        <f t="shared" si="3"/>
        <v/>
      </c>
      <c r="B7249" s="38"/>
      <c r="C7249" s="23"/>
      <c r="D7249" s="23"/>
      <c r="E7249" s="24"/>
      <c r="F7249" s="25"/>
      <c r="G7249" s="25"/>
      <c r="H7249" s="27"/>
      <c r="I7249" s="28"/>
      <c r="J7249" s="39"/>
      <c r="K7249" s="41"/>
      <c r="L7249" s="31" t="str">
        <f>IFERROR(__xludf.DUMMYFUNCTION("IF(OR(E7249="""",K7249=""""),"""",IFERROR(IF(K7249="""","""",query('tbl user'!$A$2:$D10975,""SELECT A WHERE D = '""&amp;K7249&amp;""'"")),""USER TIDAK DIKETAHUI""))"),"")</f>
        <v/>
      </c>
    </row>
    <row r="7250">
      <c r="A7250" s="21" t="str">
        <f t="shared" si="3"/>
        <v/>
      </c>
      <c r="B7250" s="38"/>
      <c r="C7250" s="23"/>
      <c r="D7250" s="23"/>
      <c r="E7250" s="24"/>
      <c r="F7250" s="25"/>
      <c r="G7250" s="25"/>
      <c r="H7250" s="27"/>
      <c r="I7250" s="28"/>
      <c r="J7250" s="39"/>
      <c r="K7250" s="41"/>
      <c r="L7250" s="31" t="str">
        <f>IFERROR(__xludf.DUMMYFUNCTION("IF(OR(E7250="""",K7250=""""),"""",IFERROR(IF(K7250="""","""",query('tbl user'!$A$2:$D10975,""SELECT A WHERE D = '""&amp;K7250&amp;""'"")),""USER TIDAK DIKETAHUI""))"),"")</f>
        <v/>
      </c>
    </row>
    <row r="7251">
      <c r="A7251" s="21" t="str">
        <f t="shared" si="3"/>
        <v/>
      </c>
      <c r="B7251" s="38"/>
      <c r="C7251" s="23"/>
      <c r="D7251" s="23"/>
      <c r="E7251" s="24"/>
      <c r="F7251" s="25"/>
      <c r="G7251" s="25"/>
      <c r="H7251" s="27"/>
      <c r="I7251" s="28"/>
      <c r="J7251" s="39"/>
      <c r="K7251" s="41"/>
      <c r="L7251" s="31" t="str">
        <f>IFERROR(__xludf.DUMMYFUNCTION("IF(OR(E7251="""",K7251=""""),"""",IFERROR(IF(K7251="""","""",query('tbl user'!$A$2:$D10975,""SELECT A WHERE D = '""&amp;K7251&amp;""'"")),""USER TIDAK DIKETAHUI""))"),"")</f>
        <v/>
      </c>
    </row>
    <row r="7252">
      <c r="A7252" s="21" t="str">
        <f t="shared" si="3"/>
        <v/>
      </c>
      <c r="B7252" s="38"/>
      <c r="C7252" s="23"/>
      <c r="D7252" s="23"/>
      <c r="E7252" s="24"/>
      <c r="F7252" s="25"/>
      <c r="G7252" s="25"/>
      <c r="H7252" s="27"/>
      <c r="I7252" s="28"/>
      <c r="J7252" s="39"/>
      <c r="K7252" s="41"/>
      <c r="L7252" s="31" t="str">
        <f>IFERROR(__xludf.DUMMYFUNCTION("IF(OR(E7252="""",K7252=""""),"""",IFERROR(IF(K7252="""","""",query('tbl user'!$A$2:$D10975,""SELECT A WHERE D = '""&amp;K7252&amp;""'"")),""USER TIDAK DIKETAHUI""))"),"")</f>
        <v/>
      </c>
    </row>
    <row r="7253">
      <c r="A7253" s="21" t="str">
        <f t="shared" si="3"/>
        <v/>
      </c>
      <c r="B7253" s="38"/>
      <c r="C7253" s="23"/>
      <c r="D7253" s="23"/>
      <c r="E7253" s="24"/>
      <c r="F7253" s="25"/>
      <c r="G7253" s="25"/>
      <c r="H7253" s="27"/>
      <c r="I7253" s="28"/>
      <c r="J7253" s="39"/>
      <c r="K7253" s="41"/>
      <c r="L7253" s="31" t="str">
        <f>IFERROR(__xludf.DUMMYFUNCTION("IF(OR(E7253="""",K7253=""""),"""",IFERROR(IF(K7253="""","""",query('tbl user'!$A$2:$D10975,""SELECT A WHERE D = '""&amp;K7253&amp;""'"")),""USER TIDAK DIKETAHUI""))"),"")</f>
        <v/>
      </c>
    </row>
    <row r="7254">
      <c r="A7254" s="21" t="str">
        <f t="shared" si="3"/>
        <v/>
      </c>
      <c r="B7254" s="38"/>
      <c r="C7254" s="23"/>
      <c r="D7254" s="23"/>
      <c r="E7254" s="24"/>
      <c r="F7254" s="25"/>
      <c r="G7254" s="25"/>
      <c r="H7254" s="27"/>
      <c r="I7254" s="28"/>
      <c r="J7254" s="39"/>
      <c r="K7254" s="41"/>
      <c r="L7254" s="31" t="str">
        <f>IFERROR(__xludf.DUMMYFUNCTION("IF(OR(E7254="""",K7254=""""),"""",IFERROR(IF(K7254="""","""",query('tbl user'!$A$2:$D10975,""SELECT A WHERE D = '""&amp;K7254&amp;""'"")),""USER TIDAK DIKETAHUI""))"),"")</f>
        <v/>
      </c>
    </row>
    <row r="7255">
      <c r="A7255" s="21" t="str">
        <f t="shared" si="3"/>
        <v/>
      </c>
      <c r="B7255" s="38"/>
      <c r="C7255" s="23"/>
      <c r="D7255" s="23"/>
      <c r="E7255" s="24"/>
      <c r="F7255" s="25"/>
      <c r="G7255" s="25"/>
      <c r="H7255" s="27"/>
      <c r="I7255" s="28"/>
      <c r="J7255" s="39"/>
      <c r="K7255" s="41"/>
      <c r="L7255" s="31" t="str">
        <f>IFERROR(__xludf.DUMMYFUNCTION("IF(OR(E7255="""",K7255=""""),"""",IFERROR(IF(K7255="""","""",query('tbl user'!$A$2:$D10975,""SELECT A WHERE D = '""&amp;K7255&amp;""'"")),""USER TIDAK DIKETAHUI""))"),"")</f>
        <v/>
      </c>
    </row>
    <row r="7256">
      <c r="A7256" s="21" t="str">
        <f t="shared" si="3"/>
        <v/>
      </c>
      <c r="B7256" s="38"/>
      <c r="C7256" s="23"/>
      <c r="D7256" s="23"/>
      <c r="E7256" s="24"/>
      <c r="F7256" s="25"/>
      <c r="G7256" s="25"/>
      <c r="H7256" s="27"/>
      <c r="I7256" s="28"/>
      <c r="J7256" s="39"/>
      <c r="K7256" s="41"/>
      <c r="L7256" s="31" t="str">
        <f>IFERROR(__xludf.DUMMYFUNCTION("IF(OR(E7256="""",K7256=""""),"""",IFERROR(IF(K7256="""","""",query('tbl user'!$A$2:$D10975,""SELECT A WHERE D = '""&amp;K7256&amp;""'"")),""USER TIDAK DIKETAHUI""))"),"")</f>
        <v/>
      </c>
    </row>
    <row r="7257">
      <c r="A7257" s="21" t="str">
        <f t="shared" si="3"/>
        <v/>
      </c>
      <c r="B7257" s="38"/>
      <c r="C7257" s="23"/>
      <c r="D7257" s="23"/>
      <c r="E7257" s="24"/>
      <c r="F7257" s="25"/>
      <c r="G7257" s="25"/>
      <c r="H7257" s="27"/>
      <c r="I7257" s="28"/>
      <c r="J7257" s="39"/>
      <c r="K7257" s="41"/>
      <c r="L7257" s="31" t="str">
        <f>IFERROR(__xludf.DUMMYFUNCTION("IF(OR(E7257="""",K7257=""""),"""",IFERROR(IF(K7257="""","""",query('tbl user'!$A$2:$D10975,""SELECT A WHERE D = '""&amp;K7257&amp;""'"")),""USER TIDAK DIKETAHUI""))"),"")</f>
        <v/>
      </c>
    </row>
    <row r="7258">
      <c r="A7258" s="21" t="str">
        <f t="shared" si="3"/>
        <v/>
      </c>
      <c r="B7258" s="38"/>
      <c r="C7258" s="23"/>
      <c r="D7258" s="23"/>
      <c r="E7258" s="24"/>
      <c r="F7258" s="25"/>
      <c r="G7258" s="25"/>
      <c r="H7258" s="27"/>
      <c r="I7258" s="28"/>
      <c r="J7258" s="39"/>
      <c r="K7258" s="41"/>
      <c r="L7258" s="31" t="str">
        <f>IFERROR(__xludf.DUMMYFUNCTION("IF(OR(E7258="""",K7258=""""),"""",IFERROR(IF(K7258="""","""",query('tbl user'!$A$2:$D10975,""SELECT A WHERE D = '""&amp;K7258&amp;""'"")),""USER TIDAK DIKETAHUI""))"),"")</f>
        <v/>
      </c>
    </row>
    <row r="7259">
      <c r="A7259" s="21" t="str">
        <f t="shared" si="3"/>
        <v/>
      </c>
      <c r="B7259" s="38"/>
      <c r="C7259" s="23"/>
      <c r="D7259" s="23"/>
      <c r="E7259" s="24"/>
      <c r="F7259" s="25"/>
      <c r="G7259" s="25"/>
      <c r="H7259" s="27"/>
      <c r="I7259" s="28"/>
      <c r="J7259" s="39"/>
      <c r="K7259" s="41"/>
      <c r="L7259" s="31" t="str">
        <f>IFERROR(__xludf.DUMMYFUNCTION("IF(OR(E7259="""",K7259=""""),"""",IFERROR(IF(K7259="""","""",query('tbl user'!$A$2:$D10975,""SELECT A WHERE D = '""&amp;K7259&amp;""'"")),""USER TIDAK DIKETAHUI""))"),"")</f>
        <v/>
      </c>
    </row>
    <row r="7260">
      <c r="A7260" s="21" t="str">
        <f t="shared" si="3"/>
        <v/>
      </c>
      <c r="B7260" s="38"/>
      <c r="C7260" s="23"/>
      <c r="D7260" s="23"/>
      <c r="E7260" s="24"/>
      <c r="F7260" s="25"/>
      <c r="G7260" s="25"/>
      <c r="H7260" s="27"/>
      <c r="I7260" s="28"/>
      <c r="J7260" s="39"/>
      <c r="K7260" s="41"/>
      <c r="L7260" s="31" t="str">
        <f>IFERROR(__xludf.DUMMYFUNCTION("IF(OR(E7260="""",K7260=""""),"""",IFERROR(IF(K7260="""","""",query('tbl user'!$A$2:$D10975,""SELECT A WHERE D = '""&amp;K7260&amp;""'"")),""USER TIDAK DIKETAHUI""))"),"")</f>
        <v/>
      </c>
    </row>
    <row r="7261">
      <c r="A7261" s="21" t="str">
        <f t="shared" si="3"/>
        <v/>
      </c>
      <c r="B7261" s="38"/>
      <c r="C7261" s="23"/>
      <c r="D7261" s="23"/>
      <c r="E7261" s="24"/>
      <c r="F7261" s="25"/>
      <c r="G7261" s="25"/>
      <c r="H7261" s="27"/>
      <c r="I7261" s="28"/>
      <c r="J7261" s="39"/>
      <c r="K7261" s="41"/>
      <c r="L7261" s="31" t="str">
        <f>IFERROR(__xludf.DUMMYFUNCTION("IF(OR(E7261="""",K7261=""""),"""",IFERROR(IF(K7261="""","""",query('tbl user'!$A$2:$D10975,""SELECT A WHERE D = '""&amp;K7261&amp;""'"")),""USER TIDAK DIKETAHUI""))"),"")</f>
        <v/>
      </c>
    </row>
    <row r="7262">
      <c r="A7262" s="21" t="str">
        <f t="shared" si="3"/>
        <v/>
      </c>
      <c r="B7262" s="38"/>
      <c r="C7262" s="23"/>
      <c r="D7262" s="23"/>
      <c r="E7262" s="24"/>
      <c r="F7262" s="25"/>
      <c r="G7262" s="25"/>
      <c r="H7262" s="27"/>
      <c r="I7262" s="28"/>
      <c r="J7262" s="39"/>
      <c r="K7262" s="41"/>
      <c r="L7262" s="31" t="str">
        <f>IFERROR(__xludf.DUMMYFUNCTION("IF(OR(E7262="""",K7262=""""),"""",IFERROR(IF(K7262="""","""",query('tbl user'!$A$2:$D10975,""SELECT A WHERE D = '""&amp;K7262&amp;""'"")),""USER TIDAK DIKETAHUI""))"),"")</f>
        <v/>
      </c>
    </row>
    <row r="7263">
      <c r="A7263" s="21" t="str">
        <f t="shared" si="3"/>
        <v/>
      </c>
      <c r="B7263" s="38"/>
      <c r="C7263" s="23"/>
      <c r="D7263" s="23"/>
      <c r="E7263" s="24"/>
      <c r="F7263" s="25"/>
      <c r="G7263" s="25"/>
      <c r="H7263" s="27"/>
      <c r="I7263" s="28"/>
      <c r="J7263" s="39"/>
      <c r="K7263" s="41"/>
      <c r="L7263" s="31" t="str">
        <f>IFERROR(__xludf.DUMMYFUNCTION("IF(OR(E7263="""",K7263=""""),"""",IFERROR(IF(K7263="""","""",query('tbl user'!$A$2:$D10975,""SELECT A WHERE D = '""&amp;K7263&amp;""'"")),""USER TIDAK DIKETAHUI""))"),"")</f>
        <v/>
      </c>
    </row>
    <row r="7264">
      <c r="A7264" s="21" t="str">
        <f t="shared" si="3"/>
        <v/>
      </c>
      <c r="B7264" s="38"/>
      <c r="C7264" s="23"/>
      <c r="D7264" s="23"/>
      <c r="E7264" s="24"/>
      <c r="F7264" s="25"/>
      <c r="G7264" s="25"/>
      <c r="H7264" s="27"/>
      <c r="I7264" s="28"/>
      <c r="J7264" s="39"/>
      <c r="K7264" s="41"/>
      <c r="L7264" s="31" t="str">
        <f>IFERROR(__xludf.DUMMYFUNCTION("IF(OR(E7264="""",K7264=""""),"""",IFERROR(IF(K7264="""","""",query('tbl user'!$A$2:$D10975,""SELECT A WHERE D = '""&amp;K7264&amp;""'"")),""USER TIDAK DIKETAHUI""))"),"")</f>
        <v/>
      </c>
    </row>
    <row r="7265">
      <c r="A7265" s="21" t="str">
        <f t="shared" si="3"/>
        <v/>
      </c>
      <c r="B7265" s="38"/>
      <c r="C7265" s="23"/>
      <c r="D7265" s="23"/>
      <c r="E7265" s="24"/>
      <c r="F7265" s="25"/>
      <c r="G7265" s="25"/>
      <c r="H7265" s="27"/>
      <c r="I7265" s="28"/>
      <c r="J7265" s="39"/>
      <c r="K7265" s="41"/>
      <c r="L7265" s="31" t="str">
        <f>IFERROR(__xludf.DUMMYFUNCTION("IF(OR(E7265="""",K7265=""""),"""",IFERROR(IF(K7265="""","""",query('tbl user'!$A$2:$D10975,""SELECT A WHERE D = '""&amp;K7265&amp;""'"")),""USER TIDAK DIKETAHUI""))"),"")</f>
        <v/>
      </c>
    </row>
    <row r="7266">
      <c r="A7266" s="21" t="str">
        <f t="shared" si="3"/>
        <v/>
      </c>
      <c r="B7266" s="38"/>
      <c r="C7266" s="23"/>
      <c r="D7266" s="23"/>
      <c r="E7266" s="24"/>
      <c r="F7266" s="25"/>
      <c r="G7266" s="25"/>
      <c r="H7266" s="27"/>
      <c r="I7266" s="28"/>
      <c r="J7266" s="39"/>
      <c r="K7266" s="41"/>
      <c r="L7266" s="31" t="str">
        <f>IFERROR(__xludf.DUMMYFUNCTION("IF(OR(E7266="""",K7266=""""),"""",IFERROR(IF(K7266="""","""",query('tbl user'!$A$2:$D10975,""SELECT A WHERE D = '""&amp;K7266&amp;""'"")),""USER TIDAK DIKETAHUI""))"),"")</f>
        <v/>
      </c>
    </row>
    <row r="7267">
      <c r="A7267" s="21" t="str">
        <f t="shared" si="3"/>
        <v/>
      </c>
      <c r="B7267" s="38"/>
      <c r="C7267" s="23"/>
      <c r="D7267" s="23"/>
      <c r="E7267" s="24"/>
      <c r="F7267" s="25"/>
      <c r="G7267" s="25"/>
      <c r="H7267" s="27"/>
      <c r="I7267" s="28"/>
      <c r="J7267" s="39"/>
      <c r="K7267" s="41"/>
      <c r="L7267" s="31" t="str">
        <f>IFERROR(__xludf.DUMMYFUNCTION("IF(OR(E7267="""",K7267=""""),"""",IFERROR(IF(K7267="""","""",query('tbl user'!$A$2:$D10975,""SELECT A WHERE D = '""&amp;K7267&amp;""'"")),""USER TIDAK DIKETAHUI""))"),"")</f>
        <v/>
      </c>
    </row>
    <row r="7268">
      <c r="A7268" s="21" t="str">
        <f t="shared" si="3"/>
        <v/>
      </c>
      <c r="B7268" s="38"/>
      <c r="C7268" s="23"/>
      <c r="D7268" s="23"/>
      <c r="E7268" s="24"/>
      <c r="F7268" s="25"/>
      <c r="G7268" s="25"/>
      <c r="H7268" s="27"/>
      <c r="I7268" s="28"/>
      <c r="J7268" s="39"/>
      <c r="K7268" s="41"/>
      <c r="L7268" s="31" t="str">
        <f>IFERROR(__xludf.DUMMYFUNCTION("IF(OR(E7268="""",K7268=""""),"""",IFERROR(IF(K7268="""","""",query('tbl user'!$A$2:$D10975,""SELECT A WHERE D = '""&amp;K7268&amp;""'"")),""USER TIDAK DIKETAHUI""))"),"")</f>
        <v/>
      </c>
    </row>
    <row r="7269">
      <c r="A7269" s="21" t="str">
        <f t="shared" si="3"/>
        <v/>
      </c>
      <c r="B7269" s="38"/>
      <c r="C7269" s="23"/>
      <c r="D7269" s="23"/>
      <c r="E7269" s="24"/>
      <c r="F7269" s="25"/>
      <c r="G7269" s="25"/>
      <c r="H7269" s="27"/>
      <c r="I7269" s="28"/>
      <c r="J7269" s="39"/>
      <c r="K7269" s="41"/>
      <c r="L7269" s="31" t="str">
        <f>IFERROR(__xludf.DUMMYFUNCTION("IF(OR(E7269="""",K7269=""""),"""",IFERROR(IF(K7269="""","""",query('tbl user'!$A$2:$D10975,""SELECT A WHERE D = '""&amp;K7269&amp;""'"")),""USER TIDAK DIKETAHUI""))"),"")</f>
        <v/>
      </c>
    </row>
    <row r="7270">
      <c r="A7270" s="21" t="str">
        <f t="shared" si="3"/>
        <v/>
      </c>
      <c r="B7270" s="38"/>
      <c r="C7270" s="23"/>
      <c r="D7270" s="23"/>
      <c r="E7270" s="24"/>
      <c r="F7270" s="25"/>
      <c r="G7270" s="25"/>
      <c r="H7270" s="27"/>
      <c r="I7270" s="28"/>
      <c r="J7270" s="39"/>
      <c r="K7270" s="41"/>
      <c r="L7270" s="31" t="str">
        <f>IFERROR(__xludf.DUMMYFUNCTION("IF(OR(E7270="""",K7270=""""),"""",IFERROR(IF(K7270="""","""",query('tbl user'!$A$2:$D10975,""SELECT A WHERE D = '""&amp;K7270&amp;""'"")),""USER TIDAK DIKETAHUI""))"),"")</f>
        <v/>
      </c>
    </row>
    <row r="7271">
      <c r="A7271" s="21" t="str">
        <f t="shared" si="3"/>
        <v/>
      </c>
      <c r="B7271" s="38"/>
      <c r="C7271" s="23"/>
      <c r="D7271" s="23"/>
      <c r="E7271" s="24"/>
      <c r="F7271" s="25"/>
      <c r="G7271" s="25"/>
      <c r="H7271" s="27"/>
      <c r="I7271" s="28"/>
      <c r="J7271" s="39"/>
      <c r="K7271" s="41"/>
      <c r="L7271" s="31" t="str">
        <f>IFERROR(__xludf.DUMMYFUNCTION("IF(OR(E7271="""",K7271=""""),"""",IFERROR(IF(K7271="""","""",query('tbl user'!$A$2:$D10975,""SELECT A WHERE D = '""&amp;K7271&amp;""'"")),""USER TIDAK DIKETAHUI""))"),"")</f>
        <v/>
      </c>
    </row>
    <row r="7272">
      <c r="A7272" s="21" t="str">
        <f t="shared" si="3"/>
        <v/>
      </c>
      <c r="B7272" s="38"/>
      <c r="C7272" s="23"/>
      <c r="D7272" s="23"/>
      <c r="E7272" s="24"/>
      <c r="F7272" s="25"/>
      <c r="G7272" s="25"/>
      <c r="H7272" s="27"/>
      <c r="I7272" s="28"/>
      <c r="J7272" s="39"/>
      <c r="K7272" s="41"/>
      <c r="L7272" s="31" t="str">
        <f>IFERROR(__xludf.DUMMYFUNCTION("IF(OR(E7272="""",K7272=""""),"""",IFERROR(IF(K7272="""","""",query('tbl user'!$A$2:$D10975,""SELECT A WHERE D = '""&amp;K7272&amp;""'"")),""USER TIDAK DIKETAHUI""))"),"")</f>
        <v/>
      </c>
    </row>
    <row r="7273">
      <c r="A7273" s="21" t="str">
        <f t="shared" si="3"/>
        <v/>
      </c>
      <c r="B7273" s="38"/>
      <c r="C7273" s="23"/>
      <c r="D7273" s="23"/>
      <c r="E7273" s="24"/>
      <c r="F7273" s="25"/>
      <c r="G7273" s="25"/>
      <c r="H7273" s="27"/>
      <c r="I7273" s="28"/>
      <c r="J7273" s="39"/>
      <c r="K7273" s="41"/>
      <c r="L7273" s="31" t="str">
        <f>IFERROR(__xludf.DUMMYFUNCTION("IF(OR(E7273="""",K7273=""""),"""",IFERROR(IF(K7273="""","""",query('tbl user'!$A$2:$D10975,""SELECT A WHERE D = '""&amp;K7273&amp;""'"")),""USER TIDAK DIKETAHUI""))"),"")</f>
        <v/>
      </c>
    </row>
    <row r="7274">
      <c r="A7274" s="21" t="str">
        <f t="shared" si="3"/>
        <v/>
      </c>
      <c r="B7274" s="38"/>
      <c r="C7274" s="23"/>
      <c r="D7274" s="23"/>
      <c r="E7274" s="24"/>
      <c r="F7274" s="25"/>
      <c r="G7274" s="25"/>
      <c r="H7274" s="27"/>
      <c r="I7274" s="28"/>
      <c r="J7274" s="39"/>
      <c r="K7274" s="41"/>
      <c r="L7274" s="31" t="str">
        <f>IFERROR(__xludf.DUMMYFUNCTION("IF(OR(E7274="""",K7274=""""),"""",IFERROR(IF(K7274="""","""",query('tbl user'!$A$2:$D10975,""SELECT A WHERE D = '""&amp;K7274&amp;""'"")),""USER TIDAK DIKETAHUI""))"),"")</f>
        <v/>
      </c>
    </row>
    <row r="7275">
      <c r="A7275" s="21" t="str">
        <f t="shared" si="3"/>
        <v/>
      </c>
      <c r="B7275" s="38"/>
      <c r="C7275" s="23"/>
      <c r="D7275" s="23"/>
      <c r="E7275" s="24"/>
      <c r="F7275" s="25"/>
      <c r="G7275" s="25"/>
      <c r="H7275" s="27"/>
      <c r="I7275" s="28"/>
      <c r="J7275" s="39"/>
      <c r="K7275" s="41"/>
      <c r="L7275" s="31" t="str">
        <f>IFERROR(__xludf.DUMMYFUNCTION("IF(OR(E7275="""",K7275=""""),"""",IFERROR(IF(K7275="""","""",query('tbl user'!$A$2:$D10975,""SELECT A WHERE D = '""&amp;K7275&amp;""'"")),""USER TIDAK DIKETAHUI""))"),"")</f>
        <v/>
      </c>
    </row>
    <row r="7276">
      <c r="A7276" s="21" t="str">
        <f t="shared" si="3"/>
        <v/>
      </c>
      <c r="B7276" s="38"/>
      <c r="C7276" s="23"/>
      <c r="D7276" s="23"/>
      <c r="E7276" s="24"/>
      <c r="F7276" s="25"/>
      <c r="G7276" s="25"/>
      <c r="H7276" s="27"/>
      <c r="I7276" s="28"/>
      <c r="J7276" s="39"/>
      <c r="K7276" s="41"/>
      <c r="L7276" s="31" t="str">
        <f>IFERROR(__xludf.DUMMYFUNCTION("IF(OR(E7276="""",K7276=""""),"""",IFERROR(IF(K7276="""","""",query('tbl user'!$A$2:$D10975,""SELECT A WHERE D = '""&amp;K7276&amp;""'"")),""USER TIDAK DIKETAHUI""))"),"")</f>
        <v/>
      </c>
    </row>
    <row r="7277">
      <c r="A7277" s="21" t="str">
        <f t="shared" si="3"/>
        <v/>
      </c>
      <c r="B7277" s="38"/>
      <c r="C7277" s="23"/>
      <c r="D7277" s="23"/>
      <c r="E7277" s="24"/>
      <c r="F7277" s="25"/>
      <c r="G7277" s="25"/>
      <c r="H7277" s="27"/>
      <c r="I7277" s="28"/>
      <c r="J7277" s="39"/>
      <c r="K7277" s="41"/>
      <c r="L7277" s="31" t="str">
        <f>IFERROR(__xludf.DUMMYFUNCTION("IF(OR(E7277="""",K7277=""""),"""",IFERROR(IF(K7277="""","""",query('tbl user'!$A$2:$D10975,""SELECT A WHERE D = '""&amp;K7277&amp;""'"")),""USER TIDAK DIKETAHUI""))"),"")</f>
        <v/>
      </c>
    </row>
    <row r="7278">
      <c r="A7278" s="21" t="str">
        <f t="shared" si="3"/>
        <v/>
      </c>
      <c r="B7278" s="38"/>
      <c r="C7278" s="23"/>
      <c r="D7278" s="23"/>
      <c r="E7278" s="24"/>
      <c r="F7278" s="25"/>
      <c r="G7278" s="25"/>
      <c r="H7278" s="27"/>
      <c r="I7278" s="28"/>
      <c r="J7278" s="39"/>
      <c r="K7278" s="41"/>
      <c r="L7278" s="31" t="str">
        <f>IFERROR(__xludf.DUMMYFUNCTION("IF(OR(E7278="""",K7278=""""),"""",IFERROR(IF(K7278="""","""",query('tbl user'!$A$2:$D10975,""SELECT A WHERE D = '""&amp;K7278&amp;""'"")),""USER TIDAK DIKETAHUI""))"),"")</f>
        <v/>
      </c>
    </row>
    <row r="7279">
      <c r="A7279" s="21" t="str">
        <f t="shared" si="3"/>
        <v/>
      </c>
      <c r="B7279" s="38"/>
      <c r="C7279" s="23"/>
      <c r="D7279" s="23"/>
      <c r="E7279" s="24"/>
      <c r="F7279" s="25"/>
      <c r="G7279" s="25"/>
      <c r="H7279" s="27"/>
      <c r="I7279" s="28"/>
      <c r="J7279" s="39"/>
      <c r="K7279" s="41"/>
      <c r="L7279" s="31" t="str">
        <f>IFERROR(__xludf.DUMMYFUNCTION("IF(OR(E7279="""",K7279=""""),"""",IFERROR(IF(K7279="""","""",query('tbl user'!$A$2:$D10975,""SELECT A WHERE D = '""&amp;K7279&amp;""'"")),""USER TIDAK DIKETAHUI""))"),"")</f>
        <v/>
      </c>
    </row>
    <row r="7280">
      <c r="A7280" s="21" t="str">
        <f t="shared" si="3"/>
        <v/>
      </c>
      <c r="B7280" s="38"/>
      <c r="C7280" s="23"/>
      <c r="D7280" s="23"/>
      <c r="E7280" s="24"/>
      <c r="F7280" s="25"/>
      <c r="G7280" s="25"/>
      <c r="H7280" s="27"/>
      <c r="I7280" s="28"/>
      <c r="J7280" s="39"/>
      <c r="K7280" s="41"/>
      <c r="L7280" s="31" t="str">
        <f>IFERROR(__xludf.DUMMYFUNCTION("IF(OR(E7280="""",K7280=""""),"""",IFERROR(IF(K7280="""","""",query('tbl user'!$A$2:$D10975,""SELECT A WHERE D = '""&amp;K7280&amp;""'"")),""USER TIDAK DIKETAHUI""))"),"")</f>
        <v/>
      </c>
    </row>
    <row r="7281">
      <c r="A7281" s="21" t="str">
        <f t="shared" si="3"/>
        <v/>
      </c>
      <c r="B7281" s="38"/>
      <c r="C7281" s="23"/>
      <c r="D7281" s="23"/>
      <c r="E7281" s="24"/>
      <c r="F7281" s="25"/>
      <c r="G7281" s="25"/>
      <c r="H7281" s="27"/>
      <c r="I7281" s="28"/>
      <c r="J7281" s="39"/>
      <c r="K7281" s="41"/>
      <c r="L7281" s="31" t="str">
        <f>IFERROR(__xludf.DUMMYFUNCTION("IF(OR(E7281="""",K7281=""""),"""",IFERROR(IF(K7281="""","""",query('tbl user'!$A$2:$D10975,""SELECT A WHERE D = '""&amp;K7281&amp;""'"")),""USER TIDAK DIKETAHUI""))"),"")</f>
        <v/>
      </c>
    </row>
    <row r="7282">
      <c r="A7282" s="21" t="str">
        <f t="shared" si="3"/>
        <v/>
      </c>
      <c r="B7282" s="38"/>
      <c r="C7282" s="23"/>
      <c r="D7282" s="23"/>
      <c r="E7282" s="24"/>
      <c r="F7282" s="25"/>
      <c r="G7282" s="25"/>
      <c r="H7282" s="27"/>
      <c r="I7282" s="28"/>
      <c r="J7282" s="39"/>
      <c r="K7282" s="41"/>
      <c r="L7282" s="31" t="str">
        <f>IFERROR(__xludf.DUMMYFUNCTION("IF(OR(E7282="""",K7282=""""),"""",IFERROR(IF(K7282="""","""",query('tbl user'!$A$2:$D10975,""SELECT A WHERE D = '""&amp;K7282&amp;""'"")),""USER TIDAK DIKETAHUI""))"),"")</f>
        <v/>
      </c>
    </row>
    <row r="7283">
      <c r="A7283" s="21" t="str">
        <f t="shared" si="3"/>
        <v/>
      </c>
      <c r="B7283" s="38"/>
      <c r="C7283" s="23"/>
      <c r="D7283" s="23"/>
      <c r="E7283" s="24"/>
      <c r="F7283" s="25"/>
      <c r="G7283" s="25"/>
      <c r="H7283" s="27"/>
      <c r="I7283" s="28"/>
      <c r="J7283" s="39"/>
      <c r="K7283" s="41"/>
      <c r="L7283" s="31" t="str">
        <f>IFERROR(__xludf.DUMMYFUNCTION("IF(OR(E7283="""",K7283=""""),"""",IFERROR(IF(K7283="""","""",query('tbl user'!$A$2:$D10975,""SELECT A WHERE D = '""&amp;K7283&amp;""'"")),""USER TIDAK DIKETAHUI""))"),"")</f>
        <v/>
      </c>
    </row>
    <row r="7284">
      <c r="A7284" s="21" t="str">
        <f t="shared" si="3"/>
        <v/>
      </c>
      <c r="B7284" s="38"/>
      <c r="C7284" s="23"/>
      <c r="D7284" s="23"/>
      <c r="E7284" s="24"/>
      <c r="F7284" s="25"/>
      <c r="G7284" s="25"/>
      <c r="H7284" s="27"/>
      <c r="I7284" s="28"/>
      <c r="J7284" s="39"/>
      <c r="K7284" s="41"/>
      <c r="L7284" s="31" t="str">
        <f>IFERROR(__xludf.DUMMYFUNCTION("IF(OR(E7284="""",K7284=""""),"""",IFERROR(IF(K7284="""","""",query('tbl user'!$A$2:$D10975,""SELECT A WHERE D = '""&amp;K7284&amp;""'"")),""USER TIDAK DIKETAHUI""))"),"")</f>
        <v/>
      </c>
    </row>
    <row r="7285">
      <c r="A7285" s="21" t="str">
        <f t="shared" si="3"/>
        <v/>
      </c>
      <c r="B7285" s="38"/>
      <c r="C7285" s="23"/>
      <c r="D7285" s="23"/>
      <c r="E7285" s="24"/>
      <c r="F7285" s="25"/>
      <c r="G7285" s="25"/>
      <c r="H7285" s="27"/>
      <c r="I7285" s="28"/>
      <c r="J7285" s="39"/>
      <c r="K7285" s="41"/>
      <c r="L7285" s="31" t="str">
        <f>IFERROR(__xludf.DUMMYFUNCTION("IF(OR(E7285="""",K7285=""""),"""",IFERROR(IF(K7285="""","""",query('tbl user'!$A$2:$D10975,""SELECT A WHERE D = '""&amp;K7285&amp;""'"")),""USER TIDAK DIKETAHUI""))"),"")</f>
        <v/>
      </c>
    </row>
    <row r="7286">
      <c r="A7286" s="21" t="str">
        <f t="shared" si="3"/>
        <v/>
      </c>
      <c r="B7286" s="38"/>
      <c r="C7286" s="23"/>
      <c r="D7286" s="23"/>
      <c r="E7286" s="24"/>
      <c r="F7286" s="25"/>
      <c r="G7286" s="25"/>
      <c r="H7286" s="27"/>
      <c r="I7286" s="28"/>
      <c r="J7286" s="39"/>
      <c r="K7286" s="41"/>
      <c r="L7286" s="31" t="str">
        <f>IFERROR(__xludf.DUMMYFUNCTION("IF(OR(E7286="""",K7286=""""),"""",IFERROR(IF(K7286="""","""",query('tbl user'!$A$2:$D10975,""SELECT A WHERE D = '""&amp;K7286&amp;""'"")),""USER TIDAK DIKETAHUI""))"),"")</f>
        <v/>
      </c>
    </row>
    <row r="7287">
      <c r="A7287" s="21" t="str">
        <f t="shared" si="3"/>
        <v/>
      </c>
      <c r="B7287" s="38"/>
      <c r="C7287" s="23"/>
      <c r="D7287" s="23"/>
      <c r="E7287" s="24"/>
      <c r="F7287" s="25"/>
      <c r="G7287" s="25"/>
      <c r="H7287" s="27"/>
      <c r="I7287" s="28"/>
      <c r="J7287" s="39"/>
      <c r="K7287" s="41"/>
      <c r="L7287" s="31" t="str">
        <f>IFERROR(__xludf.DUMMYFUNCTION("IF(OR(E7287="""",K7287=""""),"""",IFERROR(IF(K7287="""","""",query('tbl user'!$A$2:$D10975,""SELECT A WHERE D = '""&amp;K7287&amp;""'"")),""USER TIDAK DIKETAHUI""))"),"")</f>
        <v/>
      </c>
    </row>
    <row r="7288">
      <c r="A7288" s="21" t="str">
        <f t="shared" si="3"/>
        <v/>
      </c>
      <c r="B7288" s="38"/>
      <c r="C7288" s="23"/>
      <c r="D7288" s="23"/>
      <c r="E7288" s="24"/>
      <c r="F7288" s="25"/>
      <c r="G7288" s="25"/>
      <c r="H7288" s="27"/>
      <c r="I7288" s="28"/>
      <c r="J7288" s="39"/>
      <c r="K7288" s="41"/>
      <c r="L7288" s="31" t="str">
        <f>IFERROR(__xludf.DUMMYFUNCTION("IF(OR(E7288="""",K7288=""""),"""",IFERROR(IF(K7288="""","""",query('tbl user'!$A$2:$D10975,""SELECT A WHERE D = '""&amp;K7288&amp;""'"")),""USER TIDAK DIKETAHUI""))"),"")</f>
        <v/>
      </c>
    </row>
    <row r="7289">
      <c r="A7289" s="21" t="str">
        <f t="shared" si="3"/>
        <v/>
      </c>
      <c r="B7289" s="38"/>
      <c r="C7289" s="23"/>
      <c r="D7289" s="23"/>
      <c r="E7289" s="24"/>
      <c r="F7289" s="25"/>
      <c r="G7289" s="25"/>
      <c r="H7289" s="27"/>
      <c r="I7289" s="28"/>
      <c r="J7289" s="39"/>
      <c r="K7289" s="41"/>
      <c r="L7289" s="31" t="str">
        <f>IFERROR(__xludf.DUMMYFUNCTION("IF(OR(E7289="""",K7289=""""),"""",IFERROR(IF(K7289="""","""",query('tbl user'!$A$2:$D10975,""SELECT A WHERE D = '""&amp;K7289&amp;""'"")),""USER TIDAK DIKETAHUI""))"),"")</f>
        <v/>
      </c>
    </row>
    <row r="7290">
      <c r="A7290" s="21" t="str">
        <f t="shared" si="3"/>
        <v/>
      </c>
      <c r="B7290" s="38"/>
      <c r="C7290" s="23"/>
      <c r="D7290" s="23"/>
      <c r="E7290" s="24"/>
      <c r="F7290" s="25"/>
      <c r="G7290" s="25"/>
      <c r="H7290" s="27"/>
      <c r="I7290" s="28"/>
      <c r="J7290" s="39"/>
      <c r="K7290" s="41"/>
      <c r="L7290" s="31" t="str">
        <f>IFERROR(__xludf.DUMMYFUNCTION("IF(OR(E7290="""",K7290=""""),"""",IFERROR(IF(K7290="""","""",query('tbl user'!$A$2:$D10975,""SELECT A WHERE D = '""&amp;K7290&amp;""'"")),""USER TIDAK DIKETAHUI""))"),"")</f>
        <v/>
      </c>
    </row>
    <row r="7291">
      <c r="A7291" s="21" t="str">
        <f t="shared" si="3"/>
        <v/>
      </c>
      <c r="B7291" s="38"/>
      <c r="C7291" s="23"/>
      <c r="D7291" s="23"/>
      <c r="E7291" s="24"/>
      <c r="F7291" s="25"/>
      <c r="G7291" s="25"/>
      <c r="H7291" s="27"/>
      <c r="I7291" s="28"/>
      <c r="J7291" s="39"/>
      <c r="K7291" s="41"/>
      <c r="L7291" s="31" t="str">
        <f>IFERROR(__xludf.DUMMYFUNCTION("IF(OR(E7291="""",K7291=""""),"""",IFERROR(IF(K7291="""","""",query('tbl user'!$A$2:$D10975,""SELECT A WHERE D = '""&amp;K7291&amp;""'"")),""USER TIDAK DIKETAHUI""))"),"")</f>
        <v/>
      </c>
    </row>
    <row r="7292">
      <c r="A7292" s="21" t="str">
        <f t="shared" si="3"/>
        <v/>
      </c>
      <c r="B7292" s="38"/>
      <c r="C7292" s="23"/>
      <c r="D7292" s="23"/>
      <c r="E7292" s="24"/>
      <c r="F7292" s="25"/>
      <c r="G7292" s="25"/>
      <c r="H7292" s="27"/>
      <c r="I7292" s="28"/>
      <c r="J7292" s="39"/>
      <c r="K7292" s="41"/>
      <c r="L7292" s="31" t="str">
        <f>IFERROR(__xludf.DUMMYFUNCTION("IF(OR(E7292="""",K7292=""""),"""",IFERROR(IF(K7292="""","""",query('tbl user'!$A$2:$D10975,""SELECT A WHERE D = '""&amp;K7292&amp;""'"")),""USER TIDAK DIKETAHUI""))"),"")</f>
        <v/>
      </c>
    </row>
    <row r="7293">
      <c r="A7293" s="21" t="str">
        <f t="shared" si="3"/>
        <v/>
      </c>
      <c r="B7293" s="38"/>
      <c r="C7293" s="23"/>
      <c r="D7293" s="23"/>
      <c r="E7293" s="24"/>
      <c r="F7293" s="25"/>
      <c r="G7293" s="25"/>
      <c r="H7293" s="27"/>
      <c r="I7293" s="28"/>
      <c r="J7293" s="39"/>
      <c r="K7293" s="41"/>
      <c r="L7293" s="31" t="str">
        <f>IFERROR(__xludf.DUMMYFUNCTION("IF(OR(E7293="""",K7293=""""),"""",IFERROR(IF(K7293="""","""",query('tbl user'!$A$2:$D10975,""SELECT A WHERE D = '""&amp;K7293&amp;""'"")),""USER TIDAK DIKETAHUI""))"),"")</f>
        <v/>
      </c>
    </row>
    <row r="7294">
      <c r="A7294" s="21" t="str">
        <f t="shared" si="3"/>
        <v/>
      </c>
      <c r="B7294" s="38"/>
      <c r="C7294" s="23"/>
      <c r="D7294" s="23"/>
      <c r="E7294" s="24"/>
      <c r="F7294" s="25"/>
      <c r="G7294" s="25"/>
      <c r="H7294" s="27"/>
      <c r="I7294" s="28"/>
      <c r="J7294" s="39"/>
      <c r="K7294" s="41"/>
      <c r="L7294" s="31" t="str">
        <f>IFERROR(__xludf.DUMMYFUNCTION("IF(OR(E7294="""",K7294=""""),"""",IFERROR(IF(K7294="""","""",query('tbl user'!$A$2:$D10975,""SELECT A WHERE D = '""&amp;K7294&amp;""'"")),""USER TIDAK DIKETAHUI""))"),"")</f>
        <v/>
      </c>
    </row>
    <row r="7295">
      <c r="A7295" s="21" t="str">
        <f t="shared" si="3"/>
        <v/>
      </c>
      <c r="B7295" s="38"/>
      <c r="C7295" s="23"/>
      <c r="D7295" s="23"/>
      <c r="E7295" s="24"/>
      <c r="F7295" s="25"/>
      <c r="G7295" s="25"/>
      <c r="H7295" s="27"/>
      <c r="I7295" s="28"/>
      <c r="J7295" s="39"/>
      <c r="K7295" s="41"/>
      <c r="L7295" s="31" t="str">
        <f>IFERROR(__xludf.DUMMYFUNCTION("IF(OR(E7295="""",K7295=""""),"""",IFERROR(IF(K7295="""","""",query('tbl user'!$A$2:$D10975,""SELECT A WHERE D = '""&amp;K7295&amp;""'"")),""USER TIDAK DIKETAHUI""))"),"")</f>
        <v/>
      </c>
    </row>
    <row r="7296">
      <c r="A7296" s="21" t="str">
        <f t="shared" si="3"/>
        <v/>
      </c>
      <c r="B7296" s="38"/>
      <c r="C7296" s="23"/>
      <c r="D7296" s="23"/>
      <c r="E7296" s="24"/>
      <c r="F7296" s="25"/>
      <c r="G7296" s="25"/>
      <c r="H7296" s="27"/>
      <c r="I7296" s="28"/>
      <c r="J7296" s="39"/>
      <c r="K7296" s="41"/>
      <c r="L7296" s="31" t="str">
        <f>IFERROR(__xludf.DUMMYFUNCTION("IF(OR(E7296="""",K7296=""""),"""",IFERROR(IF(K7296="""","""",query('tbl user'!$A$2:$D10975,""SELECT A WHERE D = '""&amp;K7296&amp;""'"")),""USER TIDAK DIKETAHUI""))"),"")</f>
        <v/>
      </c>
    </row>
    <row r="7297">
      <c r="A7297" s="21" t="str">
        <f t="shared" si="3"/>
        <v/>
      </c>
      <c r="B7297" s="38"/>
      <c r="C7297" s="23"/>
      <c r="D7297" s="23"/>
      <c r="E7297" s="24"/>
      <c r="F7297" s="25"/>
      <c r="G7297" s="25"/>
      <c r="H7297" s="27"/>
      <c r="I7297" s="28"/>
      <c r="J7297" s="39"/>
      <c r="K7297" s="41"/>
      <c r="L7297" s="31" t="str">
        <f>IFERROR(__xludf.DUMMYFUNCTION("IF(OR(E7297="""",K7297=""""),"""",IFERROR(IF(K7297="""","""",query('tbl user'!$A$2:$D10975,""SELECT A WHERE D = '""&amp;K7297&amp;""'"")),""USER TIDAK DIKETAHUI""))"),"")</f>
        <v/>
      </c>
    </row>
    <row r="7298">
      <c r="A7298" s="21" t="str">
        <f t="shared" si="3"/>
        <v/>
      </c>
      <c r="B7298" s="38"/>
      <c r="C7298" s="23"/>
      <c r="D7298" s="23"/>
      <c r="E7298" s="24"/>
      <c r="F7298" s="25"/>
      <c r="G7298" s="25"/>
      <c r="H7298" s="27"/>
      <c r="I7298" s="28"/>
      <c r="J7298" s="39"/>
      <c r="K7298" s="41"/>
      <c r="L7298" s="31" t="str">
        <f>IFERROR(__xludf.DUMMYFUNCTION("IF(OR(E7298="""",K7298=""""),"""",IFERROR(IF(K7298="""","""",query('tbl user'!$A$2:$D10975,""SELECT A WHERE D = '""&amp;K7298&amp;""'"")),""USER TIDAK DIKETAHUI""))"),"")</f>
        <v/>
      </c>
    </row>
    <row r="7299">
      <c r="A7299" s="21" t="str">
        <f t="shared" si="3"/>
        <v/>
      </c>
      <c r="B7299" s="38"/>
      <c r="C7299" s="23"/>
      <c r="D7299" s="23"/>
      <c r="E7299" s="24"/>
      <c r="F7299" s="25"/>
      <c r="G7299" s="25"/>
      <c r="H7299" s="27"/>
      <c r="I7299" s="28"/>
      <c r="J7299" s="39"/>
      <c r="K7299" s="41"/>
      <c r="L7299" s="31" t="str">
        <f>IFERROR(__xludf.DUMMYFUNCTION("IF(OR(E7299="""",K7299=""""),"""",IFERROR(IF(K7299="""","""",query('tbl user'!$A$2:$D10975,""SELECT A WHERE D = '""&amp;K7299&amp;""'"")),""USER TIDAK DIKETAHUI""))"),"")</f>
        <v/>
      </c>
    </row>
    <row r="7300">
      <c r="A7300" s="21" t="str">
        <f t="shared" si="3"/>
        <v/>
      </c>
      <c r="B7300" s="38"/>
      <c r="C7300" s="23"/>
      <c r="D7300" s="23"/>
      <c r="E7300" s="24"/>
      <c r="F7300" s="25"/>
      <c r="G7300" s="25"/>
      <c r="H7300" s="27"/>
      <c r="I7300" s="28"/>
      <c r="J7300" s="39"/>
      <c r="K7300" s="41"/>
      <c r="L7300" s="31" t="str">
        <f>IFERROR(__xludf.DUMMYFUNCTION("IF(OR(E7300="""",K7300=""""),"""",IFERROR(IF(K7300="""","""",query('tbl user'!$A$2:$D10975,""SELECT A WHERE D = '""&amp;K7300&amp;""'"")),""USER TIDAK DIKETAHUI""))"),"")</f>
        <v/>
      </c>
    </row>
    <row r="7301">
      <c r="A7301" s="21" t="str">
        <f t="shared" si="3"/>
        <v/>
      </c>
      <c r="B7301" s="38"/>
      <c r="C7301" s="23"/>
      <c r="D7301" s="23"/>
      <c r="E7301" s="24"/>
      <c r="F7301" s="25"/>
      <c r="G7301" s="25"/>
      <c r="H7301" s="27"/>
      <c r="I7301" s="28"/>
      <c r="J7301" s="39"/>
      <c r="K7301" s="41"/>
      <c r="L7301" s="31" t="str">
        <f>IFERROR(__xludf.DUMMYFUNCTION("IF(OR(E7301="""",K7301=""""),"""",IFERROR(IF(K7301="""","""",query('tbl user'!$A$2:$D10975,""SELECT A WHERE D = '""&amp;K7301&amp;""'"")),""USER TIDAK DIKETAHUI""))"),"")</f>
        <v/>
      </c>
    </row>
    <row r="7302">
      <c r="A7302" s="21" t="str">
        <f t="shared" si="3"/>
        <v/>
      </c>
      <c r="B7302" s="38"/>
      <c r="C7302" s="23"/>
      <c r="D7302" s="23"/>
      <c r="E7302" s="24"/>
      <c r="F7302" s="25"/>
      <c r="G7302" s="25"/>
      <c r="H7302" s="27"/>
      <c r="I7302" s="28"/>
      <c r="J7302" s="39"/>
      <c r="K7302" s="41"/>
      <c r="L7302" s="31" t="str">
        <f>IFERROR(__xludf.DUMMYFUNCTION("IF(OR(E7302="""",K7302=""""),"""",IFERROR(IF(K7302="""","""",query('tbl user'!$A$2:$D10975,""SELECT A WHERE D = '""&amp;K7302&amp;""'"")),""USER TIDAK DIKETAHUI""))"),"")</f>
        <v/>
      </c>
    </row>
    <row r="7303">
      <c r="A7303" s="21" t="str">
        <f t="shared" si="3"/>
        <v/>
      </c>
      <c r="B7303" s="38"/>
      <c r="C7303" s="23"/>
      <c r="D7303" s="23"/>
      <c r="E7303" s="24"/>
      <c r="F7303" s="25"/>
      <c r="G7303" s="25"/>
      <c r="H7303" s="27"/>
      <c r="I7303" s="28"/>
      <c r="J7303" s="39"/>
      <c r="K7303" s="41"/>
      <c r="L7303" s="31" t="str">
        <f>IFERROR(__xludf.DUMMYFUNCTION("IF(OR(E7303="""",K7303=""""),"""",IFERROR(IF(K7303="""","""",query('tbl user'!$A$2:$D10975,""SELECT A WHERE D = '""&amp;K7303&amp;""'"")),""USER TIDAK DIKETAHUI""))"),"")</f>
        <v/>
      </c>
    </row>
    <row r="7304">
      <c r="A7304" s="21" t="str">
        <f t="shared" si="3"/>
        <v/>
      </c>
      <c r="B7304" s="38"/>
      <c r="C7304" s="23"/>
      <c r="D7304" s="23"/>
      <c r="E7304" s="24"/>
      <c r="F7304" s="25"/>
      <c r="G7304" s="25"/>
      <c r="H7304" s="27"/>
      <c r="I7304" s="28"/>
      <c r="J7304" s="39"/>
      <c r="K7304" s="41"/>
      <c r="L7304" s="31" t="str">
        <f>IFERROR(__xludf.DUMMYFUNCTION("IF(OR(E7304="""",K7304=""""),"""",IFERROR(IF(K7304="""","""",query('tbl user'!$A$2:$D10975,""SELECT A WHERE D = '""&amp;K7304&amp;""'"")),""USER TIDAK DIKETAHUI""))"),"")</f>
        <v/>
      </c>
    </row>
    <row r="7305">
      <c r="A7305" s="21" t="str">
        <f t="shared" si="3"/>
        <v/>
      </c>
      <c r="B7305" s="38"/>
      <c r="C7305" s="23"/>
      <c r="D7305" s="23"/>
      <c r="E7305" s="24"/>
      <c r="F7305" s="25"/>
      <c r="G7305" s="25"/>
      <c r="H7305" s="27"/>
      <c r="I7305" s="28"/>
      <c r="J7305" s="39"/>
      <c r="K7305" s="41"/>
      <c r="L7305" s="31" t="str">
        <f>IFERROR(__xludf.DUMMYFUNCTION("IF(OR(E7305="""",K7305=""""),"""",IFERROR(IF(K7305="""","""",query('tbl user'!$A$2:$D10975,""SELECT A WHERE D = '""&amp;K7305&amp;""'"")),""USER TIDAK DIKETAHUI""))"),"")</f>
        <v/>
      </c>
    </row>
    <row r="7306">
      <c r="A7306" s="21" t="str">
        <f t="shared" si="3"/>
        <v/>
      </c>
      <c r="B7306" s="38"/>
      <c r="C7306" s="23"/>
      <c r="D7306" s="23"/>
      <c r="E7306" s="24"/>
      <c r="F7306" s="25"/>
      <c r="G7306" s="25"/>
      <c r="H7306" s="27"/>
      <c r="I7306" s="28"/>
      <c r="J7306" s="39"/>
      <c r="K7306" s="41"/>
      <c r="L7306" s="31" t="str">
        <f>IFERROR(__xludf.DUMMYFUNCTION("IF(OR(E7306="""",K7306=""""),"""",IFERROR(IF(K7306="""","""",query('tbl user'!$A$2:$D10975,""SELECT A WHERE D = '""&amp;K7306&amp;""'"")),""USER TIDAK DIKETAHUI""))"),"")</f>
        <v/>
      </c>
    </row>
    <row r="7307">
      <c r="A7307" s="21" t="str">
        <f t="shared" si="3"/>
        <v/>
      </c>
      <c r="B7307" s="38"/>
      <c r="C7307" s="23"/>
      <c r="D7307" s="23"/>
      <c r="E7307" s="24"/>
      <c r="F7307" s="25"/>
      <c r="G7307" s="25"/>
      <c r="H7307" s="27"/>
      <c r="I7307" s="28"/>
      <c r="J7307" s="39"/>
      <c r="K7307" s="41"/>
      <c r="L7307" s="31" t="str">
        <f>IFERROR(__xludf.DUMMYFUNCTION("IF(OR(E7307="""",K7307=""""),"""",IFERROR(IF(K7307="""","""",query('tbl user'!$A$2:$D10975,""SELECT A WHERE D = '""&amp;K7307&amp;""'"")),""USER TIDAK DIKETAHUI""))"),"")</f>
        <v/>
      </c>
    </row>
    <row r="7308">
      <c r="A7308" s="21" t="str">
        <f t="shared" si="3"/>
        <v/>
      </c>
      <c r="B7308" s="38"/>
      <c r="C7308" s="23"/>
      <c r="D7308" s="23"/>
      <c r="E7308" s="24"/>
      <c r="F7308" s="25"/>
      <c r="G7308" s="25"/>
      <c r="H7308" s="27"/>
      <c r="I7308" s="28"/>
      <c r="J7308" s="39"/>
      <c r="K7308" s="41"/>
      <c r="L7308" s="31" t="str">
        <f>IFERROR(__xludf.DUMMYFUNCTION("IF(OR(E7308="""",K7308=""""),"""",IFERROR(IF(K7308="""","""",query('tbl user'!$A$2:$D10975,""SELECT A WHERE D = '""&amp;K7308&amp;""'"")),""USER TIDAK DIKETAHUI""))"),"")</f>
        <v/>
      </c>
    </row>
    <row r="7309">
      <c r="A7309" s="21" t="str">
        <f t="shared" si="3"/>
        <v/>
      </c>
      <c r="B7309" s="38"/>
      <c r="C7309" s="23"/>
      <c r="D7309" s="23"/>
      <c r="E7309" s="24"/>
      <c r="F7309" s="25"/>
      <c r="G7309" s="25"/>
      <c r="H7309" s="27"/>
      <c r="I7309" s="28"/>
      <c r="J7309" s="39"/>
      <c r="K7309" s="41"/>
      <c r="L7309" s="31" t="str">
        <f>IFERROR(__xludf.DUMMYFUNCTION("IF(OR(E7309="""",K7309=""""),"""",IFERROR(IF(K7309="""","""",query('tbl user'!$A$2:$D10975,""SELECT A WHERE D = '""&amp;K7309&amp;""'"")),""USER TIDAK DIKETAHUI""))"),"")</f>
        <v/>
      </c>
    </row>
    <row r="7310">
      <c r="A7310" s="21" t="str">
        <f t="shared" si="3"/>
        <v/>
      </c>
      <c r="B7310" s="38"/>
      <c r="C7310" s="23"/>
      <c r="D7310" s="23"/>
      <c r="E7310" s="24"/>
      <c r="F7310" s="25"/>
      <c r="G7310" s="25"/>
      <c r="H7310" s="27"/>
      <c r="I7310" s="28"/>
      <c r="J7310" s="39"/>
      <c r="K7310" s="41"/>
      <c r="L7310" s="31" t="str">
        <f>IFERROR(__xludf.DUMMYFUNCTION("IF(OR(E7310="""",K7310=""""),"""",IFERROR(IF(K7310="""","""",query('tbl user'!$A$2:$D10975,""SELECT A WHERE D = '""&amp;K7310&amp;""'"")),""USER TIDAK DIKETAHUI""))"),"")</f>
        <v/>
      </c>
    </row>
    <row r="7311">
      <c r="A7311" s="21" t="str">
        <f t="shared" si="3"/>
        <v/>
      </c>
      <c r="B7311" s="38"/>
      <c r="C7311" s="23"/>
      <c r="D7311" s="23"/>
      <c r="E7311" s="24"/>
      <c r="F7311" s="25"/>
      <c r="G7311" s="25"/>
      <c r="H7311" s="27"/>
      <c r="I7311" s="28"/>
      <c r="J7311" s="39"/>
      <c r="K7311" s="41"/>
      <c r="L7311" s="31" t="str">
        <f>IFERROR(__xludf.DUMMYFUNCTION("IF(OR(E7311="""",K7311=""""),"""",IFERROR(IF(K7311="""","""",query('tbl user'!$A$2:$D10975,""SELECT A WHERE D = '""&amp;K7311&amp;""'"")),""USER TIDAK DIKETAHUI""))"),"")</f>
        <v/>
      </c>
    </row>
    <row r="7312">
      <c r="A7312" s="21" t="str">
        <f t="shared" si="3"/>
        <v/>
      </c>
      <c r="B7312" s="38"/>
      <c r="C7312" s="23"/>
      <c r="D7312" s="23"/>
      <c r="E7312" s="24"/>
      <c r="F7312" s="25"/>
      <c r="G7312" s="25"/>
      <c r="H7312" s="27"/>
      <c r="I7312" s="28"/>
      <c r="J7312" s="39"/>
      <c r="K7312" s="41"/>
      <c r="L7312" s="31" t="str">
        <f>IFERROR(__xludf.DUMMYFUNCTION("IF(OR(E7312="""",K7312=""""),"""",IFERROR(IF(K7312="""","""",query('tbl user'!$A$2:$D10975,""SELECT A WHERE D = '""&amp;K7312&amp;""'"")),""USER TIDAK DIKETAHUI""))"),"")</f>
        <v/>
      </c>
    </row>
    <row r="7313">
      <c r="A7313" s="21" t="str">
        <f t="shared" si="3"/>
        <v/>
      </c>
      <c r="B7313" s="38"/>
      <c r="C7313" s="23"/>
      <c r="D7313" s="23"/>
      <c r="E7313" s="24"/>
      <c r="F7313" s="25"/>
      <c r="G7313" s="25"/>
      <c r="H7313" s="27"/>
      <c r="I7313" s="28"/>
      <c r="J7313" s="39"/>
      <c r="K7313" s="41"/>
      <c r="L7313" s="31" t="str">
        <f>IFERROR(__xludf.DUMMYFUNCTION("IF(OR(E7313="""",K7313=""""),"""",IFERROR(IF(K7313="""","""",query('tbl user'!$A$2:$D10975,""SELECT A WHERE D = '""&amp;K7313&amp;""'"")),""USER TIDAK DIKETAHUI""))"),"")</f>
        <v/>
      </c>
    </row>
    <row r="7314">
      <c r="A7314" s="21" t="str">
        <f t="shared" si="3"/>
        <v/>
      </c>
      <c r="B7314" s="38"/>
      <c r="C7314" s="23"/>
      <c r="D7314" s="23"/>
      <c r="E7314" s="24"/>
      <c r="F7314" s="25"/>
      <c r="G7314" s="25"/>
      <c r="H7314" s="27"/>
      <c r="I7314" s="28"/>
      <c r="J7314" s="39"/>
      <c r="K7314" s="41"/>
      <c r="L7314" s="31" t="str">
        <f>IFERROR(__xludf.DUMMYFUNCTION("IF(OR(E7314="""",K7314=""""),"""",IFERROR(IF(K7314="""","""",query('tbl user'!$A$2:$D10975,""SELECT A WHERE D = '""&amp;K7314&amp;""'"")),""USER TIDAK DIKETAHUI""))"),"")</f>
        <v/>
      </c>
    </row>
    <row r="7315">
      <c r="A7315" s="21" t="str">
        <f t="shared" si="3"/>
        <v/>
      </c>
      <c r="B7315" s="38"/>
      <c r="C7315" s="23"/>
      <c r="D7315" s="23"/>
      <c r="E7315" s="24"/>
      <c r="F7315" s="25"/>
      <c r="G7315" s="25"/>
      <c r="H7315" s="27"/>
      <c r="I7315" s="28"/>
      <c r="J7315" s="39"/>
      <c r="K7315" s="41"/>
      <c r="L7315" s="31" t="str">
        <f>IFERROR(__xludf.DUMMYFUNCTION("IF(OR(E7315="""",K7315=""""),"""",IFERROR(IF(K7315="""","""",query('tbl user'!$A$2:$D10975,""SELECT A WHERE D = '""&amp;K7315&amp;""'"")),""USER TIDAK DIKETAHUI""))"),"")</f>
        <v/>
      </c>
    </row>
    <row r="7316">
      <c r="A7316" s="21" t="str">
        <f t="shared" si="3"/>
        <v/>
      </c>
      <c r="B7316" s="38"/>
      <c r="C7316" s="23"/>
      <c r="D7316" s="23"/>
      <c r="E7316" s="24"/>
      <c r="F7316" s="25"/>
      <c r="G7316" s="25"/>
      <c r="H7316" s="27"/>
      <c r="I7316" s="28"/>
      <c r="J7316" s="39"/>
      <c r="K7316" s="41"/>
      <c r="L7316" s="31" t="str">
        <f>IFERROR(__xludf.DUMMYFUNCTION("IF(OR(E7316="""",K7316=""""),"""",IFERROR(IF(K7316="""","""",query('tbl user'!$A$2:$D10975,""SELECT A WHERE D = '""&amp;K7316&amp;""'"")),""USER TIDAK DIKETAHUI""))"),"")</f>
        <v/>
      </c>
    </row>
    <row r="7317">
      <c r="A7317" s="21" t="str">
        <f t="shared" si="3"/>
        <v/>
      </c>
      <c r="B7317" s="38"/>
      <c r="C7317" s="23"/>
      <c r="D7317" s="23"/>
      <c r="E7317" s="24"/>
      <c r="F7317" s="25"/>
      <c r="G7317" s="25"/>
      <c r="H7317" s="27"/>
      <c r="I7317" s="28"/>
      <c r="J7317" s="39"/>
      <c r="K7317" s="41"/>
      <c r="L7317" s="31" t="str">
        <f>IFERROR(__xludf.DUMMYFUNCTION("IF(OR(E7317="""",K7317=""""),"""",IFERROR(IF(K7317="""","""",query('tbl user'!$A$2:$D10975,""SELECT A WHERE D = '""&amp;K7317&amp;""'"")),""USER TIDAK DIKETAHUI""))"),"")</f>
        <v/>
      </c>
    </row>
    <row r="7318">
      <c r="A7318" s="21" t="str">
        <f t="shared" si="3"/>
        <v/>
      </c>
      <c r="B7318" s="38"/>
      <c r="C7318" s="23"/>
      <c r="D7318" s="23"/>
      <c r="E7318" s="24"/>
      <c r="F7318" s="25"/>
      <c r="G7318" s="25"/>
      <c r="H7318" s="27"/>
      <c r="I7318" s="28"/>
      <c r="J7318" s="39"/>
      <c r="K7318" s="41"/>
      <c r="L7318" s="31" t="str">
        <f>IFERROR(__xludf.DUMMYFUNCTION("IF(OR(E7318="""",K7318=""""),"""",IFERROR(IF(K7318="""","""",query('tbl user'!$A$2:$D10975,""SELECT A WHERE D = '""&amp;K7318&amp;""'"")),""USER TIDAK DIKETAHUI""))"),"")</f>
        <v/>
      </c>
    </row>
    <row r="7319">
      <c r="A7319" s="21" t="str">
        <f t="shared" si="3"/>
        <v/>
      </c>
      <c r="B7319" s="38"/>
      <c r="C7319" s="23"/>
      <c r="D7319" s="23"/>
      <c r="E7319" s="24"/>
      <c r="F7319" s="25"/>
      <c r="G7319" s="25"/>
      <c r="H7319" s="27"/>
      <c r="I7319" s="28"/>
      <c r="J7319" s="39"/>
      <c r="K7319" s="41"/>
      <c r="L7319" s="31" t="str">
        <f>IFERROR(__xludf.DUMMYFUNCTION("IF(OR(E7319="""",K7319=""""),"""",IFERROR(IF(K7319="""","""",query('tbl user'!$A$2:$D10975,""SELECT A WHERE D = '""&amp;K7319&amp;""'"")),""USER TIDAK DIKETAHUI""))"),"")</f>
        <v/>
      </c>
    </row>
    <row r="7320">
      <c r="A7320" s="21" t="str">
        <f t="shared" si="3"/>
        <v/>
      </c>
      <c r="B7320" s="38"/>
      <c r="C7320" s="23"/>
      <c r="D7320" s="23"/>
      <c r="E7320" s="24"/>
      <c r="F7320" s="25"/>
      <c r="G7320" s="25"/>
      <c r="H7320" s="27"/>
      <c r="I7320" s="28"/>
      <c r="J7320" s="39"/>
      <c r="K7320" s="41"/>
      <c r="L7320" s="31" t="str">
        <f>IFERROR(__xludf.DUMMYFUNCTION("IF(OR(E7320="""",K7320=""""),"""",IFERROR(IF(K7320="""","""",query('tbl user'!$A$2:$D10975,""SELECT A WHERE D = '""&amp;K7320&amp;""'"")),""USER TIDAK DIKETAHUI""))"),"")</f>
        <v/>
      </c>
    </row>
    <row r="7321">
      <c r="A7321" s="21" t="str">
        <f t="shared" si="3"/>
        <v/>
      </c>
      <c r="B7321" s="38"/>
      <c r="C7321" s="23"/>
      <c r="D7321" s="23"/>
      <c r="E7321" s="24"/>
      <c r="F7321" s="25"/>
      <c r="G7321" s="25"/>
      <c r="H7321" s="27"/>
      <c r="I7321" s="28"/>
      <c r="J7321" s="39"/>
      <c r="K7321" s="41"/>
      <c r="L7321" s="31" t="str">
        <f>IFERROR(__xludf.DUMMYFUNCTION("IF(OR(E7321="""",K7321=""""),"""",IFERROR(IF(K7321="""","""",query('tbl user'!$A$2:$D10975,""SELECT A WHERE D = '""&amp;K7321&amp;""'"")),""USER TIDAK DIKETAHUI""))"),"")</f>
        <v/>
      </c>
    </row>
    <row r="7322">
      <c r="A7322" s="21" t="str">
        <f t="shared" si="3"/>
        <v/>
      </c>
      <c r="B7322" s="38"/>
      <c r="C7322" s="23"/>
      <c r="D7322" s="23"/>
      <c r="E7322" s="24"/>
      <c r="F7322" s="25"/>
      <c r="G7322" s="25"/>
      <c r="H7322" s="27"/>
      <c r="I7322" s="28"/>
      <c r="J7322" s="39"/>
      <c r="K7322" s="41"/>
      <c r="L7322" s="31" t="str">
        <f>IFERROR(__xludf.DUMMYFUNCTION("IF(OR(E7322="""",K7322=""""),"""",IFERROR(IF(K7322="""","""",query('tbl user'!$A$2:$D10975,""SELECT A WHERE D = '""&amp;K7322&amp;""'"")),""USER TIDAK DIKETAHUI""))"),"")</f>
        <v/>
      </c>
    </row>
    <row r="7323">
      <c r="A7323" s="21" t="str">
        <f t="shared" si="3"/>
        <v/>
      </c>
      <c r="B7323" s="38"/>
      <c r="C7323" s="23"/>
      <c r="D7323" s="23"/>
      <c r="E7323" s="24"/>
      <c r="F7323" s="25"/>
      <c r="G7323" s="25"/>
      <c r="H7323" s="27"/>
      <c r="I7323" s="28"/>
      <c r="J7323" s="39"/>
      <c r="K7323" s="41"/>
      <c r="L7323" s="31" t="str">
        <f>IFERROR(__xludf.DUMMYFUNCTION("IF(OR(E7323="""",K7323=""""),"""",IFERROR(IF(K7323="""","""",query('tbl user'!$A$2:$D10975,""SELECT A WHERE D = '""&amp;K7323&amp;""'"")),""USER TIDAK DIKETAHUI""))"),"")</f>
        <v/>
      </c>
    </row>
    <row r="7324">
      <c r="A7324" s="21" t="str">
        <f t="shared" si="3"/>
        <v/>
      </c>
      <c r="B7324" s="38"/>
      <c r="C7324" s="23"/>
      <c r="D7324" s="23"/>
      <c r="E7324" s="24"/>
      <c r="F7324" s="25"/>
      <c r="G7324" s="25"/>
      <c r="H7324" s="27"/>
      <c r="I7324" s="28"/>
      <c r="J7324" s="39"/>
      <c r="K7324" s="41"/>
      <c r="L7324" s="31" t="str">
        <f>IFERROR(__xludf.DUMMYFUNCTION("IF(OR(E7324="""",K7324=""""),"""",IFERROR(IF(K7324="""","""",query('tbl user'!$A$2:$D10975,""SELECT A WHERE D = '""&amp;K7324&amp;""'"")),""USER TIDAK DIKETAHUI""))"),"")</f>
        <v/>
      </c>
    </row>
    <row r="7325">
      <c r="A7325" s="21" t="str">
        <f t="shared" si="3"/>
        <v/>
      </c>
      <c r="B7325" s="38"/>
      <c r="C7325" s="23"/>
      <c r="D7325" s="23"/>
      <c r="E7325" s="24"/>
      <c r="F7325" s="25"/>
      <c r="G7325" s="25"/>
      <c r="H7325" s="27"/>
      <c r="I7325" s="28"/>
      <c r="J7325" s="39"/>
      <c r="K7325" s="41"/>
      <c r="L7325" s="31" t="str">
        <f>IFERROR(__xludf.DUMMYFUNCTION("IF(OR(E7325="""",K7325=""""),"""",IFERROR(IF(K7325="""","""",query('tbl user'!$A$2:$D10975,""SELECT A WHERE D = '""&amp;K7325&amp;""'"")),""USER TIDAK DIKETAHUI""))"),"")</f>
        <v/>
      </c>
    </row>
    <row r="7326">
      <c r="A7326" s="21" t="str">
        <f t="shared" si="3"/>
        <v/>
      </c>
      <c r="B7326" s="38"/>
      <c r="C7326" s="23"/>
      <c r="D7326" s="23"/>
      <c r="E7326" s="24"/>
      <c r="F7326" s="25"/>
      <c r="G7326" s="25"/>
      <c r="H7326" s="27"/>
      <c r="I7326" s="28"/>
      <c r="J7326" s="39"/>
      <c r="K7326" s="41"/>
      <c r="L7326" s="31" t="str">
        <f>IFERROR(__xludf.DUMMYFUNCTION("IF(OR(E7326="""",K7326=""""),"""",IFERROR(IF(K7326="""","""",query('tbl user'!$A$2:$D10975,""SELECT A WHERE D = '""&amp;K7326&amp;""'"")),""USER TIDAK DIKETAHUI""))"),"")</f>
        <v/>
      </c>
    </row>
    <row r="7327">
      <c r="A7327" s="21" t="str">
        <f t="shared" si="3"/>
        <v/>
      </c>
      <c r="B7327" s="38"/>
      <c r="C7327" s="23"/>
      <c r="D7327" s="23"/>
      <c r="E7327" s="24"/>
      <c r="F7327" s="25"/>
      <c r="G7327" s="25"/>
      <c r="H7327" s="27"/>
      <c r="I7327" s="28"/>
      <c r="J7327" s="39"/>
      <c r="K7327" s="41"/>
      <c r="L7327" s="31" t="str">
        <f>IFERROR(__xludf.DUMMYFUNCTION("IF(OR(E7327="""",K7327=""""),"""",IFERROR(IF(K7327="""","""",query('tbl user'!$A$2:$D10975,""SELECT A WHERE D = '""&amp;K7327&amp;""'"")),""USER TIDAK DIKETAHUI""))"),"")</f>
        <v/>
      </c>
    </row>
    <row r="7328">
      <c r="A7328" s="21" t="str">
        <f t="shared" si="3"/>
        <v/>
      </c>
      <c r="B7328" s="38"/>
      <c r="C7328" s="23"/>
      <c r="D7328" s="23"/>
      <c r="E7328" s="24"/>
      <c r="F7328" s="25"/>
      <c r="G7328" s="25"/>
      <c r="H7328" s="27"/>
      <c r="I7328" s="28"/>
      <c r="J7328" s="39"/>
      <c r="K7328" s="41"/>
      <c r="L7328" s="31" t="str">
        <f>IFERROR(__xludf.DUMMYFUNCTION("IF(OR(E7328="""",K7328=""""),"""",IFERROR(IF(K7328="""","""",query('tbl user'!$A$2:$D10975,""SELECT A WHERE D = '""&amp;K7328&amp;""'"")),""USER TIDAK DIKETAHUI""))"),"")</f>
        <v/>
      </c>
    </row>
    <row r="7329">
      <c r="A7329" s="21" t="str">
        <f t="shared" si="3"/>
        <v/>
      </c>
      <c r="B7329" s="38"/>
      <c r="C7329" s="23"/>
      <c r="D7329" s="23"/>
      <c r="E7329" s="24"/>
      <c r="F7329" s="25"/>
      <c r="G7329" s="25"/>
      <c r="H7329" s="27"/>
      <c r="I7329" s="28"/>
      <c r="J7329" s="39"/>
      <c r="K7329" s="41"/>
      <c r="L7329" s="31" t="str">
        <f>IFERROR(__xludf.DUMMYFUNCTION("IF(OR(E7329="""",K7329=""""),"""",IFERROR(IF(K7329="""","""",query('tbl user'!$A$2:$D10975,""SELECT A WHERE D = '""&amp;K7329&amp;""'"")),""USER TIDAK DIKETAHUI""))"),"")</f>
        <v/>
      </c>
    </row>
    <row r="7330">
      <c r="A7330" s="21" t="str">
        <f t="shared" si="3"/>
        <v/>
      </c>
      <c r="B7330" s="38"/>
      <c r="C7330" s="23"/>
      <c r="D7330" s="23"/>
      <c r="E7330" s="24"/>
      <c r="F7330" s="25"/>
      <c r="G7330" s="25"/>
      <c r="H7330" s="27"/>
      <c r="I7330" s="28"/>
      <c r="J7330" s="39"/>
      <c r="K7330" s="41"/>
      <c r="L7330" s="31" t="str">
        <f>IFERROR(__xludf.DUMMYFUNCTION("IF(OR(E7330="""",K7330=""""),"""",IFERROR(IF(K7330="""","""",query('tbl user'!$A$2:$D10975,""SELECT A WHERE D = '""&amp;K7330&amp;""'"")),""USER TIDAK DIKETAHUI""))"),"")</f>
        <v/>
      </c>
    </row>
    <row r="7331">
      <c r="A7331" s="21" t="str">
        <f t="shared" si="3"/>
        <v/>
      </c>
      <c r="B7331" s="38"/>
      <c r="C7331" s="23"/>
      <c r="D7331" s="23"/>
      <c r="E7331" s="24"/>
      <c r="F7331" s="25"/>
      <c r="G7331" s="25"/>
      <c r="H7331" s="27"/>
      <c r="I7331" s="28"/>
      <c r="J7331" s="39"/>
      <c r="K7331" s="41"/>
      <c r="L7331" s="31" t="str">
        <f>IFERROR(__xludf.DUMMYFUNCTION("IF(OR(E7331="""",K7331=""""),"""",IFERROR(IF(K7331="""","""",query('tbl user'!$A$2:$D10975,""SELECT A WHERE D = '""&amp;K7331&amp;""'"")),""USER TIDAK DIKETAHUI""))"),"")</f>
        <v/>
      </c>
    </row>
    <row r="7332">
      <c r="A7332" s="21" t="str">
        <f t="shared" si="3"/>
        <v/>
      </c>
      <c r="B7332" s="38"/>
      <c r="C7332" s="23"/>
      <c r="D7332" s="23"/>
      <c r="E7332" s="24"/>
      <c r="F7332" s="25"/>
      <c r="G7332" s="25"/>
      <c r="H7332" s="27"/>
      <c r="I7332" s="28"/>
      <c r="J7332" s="39"/>
      <c r="K7332" s="41"/>
      <c r="L7332" s="31" t="str">
        <f>IFERROR(__xludf.DUMMYFUNCTION("IF(OR(E7332="""",K7332=""""),"""",IFERROR(IF(K7332="""","""",query('tbl user'!$A$2:$D10975,""SELECT A WHERE D = '""&amp;K7332&amp;""'"")),""USER TIDAK DIKETAHUI""))"),"")</f>
        <v/>
      </c>
    </row>
    <row r="7333">
      <c r="A7333" s="21" t="str">
        <f t="shared" si="3"/>
        <v/>
      </c>
      <c r="B7333" s="38"/>
      <c r="C7333" s="23"/>
      <c r="D7333" s="23"/>
      <c r="E7333" s="24"/>
      <c r="F7333" s="25"/>
      <c r="G7333" s="25"/>
      <c r="H7333" s="27"/>
      <c r="I7333" s="28"/>
      <c r="J7333" s="39"/>
      <c r="K7333" s="41"/>
      <c r="L7333" s="31" t="str">
        <f>IFERROR(__xludf.DUMMYFUNCTION("IF(OR(E7333="""",K7333=""""),"""",IFERROR(IF(K7333="""","""",query('tbl user'!$A$2:$D10975,""SELECT A WHERE D = '""&amp;K7333&amp;""'"")),""USER TIDAK DIKETAHUI""))"),"")</f>
        <v/>
      </c>
    </row>
    <row r="7334">
      <c r="A7334" s="21" t="str">
        <f t="shared" si="3"/>
        <v/>
      </c>
      <c r="B7334" s="38"/>
      <c r="C7334" s="23"/>
      <c r="D7334" s="23"/>
      <c r="E7334" s="24"/>
      <c r="F7334" s="25"/>
      <c r="G7334" s="25"/>
      <c r="H7334" s="27"/>
      <c r="I7334" s="28"/>
      <c r="J7334" s="39"/>
      <c r="K7334" s="41"/>
      <c r="L7334" s="31" t="str">
        <f>IFERROR(__xludf.DUMMYFUNCTION("IF(OR(E7334="""",K7334=""""),"""",IFERROR(IF(K7334="""","""",query('tbl user'!$A$2:$D10975,""SELECT A WHERE D = '""&amp;K7334&amp;""'"")),""USER TIDAK DIKETAHUI""))"),"")</f>
        <v/>
      </c>
    </row>
    <row r="7335">
      <c r="A7335" s="21" t="str">
        <f t="shared" si="3"/>
        <v/>
      </c>
      <c r="B7335" s="38"/>
      <c r="C7335" s="23"/>
      <c r="D7335" s="23"/>
      <c r="E7335" s="24"/>
      <c r="F7335" s="25"/>
      <c r="G7335" s="25"/>
      <c r="H7335" s="27"/>
      <c r="I7335" s="28"/>
      <c r="J7335" s="39"/>
      <c r="K7335" s="41"/>
      <c r="L7335" s="31" t="str">
        <f>IFERROR(__xludf.DUMMYFUNCTION("IF(OR(E7335="""",K7335=""""),"""",IFERROR(IF(K7335="""","""",query('tbl user'!$A$2:$D10975,""SELECT A WHERE D = '""&amp;K7335&amp;""'"")),""USER TIDAK DIKETAHUI""))"),"")</f>
        <v/>
      </c>
    </row>
    <row r="7336">
      <c r="A7336" s="21" t="str">
        <f t="shared" si="3"/>
        <v/>
      </c>
      <c r="B7336" s="38"/>
      <c r="C7336" s="23"/>
      <c r="D7336" s="23"/>
      <c r="E7336" s="24"/>
      <c r="F7336" s="25"/>
      <c r="G7336" s="25"/>
      <c r="H7336" s="27"/>
      <c r="I7336" s="28"/>
      <c r="J7336" s="39"/>
      <c r="K7336" s="41"/>
      <c r="L7336" s="31" t="str">
        <f>IFERROR(__xludf.DUMMYFUNCTION("IF(OR(E7336="""",K7336=""""),"""",IFERROR(IF(K7336="""","""",query('tbl user'!$A$2:$D10975,""SELECT A WHERE D = '""&amp;K7336&amp;""'"")),""USER TIDAK DIKETAHUI""))"),"")</f>
        <v/>
      </c>
    </row>
    <row r="7337">
      <c r="A7337" s="21" t="str">
        <f t="shared" si="3"/>
        <v/>
      </c>
      <c r="B7337" s="38"/>
      <c r="C7337" s="23"/>
      <c r="D7337" s="23"/>
      <c r="E7337" s="24"/>
      <c r="F7337" s="25"/>
      <c r="G7337" s="25"/>
      <c r="H7337" s="27"/>
      <c r="I7337" s="28"/>
      <c r="J7337" s="39"/>
      <c r="K7337" s="41"/>
      <c r="L7337" s="31" t="str">
        <f>IFERROR(__xludf.DUMMYFUNCTION("IF(OR(E7337="""",K7337=""""),"""",IFERROR(IF(K7337="""","""",query('tbl user'!$A$2:$D10975,""SELECT A WHERE D = '""&amp;K7337&amp;""'"")),""USER TIDAK DIKETAHUI""))"),"")</f>
        <v/>
      </c>
    </row>
    <row r="7338">
      <c r="A7338" s="21" t="str">
        <f t="shared" si="3"/>
        <v/>
      </c>
      <c r="B7338" s="38"/>
      <c r="C7338" s="23"/>
      <c r="D7338" s="23"/>
      <c r="E7338" s="24"/>
      <c r="F7338" s="25"/>
      <c r="G7338" s="25"/>
      <c r="H7338" s="27"/>
      <c r="I7338" s="28"/>
      <c r="J7338" s="39"/>
      <c r="K7338" s="41"/>
      <c r="L7338" s="31" t="str">
        <f>IFERROR(__xludf.DUMMYFUNCTION("IF(OR(E7338="""",K7338=""""),"""",IFERROR(IF(K7338="""","""",query('tbl user'!$A$2:$D10975,""SELECT A WHERE D = '""&amp;K7338&amp;""'"")),""USER TIDAK DIKETAHUI""))"),"")</f>
        <v/>
      </c>
    </row>
    <row r="7339">
      <c r="A7339" s="21" t="str">
        <f t="shared" si="3"/>
        <v/>
      </c>
      <c r="B7339" s="38"/>
      <c r="C7339" s="23"/>
      <c r="D7339" s="23"/>
      <c r="E7339" s="24"/>
      <c r="F7339" s="25"/>
      <c r="G7339" s="25"/>
      <c r="H7339" s="27"/>
      <c r="I7339" s="28"/>
      <c r="J7339" s="39"/>
      <c r="K7339" s="41"/>
      <c r="L7339" s="31" t="str">
        <f>IFERROR(__xludf.DUMMYFUNCTION("IF(OR(E7339="""",K7339=""""),"""",IFERROR(IF(K7339="""","""",query('tbl user'!$A$2:$D10975,""SELECT A WHERE D = '""&amp;K7339&amp;""'"")),""USER TIDAK DIKETAHUI""))"),"")</f>
        <v/>
      </c>
    </row>
    <row r="7340">
      <c r="A7340" s="21" t="str">
        <f t="shared" si="3"/>
        <v/>
      </c>
      <c r="B7340" s="38"/>
      <c r="C7340" s="23"/>
      <c r="D7340" s="23"/>
      <c r="E7340" s="24"/>
      <c r="F7340" s="25"/>
      <c r="G7340" s="25"/>
      <c r="H7340" s="27"/>
      <c r="I7340" s="28"/>
      <c r="J7340" s="39"/>
      <c r="K7340" s="41"/>
      <c r="L7340" s="31" t="str">
        <f>IFERROR(__xludf.DUMMYFUNCTION("IF(OR(E7340="""",K7340=""""),"""",IFERROR(IF(K7340="""","""",query('tbl user'!$A$2:$D10975,""SELECT A WHERE D = '""&amp;K7340&amp;""'"")),""USER TIDAK DIKETAHUI""))"),"")</f>
        <v/>
      </c>
    </row>
    <row r="7341">
      <c r="A7341" s="21" t="str">
        <f t="shared" si="3"/>
        <v/>
      </c>
      <c r="B7341" s="38"/>
      <c r="C7341" s="23"/>
      <c r="D7341" s="23"/>
      <c r="E7341" s="24"/>
      <c r="F7341" s="25"/>
      <c r="G7341" s="25"/>
      <c r="H7341" s="27"/>
      <c r="I7341" s="28"/>
      <c r="J7341" s="39"/>
      <c r="K7341" s="41"/>
      <c r="L7341" s="31" t="str">
        <f>IFERROR(__xludf.DUMMYFUNCTION("IF(OR(E7341="""",K7341=""""),"""",IFERROR(IF(K7341="""","""",query('tbl user'!$A$2:$D10975,""SELECT A WHERE D = '""&amp;K7341&amp;""'"")),""USER TIDAK DIKETAHUI""))"),"")</f>
        <v/>
      </c>
    </row>
    <row r="7342">
      <c r="A7342" s="21" t="str">
        <f t="shared" si="3"/>
        <v/>
      </c>
      <c r="B7342" s="38"/>
      <c r="C7342" s="23"/>
      <c r="D7342" s="23"/>
      <c r="E7342" s="24"/>
      <c r="F7342" s="25"/>
      <c r="G7342" s="25"/>
      <c r="H7342" s="27"/>
      <c r="I7342" s="28"/>
      <c r="J7342" s="39"/>
      <c r="K7342" s="41"/>
      <c r="L7342" s="31" t="str">
        <f>IFERROR(__xludf.DUMMYFUNCTION("IF(OR(E7342="""",K7342=""""),"""",IFERROR(IF(K7342="""","""",query('tbl user'!$A$2:$D10975,""SELECT A WHERE D = '""&amp;K7342&amp;""'"")),""USER TIDAK DIKETAHUI""))"),"")</f>
        <v/>
      </c>
    </row>
    <row r="7343">
      <c r="A7343" s="21" t="str">
        <f t="shared" si="3"/>
        <v/>
      </c>
      <c r="B7343" s="38"/>
      <c r="C7343" s="23"/>
      <c r="D7343" s="23"/>
      <c r="E7343" s="24"/>
      <c r="F7343" s="25"/>
      <c r="G7343" s="25"/>
      <c r="H7343" s="27"/>
      <c r="I7343" s="28"/>
      <c r="J7343" s="39"/>
      <c r="K7343" s="41"/>
      <c r="L7343" s="31" t="str">
        <f>IFERROR(__xludf.DUMMYFUNCTION("IF(OR(E7343="""",K7343=""""),"""",IFERROR(IF(K7343="""","""",query('tbl user'!$A$2:$D10975,""SELECT A WHERE D = '""&amp;K7343&amp;""'"")),""USER TIDAK DIKETAHUI""))"),"")</f>
        <v/>
      </c>
    </row>
    <row r="7344">
      <c r="A7344" s="21" t="str">
        <f t="shared" si="3"/>
        <v/>
      </c>
      <c r="B7344" s="38"/>
      <c r="C7344" s="23"/>
      <c r="D7344" s="23"/>
      <c r="E7344" s="24"/>
      <c r="F7344" s="25"/>
      <c r="G7344" s="25"/>
      <c r="H7344" s="27"/>
      <c r="I7344" s="28"/>
      <c r="J7344" s="39"/>
      <c r="K7344" s="41"/>
      <c r="L7344" s="31" t="str">
        <f>IFERROR(__xludf.DUMMYFUNCTION("IF(OR(E7344="""",K7344=""""),"""",IFERROR(IF(K7344="""","""",query('tbl user'!$A$2:$D10975,""SELECT A WHERE D = '""&amp;K7344&amp;""'"")),""USER TIDAK DIKETAHUI""))"),"")</f>
        <v/>
      </c>
    </row>
    <row r="7345">
      <c r="A7345" s="21" t="str">
        <f t="shared" si="3"/>
        <v/>
      </c>
      <c r="B7345" s="38"/>
      <c r="C7345" s="23"/>
      <c r="D7345" s="23"/>
      <c r="E7345" s="24"/>
      <c r="F7345" s="25"/>
      <c r="G7345" s="25"/>
      <c r="H7345" s="27"/>
      <c r="I7345" s="28"/>
      <c r="J7345" s="39"/>
      <c r="K7345" s="41"/>
      <c r="L7345" s="31" t="str">
        <f>IFERROR(__xludf.DUMMYFUNCTION("IF(OR(E7345="""",K7345=""""),"""",IFERROR(IF(K7345="""","""",query('tbl user'!$A$2:$D10975,""SELECT A WHERE D = '""&amp;K7345&amp;""'"")),""USER TIDAK DIKETAHUI""))"),"")</f>
        <v/>
      </c>
    </row>
    <row r="7346">
      <c r="A7346" s="21" t="str">
        <f t="shared" si="3"/>
        <v/>
      </c>
      <c r="B7346" s="38"/>
      <c r="C7346" s="23"/>
      <c r="D7346" s="23"/>
      <c r="E7346" s="24"/>
      <c r="F7346" s="25"/>
      <c r="G7346" s="25"/>
      <c r="H7346" s="27"/>
      <c r="I7346" s="28"/>
      <c r="J7346" s="39"/>
      <c r="K7346" s="41"/>
      <c r="L7346" s="31" t="str">
        <f>IFERROR(__xludf.DUMMYFUNCTION("IF(OR(E7346="""",K7346=""""),"""",IFERROR(IF(K7346="""","""",query('tbl user'!$A$2:$D10975,""SELECT A WHERE D = '""&amp;K7346&amp;""'"")),""USER TIDAK DIKETAHUI""))"),"")</f>
        <v/>
      </c>
    </row>
    <row r="7347">
      <c r="A7347" s="21" t="str">
        <f t="shared" si="3"/>
        <v/>
      </c>
      <c r="B7347" s="38"/>
      <c r="C7347" s="23"/>
      <c r="D7347" s="23"/>
      <c r="E7347" s="24"/>
      <c r="F7347" s="25"/>
      <c r="G7347" s="25"/>
      <c r="H7347" s="27"/>
      <c r="I7347" s="28"/>
      <c r="J7347" s="39"/>
      <c r="K7347" s="41"/>
      <c r="L7347" s="31" t="str">
        <f>IFERROR(__xludf.DUMMYFUNCTION("IF(OR(E7347="""",K7347=""""),"""",IFERROR(IF(K7347="""","""",query('tbl user'!$A$2:$D10975,""SELECT A WHERE D = '""&amp;K7347&amp;""'"")),""USER TIDAK DIKETAHUI""))"),"")</f>
        <v/>
      </c>
    </row>
    <row r="7348">
      <c r="A7348" s="21" t="str">
        <f t="shared" si="3"/>
        <v/>
      </c>
      <c r="B7348" s="38"/>
      <c r="C7348" s="23"/>
      <c r="D7348" s="23"/>
      <c r="E7348" s="24"/>
      <c r="F7348" s="25"/>
      <c r="G7348" s="25"/>
      <c r="H7348" s="27"/>
      <c r="I7348" s="28"/>
      <c r="J7348" s="39"/>
      <c r="K7348" s="41"/>
      <c r="L7348" s="31" t="str">
        <f>IFERROR(__xludf.DUMMYFUNCTION("IF(OR(E7348="""",K7348=""""),"""",IFERROR(IF(K7348="""","""",query('tbl user'!$A$2:$D10975,""SELECT A WHERE D = '""&amp;K7348&amp;""'"")),""USER TIDAK DIKETAHUI""))"),"")</f>
        <v/>
      </c>
    </row>
    <row r="7349">
      <c r="A7349" s="21" t="str">
        <f t="shared" si="3"/>
        <v/>
      </c>
      <c r="B7349" s="38"/>
      <c r="C7349" s="23"/>
      <c r="D7349" s="23"/>
      <c r="E7349" s="24"/>
      <c r="F7349" s="25"/>
      <c r="G7349" s="25"/>
      <c r="H7349" s="27"/>
      <c r="I7349" s="28"/>
      <c r="J7349" s="39"/>
      <c r="K7349" s="41"/>
      <c r="L7349" s="31" t="str">
        <f>IFERROR(__xludf.DUMMYFUNCTION("IF(OR(E7349="""",K7349=""""),"""",IFERROR(IF(K7349="""","""",query('tbl user'!$A$2:$D10975,""SELECT A WHERE D = '""&amp;K7349&amp;""'"")),""USER TIDAK DIKETAHUI""))"),"")</f>
        <v/>
      </c>
    </row>
    <row r="7350">
      <c r="A7350" s="21" t="str">
        <f t="shared" si="3"/>
        <v/>
      </c>
      <c r="B7350" s="38"/>
      <c r="C7350" s="23"/>
      <c r="D7350" s="23"/>
      <c r="E7350" s="24"/>
      <c r="F7350" s="25"/>
      <c r="G7350" s="25"/>
      <c r="H7350" s="27"/>
      <c r="I7350" s="28"/>
      <c r="J7350" s="39"/>
      <c r="K7350" s="41"/>
      <c r="L7350" s="31" t="str">
        <f>IFERROR(__xludf.DUMMYFUNCTION("IF(OR(E7350="""",K7350=""""),"""",IFERROR(IF(K7350="""","""",query('tbl user'!$A$2:$D10975,""SELECT A WHERE D = '""&amp;K7350&amp;""'"")),""USER TIDAK DIKETAHUI""))"),"")</f>
        <v/>
      </c>
    </row>
    <row r="7351">
      <c r="A7351" s="21" t="str">
        <f t="shared" si="3"/>
        <v/>
      </c>
      <c r="B7351" s="38"/>
      <c r="C7351" s="23"/>
      <c r="D7351" s="23"/>
      <c r="E7351" s="24"/>
      <c r="F7351" s="25"/>
      <c r="G7351" s="25"/>
      <c r="H7351" s="27"/>
      <c r="I7351" s="28"/>
      <c r="J7351" s="39"/>
      <c r="K7351" s="41"/>
      <c r="L7351" s="31" t="str">
        <f>IFERROR(__xludf.DUMMYFUNCTION("IF(OR(E7351="""",K7351=""""),"""",IFERROR(IF(K7351="""","""",query('tbl user'!$A$2:$D10975,""SELECT A WHERE D = '""&amp;K7351&amp;""'"")),""USER TIDAK DIKETAHUI""))"),"")</f>
        <v/>
      </c>
    </row>
    <row r="7352">
      <c r="A7352" s="21" t="str">
        <f t="shared" si="3"/>
        <v/>
      </c>
      <c r="B7352" s="38"/>
      <c r="C7352" s="23"/>
      <c r="D7352" s="23"/>
      <c r="E7352" s="24"/>
      <c r="F7352" s="25"/>
      <c r="G7352" s="25"/>
      <c r="H7352" s="27"/>
      <c r="I7352" s="28"/>
      <c r="J7352" s="39"/>
      <c r="K7352" s="41"/>
      <c r="L7352" s="31" t="str">
        <f>IFERROR(__xludf.DUMMYFUNCTION("IF(OR(E7352="""",K7352=""""),"""",IFERROR(IF(K7352="""","""",query('tbl user'!$A$2:$D10975,""SELECT A WHERE D = '""&amp;K7352&amp;""'"")),""USER TIDAK DIKETAHUI""))"),"")</f>
        <v/>
      </c>
    </row>
    <row r="7353">
      <c r="A7353" s="21" t="str">
        <f t="shared" si="3"/>
        <v/>
      </c>
      <c r="B7353" s="38"/>
      <c r="C7353" s="23"/>
      <c r="D7353" s="23"/>
      <c r="E7353" s="24"/>
      <c r="F7353" s="25"/>
      <c r="G7353" s="25"/>
      <c r="H7353" s="27"/>
      <c r="I7353" s="28"/>
      <c r="J7353" s="39"/>
      <c r="K7353" s="41"/>
      <c r="L7353" s="31" t="str">
        <f>IFERROR(__xludf.DUMMYFUNCTION("IF(OR(E7353="""",K7353=""""),"""",IFERROR(IF(K7353="""","""",query('tbl user'!$A$2:$D10975,""SELECT A WHERE D = '""&amp;K7353&amp;""'"")),""USER TIDAK DIKETAHUI""))"),"")</f>
        <v/>
      </c>
    </row>
    <row r="7354">
      <c r="A7354" s="21" t="str">
        <f t="shared" si="3"/>
        <v/>
      </c>
      <c r="B7354" s="38"/>
      <c r="C7354" s="23"/>
      <c r="D7354" s="23"/>
      <c r="E7354" s="24"/>
      <c r="F7354" s="25"/>
      <c r="G7354" s="25"/>
      <c r="H7354" s="27"/>
      <c r="I7354" s="28"/>
      <c r="J7354" s="39"/>
      <c r="K7354" s="41"/>
      <c r="L7354" s="31" t="str">
        <f>IFERROR(__xludf.DUMMYFUNCTION("IF(OR(E7354="""",K7354=""""),"""",IFERROR(IF(K7354="""","""",query('tbl user'!$A$2:$D10975,""SELECT A WHERE D = '""&amp;K7354&amp;""'"")),""USER TIDAK DIKETAHUI""))"),"")</f>
        <v/>
      </c>
    </row>
    <row r="7355">
      <c r="A7355" s="21" t="str">
        <f t="shared" si="3"/>
        <v/>
      </c>
      <c r="B7355" s="38"/>
      <c r="C7355" s="23"/>
      <c r="D7355" s="23"/>
      <c r="E7355" s="24"/>
      <c r="F7355" s="25"/>
      <c r="G7355" s="25"/>
      <c r="H7355" s="27"/>
      <c r="I7355" s="28"/>
      <c r="J7355" s="39"/>
      <c r="K7355" s="41"/>
      <c r="L7355" s="31" t="str">
        <f>IFERROR(__xludf.DUMMYFUNCTION("IF(OR(E7355="""",K7355=""""),"""",IFERROR(IF(K7355="""","""",query('tbl user'!$A$2:$D10975,""SELECT A WHERE D = '""&amp;K7355&amp;""'"")),""USER TIDAK DIKETAHUI""))"),"")</f>
        <v/>
      </c>
    </row>
    <row r="7356">
      <c r="A7356" s="21" t="str">
        <f t="shared" si="3"/>
        <v/>
      </c>
      <c r="B7356" s="38"/>
      <c r="C7356" s="23"/>
      <c r="D7356" s="23"/>
      <c r="E7356" s="24"/>
      <c r="F7356" s="25"/>
      <c r="G7356" s="25"/>
      <c r="H7356" s="27"/>
      <c r="I7356" s="28"/>
      <c r="J7356" s="39"/>
      <c r="K7356" s="41"/>
      <c r="L7356" s="31" t="str">
        <f>IFERROR(__xludf.DUMMYFUNCTION("IF(OR(E7356="""",K7356=""""),"""",IFERROR(IF(K7356="""","""",query('tbl user'!$A$2:$D10975,""SELECT A WHERE D = '""&amp;K7356&amp;""'"")),""USER TIDAK DIKETAHUI""))"),"")</f>
        <v/>
      </c>
    </row>
    <row r="7357">
      <c r="A7357" s="21" t="str">
        <f t="shared" si="3"/>
        <v/>
      </c>
      <c r="B7357" s="38"/>
      <c r="C7357" s="23"/>
      <c r="D7357" s="23"/>
      <c r="E7357" s="24"/>
      <c r="F7357" s="25"/>
      <c r="G7357" s="25"/>
      <c r="H7357" s="27"/>
      <c r="I7357" s="28"/>
      <c r="J7357" s="39"/>
      <c r="K7357" s="41"/>
      <c r="L7357" s="31" t="str">
        <f>IFERROR(__xludf.DUMMYFUNCTION("IF(OR(E7357="""",K7357=""""),"""",IFERROR(IF(K7357="""","""",query('tbl user'!$A$2:$D10975,""SELECT A WHERE D = '""&amp;K7357&amp;""'"")),""USER TIDAK DIKETAHUI""))"),"")</f>
        <v/>
      </c>
    </row>
    <row r="7358">
      <c r="A7358" s="21" t="str">
        <f t="shared" si="3"/>
        <v/>
      </c>
      <c r="B7358" s="38"/>
      <c r="C7358" s="23"/>
      <c r="D7358" s="23"/>
      <c r="E7358" s="24"/>
      <c r="F7358" s="25"/>
      <c r="G7358" s="25"/>
      <c r="H7358" s="27"/>
      <c r="I7358" s="28"/>
      <c r="J7358" s="39"/>
      <c r="K7358" s="41"/>
      <c r="L7358" s="31" t="str">
        <f>IFERROR(__xludf.DUMMYFUNCTION("IF(OR(E7358="""",K7358=""""),"""",IFERROR(IF(K7358="""","""",query('tbl user'!$A$2:$D10975,""SELECT A WHERE D = '""&amp;K7358&amp;""'"")),""USER TIDAK DIKETAHUI""))"),"")</f>
        <v/>
      </c>
    </row>
    <row r="7359">
      <c r="A7359" s="21" t="str">
        <f t="shared" si="3"/>
        <v/>
      </c>
      <c r="B7359" s="38"/>
      <c r="C7359" s="23"/>
      <c r="D7359" s="23"/>
      <c r="E7359" s="24"/>
      <c r="F7359" s="25"/>
      <c r="G7359" s="25"/>
      <c r="H7359" s="27"/>
      <c r="I7359" s="28"/>
      <c r="J7359" s="39"/>
      <c r="K7359" s="41"/>
      <c r="L7359" s="31" t="str">
        <f>IFERROR(__xludf.DUMMYFUNCTION("IF(OR(E7359="""",K7359=""""),"""",IFERROR(IF(K7359="""","""",query('tbl user'!$A$2:$D10975,""SELECT A WHERE D = '""&amp;K7359&amp;""'"")),""USER TIDAK DIKETAHUI""))"),"")</f>
        <v/>
      </c>
    </row>
    <row r="7360">
      <c r="A7360" s="21" t="str">
        <f t="shared" si="3"/>
        <v/>
      </c>
      <c r="B7360" s="38"/>
      <c r="C7360" s="23"/>
      <c r="D7360" s="23"/>
      <c r="E7360" s="24"/>
      <c r="F7360" s="25"/>
      <c r="G7360" s="25"/>
      <c r="H7360" s="27"/>
      <c r="I7360" s="28"/>
      <c r="J7360" s="39"/>
      <c r="K7360" s="41"/>
      <c r="L7360" s="31" t="str">
        <f>IFERROR(__xludf.DUMMYFUNCTION("IF(OR(E7360="""",K7360=""""),"""",IFERROR(IF(K7360="""","""",query('tbl user'!$A$2:$D10975,""SELECT A WHERE D = '""&amp;K7360&amp;""'"")),""USER TIDAK DIKETAHUI""))"),"")</f>
        <v/>
      </c>
    </row>
    <row r="7361">
      <c r="A7361" s="21" t="str">
        <f t="shared" si="3"/>
        <v/>
      </c>
      <c r="B7361" s="38"/>
      <c r="C7361" s="23"/>
      <c r="D7361" s="23"/>
      <c r="E7361" s="24"/>
      <c r="F7361" s="25"/>
      <c r="G7361" s="25"/>
      <c r="H7361" s="27"/>
      <c r="I7361" s="28"/>
      <c r="J7361" s="39"/>
      <c r="K7361" s="41"/>
      <c r="L7361" s="31" t="str">
        <f>IFERROR(__xludf.DUMMYFUNCTION("IF(OR(E7361="""",K7361=""""),"""",IFERROR(IF(K7361="""","""",query('tbl user'!$A$2:$D10975,""SELECT A WHERE D = '""&amp;K7361&amp;""'"")),""USER TIDAK DIKETAHUI""))"),"")</f>
        <v/>
      </c>
    </row>
    <row r="7362">
      <c r="A7362" s="21" t="str">
        <f t="shared" si="3"/>
        <v/>
      </c>
      <c r="B7362" s="38"/>
      <c r="C7362" s="23"/>
      <c r="D7362" s="23"/>
      <c r="E7362" s="24"/>
      <c r="F7362" s="25"/>
      <c r="G7362" s="25"/>
      <c r="H7362" s="27"/>
      <c r="I7362" s="28"/>
      <c r="J7362" s="39"/>
      <c r="K7362" s="41"/>
      <c r="L7362" s="31" t="str">
        <f>IFERROR(__xludf.DUMMYFUNCTION("IF(OR(E7362="""",K7362=""""),"""",IFERROR(IF(K7362="""","""",query('tbl user'!$A$2:$D10975,""SELECT A WHERE D = '""&amp;K7362&amp;""'"")),""USER TIDAK DIKETAHUI""))"),"")</f>
        <v/>
      </c>
    </row>
    <row r="7363">
      <c r="A7363" s="21" t="str">
        <f t="shared" si="3"/>
        <v/>
      </c>
      <c r="B7363" s="38"/>
      <c r="C7363" s="23"/>
      <c r="D7363" s="23"/>
      <c r="E7363" s="24"/>
      <c r="F7363" s="25"/>
      <c r="G7363" s="25"/>
      <c r="H7363" s="27"/>
      <c r="I7363" s="28"/>
      <c r="J7363" s="39"/>
      <c r="K7363" s="41"/>
      <c r="L7363" s="31" t="str">
        <f>IFERROR(__xludf.DUMMYFUNCTION("IF(OR(E7363="""",K7363=""""),"""",IFERROR(IF(K7363="""","""",query('tbl user'!$A$2:$D10975,""SELECT A WHERE D = '""&amp;K7363&amp;""'"")),""USER TIDAK DIKETAHUI""))"),"")</f>
        <v/>
      </c>
    </row>
    <row r="7364">
      <c r="A7364" s="21" t="str">
        <f t="shared" si="3"/>
        <v/>
      </c>
      <c r="B7364" s="38"/>
      <c r="C7364" s="23"/>
      <c r="D7364" s="23"/>
      <c r="E7364" s="24"/>
      <c r="F7364" s="25"/>
      <c r="G7364" s="25"/>
      <c r="H7364" s="27"/>
      <c r="I7364" s="28"/>
      <c r="J7364" s="39"/>
      <c r="K7364" s="41"/>
      <c r="L7364" s="31" t="str">
        <f>IFERROR(__xludf.DUMMYFUNCTION("IF(OR(E7364="""",K7364=""""),"""",IFERROR(IF(K7364="""","""",query('tbl user'!$A$2:$D10975,""SELECT A WHERE D = '""&amp;K7364&amp;""'"")),""USER TIDAK DIKETAHUI""))"),"")</f>
        <v/>
      </c>
    </row>
    <row r="7365">
      <c r="A7365" s="21" t="str">
        <f t="shared" si="3"/>
        <v/>
      </c>
      <c r="B7365" s="38"/>
      <c r="C7365" s="23"/>
      <c r="D7365" s="23"/>
      <c r="E7365" s="24"/>
      <c r="F7365" s="25"/>
      <c r="G7365" s="25"/>
      <c r="H7365" s="27"/>
      <c r="I7365" s="28"/>
      <c r="J7365" s="39"/>
      <c r="K7365" s="41"/>
      <c r="L7365" s="31" t="str">
        <f>IFERROR(__xludf.DUMMYFUNCTION("IF(OR(E7365="""",K7365=""""),"""",IFERROR(IF(K7365="""","""",query('tbl user'!$A$2:$D10975,""SELECT A WHERE D = '""&amp;K7365&amp;""'"")),""USER TIDAK DIKETAHUI""))"),"")</f>
        <v/>
      </c>
    </row>
    <row r="7366">
      <c r="A7366" s="21" t="str">
        <f t="shared" si="3"/>
        <v/>
      </c>
      <c r="B7366" s="38"/>
      <c r="C7366" s="23"/>
      <c r="D7366" s="23"/>
      <c r="E7366" s="24"/>
      <c r="F7366" s="25"/>
      <c r="G7366" s="25"/>
      <c r="H7366" s="27"/>
      <c r="I7366" s="28"/>
      <c r="J7366" s="39"/>
      <c r="K7366" s="41"/>
      <c r="L7366" s="31" t="str">
        <f>IFERROR(__xludf.DUMMYFUNCTION("IF(OR(E7366="""",K7366=""""),"""",IFERROR(IF(K7366="""","""",query('tbl user'!$A$2:$D10975,""SELECT A WHERE D = '""&amp;K7366&amp;""'"")),""USER TIDAK DIKETAHUI""))"),"")</f>
        <v/>
      </c>
    </row>
    <row r="7367">
      <c r="A7367" s="21" t="str">
        <f t="shared" si="3"/>
        <v/>
      </c>
      <c r="B7367" s="38"/>
      <c r="C7367" s="23"/>
      <c r="D7367" s="23"/>
      <c r="E7367" s="24"/>
      <c r="F7367" s="25"/>
      <c r="G7367" s="25"/>
      <c r="H7367" s="27"/>
      <c r="I7367" s="28"/>
      <c r="J7367" s="39"/>
      <c r="K7367" s="41"/>
      <c r="L7367" s="31" t="str">
        <f>IFERROR(__xludf.DUMMYFUNCTION("IF(OR(E7367="""",K7367=""""),"""",IFERROR(IF(K7367="""","""",query('tbl user'!$A$2:$D10975,""SELECT A WHERE D = '""&amp;K7367&amp;""'"")),""USER TIDAK DIKETAHUI""))"),"")</f>
        <v/>
      </c>
    </row>
    <row r="7368">
      <c r="A7368" s="21" t="str">
        <f t="shared" si="3"/>
        <v/>
      </c>
      <c r="B7368" s="38"/>
      <c r="C7368" s="23"/>
      <c r="D7368" s="23"/>
      <c r="E7368" s="24"/>
      <c r="F7368" s="25"/>
      <c r="G7368" s="25"/>
      <c r="H7368" s="27"/>
      <c r="I7368" s="28"/>
      <c r="J7368" s="39"/>
      <c r="K7368" s="41"/>
      <c r="L7368" s="31" t="str">
        <f>IFERROR(__xludf.DUMMYFUNCTION("IF(OR(E7368="""",K7368=""""),"""",IFERROR(IF(K7368="""","""",query('tbl user'!$A$2:$D10975,""SELECT A WHERE D = '""&amp;K7368&amp;""'"")),""USER TIDAK DIKETAHUI""))"),"")</f>
        <v/>
      </c>
    </row>
    <row r="7369">
      <c r="A7369" s="21" t="str">
        <f t="shared" si="3"/>
        <v/>
      </c>
      <c r="B7369" s="38"/>
      <c r="C7369" s="23"/>
      <c r="D7369" s="23"/>
      <c r="E7369" s="24"/>
      <c r="F7369" s="25"/>
      <c r="G7369" s="25"/>
      <c r="H7369" s="27"/>
      <c r="I7369" s="28"/>
      <c r="J7369" s="39"/>
      <c r="K7369" s="41"/>
      <c r="L7369" s="31" t="str">
        <f>IFERROR(__xludf.DUMMYFUNCTION("IF(OR(E7369="""",K7369=""""),"""",IFERROR(IF(K7369="""","""",query('tbl user'!$A$2:$D10975,""SELECT A WHERE D = '""&amp;K7369&amp;""'"")),""USER TIDAK DIKETAHUI""))"),"")</f>
        <v/>
      </c>
    </row>
    <row r="7370">
      <c r="A7370" s="21" t="str">
        <f t="shared" si="3"/>
        <v/>
      </c>
      <c r="B7370" s="38"/>
      <c r="C7370" s="23"/>
      <c r="D7370" s="23"/>
      <c r="E7370" s="24"/>
      <c r="F7370" s="25"/>
      <c r="G7370" s="25"/>
      <c r="H7370" s="27"/>
      <c r="I7370" s="28"/>
      <c r="J7370" s="39"/>
      <c r="K7370" s="41"/>
      <c r="L7370" s="31" t="str">
        <f>IFERROR(__xludf.DUMMYFUNCTION("IF(OR(E7370="""",K7370=""""),"""",IFERROR(IF(K7370="""","""",query('tbl user'!$A$2:$D10975,""SELECT A WHERE D = '""&amp;K7370&amp;""'"")),""USER TIDAK DIKETAHUI""))"),"")</f>
        <v/>
      </c>
    </row>
    <row r="7371">
      <c r="A7371" s="21" t="str">
        <f t="shared" si="3"/>
        <v/>
      </c>
      <c r="B7371" s="38"/>
      <c r="C7371" s="23"/>
      <c r="D7371" s="23"/>
      <c r="E7371" s="24"/>
      <c r="F7371" s="25"/>
      <c r="G7371" s="25"/>
      <c r="H7371" s="27"/>
      <c r="I7371" s="28"/>
      <c r="J7371" s="39"/>
      <c r="K7371" s="41"/>
      <c r="L7371" s="31" t="str">
        <f>IFERROR(__xludf.DUMMYFUNCTION("IF(OR(E7371="""",K7371=""""),"""",IFERROR(IF(K7371="""","""",query('tbl user'!$A$2:$D10975,""SELECT A WHERE D = '""&amp;K7371&amp;""'"")),""USER TIDAK DIKETAHUI""))"),"")</f>
        <v/>
      </c>
    </row>
    <row r="7372">
      <c r="A7372" s="21" t="str">
        <f t="shared" si="3"/>
        <v/>
      </c>
      <c r="B7372" s="38"/>
      <c r="C7372" s="23"/>
      <c r="D7372" s="23"/>
      <c r="E7372" s="24"/>
      <c r="F7372" s="25"/>
      <c r="G7372" s="25"/>
      <c r="H7372" s="27"/>
      <c r="I7372" s="28"/>
      <c r="J7372" s="39"/>
      <c r="K7372" s="41"/>
      <c r="L7372" s="31" t="str">
        <f>IFERROR(__xludf.DUMMYFUNCTION("IF(OR(E7372="""",K7372=""""),"""",IFERROR(IF(K7372="""","""",query('tbl user'!$A$2:$D10975,""SELECT A WHERE D = '""&amp;K7372&amp;""'"")),""USER TIDAK DIKETAHUI""))"),"")</f>
        <v/>
      </c>
    </row>
    <row r="7373">
      <c r="A7373" s="21" t="str">
        <f t="shared" si="3"/>
        <v/>
      </c>
      <c r="B7373" s="38"/>
      <c r="C7373" s="23"/>
      <c r="D7373" s="23"/>
      <c r="E7373" s="24"/>
      <c r="F7373" s="25"/>
      <c r="G7373" s="25"/>
      <c r="H7373" s="27"/>
      <c r="I7373" s="28"/>
      <c r="J7373" s="39"/>
      <c r="K7373" s="41"/>
      <c r="L7373" s="31" t="str">
        <f>IFERROR(__xludf.DUMMYFUNCTION("IF(OR(E7373="""",K7373=""""),"""",IFERROR(IF(K7373="""","""",query('tbl user'!$A$2:$D10975,""SELECT A WHERE D = '""&amp;K7373&amp;""'"")),""USER TIDAK DIKETAHUI""))"),"")</f>
        <v/>
      </c>
    </row>
    <row r="7374">
      <c r="A7374" s="21" t="str">
        <f t="shared" si="3"/>
        <v/>
      </c>
      <c r="B7374" s="38"/>
      <c r="C7374" s="23"/>
      <c r="D7374" s="23"/>
      <c r="E7374" s="24"/>
      <c r="F7374" s="25"/>
      <c r="G7374" s="25"/>
      <c r="H7374" s="27"/>
      <c r="I7374" s="28"/>
      <c r="J7374" s="39"/>
      <c r="K7374" s="41"/>
      <c r="L7374" s="31" t="str">
        <f>IFERROR(__xludf.DUMMYFUNCTION("IF(OR(E7374="""",K7374=""""),"""",IFERROR(IF(K7374="""","""",query('tbl user'!$A$2:$D10975,""SELECT A WHERE D = '""&amp;K7374&amp;""'"")),""USER TIDAK DIKETAHUI""))"),"")</f>
        <v/>
      </c>
    </row>
    <row r="7375">
      <c r="A7375" s="21" t="str">
        <f t="shared" si="3"/>
        <v/>
      </c>
      <c r="B7375" s="38"/>
      <c r="C7375" s="23"/>
      <c r="D7375" s="23"/>
      <c r="E7375" s="24"/>
      <c r="F7375" s="25"/>
      <c r="G7375" s="25"/>
      <c r="H7375" s="27"/>
      <c r="I7375" s="28"/>
      <c r="J7375" s="39"/>
      <c r="K7375" s="41"/>
      <c r="L7375" s="31" t="str">
        <f>IFERROR(__xludf.DUMMYFUNCTION("IF(OR(E7375="""",K7375=""""),"""",IFERROR(IF(K7375="""","""",query('tbl user'!$A$2:$D10975,""SELECT A WHERE D = '""&amp;K7375&amp;""'"")),""USER TIDAK DIKETAHUI""))"),"")</f>
        <v/>
      </c>
    </row>
    <row r="7376">
      <c r="A7376" s="21" t="str">
        <f t="shared" si="3"/>
        <v/>
      </c>
      <c r="B7376" s="38"/>
      <c r="C7376" s="23"/>
      <c r="D7376" s="23"/>
      <c r="E7376" s="24"/>
      <c r="F7376" s="25"/>
      <c r="G7376" s="25"/>
      <c r="H7376" s="27"/>
      <c r="I7376" s="28"/>
      <c r="J7376" s="39"/>
      <c r="K7376" s="41"/>
      <c r="L7376" s="31" t="str">
        <f>IFERROR(__xludf.DUMMYFUNCTION("IF(OR(E7376="""",K7376=""""),"""",IFERROR(IF(K7376="""","""",query('tbl user'!$A$2:$D10975,""SELECT A WHERE D = '""&amp;K7376&amp;""'"")),""USER TIDAK DIKETAHUI""))"),"")</f>
        <v/>
      </c>
    </row>
    <row r="7377">
      <c r="A7377" s="21" t="str">
        <f t="shared" si="3"/>
        <v/>
      </c>
      <c r="B7377" s="38"/>
      <c r="C7377" s="23"/>
      <c r="D7377" s="23"/>
      <c r="E7377" s="24"/>
      <c r="F7377" s="25"/>
      <c r="G7377" s="25"/>
      <c r="H7377" s="27"/>
      <c r="I7377" s="28"/>
      <c r="J7377" s="39"/>
      <c r="K7377" s="41"/>
      <c r="L7377" s="31" t="str">
        <f>IFERROR(__xludf.DUMMYFUNCTION("IF(OR(E7377="""",K7377=""""),"""",IFERROR(IF(K7377="""","""",query('tbl user'!$A$2:$D10975,""SELECT A WHERE D = '""&amp;K7377&amp;""'"")),""USER TIDAK DIKETAHUI""))"),"")</f>
        <v/>
      </c>
    </row>
    <row r="7378">
      <c r="A7378" s="21" t="str">
        <f t="shared" si="3"/>
        <v/>
      </c>
      <c r="B7378" s="38"/>
      <c r="C7378" s="23"/>
      <c r="D7378" s="23"/>
      <c r="E7378" s="24"/>
      <c r="F7378" s="25"/>
      <c r="G7378" s="25"/>
      <c r="H7378" s="27"/>
      <c r="I7378" s="28"/>
      <c r="J7378" s="39"/>
      <c r="K7378" s="41"/>
      <c r="L7378" s="31" t="str">
        <f>IFERROR(__xludf.DUMMYFUNCTION("IF(OR(E7378="""",K7378=""""),"""",IFERROR(IF(K7378="""","""",query('tbl user'!$A$2:$D10975,""SELECT A WHERE D = '""&amp;K7378&amp;""'"")),""USER TIDAK DIKETAHUI""))"),"")</f>
        <v/>
      </c>
    </row>
    <row r="7379">
      <c r="A7379" s="21" t="str">
        <f t="shared" si="3"/>
        <v/>
      </c>
      <c r="B7379" s="38"/>
      <c r="C7379" s="23"/>
      <c r="D7379" s="23"/>
      <c r="E7379" s="24"/>
      <c r="F7379" s="25"/>
      <c r="G7379" s="25"/>
      <c r="H7379" s="27"/>
      <c r="I7379" s="28"/>
      <c r="J7379" s="39"/>
      <c r="K7379" s="41"/>
      <c r="L7379" s="31" t="str">
        <f>IFERROR(__xludf.DUMMYFUNCTION("IF(OR(E7379="""",K7379=""""),"""",IFERROR(IF(K7379="""","""",query('tbl user'!$A$2:$D10975,""SELECT A WHERE D = '""&amp;K7379&amp;""'"")),""USER TIDAK DIKETAHUI""))"),"")</f>
        <v/>
      </c>
    </row>
    <row r="7380">
      <c r="A7380" s="21" t="str">
        <f t="shared" si="3"/>
        <v/>
      </c>
      <c r="B7380" s="38"/>
      <c r="C7380" s="23"/>
      <c r="D7380" s="23"/>
      <c r="E7380" s="24"/>
      <c r="F7380" s="25"/>
      <c r="G7380" s="25"/>
      <c r="H7380" s="27"/>
      <c r="I7380" s="28"/>
      <c r="J7380" s="39"/>
      <c r="K7380" s="41"/>
      <c r="L7380" s="31" t="str">
        <f>IFERROR(__xludf.DUMMYFUNCTION("IF(OR(E7380="""",K7380=""""),"""",IFERROR(IF(K7380="""","""",query('tbl user'!$A$2:$D10975,""SELECT A WHERE D = '""&amp;K7380&amp;""'"")),""USER TIDAK DIKETAHUI""))"),"")</f>
        <v/>
      </c>
    </row>
    <row r="7381">
      <c r="A7381" s="21" t="str">
        <f t="shared" si="3"/>
        <v/>
      </c>
      <c r="B7381" s="38"/>
      <c r="C7381" s="23"/>
      <c r="D7381" s="23"/>
      <c r="E7381" s="24"/>
      <c r="F7381" s="25"/>
      <c r="G7381" s="25"/>
      <c r="H7381" s="27"/>
      <c r="I7381" s="28"/>
      <c r="J7381" s="39"/>
      <c r="K7381" s="41"/>
      <c r="L7381" s="31" t="str">
        <f>IFERROR(__xludf.DUMMYFUNCTION("IF(OR(E7381="""",K7381=""""),"""",IFERROR(IF(K7381="""","""",query('tbl user'!$A$2:$D10975,""SELECT A WHERE D = '""&amp;K7381&amp;""'"")),""USER TIDAK DIKETAHUI""))"),"")</f>
        <v/>
      </c>
    </row>
    <row r="7382">
      <c r="A7382" s="21" t="str">
        <f t="shared" si="3"/>
        <v/>
      </c>
      <c r="B7382" s="38"/>
      <c r="C7382" s="23"/>
      <c r="D7382" s="23"/>
      <c r="E7382" s="24"/>
      <c r="F7382" s="25"/>
      <c r="G7382" s="25"/>
      <c r="H7382" s="27"/>
      <c r="I7382" s="28"/>
      <c r="J7382" s="39"/>
      <c r="K7382" s="41"/>
      <c r="L7382" s="31" t="str">
        <f>IFERROR(__xludf.DUMMYFUNCTION("IF(OR(E7382="""",K7382=""""),"""",IFERROR(IF(K7382="""","""",query('tbl user'!$A$2:$D10975,""SELECT A WHERE D = '""&amp;K7382&amp;""'"")),""USER TIDAK DIKETAHUI""))"),"")</f>
        <v/>
      </c>
    </row>
    <row r="7383">
      <c r="A7383" s="21" t="str">
        <f t="shared" si="3"/>
        <v/>
      </c>
      <c r="B7383" s="38"/>
      <c r="C7383" s="23"/>
      <c r="D7383" s="23"/>
      <c r="E7383" s="24"/>
      <c r="F7383" s="25"/>
      <c r="G7383" s="25"/>
      <c r="H7383" s="27"/>
      <c r="I7383" s="28"/>
      <c r="J7383" s="39"/>
      <c r="K7383" s="41"/>
      <c r="L7383" s="31" t="str">
        <f>IFERROR(__xludf.DUMMYFUNCTION("IF(OR(E7383="""",K7383=""""),"""",IFERROR(IF(K7383="""","""",query('tbl user'!$A$2:$D10975,""SELECT A WHERE D = '""&amp;K7383&amp;""'"")),""USER TIDAK DIKETAHUI""))"),"")</f>
        <v/>
      </c>
    </row>
    <row r="7384">
      <c r="A7384" s="21" t="str">
        <f t="shared" si="3"/>
        <v/>
      </c>
      <c r="B7384" s="38"/>
      <c r="C7384" s="23"/>
      <c r="D7384" s="23"/>
      <c r="E7384" s="24"/>
      <c r="F7384" s="25"/>
      <c r="G7384" s="25"/>
      <c r="H7384" s="27"/>
      <c r="I7384" s="28"/>
      <c r="J7384" s="39"/>
      <c r="K7384" s="41"/>
      <c r="L7384" s="31" t="str">
        <f>IFERROR(__xludf.DUMMYFUNCTION("IF(OR(E7384="""",K7384=""""),"""",IFERROR(IF(K7384="""","""",query('tbl user'!$A$2:$D10975,""SELECT A WHERE D = '""&amp;K7384&amp;""'"")),""USER TIDAK DIKETAHUI""))"),"")</f>
        <v/>
      </c>
    </row>
    <row r="7385">
      <c r="A7385" s="21" t="str">
        <f t="shared" si="3"/>
        <v/>
      </c>
      <c r="B7385" s="38"/>
      <c r="C7385" s="23"/>
      <c r="D7385" s="23"/>
      <c r="E7385" s="24"/>
      <c r="F7385" s="25"/>
      <c r="G7385" s="25"/>
      <c r="H7385" s="27"/>
      <c r="I7385" s="28"/>
      <c r="J7385" s="39"/>
      <c r="K7385" s="41"/>
      <c r="L7385" s="31" t="str">
        <f>IFERROR(__xludf.DUMMYFUNCTION("IF(OR(E7385="""",K7385=""""),"""",IFERROR(IF(K7385="""","""",query('tbl user'!$A$2:$D10975,""SELECT A WHERE D = '""&amp;K7385&amp;""'"")),""USER TIDAK DIKETAHUI""))"),"")</f>
        <v/>
      </c>
    </row>
    <row r="7386">
      <c r="A7386" s="21" t="str">
        <f t="shared" si="3"/>
        <v/>
      </c>
      <c r="B7386" s="38"/>
      <c r="C7386" s="23"/>
      <c r="D7386" s="23"/>
      <c r="E7386" s="24"/>
      <c r="F7386" s="25"/>
      <c r="G7386" s="25"/>
      <c r="H7386" s="27"/>
      <c r="I7386" s="28"/>
      <c r="J7386" s="39"/>
      <c r="K7386" s="41"/>
      <c r="L7386" s="31" t="str">
        <f>IFERROR(__xludf.DUMMYFUNCTION("IF(OR(E7386="""",K7386=""""),"""",IFERROR(IF(K7386="""","""",query('tbl user'!$A$2:$D10975,""SELECT A WHERE D = '""&amp;K7386&amp;""'"")),""USER TIDAK DIKETAHUI""))"),"")</f>
        <v/>
      </c>
    </row>
    <row r="7387">
      <c r="A7387" s="21" t="str">
        <f t="shared" si="3"/>
        <v/>
      </c>
      <c r="B7387" s="38"/>
      <c r="C7387" s="23"/>
      <c r="D7387" s="23"/>
      <c r="E7387" s="24"/>
      <c r="F7387" s="25"/>
      <c r="G7387" s="25"/>
      <c r="H7387" s="27"/>
      <c r="I7387" s="28"/>
      <c r="J7387" s="39"/>
      <c r="K7387" s="41"/>
      <c r="L7387" s="31" t="str">
        <f>IFERROR(__xludf.DUMMYFUNCTION("IF(OR(E7387="""",K7387=""""),"""",IFERROR(IF(K7387="""","""",query('tbl user'!$A$2:$D10975,""SELECT A WHERE D = '""&amp;K7387&amp;""'"")),""USER TIDAK DIKETAHUI""))"),"")</f>
        <v/>
      </c>
    </row>
    <row r="7388">
      <c r="A7388" s="21" t="str">
        <f t="shared" si="3"/>
        <v/>
      </c>
      <c r="B7388" s="38"/>
      <c r="C7388" s="23"/>
      <c r="D7388" s="23"/>
      <c r="E7388" s="24"/>
      <c r="F7388" s="25"/>
      <c r="G7388" s="25"/>
      <c r="H7388" s="27"/>
      <c r="I7388" s="28"/>
      <c r="J7388" s="39"/>
      <c r="K7388" s="41"/>
      <c r="L7388" s="31" t="str">
        <f>IFERROR(__xludf.DUMMYFUNCTION("IF(OR(E7388="""",K7388=""""),"""",IFERROR(IF(K7388="""","""",query('tbl user'!$A$2:$D10975,""SELECT A WHERE D = '""&amp;K7388&amp;""'"")),""USER TIDAK DIKETAHUI""))"),"")</f>
        <v/>
      </c>
    </row>
    <row r="7389">
      <c r="A7389" s="21" t="str">
        <f t="shared" si="3"/>
        <v/>
      </c>
      <c r="B7389" s="38"/>
      <c r="C7389" s="23"/>
      <c r="D7389" s="23"/>
      <c r="E7389" s="24"/>
      <c r="F7389" s="25"/>
      <c r="G7389" s="25"/>
      <c r="H7389" s="27"/>
      <c r="I7389" s="28"/>
      <c r="J7389" s="39"/>
      <c r="K7389" s="41"/>
      <c r="L7389" s="31" t="str">
        <f>IFERROR(__xludf.DUMMYFUNCTION("IF(OR(E7389="""",K7389=""""),"""",IFERROR(IF(K7389="""","""",query('tbl user'!$A$2:$D10975,""SELECT A WHERE D = '""&amp;K7389&amp;""'"")),""USER TIDAK DIKETAHUI""))"),"")</f>
        <v/>
      </c>
    </row>
    <row r="7390">
      <c r="A7390" s="21" t="str">
        <f t="shared" si="3"/>
        <v/>
      </c>
      <c r="B7390" s="38"/>
      <c r="C7390" s="23"/>
      <c r="D7390" s="23"/>
      <c r="E7390" s="24"/>
      <c r="F7390" s="25"/>
      <c r="G7390" s="25"/>
      <c r="H7390" s="27"/>
      <c r="I7390" s="28"/>
      <c r="J7390" s="39"/>
      <c r="K7390" s="41"/>
      <c r="L7390" s="31" t="str">
        <f>IFERROR(__xludf.DUMMYFUNCTION("IF(OR(E7390="""",K7390=""""),"""",IFERROR(IF(K7390="""","""",query('tbl user'!$A$2:$D10975,""SELECT A WHERE D = '""&amp;K7390&amp;""'"")),""USER TIDAK DIKETAHUI""))"),"")</f>
        <v/>
      </c>
    </row>
    <row r="7391">
      <c r="A7391" s="21" t="str">
        <f t="shared" si="3"/>
        <v/>
      </c>
      <c r="B7391" s="38"/>
      <c r="C7391" s="23"/>
      <c r="D7391" s="23"/>
      <c r="E7391" s="24"/>
      <c r="F7391" s="25"/>
      <c r="G7391" s="25"/>
      <c r="H7391" s="27"/>
      <c r="I7391" s="28"/>
      <c r="J7391" s="39"/>
      <c r="K7391" s="41"/>
      <c r="L7391" s="31" t="str">
        <f>IFERROR(__xludf.DUMMYFUNCTION("IF(OR(E7391="""",K7391=""""),"""",IFERROR(IF(K7391="""","""",query('tbl user'!$A$2:$D10975,""SELECT A WHERE D = '""&amp;K7391&amp;""'"")),""USER TIDAK DIKETAHUI""))"),"")</f>
        <v/>
      </c>
    </row>
    <row r="7392">
      <c r="A7392" s="21" t="str">
        <f t="shared" si="3"/>
        <v/>
      </c>
      <c r="B7392" s="38"/>
      <c r="C7392" s="23"/>
      <c r="D7392" s="23"/>
      <c r="E7392" s="24"/>
      <c r="F7392" s="25"/>
      <c r="G7392" s="25"/>
      <c r="H7392" s="27"/>
      <c r="I7392" s="28"/>
      <c r="J7392" s="39"/>
      <c r="K7392" s="41"/>
      <c r="L7392" s="31" t="str">
        <f>IFERROR(__xludf.DUMMYFUNCTION("IF(OR(E7392="""",K7392=""""),"""",IFERROR(IF(K7392="""","""",query('tbl user'!$A$2:$D10975,""SELECT A WHERE D = '""&amp;K7392&amp;""'"")),""USER TIDAK DIKETAHUI""))"),"")</f>
        <v/>
      </c>
    </row>
    <row r="7393">
      <c r="A7393" s="21" t="str">
        <f t="shared" si="3"/>
        <v/>
      </c>
      <c r="B7393" s="38"/>
      <c r="C7393" s="23"/>
      <c r="D7393" s="23"/>
      <c r="E7393" s="24"/>
      <c r="F7393" s="25"/>
      <c r="G7393" s="25"/>
      <c r="H7393" s="27"/>
      <c r="I7393" s="28"/>
      <c r="J7393" s="39"/>
      <c r="K7393" s="41"/>
      <c r="L7393" s="31" t="str">
        <f>IFERROR(__xludf.DUMMYFUNCTION("IF(OR(E7393="""",K7393=""""),"""",IFERROR(IF(K7393="""","""",query('tbl user'!$A$2:$D10975,""SELECT A WHERE D = '""&amp;K7393&amp;""'"")),""USER TIDAK DIKETAHUI""))"),"")</f>
        <v/>
      </c>
    </row>
    <row r="7394">
      <c r="A7394" s="21" t="str">
        <f t="shared" si="3"/>
        <v/>
      </c>
      <c r="B7394" s="38"/>
      <c r="C7394" s="23"/>
      <c r="D7394" s="23"/>
      <c r="E7394" s="24"/>
      <c r="F7394" s="25"/>
      <c r="G7394" s="25"/>
      <c r="H7394" s="27"/>
      <c r="I7394" s="28"/>
      <c r="J7394" s="39"/>
      <c r="K7394" s="41"/>
      <c r="L7394" s="31" t="str">
        <f>IFERROR(__xludf.DUMMYFUNCTION("IF(OR(E7394="""",K7394=""""),"""",IFERROR(IF(K7394="""","""",query('tbl user'!$A$2:$D10975,""SELECT A WHERE D = '""&amp;K7394&amp;""'"")),""USER TIDAK DIKETAHUI""))"),"")</f>
        <v/>
      </c>
    </row>
    <row r="7395">
      <c r="A7395" s="21" t="str">
        <f t="shared" si="3"/>
        <v/>
      </c>
      <c r="B7395" s="38"/>
      <c r="C7395" s="23"/>
      <c r="D7395" s="23"/>
      <c r="E7395" s="24"/>
      <c r="F7395" s="25"/>
      <c r="G7395" s="25"/>
      <c r="H7395" s="27"/>
      <c r="I7395" s="28"/>
      <c r="J7395" s="39"/>
      <c r="K7395" s="41"/>
      <c r="L7395" s="31" t="str">
        <f>IFERROR(__xludf.DUMMYFUNCTION("IF(OR(E7395="""",K7395=""""),"""",IFERROR(IF(K7395="""","""",query('tbl user'!$A$2:$D10975,""SELECT A WHERE D = '""&amp;K7395&amp;""'"")),""USER TIDAK DIKETAHUI""))"),"")</f>
        <v/>
      </c>
    </row>
    <row r="7396">
      <c r="A7396" s="21" t="str">
        <f t="shared" si="3"/>
        <v/>
      </c>
      <c r="B7396" s="38"/>
      <c r="C7396" s="23"/>
      <c r="D7396" s="23"/>
      <c r="E7396" s="24"/>
      <c r="F7396" s="25"/>
      <c r="G7396" s="25"/>
      <c r="H7396" s="27"/>
      <c r="I7396" s="28"/>
      <c r="J7396" s="39"/>
      <c r="K7396" s="41"/>
      <c r="L7396" s="31" t="str">
        <f>IFERROR(__xludf.DUMMYFUNCTION("IF(OR(E7396="""",K7396=""""),"""",IFERROR(IF(K7396="""","""",query('tbl user'!$A$2:$D10975,""SELECT A WHERE D = '""&amp;K7396&amp;""'"")),""USER TIDAK DIKETAHUI""))"),"")</f>
        <v/>
      </c>
    </row>
    <row r="7397">
      <c r="A7397" s="21" t="str">
        <f t="shared" si="3"/>
        <v/>
      </c>
      <c r="B7397" s="38"/>
      <c r="C7397" s="23"/>
      <c r="D7397" s="23"/>
      <c r="E7397" s="24"/>
      <c r="F7397" s="25"/>
      <c r="G7397" s="25"/>
      <c r="H7397" s="27"/>
      <c r="I7397" s="28"/>
      <c r="J7397" s="39"/>
      <c r="K7397" s="41"/>
      <c r="L7397" s="31" t="str">
        <f>IFERROR(__xludf.DUMMYFUNCTION("IF(OR(E7397="""",K7397=""""),"""",IFERROR(IF(K7397="""","""",query('tbl user'!$A$2:$D10975,""SELECT A WHERE D = '""&amp;K7397&amp;""'"")),""USER TIDAK DIKETAHUI""))"),"")</f>
        <v/>
      </c>
    </row>
    <row r="7398">
      <c r="A7398" s="21" t="str">
        <f t="shared" si="3"/>
        <v/>
      </c>
      <c r="B7398" s="38"/>
      <c r="C7398" s="23"/>
      <c r="D7398" s="23"/>
      <c r="E7398" s="24"/>
      <c r="F7398" s="25"/>
      <c r="G7398" s="25"/>
      <c r="H7398" s="27"/>
      <c r="I7398" s="28"/>
      <c r="J7398" s="39"/>
      <c r="K7398" s="41"/>
      <c r="L7398" s="31" t="str">
        <f>IFERROR(__xludf.DUMMYFUNCTION("IF(OR(E7398="""",K7398=""""),"""",IFERROR(IF(K7398="""","""",query('tbl user'!$A$2:$D10975,""SELECT A WHERE D = '""&amp;K7398&amp;""'"")),""USER TIDAK DIKETAHUI""))"),"")</f>
        <v/>
      </c>
    </row>
    <row r="7399">
      <c r="A7399" s="21" t="str">
        <f t="shared" si="3"/>
        <v/>
      </c>
      <c r="B7399" s="38"/>
      <c r="C7399" s="23"/>
      <c r="D7399" s="23"/>
      <c r="E7399" s="24"/>
      <c r="F7399" s="25"/>
      <c r="G7399" s="25"/>
      <c r="H7399" s="27"/>
      <c r="I7399" s="28"/>
      <c r="J7399" s="39"/>
      <c r="K7399" s="41"/>
      <c r="L7399" s="31" t="str">
        <f>IFERROR(__xludf.DUMMYFUNCTION("IF(OR(E7399="""",K7399=""""),"""",IFERROR(IF(K7399="""","""",query('tbl user'!$A$2:$D10975,""SELECT A WHERE D = '""&amp;K7399&amp;""'"")),""USER TIDAK DIKETAHUI""))"),"")</f>
        <v/>
      </c>
    </row>
    <row r="7400">
      <c r="A7400" s="21" t="str">
        <f t="shared" si="3"/>
        <v/>
      </c>
      <c r="B7400" s="38"/>
      <c r="C7400" s="23"/>
      <c r="D7400" s="23"/>
      <c r="E7400" s="24"/>
      <c r="F7400" s="25"/>
      <c r="G7400" s="25"/>
      <c r="H7400" s="27"/>
      <c r="I7400" s="28"/>
      <c r="J7400" s="39"/>
      <c r="K7400" s="41"/>
      <c r="L7400" s="31" t="str">
        <f>IFERROR(__xludf.DUMMYFUNCTION("IF(OR(E7400="""",K7400=""""),"""",IFERROR(IF(K7400="""","""",query('tbl user'!$A$2:$D10975,""SELECT A WHERE D = '""&amp;K7400&amp;""'"")),""USER TIDAK DIKETAHUI""))"),"")</f>
        <v/>
      </c>
    </row>
    <row r="7401">
      <c r="A7401" s="21" t="str">
        <f t="shared" si="3"/>
        <v/>
      </c>
      <c r="B7401" s="38"/>
      <c r="C7401" s="23"/>
      <c r="D7401" s="23"/>
      <c r="E7401" s="24"/>
      <c r="F7401" s="25"/>
      <c r="G7401" s="25"/>
      <c r="H7401" s="27"/>
      <c r="I7401" s="28"/>
      <c r="J7401" s="39"/>
      <c r="K7401" s="41"/>
      <c r="L7401" s="31" t="str">
        <f>IFERROR(__xludf.DUMMYFUNCTION("IF(OR(E7401="""",K7401=""""),"""",IFERROR(IF(K7401="""","""",query('tbl user'!$A$2:$D10975,""SELECT A WHERE D = '""&amp;K7401&amp;""'"")),""USER TIDAK DIKETAHUI""))"),"")</f>
        <v/>
      </c>
    </row>
    <row r="7402">
      <c r="A7402" s="21" t="str">
        <f t="shared" si="3"/>
        <v/>
      </c>
      <c r="B7402" s="38"/>
      <c r="C7402" s="23"/>
      <c r="D7402" s="23"/>
      <c r="E7402" s="24"/>
      <c r="F7402" s="25"/>
      <c r="G7402" s="25"/>
      <c r="H7402" s="27"/>
      <c r="I7402" s="28"/>
      <c r="J7402" s="39"/>
      <c r="K7402" s="41"/>
      <c r="L7402" s="31" t="str">
        <f>IFERROR(__xludf.DUMMYFUNCTION("IF(OR(E7402="""",K7402=""""),"""",IFERROR(IF(K7402="""","""",query('tbl user'!$A$2:$D10975,""SELECT A WHERE D = '""&amp;K7402&amp;""'"")),""USER TIDAK DIKETAHUI""))"),"")</f>
        <v/>
      </c>
    </row>
    <row r="7403">
      <c r="A7403" s="21" t="str">
        <f t="shared" si="3"/>
        <v/>
      </c>
      <c r="B7403" s="38"/>
      <c r="C7403" s="23"/>
      <c r="D7403" s="23"/>
      <c r="E7403" s="24"/>
      <c r="F7403" s="25"/>
      <c r="G7403" s="25"/>
      <c r="H7403" s="27"/>
      <c r="I7403" s="28"/>
      <c r="J7403" s="39"/>
      <c r="K7403" s="41"/>
      <c r="L7403" s="31" t="str">
        <f>IFERROR(__xludf.DUMMYFUNCTION("IF(OR(E7403="""",K7403=""""),"""",IFERROR(IF(K7403="""","""",query('tbl user'!$A$2:$D10975,""SELECT A WHERE D = '""&amp;K7403&amp;""'"")),""USER TIDAK DIKETAHUI""))"),"")</f>
        <v/>
      </c>
    </row>
    <row r="7404">
      <c r="A7404" s="21" t="str">
        <f t="shared" si="3"/>
        <v/>
      </c>
      <c r="B7404" s="38"/>
      <c r="C7404" s="23"/>
      <c r="D7404" s="23"/>
      <c r="E7404" s="24"/>
      <c r="F7404" s="25"/>
      <c r="G7404" s="25"/>
      <c r="H7404" s="27"/>
      <c r="I7404" s="28"/>
      <c r="J7404" s="39"/>
      <c r="K7404" s="41"/>
      <c r="L7404" s="31" t="str">
        <f>IFERROR(__xludf.DUMMYFUNCTION("IF(OR(E7404="""",K7404=""""),"""",IFERROR(IF(K7404="""","""",query('tbl user'!$A$2:$D10975,""SELECT A WHERE D = '""&amp;K7404&amp;""'"")),""USER TIDAK DIKETAHUI""))"),"")</f>
        <v/>
      </c>
    </row>
    <row r="7405">
      <c r="A7405" s="21" t="str">
        <f t="shared" si="3"/>
        <v/>
      </c>
      <c r="B7405" s="38"/>
      <c r="C7405" s="23"/>
      <c r="D7405" s="23"/>
      <c r="E7405" s="24"/>
      <c r="F7405" s="25"/>
      <c r="G7405" s="25"/>
      <c r="H7405" s="27"/>
      <c r="I7405" s="28"/>
      <c r="J7405" s="39"/>
      <c r="K7405" s="41"/>
      <c r="L7405" s="31" t="str">
        <f>IFERROR(__xludf.DUMMYFUNCTION("IF(OR(E7405="""",K7405=""""),"""",IFERROR(IF(K7405="""","""",query('tbl user'!$A$2:$D10975,""SELECT A WHERE D = '""&amp;K7405&amp;""'"")),""USER TIDAK DIKETAHUI""))"),"")</f>
        <v/>
      </c>
    </row>
    <row r="7406">
      <c r="A7406" s="21" t="str">
        <f t="shared" si="3"/>
        <v/>
      </c>
      <c r="B7406" s="38"/>
      <c r="C7406" s="23"/>
      <c r="D7406" s="23"/>
      <c r="E7406" s="24"/>
      <c r="F7406" s="25"/>
      <c r="G7406" s="25"/>
      <c r="H7406" s="27"/>
      <c r="I7406" s="28"/>
      <c r="J7406" s="39"/>
      <c r="K7406" s="41"/>
      <c r="L7406" s="31" t="str">
        <f>IFERROR(__xludf.DUMMYFUNCTION("IF(OR(E7406="""",K7406=""""),"""",IFERROR(IF(K7406="""","""",query('tbl user'!$A$2:$D10975,""SELECT A WHERE D = '""&amp;K7406&amp;""'"")),""USER TIDAK DIKETAHUI""))"),"")</f>
        <v/>
      </c>
    </row>
    <row r="7407">
      <c r="A7407" s="21" t="str">
        <f t="shared" si="3"/>
        <v/>
      </c>
      <c r="B7407" s="38"/>
      <c r="C7407" s="23"/>
      <c r="D7407" s="23"/>
      <c r="E7407" s="24"/>
      <c r="F7407" s="25"/>
      <c r="G7407" s="25"/>
      <c r="H7407" s="27"/>
      <c r="I7407" s="28"/>
      <c r="J7407" s="39"/>
      <c r="K7407" s="41"/>
      <c r="L7407" s="31" t="str">
        <f>IFERROR(__xludf.DUMMYFUNCTION("IF(OR(E7407="""",K7407=""""),"""",IFERROR(IF(K7407="""","""",query('tbl user'!$A$2:$D10975,""SELECT A WHERE D = '""&amp;K7407&amp;""'"")),""USER TIDAK DIKETAHUI""))"),"")</f>
        <v/>
      </c>
    </row>
    <row r="7408">
      <c r="A7408" s="21" t="str">
        <f t="shared" si="3"/>
        <v/>
      </c>
      <c r="B7408" s="38"/>
      <c r="C7408" s="23"/>
      <c r="D7408" s="23"/>
      <c r="E7408" s="24"/>
      <c r="F7408" s="25"/>
      <c r="G7408" s="25"/>
      <c r="H7408" s="27"/>
      <c r="I7408" s="28"/>
      <c r="J7408" s="39"/>
      <c r="K7408" s="41"/>
      <c r="L7408" s="31" t="str">
        <f>IFERROR(__xludf.DUMMYFUNCTION("IF(OR(E7408="""",K7408=""""),"""",IFERROR(IF(K7408="""","""",query('tbl user'!$A$2:$D10975,""SELECT A WHERE D = '""&amp;K7408&amp;""'"")),""USER TIDAK DIKETAHUI""))"),"")</f>
        <v/>
      </c>
    </row>
    <row r="7409">
      <c r="A7409" s="21" t="str">
        <f t="shared" si="3"/>
        <v/>
      </c>
      <c r="B7409" s="38"/>
      <c r="C7409" s="23"/>
      <c r="D7409" s="23"/>
      <c r="E7409" s="24"/>
      <c r="F7409" s="25"/>
      <c r="G7409" s="25"/>
      <c r="H7409" s="27"/>
      <c r="I7409" s="28"/>
      <c r="J7409" s="39"/>
      <c r="K7409" s="41"/>
      <c r="L7409" s="31" t="str">
        <f>IFERROR(__xludf.DUMMYFUNCTION("IF(OR(E7409="""",K7409=""""),"""",IFERROR(IF(K7409="""","""",query('tbl user'!$A$2:$D10975,""SELECT A WHERE D = '""&amp;K7409&amp;""'"")),""USER TIDAK DIKETAHUI""))"),"")</f>
        <v/>
      </c>
    </row>
    <row r="7410">
      <c r="A7410" s="21" t="str">
        <f t="shared" si="3"/>
        <v/>
      </c>
      <c r="B7410" s="38"/>
      <c r="C7410" s="23"/>
      <c r="D7410" s="23"/>
      <c r="E7410" s="24"/>
      <c r="F7410" s="25"/>
      <c r="G7410" s="25"/>
      <c r="H7410" s="27"/>
      <c r="I7410" s="28"/>
      <c r="J7410" s="39"/>
      <c r="K7410" s="41"/>
      <c r="L7410" s="31" t="str">
        <f>IFERROR(__xludf.DUMMYFUNCTION("IF(OR(E7410="""",K7410=""""),"""",IFERROR(IF(K7410="""","""",query('tbl user'!$A$2:$D10975,""SELECT A WHERE D = '""&amp;K7410&amp;""'"")),""USER TIDAK DIKETAHUI""))"),"")</f>
        <v/>
      </c>
    </row>
    <row r="7411">
      <c r="A7411" s="21" t="str">
        <f t="shared" si="3"/>
        <v/>
      </c>
      <c r="B7411" s="38"/>
      <c r="C7411" s="23"/>
      <c r="D7411" s="23"/>
      <c r="E7411" s="24"/>
      <c r="F7411" s="25"/>
      <c r="G7411" s="25"/>
      <c r="H7411" s="27"/>
      <c r="I7411" s="28"/>
      <c r="J7411" s="39"/>
      <c r="K7411" s="41"/>
      <c r="L7411" s="31" t="str">
        <f>IFERROR(__xludf.DUMMYFUNCTION("IF(OR(E7411="""",K7411=""""),"""",IFERROR(IF(K7411="""","""",query('tbl user'!$A$2:$D10975,""SELECT A WHERE D = '""&amp;K7411&amp;""'"")),""USER TIDAK DIKETAHUI""))"),"")</f>
        <v/>
      </c>
    </row>
    <row r="7412">
      <c r="A7412" s="21" t="str">
        <f t="shared" si="3"/>
        <v/>
      </c>
      <c r="B7412" s="38"/>
      <c r="C7412" s="23"/>
      <c r="D7412" s="23"/>
      <c r="E7412" s="24"/>
      <c r="F7412" s="25"/>
      <c r="G7412" s="25"/>
      <c r="H7412" s="27"/>
      <c r="I7412" s="28"/>
      <c r="J7412" s="39"/>
      <c r="K7412" s="41"/>
      <c r="L7412" s="31" t="str">
        <f>IFERROR(__xludf.DUMMYFUNCTION("IF(OR(E7412="""",K7412=""""),"""",IFERROR(IF(K7412="""","""",query('tbl user'!$A$2:$D10975,""SELECT A WHERE D = '""&amp;K7412&amp;""'"")),""USER TIDAK DIKETAHUI""))"),"")</f>
        <v/>
      </c>
    </row>
    <row r="7413">
      <c r="A7413" s="21" t="str">
        <f t="shared" si="3"/>
        <v/>
      </c>
      <c r="B7413" s="38"/>
      <c r="C7413" s="23"/>
      <c r="D7413" s="23"/>
      <c r="E7413" s="24"/>
      <c r="F7413" s="25"/>
      <c r="G7413" s="25"/>
      <c r="H7413" s="27"/>
      <c r="I7413" s="28"/>
      <c r="J7413" s="39"/>
      <c r="K7413" s="41"/>
      <c r="L7413" s="31" t="str">
        <f>IFERROR(__xludf.DUMMYFUNCTION("IF(OR(E7413="""",K7413=""""),"""",IFERROR(IF(K7413="""","""",query('tbl user'!$A$2:$D10975,""SELECT A WHERE D = '""&amp;K7413&amp;""'"")),""USER TIDAK DIKETAHUI""))"),"")</f>
        <v/>
      </c>
    </row>
    <row r="7414">
      <c r="A7414" s="21" t="str">
        <f t="shared" si="3"/>
        <v/>
      </c>
      <c r="B7414" s="38"/>
      <c r="C7414" s="23"/>
      <c r="D7414" s="23"/>
      <c r="E7414" s="24"/>
      <c r="F7414" s="25"/>
      <c r="G7414" s="25"/>
      <c r="H7414" s="27"/>
      <c r="I7414" s="28"/>
      <c r="J7414" s="39"/>
      <c r="K7414" s="41"/>
      <c r="L7414" s="31" t="str">
        <f>IFERROR(__xludf.DUMMYFUNCTION("IF(OR(E7414="""",K7414=""""),"""",IFERROR(IF(K7414="""","""",query('tbl user'!$A$2:$D10975,""SELECT A WHERE D = '""&amp;K7414&amp;""'"")),""USER TIDAK DIKETAHUI""))"),"")</f>
        <v/>
      </c>
    </row>
    <row r="7415">
      <c r="A7415" s="21" t="str">
        <f t="shared" si="3"/>
        <v/>
      </c>
      <c r="B7415" s="38"/>
      <c r="C7415" s="23"/>
      <c r="D7415" s="23"/>
      <c r="E7415" s="24"/>
      <c r="F7415" s="25"/>
      <c r="G7415" s="25"/>
      <c r="H7415" s="27"/>
      <c r="I7415" s="28"/>
      <c r="J7415" s="39"/>
      <c r="K7415" s="41"/>
      <c r="L7415" s="31" t="str">
        <f>IFERROR(__xludf.DUMMYFUNCTION("IF(OR(E7415="""",K7415=""""),"""",IFERROR(IF(K7415="""","""",query('tbl user'!$A$2:$D10975,""SELECT A WHERE D = '""&amp;K7415&amp;""'"")),""USER TIDAK DIKETAHUI""))"),"")</f>
        <v/>
      </c>
    </row>
    <row r="7416">
      <c r="A7416" s="21" t="str">
        <f t="shared" si="3"/>
        <v/>
      </c>
      <c r="B7416" s="38"/>
      <c r="C7416" s="23"/>
      <c r="D7416" s="23"/>
      <c r="E7416" s="24"/>
      <c r="F7416" s="25"/>
      <c r="G7416" s="25"/>
      <c r="H7416" s="27"/>
      <c r="I7416" s="28"/>
      <c r="J7416" s="39"/>
      <c r="K7416" s="41"/>
      <c r="L7416" s="31" t="str">
        <f>IFERROR(__xludf.DUMMYFUNCTION("IF(OR(E7416="""",K7416=""""),"""",IFERROR(IF(K7416="""","""",query('tbl user'!$A$2:$D10975,""SELECT A WHERE D = '""&amp;K7416&amp;""'"")),""USER TIDAK DIKETAHUI""))"),"")</f>
        <v/>
      </c>
    </row>
    <row r="7417">
      <c r="A7417" s="21" t="str">
        <f t="shared" si="3"/>
        <v/>
      </c>
      <c r="B7417" s="38"/>
      <c r="C7417" s="23"/>
      <c r="D7417" s="23"/>
      <c r="E7417" s="24"/>
      <c r="F7417" s="25"/>
      <c r="G7417" s="25"/>
      <c r="H7417" s="27"/>
      <c r="I7417" s="28"/>
      <c r="J7417" s="39"/>
      <c r="K7417" s="41"/>
      <c r="L7417" s="31" t="str">
        <f>IFERROR(__xludf.DUMMYFUNCTION("IF(OR(E7417="""",K7417=""""),"""",IFERROR(IF(K7417="""","""",query('tbl user'!$A$2:$D10975,""SELECT A WHERE D = '""&amp;K7417&amp;""'"")),""USER TIDAK DIKETAHUI""))"),"")</f>
        <v/>
      </c>
    </row>
    <row r="7418">
      <c r="A7418" s="21" t="str">
        <f t="shared" si="3"/>
        <v/>
      </c>
      <c r="B7418" s="38"/>
      <c r="C7418" s="23"/>
      <c r="D7418" s="23"/>
      <c r="E7418" s="24"/>
      <c r="F7418" s="25"/>
      <c r="G7418" s="25"/>
      <c r="H7418" s="27"/>
      <c r="I7418" s="28"/>
      <c r="J7418" s="39"/>
      <c r="K7418" s="41"/>
      <c r="L7418" s="31" t="str">
        <f>IFERROR(__xludf.DUMMYFUNCTION("IF(OR(E7418="""",K7418=""""),"""",IFERROR(IF(K7418="""","""",query('tbl user'!$A$2:$D10975,""SELECT A WHERE D = '""&amp;K7418&amp;""'"")),""USER TIDAK DIKETAHUI""))"),"")</f>
        <v/>
      </c>
    </row>
    <row r="7419">
      <c r="A7419" s="21" t="str">
        <f t="shared" si="3"/>
        <v/>
      </c>
      <c r="B7419" s="38"/>
      <c r="C7419" s="23"/>
      <c r="D7419" s="23"/>
      <c r="E7419" s="24"/>
      <c r="F7419" s="25"/>
      <c r="G7419" s="25"/>
      <c r="H7419" s="27"/>
      <c r="I7419" s="28"/>
      <c r="J7419" s="39"/>
      <c r="K7419" s="41"/>
      <c r="L7419" s="31" t="str">
        <f>IFERROR(__xludf.DUMMYFUNCTION("IF(OR(E7419="""",K7419=""""),"""",IFERROR(IF(K7419="""","""",query('tbl user'!$A$2:$D10975,""SELECT A WHERE D = '""&amp;K7419&amp;""'"")),""USER TIDAK DIKETAHUI""))"),"")</f>
        <v/>
      </c>
    </row>
    <row r="7420">
      <c r="A7420" s="21" t="str">
        <f t="shared" si="3"/>
        <v/>
      </c>
      <c r="B7420" s="38"/>
      <c r="C7420" s="23"/>
      <c r="D7420" s="23"/>
      <c r="E7420" s="24"/>
      <c r="F7420" s="25"/>
      <c r="G7420" s="25"/>
      <c r="H7420" s="27"/>
      <c r="I7420" s="28"/>
      <c r="J7420" s="39"/>
      <c r="K7420" s="41"/>
      <c r="L7420" s="31" t="str">
        <f>IFERROR(__xludf.DUMMYFUNCTION("IF(OR(E7420="""",K7420=""""),"""",IFERROR(IF(K7420="""","""",query('tbl user'!$A$2:$D10975,""SELECT A WHERE D = '""&amp;K7420&amp;""'"")),""USER TIDAK DIKETAHUI""))"),"")</f>
        <v/>
      </c>
    </row>
    <row r="7421">
      <c r="A7421" s="21" t="str">
        <f t="shared" si="3"/>
        <v/>
      </c>
      <c r="B7421" s="38"/>
      <c r="C7421" s="23"/>
      <c r="D7421" s="23"/>
      <c r="E7421" s="24"/>
      <c r="F7421" s="25"/>
      <c r="G7421" s="25"/>
      <c r="H7421" s="27"/>
      <c r="I7421" s="28"/>
      <c r="J7421" s="39"/>
      <c r="K7421" s="41"/>
      <c r="L7421" s="31" t="str">
        <f>IFERROR(__xludf.DUMMYFUNCTION("IF(OR(E7421="""",K7421=""""),"""",IFERROR(IF(K7421="""","""",query('tbl user'!$A$2:$D10975,""SELECT A WHERE D = '""&amp;K7421&amp;""'"")),""USER TIDAK DIKETAHUI""))"),"")</f>
        <v/>
      </c>
    </row>
    <row r="7422">
      <c r="A7422" s="21" t="str">
        <f t="shared" si="3"/>
        <v/>
      </c>
      <c r="B7422" s="38"/>
      <c r="C7422" s="23"/>
      <c r="D7422" s="23"/>
      <c r="E7422" s="24"/>
      <c r="F7422" s="25"/>
      <c r="G7422" s="25"/>
      <c r="H7422" s="27"/>
      <c r="I7422" s="28"/>
      <c r="J7422" s="39"/>
      <c r="K7422" s="41"/>
      <c r="L7422" s="31" t="str">
        <f>IFERROR(__xludf.DUMMYFUNCTION("IF(OR(E7422="""",K7422=""""),"""",IFERROR(IF(K7422="""","""",query('tbl user'!$A$2:$D10975,""SELECT A WHERE D = '""&amp;K7422&amp;""'"")),""USER TIDAK DIKETAHUI""))"),"")</f>
        <v/>
      </c>
    </row>
    <row r="7423">
      <c r="A7423" s="21" t="str">
        <f t="shared" si="3"/>
        <v/>
      </c>
      <c r="B7423" s="38"/>
      <c r="C7423" s="23"/>
      <c r="D7423" s="23"/>
      <c r="E7423" s="24"/>
      <c r="F7423" s="25"/>
      <c r="G7423" s="25"/>
      <c r="H7423" s="27"/>
      <c r="I7423" s="28"/>
      <c r="J7423" s="39"/>
      <c r="K7423" s="41"/>
      <c r="L7423" s="31" t="str">
        <f>IFERROR(__xludf.DUMMYFUNCTION("IF(OR(E7423="""",K7423=""""),"""",IFERROR(IF(K7423="""","""",query('tbl user'!$A$2:$D10975,""SELECT A WHERE D = '""&amp;K7423&amp;""'"")),""USER TIDAK DIKETAHUI""))"),"")</f>
        <v/>
      </c>
    </row>
    <row r="7424">
      <c r="A7424" s="21" t="str">
        <f t="shared" si="3"/>
        <v/>
      </c>
      <c r="B7424" s="38"/>
      <c r="C7424" s="23"/>
      <c r="D7424" s="23"/>
      <c r="E7424" s="24"/>
      <c r="F7424" s="25"/>
      <c r="G7424" s="25"/>
      <c r="H7424" s="27"/>
      <c r="I7424" s="28"/>
      <c r="J7424" s="39"/>
      <c r="K7424" s="41"/>
      <c r="L7424" s="31" t="str">
        <f>IFERROR(__xludf.DUMMYFUNCTION("IF(OR(E7424="""",K7424=""""),"""",IFERROR(IF(K7424="""","""",query('tbl user'!$A$2:$D10975,""SELECT A WHERE D = '""&amp;K7424&amp;""'"")),""USER TIDAK DIKETAHUI""))"),"")</f>
        <v/>
      </c>
    </row>
    <row r="7425">
      <c r="A7425" s="21" t="str">
        <f t="shared" si="3"/>
        <v/>
      </c>
      <c r="B7425" s="38"/>
      <c r="C7425" s="23"/>
      <c r="D7425" s="23"/>
      <c r="E7425" s="24"/>
      <c r="F7425" s="25"/>
      <c r="G7425" s="25"/>
      <c r="H7425" s="27"/>
      <c r="I7425" s="28"/>
      <c r="J7425" s="39"/>
      <c r="K7425" s="41"/>
      <c r="L7425" s="31" t="str">
        <f>IFERROR(__xludf.DUMMYFUNCTION("IF(OR(E7425="""",K7425=""""),"""",IFERROR(IF(K7425="""","""",query('tbl user'!$A$2:$D10975,""SELECT A WHERE D = '""&amp;K7425&amp;""'"")),""USER TIDAK DIKETAHUI""))"),"")</f>
        <v/>
      </c>
    </row>
    <row r="7426">
      <c r="A7426" s="21" t="str">
        <f t="shared" si="3"/>
        <v/>
      </c>
      <c r="B7426" s="38"/>
      <c r="C7426" s="23"/>
      <c r="D7426" s="23"/>
      <c r="E7426" s="24"/>
      <c r="F7426" s="25"/>
      <c r="G7426" s="25"/>
      <c r="H7426" s="27"/>
      <c r="I7426" s="28"/>
      <c r="J7426" s="39"/>
      <c r="K7426" s="41"/>
      <c r="L7426" s="31" t="str">
        <f>IFERROR(__xludf.DUMMYFUNCTION("IF(OR(E7426="""",K7426=""""),"""",IFERROR(IF(K7426="""","""",query('tbl user'!$A$2:$D10975,""SELECT A WHERE D = '""&amp;K7426&amp;""'"")),""USER TIDAK DIKETAHUI""))"),"")</f>
        <v/>
      </c>
    </row>
    <row r="7427">
      <c r="A7427" s="21" t="str">
        <f t="shared" si="3"/>
        <v/>
      </c>
      <c r="B7427" s="38"/>
      <c r="C7427" s="23"/>
      <c r="D7427" s="23"/>
      <c r="E7427" s="24"/>
      <c r="F7427" s="25"/>
      <c r="G7427" s="25"/>
      <c r="H7427" s="27"/>
      <c r="I7427" s="28"/>
      <c r="J7427" s="39"/>
      <c r="K7427" s="41"/>
      <c r="L7427" s="31" t="str">
        <f>IFERROR(__xludf.DUMMYFUNCTION("IF(OR(E7427="""",K7427=""""),"""",IFERROR(IF(K7427="""","""",query('tbl user'!$A$2:$D10975,""SELECT A WHERE D = '""&amp;K7427&amp;""'"")),""USER TIDAK DIKETAHUI""))"),"")</f>
        <v/>
      </c>
    </row>
    <row r="7428">
      <c r="A7428" s="21" t="str">
        <f t="shared" si="3"/>
        <v/>
      </c>
      <c r="B7428" s="38"/>
      <c r="C7428" s="23"/>
      <c r="D7428" s="23"/>
      <c r="E7428" s="24"/>
      <c r="F7428" s="25"/>
      <c r="G7428" s="25"/>
      <c r="H7428" s="27"/>
      <c r="I7428" s="28"/>
      <c r="J7428" s="39"/>
      <c r="K7428" s="41"/>
      <c r="L7428" s="31" t="str">
        <f>IFERROR(__xludf.DUMMYFUNCTION("IF(OR(E7428="""",K7428=""""),"""",IFERROR(IF(K7428="""","""",query('tbl user'!$A$2:$D10975,""SELECT A WHERE D = '""&amp;K7428&amp;""'"")),""USER TIDAK DIKETAHUI""))"),"")</f>
        <v/>
      </c>
    </row>
    <row r="7429">
      <c r="A7429" s="21" t="str">
        <f t="shared" si="3"/>
        <v/>
      </c>
      <c r="B7429" s="38"/>
      <c r="C7429" s="23"/>
      <c r="D7429" s="23"/>
      <c r="E7429" s="24"/>
      <c r="F7429" s="25"/>
      <c r="G7429" s="25"/>
      <c r="H7429" s="27"/>
      <c r="I7429" s="28"/>
      <c r="J7429" s="39"/>
      <c r="K7429" s="41"/>
      <c r="L7429" s="31" t="str">
        <f>IFERROR(__xludf.DUMMYFUNCTION("IF(OR(E7429="""",K7429=""""),"""",IFERROR(IF(K7429="""","""",query('tbl user'!$A$2:$D10975,""SELECT A WHERE D = '""&amp;K7429&amp;""'"")),""USER TIDAK DIKETAHUI""))"),"")</f>
        <v/>
      </c>
    </row>
    <row r="7430">
      <c r="A7430" s="21" t="str">
        <f t="shared" si="3"/>
        <v/>
      </c>
      <c r="B7430" s="38"/>
      <c r="C7430" s="23"/>
      <c r="D7430" s="23"/>
      <c r="E7430" s="24"/>
      <c r="F7430" s="25"/>
      <c r="G7430" s="25"/>
      <c r="H7430" s="27"/>
      <c r="I7430" s="28"/>
      <c r="J7430" s="39"/>
      <c r="K7430" s="41"/>
      <c r="L7430" s="31" t="str">
        <f>IFERROR(__xludf.DUMMYFUNCTION("IF(OR(E7430="""",K7430=""""),"""",IFERROR(IF(K7430="""","""",query('tbl user'!$A$2:$D10975,""SELECT A WHERE D = '""&amp;K7430&amp;""'"")),""USER TIDAK DIKETAHUI""))"),"")</f>
        <v/>
      </c>
    </row>
    <row r="7431">
      <c r="A7431" s="21" t="str">
        <f t="shared" si="3"/>
        <v/>
      </c>
      <c r="B7431" s="38"/>
      <c r="C7431" s="23"/>
      <c r="D7431" s="23"/>
      <c r="E7431" s="24"/>
      <c r="F7431" s="25"/>
      <c r="G7431" s="25"/>
      <c r="H7431" s="27"/>
      <c r="I7431" s="28"/>
      <c r="J7431" s="39"/>
      <c r="K7431" s="41"/>
      <c r="L7431" s="31" t="str">
        <f>IFERROR(__xludf.DUMMYFUNCTION("IF(OR(E7431="""",K7431=""""),"""",IFERROR(IF(K7431="""","""",query('tbl user'!$A$2:$D10975,""SELECT A WHERE D = '""&amp;K7431&amp;""'"")),""USER TIDAK DIKETAHUI""))"),"")</f>
        <v/>
      </c>
    </row>
    <row r="7432">
      <c r="A7432" s="21" t="str">
        <f t="shared" si="3"/>
        <v/>
      </c>
      <c r="B7432" s="38"/>
      <c r="C7432" s="23"/>
      <c r="D7432" s="23"/>
      <c r="E7432" s="24"/>
      <c r="F7432" s="25"/>
      <c r="G7432" s="25"/>
      <c r="H7432" s="27"/>
      <c r="I7432" s="28"/>
      <c r="J7432" s="39"/>
      <c r="K7432" s="41"/>
      <c r="L7432" s="31" t="str">
        <f>IFERROR(__xludf.DUMMYFUNCTION("IF(OR(E7432="""",K7432=""""),"""",IFERROR(IF(K7432="""","""",query('tbl user'!$A$2:$D10975,""SELECT A WHERE D = '""&amp;K7432&amp;""'"")),""USER TIDAK DIKETAHUI""))"),"")</f>
        <v/>
      </c>
    </row>
    <row r="7433">
      <c r="A7433" s="21" t="str">
        <f t="shared" si="3"/>
        <v/>
      </c>
      <c r="B7433" s="38"/>
      <c r="C7433" s="23"/>
      <c r="D7433" s="23"/>
      <c r="E7433" s="24"/>
      <c r="F7433" s="25"/>
      <c r="G7433" s="25"/>
      <c r="H7433" s="27"/>
      <c r="I7433" s="28"/>
      <c r="J7433" s="39"/>
      <c r="K7433" s="41"/>
      <c r="L7433" s="31" t="str">
        <f>IFERROR(__xludf.DUMMYFUNCTION("IF(OR(E7433="""",K7433=""""),"""",IFERROR(IF(K7433="""","""",query('tbl user'!$A$2:$D10975,""SELECT A WHERE D = '""&amp;K7433&amp;""'"")),""USER TIDAK DIKETAHUI""))"),"")</f>
        <v/>
      </c>
    </row>
    <row r="7434">
      <c r="A7434" s="21" t="str">
        <f t="shared" si="3"/>
        <v/>
      </c>
      <c r="B7434" s="38"/>
      <c r="C7434" s="23"/>
      <c r="D7434" s="23"/>
      <c r="E7434" s="24"/>
      <c r="F7434" s="25"/>
      <c r="G7434" s="25"/>
      <c r="H7434" s="27"/>
      <c r="I7434" s="28"/>
      <c r="J7434" s="39"/>
      <c r="K7434" s="41"/>
      <c r="L7434" s="31" t="str">
        <f>IFERROR(__xludf.DUMMYFUNCTION("IF(OR(E7434="""",K7434=""""),"""",IFERROR(IF(K7434="""","""",query('tbl user'!$A$2:$D10975,""SELECT A WHERE D = '""&amp;K7434&amp;""'"")),""USER TIDAK DIKETAHUI""))"),"")</f>
        <v/>
      </c>
    </row>
    <row r="7435">
      <c r="A7435" s="21" t="str">
        <f t="shared" si="3"/>
        <v/>
      </c>
      <c r="B7435" s="38"/>
      <c r="C7435" s="23"/>
      <c r="D7435" s="23"/>
      <c r="E7435" s="24"/>
      <c r="F7435" s="25"/>
      <c r="G7435" s="25"/>
      <c r="H7435" s="27"/>
      <c r="I7435" s="28"/>
      <c r="J7435" s="39"/>
      <c r="K7435" s="41"/>
      <c r="L7435" s="31" t="str">
        <f>IFERROR(__xludf.DUMMYFUNCTION("IF(OR(E7435="""",K7435=""""),"""",IFERROR(IF(K7435="""","""",query('tbl user'!$A$2:$D10975,""SELECT A WHERE D = '""&amp;K7435&amp;""'"")),""USER TIDAK DIKETAHUI""))"),"")</f>
        <v/>
      </c>
    </row>
    <row r="7436">
      <c r="A7436" s="21" t="str">
        <f t="shared" si="3"/>
        <v/>
      </c>
      <c r="B7436" s="38"/>
      <c r="C7436" s="23"/>
      <c r="D7436" s="23"/>
      <c r="E7436" s="24"/>
      <c r="F7436" s="25"/>
      <c r="G7436" s="25"/>
      <c r="H7436" s="27"/>
      <c r="I7436" s="28"/>
      <c r="J7436" s="39"/>
      <c r="K7436" s="41"/>
      <c r="L7436" s="31" t="str">
        <f>IFERROR(__xludf.DUMMYFUNCTION("IF(OR(E7436="""",K7436=""""),"""",IFERROR(IF(K7436="""","""",query('tbl user'!$A$2:$D10975,""SELECT A WHERE D = '""&amp;K7436&amp;""'"")),""USER TIDAK DIKETAHUI""))"),"")</f>
        <v/>
      </c>
    </row>
    <row r="7437">
      <c r="A7437" s="21" t="str">
        <f t="shared" si="3"/>
        <v/>
      </c>
      <c r="B7437" s="38"/>
      <c r="C7437" s="23"/>
      <c r="D7437" s="23"/>
      <c r="E7437" s="24"/>
      <c r="F7437" s="25"/>
      <c r="G7437" s="25"/>
      <c r="H7437" s="27"/>
      <c r="I7437" s="28"/>
      <c r="J7437" s="39"/>
      <c r="K7437" s="41"/>
      <c r="L7437" s="31" t="str">
        <f>IFERROR(__xludf.DUMMYFUNCTION("IF(OR(E7437="""",K7437=""""),"""",IFERROR(IF(K7437="""","""",query('tbl user'!$A$2:$D10975,""SELECT A WHERE D = '""&amp;K7437&amp;""'"")),""USER TIDAK DIKETAHUI""))"),"")</f>
        <v/>
      </c>
    </row>
    <row r="7438">
      <c r="A7438" s="21" t="str">
        <f t="shared" si="3"/>
        <v/>
      </c>
      <c r="B7438" s="38"/>
      <c r="C7438" s="23"/>
      <c r="D7438" s="23"/>
      <c r="E7438" s="24"/>
      <c r="F7438" s="25"/>
      <c r="G7438" s="25"/>
      <c r="H7438" s="27"/>
      <c r="I7438" s="28"/>
      <c r="J7438" s="39"/>
      <c r="K7438" s="41"/>
      <c r="L7438" s="31" t="str">
        <f>IFERROR(__xludf.DUMMYFUNCTION("IF(OR(E7438="""",K7438=""""),"""",IFERROR(IF(K7438="""","""",query('tbl user'!$A$2:$D10975,""SELECT A WHERE D = '""&amp;K7438&amp;""'"")),""USER TIDAK DIKETAHUI""))"),"")</f>
        <v/>
      </c>
    </row>
    <row r="7439">
      <c r="A7439" s="21" t="str">
        <f t="shared" si="3"/>
        <v/>
      </c>
      <c r="B7439" s="38"/>
      <c r="C7439" s="23"/>
      <c r="D7439" s="23"/>
      <c r="E7439" s="24"/>
      <c r="F7439" s="25"/>
      <c r="G7439" s="25"/>
      <c r="H7439" s="27"/>
      <c r="I7439" s="28"/>
      <c r="J7439" s="39"/>
      <c r="K7439" s="41"/>
      <c r="L7439" s="31" t="str">
        <f>IFERROR(__xludf.DUMMYFUNCTION("IF(OR(E7439="""",K7439=""""),"""",IFERROR(IF(K7439="""","""",query('tbl user'!$A$2:$D10975,""SELECT A WHERE D = '""&amp;K7439&amp;""'"")),""USER TIDAK DIKETAHUI""))"),"")</f>
        <v/>
      </c>
    </row>
    <row r="7440">
      <c r="A7440" s="21" t="str">
        <f t="shared" si="3"/>
        <v/>
      </c>
      <c r="B7440" s="38"/>
      <c r="C7440" s="23"/>
      <c r="D7440" s="23"/>
      <c r="E7440" s="24"/>
      <c r="F7440" s="25"/>
      <c r="G7440" s="25"/>
      <c r="H7440" s="27"/>
      <c r="I7440" s="28"/>
      <c r="J7440" s="39"/>
      <c r="K7440" s="41"/>
      <c r="L7440" s="31" t="str">
        <f>IFERROR(__xludf.DUMMYFUNCTION("IF(OR(E7440="""",K7440=""""),"""",IFERROR(IF(K7440="""","""",query('tbl user'!$A$2:$D10975,""SELECT A WHERE D = '""&amp;K7440&amp;""'"")),""USER TIDAK DIKETAHUI""))"),"")</f>
        <v/>
      </c>
    </row>
    <row r="7441">
      <c r="A7441" s="21" t="str">
        <f t="shared" si="3"/>
        <v/>
      </c>
      <c r="B7441" s="38"/>
      <c r="C7441" s="23"/>
      <c r="D7441" s="23"/>
      <c r="E7441" s="24"/>
      <c r="F7441" s="25"/>
      <c r="G7441" s="25"/>
      <c r="H7441" s="27"/>
      <c r="I7441" s="28"/>
      <c r="J7441" s="39"/>
      <c r="K7441" s="41"/>
      <c r="L7441" s="31" t="str">
        <f>IFERROR(__xludf.DUMMYFUNCTION("IF(OR(E7441="""",K7441=""""),"""",IFERROR(IF(K7441="""","""",query('tbl user'!$A$2:$D10975,""SELECT A WHERE D = '""&amp;K7441&amp;""'"")),""USER TIDAK DIKETAHUI""))"),"")</f>
        <v/>
      </c>
    </row>
    <row r="7442">
      <c r="A7442" s="21" t="str">
        <f t="shared" si="3"/>
        <v/>
      </c>
      <c r="B7442" s="38"/>
      <c r="C7442" s="23"/>
      <c r="D7442" s="23"/>
      <c r="E7442" s="24"/>
      <c r="F7442" s="25"/>
      <c r="G7442" s="25"/>
      <c r="H7442" s="27"/>
      <c r="I7442" s="28"/>
      <c r="J7442" s="39"/>
      <c r="K7442" s="41"/>
      <c r="L7442" s="31" t="str">
        <f>IFERROR(__xludf.DUMMYFUNCTION("IF(OR(E7442="""",K7442=""""),"""",IFERROR(IF(K7442="""","""",query('tbl user'!$A$2:$D10975,""SELECT A WHERE D = '""&amp;K7442&amp;""'"")),""USER TIDAK DIKETAHUI""))"),"")</f>
        <v/>
      </c>
    </row>
    <row r="7443">
      <c r="A7443" s="21" t="str">
        <f t="shared" si="3"/>
        <v/>
      </c>
      <c r="B7443" s="38"/>
      <c r="C7443" s="23"/>
      <c r="D7443" s="23"/>
      <c r="E7443" s="24"/>
      <c r="F7443" s="25"/>
      <c r="G7443" s="25"/>
      <c r="H7443" s="27"/>
      <c r="I7443" s="28"/>
      <c r="J7443" s="39"/>
      <c r="K7443" s="41"/>
      <c r="L7443" s="31" t="str">
        <f>IFERROR(__xludf.DUMMYFUNCTION("IF(OR(E7443="""",K7443=""""),"""",IFERROR(IF(K7443="""","""",query('tbl user'!$A$2:$D10975,""SELECT A WHERE D = '""&amp;K7443&amp;""'"")),""USER TIDAK DIKETAHUI""))"),"")</f>
        <v/>
      </c>
    </row>
    <row r="7444">
      <c r="A7444" s="21" t="str">
        <f t="shared" si="3"/>
        <v/>
      </c>
      <c r="B7444" s="38"/>
      <c r="C7444" s="23"/>
      <c r="D7444" s="23"/>
      <c r="E7444" s="24"/>
      <c r="F7444" s="25"/>
      <c r="G7444" s="25"/>
      <c r="H7444" s="27"/>
      <c r="I7444" s="28"/>
      <c r="J7444" s="39"/>
      <c r="K7444" s="41"/>
      <c r="L7444" s="31" t="str">
        <f>IFERROR(__xludf.DUMMYFUNCTION("IF(OR(E7444="""",K7444=""""),"""",IFERROR(IF(K7444="""","""",query('tbl user'!$A$2:$D10975,""SELECT A WHERE D = '""&amp;K7444&amp;""'"")),""USER TIDAK DIKETAHUI""))"),"")</f>
        <v/>
      </c>
    </row>
    <row r="7445">
      <c r="A7445" s="21" t="str">
        <f t="shared" si="3"/>
        <v/>
      </c>
      <c r="B7445" s="38"/>
      <c r="C7445" s="23"/>
      <c r="D7445" s="23"/>
      <c r="E7445" s="24"/>
      <c r="F7445" s="25"/>
      <c r="G7445" s="25"/>
      <c r="H7445" s="27"/>
      <c r="I7445" s="28"/>
      <c r="J7445" s="39"/>
      <c r="K7445" s="41"/>
      <c r="L7445" s="31" t="str">
        <f>IFERROR(__xludf.DUMMYFUNCTION("IF(OR(E7445="""",K7445=""""),"""",IFERROR(IF(K7445="""","""",query('tbl user'!$A$2:$D10975,""SELECT A WHERE D = '""&amp;K7445&amp;""'"")),""USER TIDAK DIKETAHUI""))"),"")</f>
        <v/>
      </c>
    </row>
    <row r="7446">
      <c r="A7446" s="21" t="str">
        <f t="shared" si="3"/>
        <v/>
      </c>
      <c r="B7446" s="38"/>
      <c r="C7446" s="23"/>
      <c r="D7446" s="23"/>
      <c r="E7446" s="24"/>
      <c r="F7446" s="25"/>
      <c r="G7446" s="25"/>
      <c r="H7446" s="27"/>
      <c r="I7446" s="28"/>
      <c r="J7446" s="39"/>
      <c r="K7446" s="41"/>
      <c r="L7446" s="31" t="str">
        <f>IFERROR(__xludf.DUMMYFUNCTION("IF(OR(E7446="""",K7446=""""),"""",IFERROR(IF(K7446="""","""",query('tbl user'!$A$2:$D10975,""SELECT A WHERE D = '""&amp;K7446&amp;""'"")),""USER TIDAK DIKETAHUI""))"),"")</f>
        <v/>
      </c>
    </row>
    <row r="7447">
      <c r="A7447" s="21" t="str">
        <f t="shared" si="3"/>
        <v/>
      </c>
      <c r="B7447" s="38"/>
      <c r="C7447" s="23"/>
      <c r="D7447" s="23"/>
      <c r="E7447" s="24"/>
      <c r="F7447" s="25"/>
      <c r="G7447" s="25"/>
      <c r="H7447" s="27"/>
      <c r="I7447" s="28"/>
      <c r="J7447" s="39"/>
      <c r="K7447" s="41"/>
      <c r="L7447" s="31" t="str">
        <f>IFERROR(__xludf.DUMMYFUNCTION("IF(OR(E7447="""",K7447=""""),"""",IFERROR(IF(K7447="""","""",query('tbl user'!$A$2:$D10975,""SELECT A WHERE D = '""&amp;K7447&amp;""'"")),""USER TIDAK DIKETAHUI""))"),"")</f>
        <v/>
      </c>
    </row>
    <row r="7448">
      <c r="A7448" s="21" t="str">
        <f t="shared" si="3"/>
        <v/>
      </c>
      <c r="B7448" s="38"/>
      <c r="C7448" s="23"/>
      <c r="D7448" s="23"/>
      <c r="E7448" s="24"/>
      <c r="F7448" s="25"/>
      <c r="G7448" s="25"/>
      <c r="H7448" s="27"/>
      <c r="I7448" s="28"/>
      <c r="J7448" s="39"/>
      <c r="K7448" s="41"/>
      <c r="L7448" s="31" t="str">
        <f>IFERROR(__xludf.DUMMYFUNCTION("IF(OR(E7448="""",K7448=""""),"""",IFERROR(IF(K7448="""","""",query('tbl user'!$A$2:$D10975,""SELECT A WHERE D = '""&amp;K7448&amp;""'"")),""USER TIDAK DIKETAHUI""))"),"")</f>
        <v/>
      </c>
    </row>
    <row r="7449">
      <c r="A7449" s="21" t="str">
        <f t="shared" si="3"/>
        <v/>
      </c>
      <c r="B7449" s="38"/>
      <c r="C7449" s="23"/>
      <c r="D7449" s="23"/>
      <c r="E7449" s="24"/>
      <c r="F7449" s="25"/>
      <c r="G7449" s="25"/>
      <c r="H7449" s="27"/>
      <c r="I7449" s="28"/>
      <c r="J7449" s="39"/>
      <c r="K7449" s="41"/>
      <c r="L7449" s="31" t="str">
        <f>IFERROR(__xludf.DUMMYFUNCTION("IF(OR(E7449="""",K7449=""""),"""",IFERROR(IF(K7449="""","""",query('tbl user'!$A$2:$D10975,""SELECT A WHERE D = '""&amp;K7449&amp;""'"")),""USER TIDAK DIKETAHUI""))"),"")</f>
        <v/>
      </c>
    </row>
    <row r="7450">
      <c r="A7450" s="21" t="str">
        <f t="shared" si="3"/>
        <v/>
      </c>
      <c r="B7450" s="38"/>
      <c r="C7450" s="23"/>
      <c r="D7450" s="23"/>
      <c r="E7450" s="24"/>
      <c r="F7450" s="25"/>
      <c r="G7450" s="25"/>
      <c r="H7450" s="27"/>
      <c r="I7450" s="28"/>
      <c r="J7450" s="39"/>
      <c r="K7450" s="41"/>
      <c r="L7450" s="31" t="str">
        <f>IFERROR(__xludf.DUMMYFUNCTION("IF(OR(E7450="""",K7450=""""),"""",IFERROR(IF(K7450="""","""",query('tbl user'!$A$2:$D10975,""SELECT A WHERE D = '""&amp;K7450&amp;""'"")),""USER TIDAK DIKETAHUI""))"),"")</f>
        <v/>
      </c>
    </row>
    <row r="7451">
      <c r="A7451" s="21" t="str">
        <f t="shared" si="3"/>
        <v/>
      </c>
      <c r="B7451" s="38"/>
      <c r="C7451" s="23"/>
      <c r="D7451" s="23"/>
      <c r="E7451" s="24"/>
      <c r="F7451" s="25"/>
      <c r="G7451" s="25"/>
      <c r="H7451" s="27"/>
      <c r="I7451" s="28"/>
      <c r="J7451" s="39"/>
      <c r="K7451" s="41"/>
      <c r="L7451" s="31" t="str">
        <f>IFERROR(__xludf.DUMMYFUNCTION("IF(OR(E7451="""",K7451=""""),"""",IFERROR(IF(K7451="""","""",query('tbl user'!$A$2:$D10975,""SELECT A WHERE D = '""&amp;K7451&amp;""'"")),""USER TIDAK DIKETAHUI""))"),"")</f>
        <v/>
      </c>
    </row>
    <row r="7452">
      <c r="A7452" s="21" t="str">
        <f t="shared" si="3"/>
        <v/>
      </c>
      <c r="B7452" s="38"/>
      <c r="C7452" s="23"/>
      <c r="D7452" s="23"/>
      <c r="E7452" s="24"/>
      <c r="F7452" s="25"/>
      <c r="G7452" s="25"/>
      <c r="H7452" s="27"/>
      <c r="I7452" s="28"/>
      <c r="J7452" s="39"/>
      <c r="K7452" s="41"/>
      <c r="L7452" s="31" t="str">
        <f>IFERROR(__xludf.DUMMYFUNCTION("IF(OR(E7452="""",K7452=""""),"""",IFERROR(IF(K7452="""","""",query('tbl user'!$A$2:$D10975,""SELECT A WHERE D = '""&amp;K7452&amp;""'"")),""USER TIDAK DIKETAHUI""))"),"")</f>
        <v/>
      </c>
    </row>
    <row r="7453">
      <c r="A7453" s="21" t="str">
        <f t="shared" si="3"/>
        <v/>
      </c>
      <c r="B7453" s="38"/>
      <c r="C7453" s="23"/>
      <c r="D7453" s="23"/>
      <c r="E7453" s="24"/>
      <c r="F7453" s="25"/>
      <c r="G7453" s="25"/>
      <c r="H7453" s="27"/>
      <c r="I7453" s="28"/>
      <c r="J7453" s="39"/>
      <c r="K7453" s="41"/>
      <c r="L7453" s="31" t="str">
        <f>IFERROR(__xludf.DUMMYFUNCTION("IF(OR(E7453="""",K7453=""""),"""",IFERROR(IF(K7453="""","""",query('tbl user'!$A$2:$D10975,""SELECT A WHERE D = '""&amp;K7453&amp;""'"")),""USER TIDAK DIKETAHUI""))"),"")</f>
        <v/>
      </c>
    </row>
    <row r="7454">
      <c r="A7454" s="21" t="str">
        <f t="shared" si="3"/>
        <v/>
      </c>
      <c r="B7454" s="38"/>
      <c r="C7454" s="23"/>
      <c r="D7454" s="23"/>
      <c r="E7454" s="24"/>
      <c r="F7454" s="25"/>
      <c r="G7454" s="25"/>
      <c r="H7454" s="27"/>
      <c r="I7454" s="28"/>
      <c r="J7454" s="39"/>
      <c r="K7454" s="41"/>
      <c r="L7454" s="31" t="str">
        <f>IFERROR(__xludf.DUMMYFUNCTION("IF(OR(E7454="""",K7454=""""),"""",IFERROR(IF(K7454="""","""",query('tbl user'!$A$2:$D10975,""SELECT A WHERE D = '""&amp;K7454&amp;""'"")),""USER TIDAK DIKETAHUI""))"),"")</f>
        <v/>
      </c>
    </row>
    <row r="7455">
      <c r="A7455" s="21" t="str">
        <f t="shared" si="3"/>
        <v/>
      </c>
      <c r="B7455" s="38"/>
      <c r="C7455" s="23"/>
      <c r="D7455" s="23"/>
      <c r="E7455" s="24"/>
      <c r="F7455" s="25"/>
      <c r="G7455" s="25"/>
      <c r="H7455" s="27"/>
      <c r="I7455" s="28"/>
      <c r="J7455" s="39"/>
      <c r="K7455" s="41"/>
      <c r="L7455" s="31" t="str">
        <f>IFERROR(__xludf.DUMMYFUNCTION("IF(OR(E7455="""",K7455=""""),"""",IFERROR(IF(K7455="""","""",query('tbl user'!$A$2:$D10975,""SELECT A WHERE D = '""&amp;K7455&amp;""'"")),""USER TIDAK DIKETAHUI""))"),"")</f>
        <v/>
      </c>
    </row>
    <row r="7456">
      <c r="A7456" s="21" t="str">
        <f t="shared" si="3"/>
        <v/>
      </c>
      <c r="B7456" s="38"/>
      <c r="C7456" s="23"/>
      <c r="D7456" s="23"/>
      <c r="E7456" s="24"/>
      <c r="F7456" s="25"/>
      <c r="G7456" s="25"/>
      <c r="H7456" s="27"/>
      <c r="I7456" s="28"/>
      <c r="J7456" s="39"/>
      <c r="K7456" s="41"/>
      <c r="L7456" s="31" t="str">
        <f>IFERROR(__xludf.DUMMYFUNCTION("IF(OR(E7456="""",K7456=""""),"""",IFERROR(IF(K7456="""","""",query('tbl user'!$A$2:$D10975,""SELECT A WHERE D = '""&amp;K7456&amp;""'"")),""USER TIDAK DIKETAHUI""))"),"")</f>
        <v/>
      </c>
    </row>
    <row r="7457">
      <c r="A7457" s="21" t="str">
        <f t="shared" si="3"/>
        <v/>
      </c>
      <c r="B7457" s="38"/>
      <c r="C7457" s="23"/>
      <c r="D7457" s="23"/>
      <c r="E7457" s="24"/>
      <c r="F7457" s="25"/>
      <c r="G7457" s="25"/>
      <c r="H7457" s="27"/>
      <c r="I7457" s="28"/>
      <c r="J7457" s="39"/>
      <c r="K7457" s="41"/>
      <c r="L7457" s="31" t="str">
        <f>IFERROR(__xludf.DUMMYFUNCTION("IF(OR(E7457="""",K7457=""""),"""",IFERROR(IF(K7457="""","""",query('tbl user'!$A$2:$D10975,""SELECT A WHERE D = '""&amp;K7457&amp;""'"")),""USER TIDAK DIKETAHUI""))"),"")</f>
        <v/>
      </c>
    </row>
    <row r="7458">
      <c r="A7458" s="21" t="str">
        <f t="shared" si="3"/>
        <v/>
      </c>
      <c r="B7458" s="38"/>
      <c r="C7458" s="23"/>
      <c r="D7458" s="23"/>
      <c r="E7458" s="24"/>
      <c r="F7458" s="25"/>
      <c r="G7458" s="25"/>
      <c r="H7458" s="27"/>
      <c r="I7458" s="28"/>
      <c r="J7458" s="39"/>
      <c r="K7458" s="41"/>
      <c r="L7458" s="31" t="str">
        <f>IFERROR(__xludf.DUMMYFUNCTION("IF(OR(E7458="""",K7458=""""),"""",IFERROR(IF(K7458="""","""",query('tbl user'!$A$2:$D10975,""SELECT A WHERE D = '""&amp;K7458&amp;""'"")),""USER TIDAK DIKETAHUI""))"),"")</f>
        <v/>
      </c>
    </row>
    <row r="7459">
      <c r="A7459" s="21" t="str">
        <f t="shared" si="3"/>
        <v/>
      </c>
      <c r="B7459" s="38"/>
      <c r="C7459" s="23"/>
      <c r="D7459" s="23"/>
      <c r="E7459" s="24"/>
      <c r="F7459" s="25"/>
      <c r="G7459" s="25"/>
      <c r="H7459" s="27"/>
      <c r="I7459" s="28"/>
      <c r="J7459" s="39"/>
      <c r="K7459" s="41"/>
      <c r="L7459" s="31" t="str">
        <f>IFERROR(__xludf.DUMMYFUNCTION("IF(OR(E7459="""",K7459=""""),"""",IFERROR(IF(K7459="""","""",query('tbl user'!$A$2:$D10975,""SELECT A WHERE D = '""&amp;K7459&amp;""'"")),""USER TIDAK DIKETAHUI""))"),"")</f>
        <v/>
      </c>
    </row>
    <row r="7460">
      <c r="A7460" s="21" t="str">
        <f t="shared" si="3"/>
        <v/>
      </c>
      <c r="B7460" s="38"/>
      <c r="C7460" s="23"/>
      <c r="D7460" s="23"/>
      <c r="E7460" s="24"/>
      <c r="F7460" s="25"/>
      <c r="G7460" s="25"/>
      <c r="H7460" s="27"/>
      <c r="I7460" s="28"/>
      <c r="J7460" s="39"/>
      <c r="K7460" s="41"/>
      <c r="L7460" s="31" t="str">
        <f>IFERROR(__xludf.DUMMYFUNCTION("IF(OR(E7460="""",K7460=""""),"""",IFERROR(IF(K7460="""","""",query('tbl user'!$A$2:$D10975,""SELECT A WHERE D = '""&amp;K7460&amp;""'"")),""USER TIDAK DIKETAHUI""))"),"")</f>
        <v/>
      </c>
    </row>
    <row r="7461">
      <c r="A7461" s="21" t="str">
        <f t="shared" si="3"/>
        <v/>
      </c>
      <c r="B7461" s="38"/>
      <c r="C7461" s="23"/>
      <c r="D7461" s="23"/>
      <c r="E7461" s="24"/>
      <c r="F7461" s="25"/>
      <c r="G7461" s="25"/>
      <c r="H7461" s="27"/>
      <c r="I7461" s="28"/>
      <c r="J7461" s="39"/>
      <c r="K7461" s="41"/>
      <c r="L7461" s="31" t="str">
        <f>IFERROR(__xludf.DUMMYFUNCTION("IF(OR(E7461="""",K7461=""""),"""",IFERROR(IF(K7461="""","""",query('tbl user'!$A$2:$D10975,""SELECT A WHERE D = '""&amp;K7461&amp;""'"")),""USER TIDAK DIKETAHUI""))"),"")</f>
        <v/>
      </c>
    </row>
    <row r="7462">
      <c r="A7462" s="21" t="str">
        <f t="shared" si="3"/>
        <v/>
      </c>
      <c r="B7462" s="38"/>
      <c r="C7462" s="23"/>
      <c r="D7462" s="23"/>
      <c r="E7462" s="24"/>
      <c r="F7462" s="25"/>
      <c r="G7462" s="25"/>
      <c r="H7462" s="27"/>
      <c r="I7462" s="28"/>
      <c r="J7462" s="39"/>
      <c r="K7462" s="41"/>
      <c r="L7462" s="31" t="str">
        <f>IFERROR(__xludf.DUMMYFUNCTION("IF(OR(E7462="""",K7462=""""),"""",IFERROR(IF(K7462="""","""",query('tbl user'!$A$2:$D10975,""SELECT A WHERE D = '""&amp;K7462&amp;""'"")),""USER TIDAK DIKETAHUI""))"),"")</f>
        <v/>
      </c>
    </row>
    <row r="7463">
      <c r="A7463" s="21" t="str">
        <f t="shared" si="3"/>
        <v/>
      </c>
      <c r="B7463" s="38"/>
      <c r="C7463" s="23"/>
      <c r="D7463" s="23"/>
      <c r="E7463" s="24"/>
      <c r="F7463" s="25"/>
      <c r="G7463" s="25"/>
      <c r="H7463" s="27"/>
      <c r="I7463" s="28"/>
      <c r="J7463" s="39"/>
      <c r="K7463" s="41"/>
      <c r="L7463" s="31" t="str">
        <f>IFERROR(__xludf.DUMMYFUNCTION("IF(OR(E7463="""",K7463=""""),"""",IFERROR(IF(K7463="""","""",query('tbl user'!$A$2:$D10975,""SELECT A WHERE D = '""&amp;K7463&amp;""'"")),""USER TIDAK DIKETAHUI""))"),"")</f>
        <v/>
      </c>
    </row>
    <row r="7464">
      <c r="A7464" s="21" t="str">
        <f t="shared" si="3"/>
        <v/>
      </c>
      <c r="B7464" s="38"/>
      <c r="C7464" s="23"/>
      <c r="D7464" s="23"/>
      <c r="E7464" s="24"/>
      <c r="F7464" s="25"/>
      <c r="G7464" s="25"/>
      <c r="H7464" s="27"/>
      <c r="I7464" s="28"/>
      <c r="J7464" s="39"/>
      <c r="K7464" s="41"/>
      <c r="L7464" s="31" t="str">
        <f>IFERROR(__xludf.DUMMYFUNCTION("IF(OR(E7464="""",K7464=""""),"""",IFERROR(IF(K7464="""","""",query('tbl user'!$A$2:$D10975,""SELECT A WHERE D = '""&amp;K7464&amp;""'"")),""USER TIDAK DIKETAHUI""))"),"")</f>
        <v/>
      </c>
    </row>
    <row r="7465">
      <c r="A7465" s="21" t="str">
        <f t="shared" si="3"/>
        <v/>
      </c>
      <c r="B7465" s="38"/>
      <c r="C7465" s="23"/>
      <c r="D7465" s="23"/>
      <c r="E7465" s="24"/>
      <c r="F7465" s="25"/>
      <c r="G7465" s="25"/>
      <c r="H7465" s="27"/>
      <c r="I7465" s="28"/>
      <c r="J7465" s="39"/>
      <c r="K7465" s="41"/>
      <c r="L7465" s="31" t="str">
        <f>IFERROR(__xludf.DUMMYFUNCTION("IF(OR(E7465="""",K7465=""""),"""",IFERROR(IF(K7465="""","""",query('tbl user'!$A$2:$D10975,""SELECT A WHERE D = '""&amp;K7465&amp;""'"")),""USER TIDAK DIKETAHUI""))"),"")</f>
        <v/>
      </c>
    </row>
    <row r="7466">
      <c r="A7466" s="21" t="str">
        <f t="shared" si="3"/>
        <v/>
      </c>
      <c r="B7466" s="38"/>
      <c r="C7466" s="23"/>
      <c r="D7466" s="23"/>
      <c r="E7466" s="24"/>
      <c r="F7466" s="25"/>
      <c r="G7466" s="25"/>
      <c r="H7466" s="27"/>
      <c r="I7466" s="28"/>
      <c r="J7466" s="39"/>
      <c r="K7466" s="41"/>
      <c r="L7466" s="31" t="str">
        <f>IFERROR(__xludf.DUMMYFUNCTION("IF(OR(E7466="""",K7466=""""),"""",IFERROR(IF(K7466="""","""",query('tbl user'!$A$2:$D10975,""SELECT A WHERE D = '""&amp;K7466&amp;""'"")),""USER TIDAK DIKETAHUI""))"),"")</f>
        <v/>
      </c>
    </row>
    <row r="7467">
      <c r="A7467" s="21" t="str">
        <f t="shared" si="3"/>
        <v/>
      </c>
      <c r="B7467" s="38"/>
      <c r="C7467" s="23"/>
      <c r="D7467" s="23"/>
      <c r="E7467" s="24"/>
      <c r="F7467" s="25"/>
      <c r="G7467" s="25"/>
      <c r="H7467" s="27"/>
      <c r="I7467" s="28"/>
      <c r="J7467" s="39"/>
      <c r="K7467" s="41"/>
      <c r="L7467" s="31" t="str">
        <f>IFERROR(__xludf.DUMMYFUNCTION("IF(OR(E7467="""",K7467=""""),"""",IFERROR(IF(K7467="""","""",query('tbl user'!$A$2:$D10975,""SELECT A WHERE D = '""&amp;K7467&amp;""'"")),""USER TIDAK DIKETAHUI""))"),"")</f>
        <v/>
      </c>
    </row>
    <row r="7468">
      <c r="A7468" s="21" t="str">
        <f t="shared" si="3"/>
        <v/>
      </c>
      <c r="B7468" s="38"/>
      <c r="C7468" s="23"/>
      <c r="D7468" s="23"/>
      <c r="E7468" s="24"/>
      <c r="F7468" s="25"/>
      <c r="G7468" s="25"/>
      <c r="H7468" s="27"/>
      <c r="I7468" s="28"/>
      <c r="J7468" s="39"/>
      <c r="K7468" s="41"/>
      <c r="L7468" s="31" t="str">
        <f>IFERROR(__xludf.DUMMYFUNCTION("IF(OR(E7468="""",K7468=""""),"""",IFERROR(IF(K7468="""","""",query('tbl user'!$A$2:$D10975,""SELECT A WHERE D = '""&amp;K7468&amp;""'"")),""USER TIDAK DIKETAHUI""))"),"")</f>
        <v/>
      </c>
    </row>
    <row r="7469">
      <c r="A7469" s="21" t="str">
        <f t="shared" si="3"/>
        <v/>
      </c>
      <c r="B7469" s="38"/>
      <c r="C7469" s="23"/>
      <c r="D7469" s="23"/>
      <c r="E7469" s="24"/>
      <c r="F7469" s="25"/>
      <c r="G7469" s="25"/>
      <c r="H7469" s="27"/>
      <c r="I7469" s="28"/>
      <c r="J7469" s="39"/>
      <c r="K7469" s="41"/>
      <c r="L7469" s="31" t="str">
        <f>IFERROR(__xludf.DUMMYFUNCTION("IF(OR(E7469="""",K7469=""""),"""",IFERROR(IF(K7469="""","""",query('tbl user'!$A$2:$D10975,""SELECT A WHERE D = '""&amp;K7469&amp;""'"")),""USER TIDAK DIKETAHUI""))"),"")</f>
        <v/>
      </c>
    </row>
    <row r="7470">
      <c r="A7470" s="21" t="str">
        <f t="shared" si="3"/>
        <v/>
      </c>
      <c r="B7470" s="38"/>
      <c r="C7470" s="23"/>
      <c r="D7470" s="23"/>
      <c r="E7470" s="24"/>
      <c r="F7470" s="25"/>
      <c r="G7470" s="25"/>
      <c r="H7470" s="27"/>
      <c r="I7470" s="28"/>
      <c r="J7470" s="39"/>
      <c r="K7470" s="41"/>
      <c r="L7470" s="31" t="str">
        <f>IFERROR(__xludf.DUMMYFUNCTION("IF(OR(E7470="""",K7470=""""),"""",IFERROR(IF(K7470="""","""",query('tbl user'!$A$2:$D10975,""SELECT A WHERE D = '""&amp;K7470&amp;""'"")),""USER TIDAK DIKETAHUI""))"),"")</f>
        <v/>
      </c>
    </row>
    <row r="7471">
      <c r="A7471" s="21" t="str">
        <f t="shared" si="3"/>
        <v/>
      </c>
      <c r="B7471" s="38"/>
      <c r="C7471" s="23"/>
      <c r="D7471" s="23"/>
      <c r="E7471" s="24"/>
      <c r="F7471" s="25"/>
      <c r="G7471" s="25"/>
      <c r="H7471" s="27"/>
      <c r="I7471" s="28"/>
      <c r="J7471" s="39"/>
      <c r="K7471" s="41"/>
      <c r="L7471" s="31" t="str">
        <f>IFERROR(__xludf.DUMMYFUNCTION("IF(OR(E7471="""",K7471=""""),"""",IFERROR(IF(K7471="""","""",query('tbl user'!$A$2:$D10975,""SELECT A WHERE D = '""&amp;K7471&amp;""'"")),""USER TIDAK DIKETAHUI""))"),"")</f>
        <v/>
      </c>
    </row>
    <row r="7472">
      <c r="A7472" s="21" t="str">
        <f t="shared" si="3"/>
        <v/>
      </c>
      <c r="B7472" s="38"/>
      <c r="C7472" s="23"/>
      <c r="D7472" s="23"/>
      <c r="E7472" s="24"/>
      <c r="F7472" s="25"/>
      <c r="G7472" s="25"/>
      <c r="H7472" s="27"/>
      <c r="I7472" s="28"/>
      <c r="J7472" s="39"/>
      <c r="K7472" s="41"/>
      <c r="L7472" s="31" t="str">
        <f>IFERROR(__xludf.DUMMYFUNCTION("IF(OR(E7472="""",K7472=""""),"""",IFERROR(IF(K7472="""","""",query('tbl user'!$A$2:$D10975,""SELECT A WHERE D = '""&amp;K7472&amp;""'"")),""USER TIDAK DIKETAHUI""))"),"")</f>
        <v/>
      </c>
    </row>
    <row r="7473">
      <c r="A7473" s="21" t="str">
        <f t="shared" si="3"/>
        <v/>
      </c>
      <c r="B7473" s="38"/>
      <c r="C7473" s="23"/>
      <c r="D7473" s="23"/>
      <c r="E7473" s="24"/>
      <c r="F7473" s="25"/>
      <c r="G7473" s="25"/>
      <c r="H7473" s="27"/>
      <c r="I7473" s="28"/>
      <c r="J7473" s="39"/>
      <c r="K7473" s="41"/>
      <c r="L7473" s="31" t="str">
        <f>IFERROR(__xludf.DUMMYFUNCTION("IF(OR(E7473="""",K7473=""""),"""",IFERROR(IF(K7473="""","""",query('tbl user'!$A$2:$D10975,""SELECT A WHERE D = '""&amp;K7473&amp;""'"")),""USER TIDAK DIKETAHUI""))"),"")</f>
        <v/>
      </c>
    </row>
    <row r="7474">
      <c r="A7474" s="21" t="str">
        <f t="shared" si="3"/>
        <v/>
      </c>
      <c r="B7474" s="38"/>
      <c r="C7474" s="23"/>
      <c r="D7474" s="23"/>
      <c r="E7474" s="24"/>
      <c r="F7474" s="25"/>
      <c r="G7474" s="25"/>
      <c r="H7474" s="27"/>
      <c r="I7474" s="28"/>
      <c r="J7474" s="39"/>
      <c r="K7474" s="41"/>
      <c r="L7474" s="31" t="str">
        <f>IFERROR(__xludf.DUMMYFUNCTION("IF(OR(E7474="""",K7474=""""),"""",IFERROR(IF(K7474="""","""",query('tbl user'!$A$2:$D10975,""SELECT A WHERE D = '""&amp;K7474&amp;""'"")),""USER TIDAK DIKETAHUI""))"),"")</f>
        <v/>
      </c>
    </row>
    <row r="7475">
      <c r="A7475" s="21" t="str">
        <f t="shared" si="3"/>
        <v/>
      </c>
      <c r="B7475" s="38"/>
      <c r="C7475" s="23"/>
      <c r="D7475" s="23"/>
      <c r="E7475" s="24"/>
      <c r="F7475" s="25"/>
      <c r="G7475" s="25"/>
      <c r="H7475" s="27"/>
      <c r="I7475" s="28"/>
      <c r="J7475" s="39"/>
      <c r="K7475" s="41"/>
      <c r="L7475" s="31" t="str">
        <f>IFERROR(__xludf.DUMMYFUNCTION("IF(OR(E7475="""",K7475=""""),"""",IFERROR(IF(K7475="""","""",query('tbl user'!$A$2:$D10975,""SELECT A WHERE D = '""&amp;K7475&amp;""'"")),""USER TIDAK DIKETAHUI""))"),"")</f>
        <v/>
      </c>
    </row>
    <row r="7476">
      <c r="A7476" s="21" t="str">
        <f t="shared" si="3"/>
        <v/>
      </c>
      <c r="B7476" s="38"/>
      <c r="C7476" s="23"/>
      <c r="D7476" s="23"/>
      <c r="E7476" s="24"/>
      <c r="F7476" s="25"/>
      <c r="G7476" s="25"/>
      <c r="H7476" s="27"/>
      <c r="I7476" s="28"/>
      <c r="J7476" s="39"/>
      <c r="K7476" s="41"/>
      <c r="L7476" s="31" t="str">
        <f>IFERROR(__xludf.DUMMYFUNCTION("IF(OR(E7476="""",K7476=""""),"""",IFERROR(IF(K7476="""","""",query('tbl user'!$A$2:$D10975,""SELECT A WHERE D = '""&amp;K7476&amp;""'"")),""USER TIDAK DIKETAHUI""))"),"")</f>
        <v/>
      </c>
    </row>
    <row r="7477">
      <c r="A7477" s="21" t="str">
        <f t="shared" si="3"/>
        <v/>
      </c>
      <c r="B7477" s="38"/>
      <c r="C7477" s="23"/>
      <c r="D7477" s="23"/>
      <c r="E7477" s="24"/>
      <c r="F7477" s="25"/>
      <c r="G7477" s="25"/>
      <c r="H7477" s="27"/>
      <c r="I7477" s="28"/>
      <c r="J7477" s="39"/>
      <c r="K7477" s="41"/>
      <c r="L7477" s="31" t="str">
        <f>IFERROR(__xludf.DUMMYFUNCTION("IF(OR(E7477="""",K7477=""""),"""",IFERROR(IF(K7477="""","""",query('tbl user'!$A$2:$D10975,""SELECT A WHERE D = '""&amp;K7477&amp;""'"")),""USER TIDAK DIKETAHUI""))"),"")</f>
        <v/>
      </c>
    </row>
    <row r="7478">
      <c r="A7478" s="21" t="str">
        <f t="shared" si="3"/>
        <v/>
      </c>
      <c r="B7478" s="38"/>
      <c r="C7478" s="23"/>
      <c r="D7478" s="23"/>
      <c r="E7478" s="24"/>
      <c r="F7478" s="25"/>
      <c r="G7478" s="25"/>
      <c r="H7478" s="27"/>
      <c r="I7478" s="28"/>
      <c r="J7478" s="39"/>
      <c r="K7478" s="41"/>
      <c r="L7478" s="31" t="str">
        <f>IFERROR(__xludf.DUMMYFUNCTION("IF(OR(E7478="""",K7478=""""),"""",IFERROR(IF(K7478="""","""",query('tbl user'!$A$2:$D10975,""SELECT A WHERE D = '""&amp;K7478&amp;""'"")),""USER TIDAK DIKETAHUI""))"),"")</f>
        <v/>
      </c>
    </row>
    <row r="7479">
      <c r="A7479" s="21" t="str">
        <f t="shared" si="3"/>
        <v/>
      </c>
      <c r="B7479" s="38"/>
      <c r="C7479" s="23"/>
      <c r="D7479" s="23"/>
      <c r="E7479" s="24"/>
      <c r="F7479" s="25"/>
      <c r="G7479" s="25"/>
      <c r="H7479" s="27"/>
      <c r="I7479" s="28"/>
      <c r="J7479" s="39"/>
      <c r="K7479" s="41"/>
      <c r="L7479" s="31" t="str">
        <f>IFERROR(__xludf.DUMMYFUNCTION("IF(OR(E7479="""",K7479=""""),"""",IFERROR(IF(K7479="""","""",query('tbl user'!$A$2:$D10975,""SELECT A WHERE D = '""&amp;K7479&amp;""'"")),""USER TIDAK DIKETAHUI""))"),"")</f>
        <v/>
      </c>
    </row>
    <row r="7480">
      <c r="A7480" s="21" t="str">
        <f t="shared" si="3"/>
        <v/>
      </c>
      <c r="B7480" s="38"/>
      <c r="C7480" s="23"/>
      <c r="D7480" s="23"/>
      <c r="E7480" s="24"/>
      <c r="F7480" s="25"/>
      <c r="G7480" s="25"/>
      <c r="H7480" s="27"/>
      <c r="I7480" s="28"/>
      <c r="J7480" s="39"/>
      <c r="K7480" s="41"/>
      <c r="L7480" s="31" t="str">
        <f>IFERROR(__xludf.DUMMYFUNCTION("IF(OR(E7480="""",K7480=""""),"""",IFERROR(IF(K7480="""","""",query('tbl user'!$A$2:$D10975,""SELECT A WHERE D = '""&amp;K7480&amp;""'"")),""USER TIDAK DIKETAHUI""))"),"")</f>
        <v/>
      </c>
    </row>
    <row r="7481">
      <c r="A7481" s="21" t="str">
        <f t="shared" si="3"/>
        <v/>
      </c>
      <c r="B7481" s="38"/>
      <c r="C7481" s="23"/>
      <c r="D7481" s="23"/>
      <c r="E7481" s="24"/>
      <c r="F7481" s="25"/>
      <c r="G7481" s="25"/>
      <c r="H7481" s="27"/>
      <c r="I7481" s="28"/>
      <c r="J7481" s="39"/>
      <c r="K7481" s="41"/>
      <c r="L7481" s="31" t="str">
        <f>IFERROR(__xludf.DUMMYFUNCTION("IF(OR(E7481="""",K7481=""""),"""",IFERROR(IF(K7481="""","""",query('tbl user'!$A$2:$D10975,""SELECT A WHERE D = '""&amp;K7481&amp;""'"")),""USER TIDAK DIKETAHUI""))"),"")</f>
        <v/>
      </c>
    </row>
    <row r="7482">
      <c r="A7482" s="21" t="str">
        <f t="shared" si="3"/>
        <v/>
      </c>
      <c r="B7482" s="38"/>
      <c r="C7482" s="23"/>
      <c r="D7482" s="23"/>
      <c r="E7482" s="24"/>
      <c r="F7482" s="25"/>
      <c r="G7482" s="25"/>
      <c r="H7482" s="27"/>
      <c r="I7482" s="28"/>
      <c r="J7482" s="39"/>
      <c r="K7482" s="41"/>
      <c r="L7482" s="31" t="str">
        <f>IFERROR(__xludf.DUMMYFUNCTION("IF(OR(E7482="""",K7482=""""),"""",IFERROR(IF(K7482="""","""",query('tbl user'!$A$2:$D10975,""SELECT A WHERE D = '""&amp;K7482&amp;""'"")),""USER TIDAK DIKETAHUI""))"),"")</f>
        <v/>
      </c>
    </row>
    <row r="7483">
      <c r="A7483" s="21" t="str">
        <f t="shared" si="3"/>
        <v/>
      </c>
      <c r="B7483" s="38"/>
      <c r="C7483" s="23"/>
      <c r="D7483" s="23"/>
      <c r="E7483" s="24"/>
      <c r="F7483" s="25"/>
      <c r="G7483" s="25"/>
      <c r="H7483" s="27"/>
      <c r="I7483" s="28"/>
      <c r="J7483" s="39"/>
      <c r="K7483" s="41"/>
      <c r="L7483" s="31" t="str">
        <f>IFERROR(__xludf.DUMMYFUNCTION("IF(OR(E7483="""",K7483=""""),"""",IFERROR(IF(K7483="""","""",query('tbl user'!$A$2:$D10975,""SELECT A WHERE D = '""&amp;K7483&amp;""'"")),""USER TIDAK DIKETAHUI""))"),"")</f>
        <v/>
      </c>
    </row>
    <row r="7484">
      <c r="A7484" s="21" t="str">
        <f t="shared" si="3"/>
        <v/>
      </c>
      <c r="B7484" s="38"/>
      <c r="C7484" s="23"/>
      <c r="D7484" s="23"/>
      <c r="E7484" s="24"/>
      <c r="F7484" s="25"/>
      <c r="G7484" s="25"/>
      <c r="H7484" s="27"/>
      <c r="I7484" s="28"/>
      <c r="J7484" s="39"/>
      <c r="K7484" s="41"/>
      <c r="L7484" s="31" t="str">
        <f>IFERROR(__xludf.DUMMYFUNCTION("IF(OR(E7484="""",K7484=""""),"""",IFERROR(IF(K7484="""","""",query('tbl user'!$A$2:$D10975,""SELECT A WHERE D = '""&amp;K7484&amp;""'"")),""USER TIDAK DIKETAHUI""))"),"")</f>
        <v/>
      </c>
    </row>
    <row r="7485">
      <c r="A7485" s="21" t="str">
        <f t="shared" si="3"/>
        <v/>
      </c>
      <c r="B7485" s="38"/>
      <c r="C7485" s="23"/>
      <c r="D7485" s="23"/>
      <c r="E7485" s="24"/>
      <c r="F7485" s="25"/>
      <c r="G7485" s="25"/>
      <c r="H7485" s="27"/>
      <c r="I7485" s="28"/>
      <c r="J7485" s="39"/>
      <c r="K7485" s="41"/>
      <c r="L7485" s="31" t="str">
        <f>IFERROR(__xludf.DUMMYFUNCTION("IF(OR(E7485="""",K7485=""""),"""",IFERROR(IF(K7485="""","""",query('tbl user'!$A$2:$D10975,""SELECT A WHERE D = '""&amp;K7485&amp;""'"")),""USER TIDAK DIKETAHUI""))"),"")</f>
        <v/>
      </c>
    </row>
    <row r="7486">
      <c r="A7486" s="21" t="str">
        <f t="shared" si="3"/>
        <v/>
      </c>
      <c r="B7486" s="38"/>
      <c r="C7486" s="23"/>
      <c r="D7486" s="23"/>
      <c r="E7486" s="24"/>
      <c r="F7486" s="25"/>
      <c r="G7486" s="25"/>
      <c r="H7486" s="27"/>
      <c r="I7486" s="28"/>
      <c r="J7486" s="39"/>
      <c r="K7486" s="41"/>
      <c r="L7486" s="31" t="str">
        <f>IFERROR(__xludf.DUMMYFUNCTION("IF(OR(E7486="""",K7486=""""),"""",IFERROR(IF(K7486="""","""",query('tbl user'!$A$2:$D10975,""SELECT A WHERE D = '""&amp;K7486&amp;""'"")),""USER TIDAK DIKETAHUI""))"),"")</f>
        <v/>
      </c>
    </row>
    <row r="7487">
      <c r="A7487" s="21" t="str">
        <f t="shared" si="3"/>
        <v/>
      </c>
      <c r="B7487" s="38"/>
      <c r="C7487" s="23"/>
      <c r="D7487" s="23"/>
      <c r="E7487" s="24"/>
      <c r="F7487" s="25"/>
      <c r="G7487" s="25"/>
      <c r="H7487" s="27"/>
      <c r="I7487" s="28"/>
      <c r="J7487" s="39"/>
      <c r="K7487" s="41"/>
      <c r="L7487" s="31" t="str">
        <f>IFERROR(__xludf.DUMMYFUNCTION("IF(OR(E7487="""",K7487=""""),"""",IFERROR(IF(K7487="""","""",query('tbl user'!$A$2:$D10975,""SELECT A WHERE D = '""&amp;K7487&amp;""'"")),""USER TIDAK DIKETAHUI""))"),"")</f>
        <v/>
      </c>
    </row>
    <row r="7488">
      <c r="A7488" s="21" t="str">
        <f t="shared" si="3"/>
        <v/>
      </c>
      <c r="B7488" s="38"/>
      <c r="C7488" s="23"/>
      <c r="D7488" s="23"/>
      <c r="E7488" s="24"/>
      <c r="F7488" s="25"/>
      <c r="G7488" s="25"/>
      <c r="H7488" s="27"/>
      <c r="I7488" s="28"/>
      <c r="J7488" s="39"/>
      <c r="K7488" s="41"/>
      <c r="L7488" s="31" t="str">
        <f>IFERROR(__xludf.DUMMYFUNCTION("IF(OR(E7488="""",K7488=""""),"""",IFERROR(IF(K7488="""","""",query('tbl user'!$A$2:$D10975,""SELECT A WHERE D = '""&amp;K7488&amp;""'"")),""USER TIDAK DIKETAHUI""))"),"")</f>
        <v/>
      </c>
    </row>
    <row r="7489">
      <c r="A7489" s="21" t="str">
        <f t="shared" si="3"/>
        <v/>
      </c>
      <c r="B7489" s="38"/>
      <c r="C7489" s="23"/>
      <c r="D7489" s="23"/>
      <c r="E7489" s="24"/>
      <c r="F7489" s="25"/>
      <c r="G7489" s="25"/>
      <c r="H7489" s="27"/>
      <c r="I7489" s="28"/>
      <c r="J7489" s="39"/>
      <c r="K7489" s="41"/>
      <c r="L7489" s="31" t="str">
        <f>IFERROR(__xludf.DUMMYFUNCTION("IF(OR(E7489="""",K7489=""""),"""",IFERROR(IF(K7489="""","""",query('tbl user'!$A$2:$D10975,""SELECT A WHERE D = '""&amp;K7489&amp;""'"")),""USER TIDAK DIKETAHUI""))"),"")</f>
        <v/>
      </c>
    </row>
    <row r="7490">
      <c r="A7490" s="21" t="str">
        <f t="shared" si="3"/>
        <v/>
      </c>
      <c r="B7490" s="38"/>
      <c r="C7490" s="23"/>
      <c r="D7490" s="23"/>
      <c r="E7490" s="24"/>
      <c r="F7490" s="25"/>
      <c r="G7490" s="25"/>
      <c r="H7490" s="27"/>
      <c r="I7490" s="28"/>
      <c r="J7490" s="39"/>
      <c r="K7490" s="41"/>
      <c r="L7490" s="31" t="str">
        <f>IFERROR(__xludf.DUMMYFUNCTION("IF(OR(E7490="""",K7490=""""),"""",IFERROR(IF(K7490="""","""",query('tbl user'!$A$2:$D10975,""SELECT A WHERE D = '""&amp;K7490&amp;""'"")),""USER TIDAK DIKETAHUI""))"),"")</f>
        <v/>
      </c>
    </row>
    <row r="7491">
      <c r="A7491" s="21" t="str">
        <f t="shared" si="3"/>
        <v/>
      </c>
      <c r="B7491" s="38"/>
      <c r="C7491" s="23"/>
      <c r="D7491" s="23"/>
      <c r="E7491" s="24"/>
      <c r="F7491" s="25"/>
      <c r="G7491" s="25"/>
      <c r="H7491" s="27"/>
      <c r="I7491" s="28"/>
      <c r="J7491" s="39"/>
      <c r="K7491" s="41"/>
      <c r="L7491" s="31" t="str">
        <f>IFERROR(__xludf.DUMMYFUNCTION("IF(OR(E7491="""",K7491=""""),"""",IFERROR(IF(K7491="""","""",query('tbl user'!$A$2:$D10975,""SELECT A WHERE D = '""&amp;K7491&amp;""'"")),""USER TIDAK DIKETAHUI""))"),"")</f>
        <v/>
      </c>
    </row>
    <row r="7492">
      <c r="A7492" s="21" t="str">
        <f t="shared" si="3"/>
        <v/>
      </c>
      <c r="B7492" s="38"/>
      <c r="C7492" s="23"/>
      <c r="D7492" s="23"/>
      <c r="E7492" s="24"/>
      <c r="F7492" s="25"/>
      <c r="G7492" s="25"/>
      <c r="H7492" s="27"/>
      <c r="I7492" s="28"/>
      <c r="J7492" s="39"/>
      <c r="K7492" s="41"/>
      <c r="L7492" s="31" t="str">
        <f>IFERROR(__xludf.DUMMYFUNCTION("IF(OR(E7492="""",K7492=""""),"""",IFERROR(IF(K7492="""","""",query('tbl user'!$A$2:$D10975,""SELECT A WHERE D = '""&amp;K7492&amp;""'"")),""USER TIDAK DIKETAHUI""))"),"")</f>
        <v/>
      </c>
    </row>
    <row r="7493">
      <c r="A7493" s="21" t="str">
        <f t="shared" si="3"/>
        <v/>
      </c>
      <c r="B7493" s="38"/>
      <c r="C7493" s="23"/>
      <c r="D7493" s="23"/>
      <c r="E7493" s="24"/>
      <c r="F7493" s="25"/>
      <c r="G7493" s="25"/>
      <c r="H7493" s="27"/>
      <c r="I7493" s="28"/>
      <c r="J7493" s="39"/>
      <c r="K7493" s="41"/>
      <c r="L7493" s="31" t="str">
        <f>IFERROR(__xludf.DUMMYFUNCTION("IF(OR(E7493="""",K7493=""""),"""",IFERROR(IF(K7493="""","""",query('tbl user'!$A$2:$D10975,""SELECT A WHERE D = '""&amp;K7493&amp;""'"")),""USER TIDAK DIKETAHUI""))"),"")</f>
        <v/>
      </c>
    </row>
    <row r="7494">
      <c r="A7494" s="21" t="str">
        <f t="shared" si="3"/>
        <v/>
      </c>
      <c r="B7494" s="38"/>
      <c r="C7494" s="23"/>
      <c r="D7494" s="23"/>
      <c r="E7494" s="24"/>
      <c r="F7494" s="25"/>
      <c r="G7494" s="25"/>
      <c r="H7494" s="27"/>
      <c r="I7494" s="28"/>
      <c r="J7494" s="39"/>
      <c r="K7494" s="41"/>
      <c r="L7494" s="31" t="str">
        <f>IFERROR(__xludf.DUMMYFUNCTION("IF(OR(E7494="""",K7494=""""),"""",IFERROR(IF(K7494="""","""",query('tbl user'!$A$2:$D10975,""SELECT A WHERE D = '""&amp;K7494&amp;""'"")),""USER TIDAK DIKETAHUI""))"),"")</f>
        <v/>
      </c>
    </row>
    <row r="7495">
      <c r="A7495" s="21" t="str">
        <f t="shared" si="3"/>
        <v/>
      </c>
      <c r="B7495" s="38"/>
      <c r="C7495" s="23"/>
      <c r="D7495" s="23"/>
      <c r="E7495" s="24"/>
      <c r="F7495" s="25"/>
      <c r="G7495" s="25"/>
      <c r="H7495" s="27"/>
      <c r="I7495" s="28"/>
      <c r="J7495" s="39"/>
      <c r="K7495" s="41"/>
      <c r="L7495" s="31" t="str">
        <f>IFERROR(__xludf.DUMMYFUNCTION("IF(OR(E7495="""",K7495=""""),"""",IFERROR(IF(K7495="""","""",query('tbl user'!$A$2:$D10975,""SELECT A WHERE D = '""&amp;K7495&amp;""'"")),""USER TIDAK DIKETAHUI""))"),"")</f>
        <v/>
      </c>
    </row>
    <row r="7496">
      <c r="A7496" s="21" t="str">
        <f t="shared" si="3"/>
        <v/>
      </c>
      <c r="B7496" s="38"/>
      <c r="C7496" s="23"/>
      <c r="D7496" s="23"/>
      <c r="E7496" s="24"/>
      <c r="F7496" s="25"/>
      <c r="G7496" s="25"/>
      <c r="H7496" s="27"/>
      <c r="I7496" s="28"/>
      <c r="J7496" s="39"/>
      <c r="K7496" s="41"/>
      <c r="L7496" s="31" t="str">
        <f>IFERROR(__xludf.DUMMYFUNCTION("IF(OR(E7496="""",K7496=""""),"""",IFERROR(IF(K7496="""","""",query('tbl user'!$A$2:$D10975,""SELECT A WHERE D = '""&amp;K7496&amp;""'"")),""USER TIDAK DIKETAHUI""))"),"")</f>
        <v/>
      </c>
    </row>
    <row r="7497">
      <c r="A7497" s="21" t="str">
        <f t="shared" si="3"/>
        <v/>
      </c>
      <c r="B7497" s="38"/>
      <c r="C7497" s="23"/>
      <c r="D7497" s="23"/>
      <c r="E7497" s="24"/>
      <c r="F7497" s="25"/>
      <c r="G7497" s="25"/>
      <c r="H7497" s="27"/>
      <c r="I7497" s="28"/>
      <c r="J7497" s="39"/>
      <c r="K7497" s="41"/>
      <c r="L7497" s="31" t="str">
        <f>IFERROR(__xludf.DUMMYFUNCTION("IF(OR(E7497="""",K7497=""""),"""",IFERROR(IF(K7497="""","""",query('tbl user'!$A$2:$D10975,""SELECT A WHERE D = '""&amp;K7497&amp;""'"")),""USER TIDAK DIKETAHUI""))"),"")</f>
        <v/>
      </c>
    </row>
    <row r="7498">
      <c r="A7498" s="21" t="str">
        <f t="shared" si="3"/>
        <v/>
      </c>
      <c r="B7498" s="38"/>
      <c r="C7498" s="23"/>
      <c r="D7498" s="23"/>
      <c r="E7498" s="24"/>
      <c r="F7498" s="25"/>
      <c r="G7498" s="25"/>
      <c r="H7498" s="27"/>
      <c r="I7498" s="28"/>
      <c r="J7498" s="39"/>
      <c r="K7498" s="41"/>
      <c r="L7498" s="31" t="str">
        <f>IFERROR(__xludf.DUMMYFUNCTION("IF(OR(E7498="""",K7498=""""),"""",IFERROR(IF(K7498="""","""",query('tbl user'!$A$2:$D10975,""SELECT A WHERE D = '""&amp;K7498&amp;""'"")),""USER TIDAK DIKETAHUI""))"),"")</f>
        <v/>
      </c>
    </row>
    <row r="7499">
      <c r="A7499" s="21" t="str">
        <f t="shared" si="3"/>
        <v/>
      </c>
      <c r="B7499" s="38"/>
      <c r="C7499" s="23"/>
      <c r="D7499" s="23"/>
      <c r="E7499" s="24"/>
      <c r="F7499" s="25"/>
      <c r="G7499" s="25"/>
      <c r="H7499" s="27"/>
      <c r="I7499" s="28"/>
      <c r="J7499" s="39"/>
      <c r="K7499" s="41"/>
      <c r="L7499" s="31" t="str">
        <f>IFERROR(__xludf.DUMMYFUNCTION("IF(OR(E7499="""",K7499=""""),"""",IFERROR(IF(K7499="""","""",query('tbl user'!$A$2:$D10975,""SELECT A WHERE D = '""&amp;K7499&amp;""'"")),""USER TIDAK DIKETAHUI""))"),"")</f>
        <v/>
      </c>
    </row>
    <row r="7500">
      <c r="A7500" s="21" t="str">
        <f t="shared" si="3"/>
        <v/>
      </c>
      <c r="B7500" s="38"/>
      <c r="C7500" s="23"/>
      <c r="D7500" s="23"/>
      <c r="E7500" s="24"/>
      <c r="F7500" s="25"/>
      <c r="G7500" s="25"/>
      <c r="H7500" s="27"/>
      <c r="I7500" s="28"/>
      <c r="J7500" s="39"/>
      <c r="K7500" s="41"/>
      <c r="L7500" s="31" t="str">
        <f>IFERROR(__xludf.DUMMYFUNCTION("IF(OR(E7500="""",K7500=""""),"""",IFERROR(IF(K7500="""","""",query('tbl user'!$A$2:$D10975,""SELECT A WHERE D = '""&amp;K7500&amp;""'"")),""USER TIDAK DIKETAHUI""))"),"")</f>
        <v/>
      </c>
    </row>
    <row r="7501">
      <c r="A7501" s="21" t="str">
        <f t="shared" si="3"/>
        <v/>
      </c>
      <c r="B7501" s="38"/>
      <c r="C7501" s="23"/>
      <c r="D7501" s="23"/>
      <c r="E7501" s="24"/>
      <c r="F7501" s="25"/>
      <c r="G7501" s="25"/>
      <c r="H7501" s="27"/>
      <c r="I7501" s="28"/>
      <c r="J7501" s="39"/>
      <c r="K7501" s="41"/>
      <c r="L7501" s="31" t="str">
        <f>IFERROR(__xludf.DUMMYFUNCTION("IF(OR(E7501="""",K7501=""""),"""",IFERROR(IF(K7501="""","""",query('tbl user'!$A$2:$D10975,""SELECT A WHERE D = '""&amp;K7501&amp;""'"")),""USER TIDAK DIKETAHUI""))"),"")</f>
        <v/>
      </c>
    </row>
    <row r="7502">
      <c r="A7502" s="21" t="str">
        <f t="shared" si="3"/>
        <v/>
      </c>
      <c r="B7502" s="38"/>
      <c r="C7502" s="23"/>
      <c r="D7502" s="23"/>
      <c r="E7502" s="24"/>
      <c r="F7502" s="25"/>
      <c r="G7502" s="25"/>
      <c r="H7502" s="27"/>
      <c r="I7502" s="28"/>
      <c r="J7502" s="39"/>
      <c r="K7502" s="41"/>
      <c r="L7502" s="31" t="str">
        <f>IFERROR(__xludf.DUMMYFUNCTION("IF(OR(E7502="""",K7502=""""),"""",IFERROR(IF(K7502="""","""",query('tbl user'!$A$2:$D10975,""SELECT A WHERE D = '""&amp;K7502&amp;""'"")),""USER TIDAK DIKETAHUI""))"),"")</f>
        <v/>
      </c>
    </row>
    <row r="7503">
      <c r="A7503" s="21" t="str">
        <f t="shared" si="3"/>
        <v/>
      </c>
      <c r="B7503" s="38"/>
      <c r="C7503" s="23"/>
      <c r="D7503" s="23"/>
      <c r="E7503" s="24"/>
      <c r="F7503" s="25"/>
      <c r="G7503" s="25"/>
      <c r="H7503" s="27"/>
      <c r="I7503" s="28"/>
      <c r="J7503" s="39"/>
      <c r="K7503" s="41"/>
      <c r="L7503" s="31" t="str">
        <f>IFERROR(__xludf.DUMMYFUNCTION("IF(OR(E7503="""",K7503=""""),"""",IFERROR(IF(K7503="""","""",query('tbl user'!$A$2:$D10975,""SELECT A WHERE D = '""&amp;K7503&amp;""'"")),""USER TIDAK DIKETAHUI""))"),"")</f>
        <v/>
      </c>
    </row>
    <row r="7504">
      <c r="A7504" s="21" t="str">
        <f t="shared" si="3"/>
        <v/>
      </c>
      <c r="B7504" s="38"/>
      <c r="C7504" s="23"/>
      <c r="D7504" s="23"/>
      <c r="E7504" s="24"/>
      <c r="F7504" s="25"/>
      <c r="G7504" s="25"/>
      <c r="H7504" s="27"/>
      <c r="I7504" s="28"/>
      <c r="J7504" s="39"/>
      <c r="K7504" s="41"/>
      <c r="L7504" s="31" t="str">
        <f>IFERROR(__xludf.DUMMYFUNCTION("IF(OR(E7504="""",K7504=""""),"""",IFERROR(IF(K7504="""","""",query('tbl user'!$A$2:$D10975,""SELECT A WHERE D = '""&amp;K7504&amp;""'"")),""USER TIDAK DIKETAHUI""))"),"")</f>
        <v/>
      </c>
    </row>
    <row r="7505">
      <c r="A7505" s="21" t="str">
        <f t="shared" si="3"/>
        <v/>
      </c>
      <c r="B7505" s="38"/>
      <c r="C7505" s="23"/>
      <c r="D7505" s="23"/>
      <c r="E7505" s="24"/>
      <c r="F7505" s="25"/>
      <c r="G7505" s="25"/>
      <c r="H7505" s="27"/>
      <c r="I7505" s="28"/>
      <c r="J7505" s="39"/>
      <c r="K7505" s="41"/>
      <c r="L7505" s="31" t="str">
        <f>IFERROR(__xludf.DUMMYFUNCTION("IF(OR(E7505="""",K7505=""""),"""",IFERROR(IF(K7505="""","""",query('tbl user'!$A$2:$D10975,""SELECT A WHERE D = '""&amp;K7505&amp;""'"")),""USER TIDAK DIKETAHUI""))"),"")</f>
        <v/>
      </c>
    </row>
    <row r="7506">
      <c r="A7506" s="21" t="str">
        <f t="shared" si="3"/>
        <v/>
      </c>
      <c r="B7506" s="38"/>
      <c r="C7506" s="23"/>
      <c r="D7506" s="23"/>
      <c r="E7506" s="24"/>
      <c r="F7506" s="25"/>
      <c r="G7506" s="25"/>
      <c r="H7506" s="27"/>
      <c r="I7506" s="28"/>
      <c r="J7506" s="39"/>
      <c r="K7506" s="41"/>
      <c r="L7506" s="31" t="str">
        <f>IFERROR(__xludf.DUMMYFUNCTION("IF(OR(E7506="""",K7506=""""),"""",IFERROR(IF(K7506="""","""",query('tbl user'!$A$2:$D10975,""SELECT A WHERE D = '""&amp;K7506&amp;""'"")),""USER TIDAK DIKETAHUI""))"),"")</f>
        <v/>
      </c>
    </row>
    <row r="7507">
      <c r="A7507" s="21" t="str">
        <f t="shared" si="3"/>
        <v/>
      </c>
      <c r="B7507" s="38"/>
      <c r="C7507" s="23"/>
      <c r="D7507" s="23"/>
      <c r="E7507" s="24"/>
      <c r="F7507" s="25"/>
      <c r="G7507" s="25"/>
      <c r="H7507" s="27"/>
      <c r="I7507" s="28"/>
      <c r="J7507" s="39"/>
      <c r="K7507" s="41"/>
      <c r="L7507" s="31" t="str">
        <f>IFERROR(__xludf.DUMMYFUNCTION("IF(OR(E7507="""",K7507=""""),"""",IFERROR(IF(K7507="""","""",query('tbl user'!$A$2:$D10975,""SELECT A WHERE D = '""&amp;K7507&amp;""'"")),""USER TIDAK DIKETAHUI""))"),"")</f>
        <v/>
      </c>
    </row>
    <row r="7508">
      <c r="A7508" s="21" t="str">
        <f t="shared" si="3"/>
        <v/>
      </c>
      <c r="B7508" s="38"/>
      <c r="C7508" s="23"/>
      <c r="D7508" s="23"/>
      <c r="E7508" s="24"/>
      <c r="F7508" s="25"/>
      <c r="G7508" s="25"/>
      <c r="H7508" s="27"/>
      <c r="I7508" s="28"/>
      <c r="J7508" s="39"/>
      <c r="K7508" s="41"/>
      <c r="L7508" s="31" t="str">
        <f>IFERROR(__xludf.DUMMYFUNCTION("IF(OR(E7508="""",K7508=""""),"""",IFERROR(IF(K7508="""","""",query('tbl user'!$A$2:$D10975,""SELECT A WHERE D = '""&amp;K7508&amp;""'"")),""USER TIDAK DIKETAHUI""))"),"")</f>
        <v/>
      </c>
    </row>
    <row r="7509">
      <c r="A7509" s="21" t="str">
        <f t="shared" si="3"/>
        <v/>
      </c>
      <c r="B7509" s="38"/>
      <c r="C7509" s="23"/>
      <c r="D7509" s="23"/>
      <c r="E7509" s="24"/>
      <c r="F7509" s="25"/>
      <c r="G7509" s="25"/>
      <c r="H7509" s="27"/>
      <c r="I7509" s="28"/>
      <c r="J7509" s="39"/>
      <c r="K7509" s="41"/>
      <c r="L7509" s="31" t="str">
        <f>IFERROR(__xludf.DUMMYFUNCTION("IF(OR(E7509="""",K7509=""""),"""",IFERROR(IF(K7509="""","""",query('tbl user'!$A$2:$D10975,""SELECT A WHERE D = '""&amp;K7509&amp;""'"")),""USER TIDAK DIKETAHUI""))"),"")</f>
        <v/>
      </c>
    </row>
    <row r="7510">
      <c r="A7510" s="21" t="str">
        <f t="shared" si="3"/>
        <v/>
      </c>
      <c r="B7510" s="38"/>
      <c r="C7510" s="23"/>
      <c r="D7510" s="23"/>
      <c r="E7510" s="24"/>
      <c r="F7510" s="25"/>
      <c r="G7510" s="25"/>
      <c r="H7510" s="27"/>
      <c r="I7510" s="28"/>
      <c r="J7510" s="39"/>
      <c r="K7510" s="41"/>
      <c r="L7510" s="31" t="str">
        <f>IFERROR(__xludf.DUMMYFUNCTION("IF(OR(E7510="""",K7510=""""),"""",IFERROR(IF(K7510="""","""",query('tbl user'!$A$2:$D10975,""SELECT A WHERE D = '""&amp;K7510&amp;""'"")),""USER TIDAK DIKETAHUI""))"),"")</f>
        <v/>
      </c>
    </row>
    <row r="7511">
      <c r="A7511" s="21" t="str">
        <f t="shared" si="3"/>
        <v/>
      </c>
      <c r="B7511" s="38"/>
      <c r="C7511" s="23"/>
      <c r="D7511" s="23"/>
      <c r="E7511" s="24"/>
      <c r="F7511" s="25"/>
      <c r="G7511" s="25"/>
      <c r="H7511" s="27"/>
      <c r="I7511" s="28"/>
      <c r="J7511" s="39"/>
      <c r="K7511" s="41"/>
      <c r="L7511" s="31" t="str">
        <f>IFERROR(__xludf.DUMMYFUNCTION("IF(OR(E7511="""",K7511=""""),"""",IFERROR(IF(K7511="""","""",query('tbl user'!$A$2:$D10975,""SELECT A WHERE D = '""&amp;K7511&amp;""'"")),""USER TIDAK DIKETAHUI""))"),"")</f>
        <v/>
      </c>
    </row>
    <row r="7512">
      <c r="A7512" s="21" t="str">
        <f t="shared" si="3"/>
        <v/>
      </c>
      <c r="B7512" s="38"/>
      <c r="C7512" s="23"/>
      <c r="D7512" s="23"/>
      <c r="E7512" s="24"/>
      <c r="F7512" s="25"/>
      <c r="G7512" s="25"/>
      <c r="H7512" s="27"/>
      <c r="I7512" s="28"/>
      <c r="J7512" s="39"/>
      <c r="K7512" s="41"/>
      <c r="L7512" s="31" t="str">
        <f>IFERROR(__xludf.DUMMYFUNCTION("IF(OR(E7512="""",K7512=""""),"""",IFERROR(IF(K7512="""","""",query('tbl user'!$A$2:$D10975,""SELECT A WHERE D = '""&amp;K7512&amp;""'"")),""USER TIDAK DIKETAHUI""))"),"")</f>
        <v/>
      </c>
    </row>
    <row r="7513">
      <c r="A7513" s="21" t="str">
        <f t="shared" si="3"/>
        <v/>
      </c>
      <c r="B7513" s="38"/>
      <c r="C7513" s="23"/>
      <c r="D7513" s="23"/>
      <c r="E7513" s="24"/>
      <c r="F7513" s="25"/>
      <c r="G7513" s="25"/>
      <c r="H7513" s="27"/>
      <c r="I7513" s="28"/>
      <c r="J7513" s="39"/>
      <c r="K7513" s="41"/>
      <c r="L7513" s="31" t="str">
        <f>IFERROR(__xludf.DUMMYFUNCTION("IF(OR(E7513="""",K7513=""""),"""",IFERROR(IF(K7513="""","""",query('tbl user'!$A$2:$D10975,""SELECT A WHERE D = '""&amp;K7513&amp;""'"")),""USER TIDAK DIKETAHUI""))"),"")</f>
        <v/>
      </c>
    </row>
    <row r="7514">
      <c r="A7514" s="21" t="str">
        <f t="shared" si="3"/>
        <v/>
      </c>
      <c r="B7514" s="38"/>
      <c r="C7514" s="23"/>
      <c r="D7514" s="23"/>
      <c r="E7514" s="24"/>
      <c r="F7514" s="25"/>
      <c r="G7514" s="25"/>
      <c r="H7514" s="27"/>
      <c r="I7514" s="28"/>
      <c r="J7514" s="39"/>
      <c r="K7514" s="41"/>
      <c r="L7514" s="31" t="str">
        <f>IFERROR(__xludf.DUMMYFUNCTION("IF(OR(E7514="""",K7514=""""),"""",IFERROR(IF(K7514="""","""",query('tbl user'!$A$2:$D10975,""SELECT A WHERE D = '""&amp;K7514&amp;""'"")),""USER TIDAK DIKETAHUI""))"),"")</f>
        <v/>
      </c>
    </row>
    <row r="7515">
      <c r="A7515" s="21" t="str">
        <f t="shared" si="3"/>
        <v/>
      </c>
      <c r="B7515" s="38"/>
      <c r="C7515" s="23"/>
      <c r="D7515" s="23"/>
      <c r="E7515" s="24"/>
      <c r="F7515" s="25"/>
      <c r="G7515" s="25"/>
      <c r="H7515" s="27"/>
      <c r="I7515" s="28"/>
      <c r="J7515" s="39"/>
      <c r="K7515" s="41"/>
      <c r="L7515" s="31" t="str">
        <f>IFERROR(__xludf.DUMMYFUNCTION("IF(OR(E7515="""",K7515=""""),"""",IFERROR(IF(K7515="""","""",query('tbl user'!$A$2:$D10975,""SELECT A WHERE D = '""&amp;K7515&amp;""'"")),""USER TIDAK DIKETAHUI""))"),"")</f>
        <v/>
      </c>
    </row>
    <row r="7516">
      <c r="A7516" s="21" t="str">
        <f t="shared" si="3"/>
        <v/>
      </c>
      <c r="B7516" s="38"/>
      <c r="C7516" s="23"/>
      <c r="D7516" s="23"/>
      <c r="E7516" s="24"/>
      <c r="F7516" s="25"/>
      <c r="G7516" s="25"/>
      <c r="H7516" s="27"/>
      <c r="I7516" s="28"/>
      <c r="J7516" s="39"/>
      <c r="K7516" s="41"/>
      <c r="L7516" s="31" t="str">
        <f>IFERROR(__xludf.DUMMYFUNCTION("IF(OR(E7516="""",K7516=""""),"""",IFERROR(IF(K7516="""","""",query('tbl user'!$A$2:$D10975,""SELECT A WHERE D = '""&amp;K7516&amp;""'"")),""USER TIDAK DIKETAHUI""))"),"")</f>
        <v/>
      </c>
    </row>
    <row r="7517">
      <c r="A7517" s="21" t="str">
        <f t="shared" si="3"/>
        <v/>
      </c>
      <c r="B7517" s="38"/>
      <c r="C7517" s="23"/>
      <c r="D7517" s="23"/>
      <c r="E7517" s="24"/>
      <c r="F7517" s="25"/>
      <c r="G7517" s="25"/>
      <c r="H7517" s="27"/>
      <c r="I7517" s="28"/>
      <c r="J7517" s="39"/>
      <c r="K7517" s="41"/>
      <c r="L7517" s="31" t="str">
        <f>IFERROR(__xludf.DUMMYFUNCTION("IF(OR(E7517="""",K7517=""""),"""",IFERROR(IF(K7517="""","""",query('tbl user'!$A$2:$D10975,""SELECT A WHERE D = '""&amp;K7517&amp;""'"")),""USER TIDAK DIKETAHUI""))"),"")</f>
        <v/>
      </c>
    </row>
    <row r="7518">
      <c r="A7518" s="21" t="str">
        <f t="shared" si="3"/>
        <v/>
      </c>
      <c r="B7518" s="38"/>
      <c r="C7518" s="23"/>
      <c r="D7518" s="23"/>
      <c r="E7518" s="24"/>
      <c r="F7518" s="25"/>
      <c r="G7518" s="25"/>
      <c r="H7518" s="27"/>
      <c r="I7518" s="28"/>
      <c r="J7518" s="39"/>
      <c r="K7518" s="41"/>
      <c r="L7518" s="31" t="str">
        <f>IFERROR(__xludf.DUMMYFUNCTION("IF(OR(E7518="""",K7518=""""),"""",IFERROR(IF(K7518="""","""",query('tbl user'!$A$2:$D10975,""SELECT A WHERE D = '""&amp;K7518&amp;""'"")),""USER TIDAK DIKETAHUI""))"),"")</f>
        <v/>
      </c>
    </row>
    <row r="7519">
      <c r="A7519" s="21" t="str">
        <f t="shared" si="3"/>
        <v/>
      </c>
      <c r="B7519" s="38"/>
      <c r="C7519" s="23"/>
      <c r="D7519" s="23"/>
      <c r="E7519" s="24"/>
      <c r="F7519" s="25"/>
      <c r="G7519" s="25"/>
      <c r="H7519" s="27"/>
      <c r="I7519" s="28"/>
      <c r="J7519" s="39"/>
      <c r="K7519" s="41"/>
      <c r="L7519" s="31" t="str">
        <f>IFERROR(__xludf.DUMMYFUNCTION("IF(OR(E7519="""",K7519=""""),"""",IFERROR(IF(K7519="""","""",query('tbl user'!$A$2:$D10975,""SELECT A WHERE D = '""&amp;K7519&amp;""'"")),""USER TIDAK DIKETAHUI""))"),"")</f>
        <v/>
      </c>
    </row>
    <row r="7520">
      <c r="A7520" s="21" t="str">
        <f t="shared" si="3"/>
        <v/>
      </c>
      <c r="B7520" s="38"/>
      <c r="C7520" s="23"/>
      <c r="D7520" s="23"/>
      <c r="E7520" s="24"/>
      <c r="F7520" s="25"/>
      <c r="G7520" s="25"/>
      <c r="H7520" s="27"/>
      <c r="I7520" s="28"/>
      <c r="J7520" s="39"/>
      <c r="K7520" s="41"/>
      <c r="L7520" s="31" t="str">
        <f>IFERROR(__xludf.DUMMYFUNCTION("IF(OR(E7520="""",K7520=""""),"""",IFERROR(IF(K7520="""","""",query('tbl user'!$A$2:$D10975,""SELECT A WHERE D = '""&amp;K7520&amp;""'"")),""USER TIDAK DIKETAHUI""))"),"")</f>
        <v/>
      </c>
    </row>
    <row r="7521">
      <c r="A7521" s="21" t="str">
        <f t="shared" si="3"/>
        <v/>
      </c>
      <c r="B7521" s="38"/>
      <c r="C7521" s="23"/>
      <c r="D7521" s="23"/>
      <c r="E7521" s="24"/>
      <c r="F7521" s="25"/>
      <c r="G7521" s="25"/>
      <c r="H7521" s="27"/>
      <c r="I7521" s="28"/>
      <c r="J7521" s="39"/>
      <c r="K7521" s="41"/>
      <c r="L7521" s="31" t="str">
        <f>IFERROR(__xludf.DUMMYFUNCTION("IF(OR(E7521="""",K7521=""""),"""",IFERROR(IF(K7521="""","""",query('tbl user'!$A$2:$D10975,""SELECT A WHERE D = '""&amp;K7521&amp;""'"")),""USER TIDAK DIKETAHUI""))"),"")</f>
        <v/>
      </c>
    </row>
    <row r="7522">
      <c r="A7522" s="21" t="str">
        <f t="shared" si="3"/>
        <v/>
      </c>
      <c r="B7522" s="38"/>
      <c r="C7522" s="23"/>
      <c r="D7522" s="23"/>
      <c r="E7522" s="24"/>
      <c r="F7522" s="25"/>
      <c r="G7522" s="25"/>
      <c r="H7522" s="27"/>
      <c r="I7522" s="28"/>
      <c r="J7522" s="39"/>
      <c r="K7522" s="41"/>
      <c r="L7522" s="31" t="str">
        <f>IFERROR(__xludf.DUMMYFUNCTION("IF(OR(E7522="""",K7522=""""),"""",IFERROR(IF(K7522="""","""",query('tbl user'!$A$2:$D10975,""SELECT A WHERE D = '""&amp;K7522&amp;""'"")),""USER TIDAK DIKETAHUI""))"),"")</f>
        <v/>
      </c>
    </row>
    <row r="7523">
      <c r="A7523" s="21" t="str">
        <f t="shared" si="3"/>
        <v/>
      </c>
      <c r="B7523" s="38"/>
      <c r="C7523" s="23"/>
      <c r="D7523" s="23"/>
      <c r="E7523" s="24"/>
      <c r="F7523" s="25"/>
      <c r="G7523" s="25"/>
      <c r="H7523" s="27"/>
      <c r="I7523" s="28"/>
      <c r="J7523" s="39"/>
      <c r="K7523" s="41"/>
      <c r="L7523" s="31" t="str">
        <f>IFERROR(__xludf.DUMMYFUNCTION("IF(OR(E7523="""",K7523=""""),"""",IFERROR(IF(K7523="""","""",query('tbl user'!$A$2:$D10975,""SELECT A WHERE D = '""&amp;K7523&amp;""'"")),""USER TIDAK DIKETAHUI""))"),"")</f>
        <v/>
      </c>
    </row>
    <row r="7524">
      <c r="A7524" s="21" t="str">
        <f t="shared" si="3"/>
        <v/>
      </c>
      <c r="B7524" s="38"/>
      <c r="C7524" s="23"/>
      <c r="D7524" s="23"/>
      <c r="E7524" s="24"/>
      <c r="F7524" s="25"/>
      <c r="G7524" s="25"/>
      <c r="H7524" s="27"/>
      <c r="I7524" s="28"/>
      <c r="J7524" s="39"/>
      <c r="K7524" s="41"/>
      <c r="L7524" s="31" t="str">
        <f>IFERROR(__xludf.DUMMYFUNCTION("IF(OR(E7524="""",K7524=""""),"""",IFERROR(IF(K7524="""","""",query('tbl user'!$A$2:$D10975,""SELECT A WHERE D = '""&amp;K7524&amp;""'"")),""USER TIDAK DIKETAHUI""))"),"")</f>
        <v/>
      </c>
    </row>
    <row r="7525">
      <c r="A7525" s="21" t="str">
        <f t="shared" si="3"/>
        <v/>
      </c>
      <c r="B7525" s="38"/>
      <c r="C7525" s="23"/>
      <c r="D7525" s="23"/>
      <c r="E7525" s="24"/>
      <c r="F7525" s="25"/>
      <c r="G7525" s="25"/>
      <c r="H7525" s="27"/>
      <c r="I7525" s="28"/>
      <c r="J7525" s="39"/>
      <c r="K7525" s="41"/>
      <c r="L7525" s="31" t="str">
        <f>IFERROR(__xludf.DUMMYFUNCTION("IF(OR(E7525="""",K7525=""""),"""",IFERROR(IF(K7525="""","""",query('tbl user'!$A$2:$D10975,""SELECT A WHERE D = '""&amp;K7525&amp;""'"")),""USER TIDAK DIKETAHUI""))"),"")</f>
        <v/>
      </c>
    </row>
    <row r="7526">
      <c r="A7526" s="21" t="str">
        <f t="shared" si="3"/>
        <v/>
      </c>
      <c r="B7526" s="38"/>
      <c r="C7526" s="23"/>
      <c r="D7526" s="23"/>
      <c r="E7526" s="24"/>
      <c r="F7526" s="25"/>
      <c r="G7526" s="25"/>
      <c r="H7526" s="27"/>
      <c r="I7526" s="28"/>
      <c r="J7526" s="39"/>
      <c r="K7526" s="41"/>
      <c r="L7526" s="31" t="str">
        <f>IFERROR(__xludf.DUMMYFUNCTION("IF(OR(E7526="""",K7526=""""),"""",IFERROR(IF(K7526="""","""",query('tbl user'!$A$2:$D10975,""SELECT A WHERE D = '""&amp;K7526&amp;""'"")),""USER TIDAK DIKETAHUI""))"),"")</f>
        <v/>
      </c>
    </row>
    <row r="7527">
      <c r="A7527" s="21" t="str">
        <f t="shared" si="3"/>
        <v/>
      </c>
      <c r="B7527" s="38"/>
      <c r="C7527" s="23"/>
      <c r="D7527" s="23"/>
      <c r="E7527" s="24"/>
      <c r="F7527" s="25"/>
      <c r="G7527" s="25"/>
      <c r="H7527" s="27"/>
      <c r="I7527" s="28"/>
      <c r="J7527" s="39"/>
      <c r="K7527" s="41"/>
      <c r="L7527" s="31" t="str">
        <f>IFERROR(__xludf.DUMMYFUNCTION("IF(OR(E7527="""",K7527=""""),"""",IFERROR(IF(K7527="""","""",query('tbl user'!$A$2:$D10975,""SELECT A WHERE D = '""&amp;K7527&amp;""'"")),""USER TIDAK DIKETAHUI""))"),"")</f>
        <v/>
      </c>
    </row>
    <row r="7528">
      <c r="A7528" s="21" t="str">
        <f t="shared" si="3"/>
        <v/>
      </c>
      <c r="B7528" s="38"/>
      <c r="C7528" s="23"/>
      <c r="D7528" s="23"/>
      <c r="E7528" s="24"/>
      <c r="F7528" s="25"/>
      <c r="G7528" s="25"/>
      <c r="H7528" s="27"/>
      <c r="I7528" s="28"/>
      <c r="J7528" s="39"/>
      <c r="K7528" s="41"/>
      <c r="L7528" s="31" t="str">
        <f>IFERROR(__xludf.DUMMYFUNCTION("IF(OR(E7528="""",K7528=""""),"""",IFERROR(IF(K7528="""","""",query('tbl user'!$A$2:$D10975,""SELECT A WHERE D = '""&amp;K7528&amp;""'"")),""USER TIDAK DIKETAHUI""))"),"")</f>
        <v/>
      </c>
    </row>
    <row r="7529">
      <c r="A7529" s="21" t="str">
        <f t="shared" si="3"/>
        <v/>
      </c>
      <c r="B7529" s="38"/>
      <c r="C7529" s="23"/>
      <c r="D7529" s="23"/>
      <c r="E7529" s="24"/>
      <c r="F7529" s="25"/>
      <c r="G7529" s="25"/>
      <c r="H7529" s="27"/>
      <c r="I7529" s="28"/>
      <c r="J7529" s="39"/>
      <c r="K7529" s="41"/>
      <c r="L7529" s="31" t="str">
        <f>IFERROR(__xludf.DUMMYFUNCTION("IF(OR(E7529="""",K7529=""""),"""",IFERROR(IF(K7529="""","""",query('tbl user'!$A$2:$D10975,""SELECT A WHERE D = '""&amp;K7529&amp;""'"")),""USER TIDAK DIKETAHUI""))"),"")</f>
        <v/>
      </c>
    </row>
    <row r="7530">
      <c r="A7530" s="21" t="str">
        <f t="shared" si="3"/>
        <v/>
      </c>
      <c r="B7530" s="38"/>
      <c r="C7530" s="23"/>
      <c r="D7530" s="23"/>
      <c r="E7530" s="24"/>
      <c r="F7530" s="25"/>
      <c r="G7530" s="25"/>
      <c r="H7530" s="27"/>
      <c r="I7530" s="28"/>
      <c r="J7530" s="39"/>
      <c r="K7530" s="41"/>
      <c r="L7530" s="31" t="str">
        <f>IFERROR(__xludf.DUMMYFUNCTION("IF(OR(E7530="""",K7530=""""),"""",IFERROR(IF(K7530="""","""",query('tbl user'!$A$2:$D10975,""SELECT A WHERE D = '""&amp;K7530&amp;""'"")),""USER TIDAK DIKETAHUI""))"),"")</f>
        <v/>
      </c>
    </row>
    <row r="7531">
      <c r="A7531" s="21" t="str">
        <f t="shared" si="3"/>
        <v/>
      </c>
      <c r="B7531" s="38"/>
      <c r="C7531" s="23"/>
      <c r="D7531" s="23"/>
      <c r="E7531" s="24"/>
      <c r="F7531" s="25"/>
      <c r="G7531" s="25"/>
      <c r="H7531" s="27"/>
      <c r="I7531" s="28"/>
      <c r="J7531" s="39"/>
      <c r="K7531" s="41"/>
      <c r="L7531" s="31" t="str">
        <f>IFERROR(__xludf.DUMMYFUNCTION("IF(OR(E7531="""",K7531=""""),"""",IFERROR(IF(K7531="""","""",query('tbl user'!$A$2:$D10975,""SELECT A WHERE D = '""&amp;K7531&amp;""'"")),""USER TIDAK DIKETAHUI""))"),"")</f>
        <v/>
      </c>
    </row>
    <row r="7532">
      <c r="A7532" s="21" t="str">
        <f t="shared" si="3"/>
        <v/>
      </c>
      <c r="B7532" s="38"/>
      <c r="C7532" s="23"/>
      <c r="D7532" s="23"/>
      <c r="E7532" s="24"/>
      <c r="F7532" s="25"/>
      <c r="G7532" s="25"/>
      <c r="H7532" s="27"/>
      <c r="I7532" s="28"/>
      <c r="J7532" s="39"/>
      <c r="K7532" s="41"/>
      <c r="L7532" s="31" t="str">
        <f>IFERROR(__xludf.DUMMYFUNCTION("IF(OR(E7532="""",K7532=""""),"""",IFERROR(IF(K7532="""","""",query('tbl user'!$A$2:$D10975,""SELECT A WHERE D = '""&amp;K7532&amp;""'"")),""USER TIDAK DIKETAHUI""))"),"")</f>
        <v/>
      </c>
    </row>
    <row r="7533">
      <c r="A7533" s="21" t="str">
        <f t="shared" si="3"/>
        <v/>
      </c>
      <c r="B7533" s="38"/>
      <c r="C7533" s="23"/>
      <c r="D7533" s="23"/>
      <c r="E7533" s="24"/>
      <c r="F7533" s="25"/>
      <c r="G7533" s="25"/>
      <c r="H7533" s="27"/>
      <c r="I7533" s="28"/>
      <c r="J7533" s="39"/>
      <c r="K7533" s="41"/>
      <c r="L7533" s="31" t="str">
        <f>IFERROR(__xludf.DUMMYFUNCTION("IF(OR(E7533="""",K7533=""""),"""",IFERROR(IF(K7533="""","""",query('tbl user'!$A$2:$D10975,""SELECT A WHERE D = '""&amp;K7533&amp;""'"")),""USER TIDAK DIKETAHUI""))"),"")</f>
        <v/>
      </c>
    </row>
    <row r="7534">
      <c r="A7534" s="21" t="str">
        <f t="shared" si="3"/>
        <v/>
      </c>
      <c r="B7534" s="38"/>
      <c r="C7534" s="23"/>
      <c r="D7534" s="23"/>
      <c r="E7534" s="24"/>
      <c r="F7534" s="25"/>
      <c r="G7534" s="25"/>
      <c r="H7534" s="27"/>
      <c r="I7534" s="28"/>
      <c r="J7534" s="39"/>
      <c r="K7534" s="41"/>
      <c r="L7534" s="31" t="str">
        <f>IFERROR(__xludf.DUMMYFUNCTION("IF(OR(E7534="""",K7534=""""),"""",IFERROR(IF(K7534="""","""",query('tbl user'!$A$2:$D10975,""SELECT A WHERE D = '""&amp;K7534&amp;""'"")),""USER TIDAK DIKETAHUI""))"),"")</f>
        <v/>
      </c>
    </row>
    <row r="7535">
      <c r="A7535" s="21" t="str">
        <f t="shared" si="3"/>
        <v/>
      </c>
      <c r="B7535" s="38"/>
      <c r="C7535" s="23"/>
      <c r="D7535" s="23"/>
      <c r="E7535" s="24"/>
      <c r="F7535" s="25"/>
      <c r="G7535" s="25"/>
      <c r="H7535" s="27"/>
      <c r="I7535" s="28"/>
      <c r="J7535" s="39"/>
      <c r="K7535" s="41"/>
      <c r="L7535" s="31" t="str">
        <f>IFERROR(__xludf.DUMMYFUNCTION("IF(OR(E7535="""",K7535=""""),"""",IFERROR(IF(K7535="""","""",query('tbl user'!$A$2:$D10975,""SELECT A WHERE D = '""&amp;K7535&amp;""'"")),""USER TIDAK DIKETAHUI""))"),"")</f>
        <v/>
      </c>
    </row>
    <row r="7536">
      <c r="A7536" s="21" t="str">
        <f t="shared" si="3"/>
        <v/>
      </c>
      <c r="B7536" s="38"/>
      <c r="C7536" s="23"/>
      <c r="D7536" s="23"/>
      <c r="E7536" s="24"/>
      <c r="F7536" s="25"/>
      <c r="G7536" s="25"/>
      <c r="H7536" s="27"/>
      <c r="I7536" s="28"/>
      <c r="J7536" s="39"/>
      <c r="K7536" s="41"/>
      <c r="L7536" s="31" t="str">
        <f>IFERROR(__xludf.DUMMYFUNCTION("IF(OR(E7536="""",K7536=""""),"""",IFERROR(IF(K7536="""","""",query('tbl user'!$A$2:$D10975,""SELECT A WHERE D = '""&amp;K7536&amp;""'"")),""USER TIDAK DIKETAHUI""))"),"")</f>
        <v/>
      </c>
    </row>
    <row r="7537">
      <c r="A7537" s="21" t="str">
        <f t="shared" si="3"/>
        <v/>
      </c>
      <c r="B7537" s="38"/>
      <c r="C7537" s="23"/>
      <c r="D7537" s="23"/>
      <c r="E7537" s="24"/>
      <c r="F7537" s="25"/>
      <c r="G7537" s="25"/>
      <c r="H7537" s="27"/>
      <c r="I7537" s="28"/>
      <c r="J7537" s="39"/>
      <c r="K7537" s="41"/>
      <c r="L7537" s="31" t="str">
        <f>IFERROR(__xludf.DUMMYFUNCTION("IF(OR(E7537="""",K7537=""""),"""",IFERROR(IF(K7537="""","""",query('tbl user'!$A$2:$D10975,""SELECT A WHERE D = '""&amp;K7537&amp;""'"")),""USER TIDAK DIKETAHUI""))"),"")</f>
        <v/>
      </c>
    </row>
    <row r="7538">
      <c r="A7538" s="21" t="str">
        <f t="shared" si="3"/>
        <v/>
      </c>
      <c r="B7538" s="38"/>
      <c r="C7538" s="23"/>
      <c r="D7538" s="23"/>
      <c r="E7538" s="24"/>
      <c r="F7538" s="25"/>
      <c r="G7538" s="25"/>
      <c r="H7538" s="27"/>
      <c r="I7538" s="28"/>
      <c r="J7538" s="39"/>
      <c r="K7538" s="41"/>
      <c r="L7538" s="31" t="str">
        <f>IFERROR(__xludf.DUMMYFUNCTION("IF(OR(E7538="""",K7538=""""),"""",IFERROR(IF(K7538="""","""",query('tbl user'!$A$2:$D10975,""SELECT A WHERE D = '""&amp;K7538&amp;""'"")),""USER TIDAK DIKETAHUI""))"),"")</f>
        <v/>
      </c>
    </row>
    <row r="7539">
      <c r="A7539" s="21" t="str">
        <f t="shared" si="3"/>
        <v/>
      </c>
      <c r="B7539" s="38"/>
      <c r="C7539" s="23"/>
      <c r="D7539" s="23"/>
      <c r="E7539" s="24"/>
      <c r="F7539" s="25"/>
      <c r="G7539" s="25"/>
      <c r="H7539" s="27"/>
      <c r="I7539" s="28"/>
      <c r="J7539" s="39"/>
      <c r="K7539" s="41"/>
      <c r="L7539" s="31" t="str">
        <f>IFERROR(__xludf.DUMMYFUNCTION("IF(OR(E7539="""",K7539=""""),"""",IFERROR(IF(K7539="""","""",query('tbl user'!$A$2:$D10975,""SELECT A WHERE D = '""&amp;K7539&amp;""'"")),""USER TIDAK DIKETAHUI""))"),"")</f>
        <v/>
      </c>
    </row>
    <row r="7540">
      <c r="A7540" s="21" t="str">
        <f t="shared" si="3"/>
        <v/>
      </c>
      <c r="B7540" s="38"/>
      <c r="C7540" s="23"/>
      <c r="D7540" s="23"/>
      <c r="E7540" s="24"/>
      <c r="F7540" s="25"/>
      <c r="G7540" s="25"/>
      <c r="H7540" s="27"/>
      <c r="I7540" s="28"/>
      <c r="J7540" s="39"/>
      <c r="K7540" s="41"/>
      <c r="L7540" s="31" t="str">
        <f>IFERROR(__xludf.DUMMYFUNCTION("IF(OR(E7540="""",K7540=""""),"""",IFERROR(IF(K7540="""","""",query('tbl user'!$A$2:$D10975,""SELECT A WHERE D = '""&amp;K7540&amp;""'"")),""USER TIDAK DIKETAHUI""))"),"")</f>
        <v/>
      </c>
    </row>
    <row r="7541">
      <c r="A7541" s="21" t="str">
        <f t="shared" si="3"/>
        <v/>
      </c>
      <c r="B7541" s="38"/>
      <c r="C7541" s="23"/>
      <c r="D7541" s="23"/>
      <c r="E7541" s="24"/>
      <c r="F7541" s="25"/>
      <c r="G7541" s="25"/>
      <c r="H7541" s="27"/>
      <c r="I7541" s="28"/>
      <c r="J7541" s="39"/>
      <c r="K7541" s="41"/>
      <c r="L7541" s="31" t="str">
        <f>IFERROR(__xludf.DUMMYFUNCTION("IF(OR(E7541="""",K7541=""""),"""",IFERROR(IF(K7541="""","""",query('tbl user'!$A$2:$D10975,""SELECT A WHERE D = '""&amp;K7541&amp;""'"")),""USER TIDAK DIKETAHUI""))"),"")</f>
        <v/>
      </c>
    </row>
    <row r="7542">
      <c r="A7542" s="21" t="str">
        <f t="shared" si="3"/>
        <v/>
      </c>
      <c r="B7542" s="38"/>
      <c r="C7542" s="23"/>
      <c r="D7542" s="23"/>
      <c r="E7542" s="24"/>
      <c r="F7542" s="25"/>
      <c r="G7542" s="25"/>
      <c r="H7542" s="27"/>
      <c r="I7542" s="28"/>
      <c r="J7542" s="39"/>
      <c r="K7542" s="41"/>
      <c r="L7542" s="31" t="str">
        <f>IFERROR(__xludf.DUMMYFUNCTION("IF(OR(E7542="""",K7542=""""),"""",IFERROR(IF(K7542="""","""",query('tbl user'!$A$2:$D10975,""SELECT A WHERE D = '""&amp;K7542&amp;""'"")),""USER TIDAK DIKETAHUI""))"),"")</f>
        <v/>
      </c>
    </row>
    <row r="7543">
      <c r="A7543" s="21" t="str">
        <f t="shared" si="3"/>
        <v/>
      </c>
      <c r="B7543" s="38"/>
      <c r="C7543" s="23"/>
      <c r="D7543" s="23"/>
      <c r="E7543" s="24"/>
      <c r="F7543" s="25"/>
      <c r="G7543" s="25"/>
      <c r="H7543" s="27"/>
      <c r="I7543" s="28"/>
      <c r="J7543" s="39"/>
      <c r="K7543" s="41"/>
      <c r="L7543" s="31" t="str">
        <f>IFERROR(__xludf.DUMMYFUNCTION("IF(OR(E7543="""",K7543=""""),"""",IFERROR(IF(K7543="""","""",query('tbl user'!$A$2:$D10975,""SELECT A WHERE D = '""&amp;K7543&amp;""'"")),""USER TIDAK DIKETAHUI""))"),"")</f>
        <v/>
      </c>
    </row>
    <row r="7544">
      <c r="A7544" s="21" t="str">
        <f t="shared" si="3"/>
        <v/>
      </c>
      <c r="B7544" s="38"/>
      <c r="C7544" s="23"/>
      <c r="D7544" s="23"/>
      <c r="E7544" s="24"/>
      <c r="F7544" s="25"/>
      <c r="G7544" s="25"/>
      <c r="H7544" s="27"/>
      <c r="I7544" s="28"/>
      <c r="J7544" s="39"/>
      <c r="K7544" s="41"/>
      <c r="L7544" s="31" t="str">
        <f>IFERROR(__xludf.DUMMYFUNCTION("IF(OR(E7544="""",K7544=""""),"""",IFERROR(IF(K7544="""","""",query('tbl user'!$A$2:$D10975,""SELECT A WHERE D = '""&amp;K7544&amp;""'"")),""USER TIDAK DIKETAHUI""))"),"")</f>
        <v/>
      </c>
    </row>
    <row r="7545">
      <c r="A7545" s="21" t="str">
        <f t="shared" si="3"/>
        <v/>
      </c>
      <c r="B7545" s="38"/>
      <c r="C7545" s="23"/>
      <c r="D7545" s="23"/>
      <c r="E7545" s="24"/>
      <c r="F7545" s="25"/>
      <c r="G7545" s="25"/>
      <c r="H7545" s="27"/>
      <c r="I7545" s="28"/>
      <c r="J7545" s="39"/>
      <c r="K7545" s="41"/>
      <c r="L7545" s="31" t="str">
        <f>IFERROR(__xludf.DUMMYFUNCTION("IF(OR(E7545="""",K7545=""""),"""",IFERROR(IF(K7545="""","""",query('tbl user'!$A$2:$D10975,""SELECT A WHERE D = '""&amp;K7545&amp;""'"")),""USER TIDAK DIKETAHUI""))"),"")</f>
        <v/>
      </c>
    </row>
    <row r="7546">
      <c r="A7546" s="21" t="str">
        <f t="shared" si="3"/>
        <v/>
      </c>
      <c r="B7546" s="38"/>
      <c r="C7546" s="23"/>
      <c r="D7546" s="23"/>
      <c r="E7546" s="24"/>
      <c r="F7546" s="25"/>
      <c r="G7546" s="25"/>
      <c r="H7546" s="27"/>
      <c r="I7546" s="28"/>
      <c r="J7546" s="39"/>
      <c r="K7546" s="41"/>
      <c r="L7546" s="31" t="str">
        <f>IFERROR(__xludf.DUMMYFUNCTION("IF(OR(E7546="""",K7546=""""),"""",IFERROR(IF(K7546="""","""",query('tbl user'!$A$2:$D10975,""SELECT A WHERE D = '""&amp;K7546&amp;""'"")),""USER TIDAK DIKETAHUI""))"),"")</f>
        <v/>
      </c>
    </row>
    <row r="7547">
      <c r="A7547" s="21" t="str">
        <f t="shared" si="3"/>
        <v/>
      </c>
      <c r="B7547" s="38"/>
      <c r="C7547" s="23"/>
      <c r="D7547" s="23"/>
      <c r="E7547" s="24"/>
      <c r="F7547" s="25"/>
      <c r="G7547" s="25"/>
      <c r="H7547" s="27"/>
      <c r="I7547" s="28"/>
      <c r="J7547" s="39"/>
      <c r="K7547" s="41"/>
      <c r="L7547" s="31" t="str">
        <f>IFERROR(__xludf.DUMMYFUNCTION("IF(OR(E7547="""",K7547=""""),"""",IFERROR(IF(K7547="""","""",query('tbl user'!$A$2:$D10975,""SELECT A WHERE D = '""&amp;K7547&amp;""'"")),""USER TIDAK DIKETAHUI""))"),"")</f>
        <v/>
      </c>
    </row>
    <row r="7548">
      <c r="A7548" s="21" t="str">
        <f t="shared" si="3"/>
        <v/>
      </c>
      <c r="B7548" s="38"/>
      <c r="C7548" s="23"/>
      <c r="D7548" s="23"/>
      <c r="E7548" s="24"/>
      <c r="F7548" s="25"/>
      <c r="G7548" s="25"/>
      <c r="H7548" s="27"/>
      <c r="I7548" s="28"/>
      <c r="J7548" s="39"/>
      <c r="K7548" s="41"/>
      <c r="L7548" s="31" t="str">
        <f>IFERROR(__xludf.DUMMYFUNCTION("IF(OR(E7548="""",K7548=""""),"""",IFERROR(IF(K7548="""","""",query('tbl user'!$A$2:$D10975,""SELECT A WHERE D = '""&amp;K7548&amp;""'"")),""USER TIDAK DIKETAHUI""))"),"")</f>
        <v/>
      </c>
    </row>
    <row r="7549">
      <c r="A7549" s="21" t="str">
        <f t="shared" si="3"/>
        <v/>
      </c>
      <c r="B7549" s="38"/>
      <c r="C7549" s="23"/>
      <c r="D7549" s="23"/>
      <c r="E7549" s="24"/>
      <c r="F7549" s="25"/>
      <c r="G7549" s="25"/>
      <c r="H7549" s="27"/>
      <c r="I7549" s="28"/>
      <c r="J7549" s="39"/>
      <c r="K7549" s="41"/>
      <c r="L7549" s="31" t="str">
        <f>IFERROR(__xludf.DUMMYFUNCTION("IF(OR(E7549="""",K7549=""""),"""",IFERROR(IF(K7549="""","""",query('tbl user'!$A$2:$D10975,""SELECT A WHERE D = '""&amp;K7549&amp;""'"")),""USER TIDAK DIKETAHUI""))"),"")</f>
        <v/>
      </c>
    </row>
    <row r="7550">
      <c r="A7550" s="21" t="str">
        <f t="shared" si="3"/>
        <v/>
      </c>
      <c r="B7550" s="38"/>
      <c r="C7550" s="23"/>
      <c r="D7550" s="23"/>
      <c r="E7550" s="24"/>
      <c r="F7550" s="25"/>
      <c r="G7550" s="25"/>
      <c r="H7550" s="27"/>
      <c r="I7550" s="28"/>
      <c r="J7550" s="39"/>
      <c r="K7550" s="41"/>
      <c r="L7550" s="31" t="str">
        <f>IFERROR(__xludf.DUMMYFUNCTION("IF(OR(E7550="""",K7550=""""),"""",IFERROR(IF(K7550="""","""",query('tbl user'!$A$2:$D10975,""SELECT A WHERE D = '""&amp;K7550&amp;""'"")),""USER TIDAK DIKETAHUI""))"),"")</f>
        <v/>
      </c>
    </row>
    <row r="7551">
      <c r="A7551" s="21" t="str">
        <f t="shared" si="3"/>
        <v/>
      </c>
      <c r="B7551" s="38"/>
      <c r="C7551" s="23"/>
      <c r="D7551" s="23"/>
      <c r="E7551" s="24"/>
      <c r="F7551" s="25"/>
      <c r="G7551" s="25"/>
      <c r="H7551" s="27"/>
      <c r="I7551" s="28"/>
      <c r="J7551" s="39"/>
      <c r="K7551" s="41"/>
      <c r="L7551" s="31" t="str">
        <f>IFERROR(__xludf.DUMMYFUNCTION("IF(OR(E7551="""",K7551=""""),"""",IFERROR(IF(K7551="""","""",query('tbl user'!$A$2:$D10975,""SELECT A WHERE D = '""&amp;K7551&amp;""'"")),""USER TIDAK DIKETAHUI""))"),"")</f>
        <v/>
      </c>
    </row>
    <row r="7552">
      <c r="A7552" s="21" t="str">
        <f t="shared" si="3"/>
        <v/>
      </c>
      <c r="B7552" s="38"/>
      <c r="C7552" s="23"/>
      <c r="D7552" s="23"/>
      <c r="E7552" s="24"/>
      <c r="F7552" s="25"/>
      <c r="G7552" s="25"/>
      <c r="H7552" s="27"/>
      <c r="I7552" s="28"/>
      <c r="J7552" s="39"/>
      <c r="K7552" s="41"/>
      <c r="L7552" s="31" t="str">
        <f>IFERROR(__xludf.DUMMYFUNCTION("IF(OR(E7552="""",K7552=""""),"""",IFERROR(IF(K7552="""","""",query('tbl user'!$A$2:$D10975,""SELECT A WHERE D = '""&amp;K7552&amp;""'"")),""USER TIDAK DIKETAHUI""))"),"")</f>
        <v/>
      </c>
    </row>
    <row r="7553">
      <c r="A7553" s="21" t="str">
        <f t="shared" si="3"/>
        <v/>
      </c>
      <c r="B7553" s="38"/>
      <c r="C7553" s="23"/>
      <c r="D7553" s="23"/>
      <c r="E7553" s="24"/>
      <c r="F7553" s="25"/>
      <c r="G7553" s="25"/>
      <c r="H7553" s="27"/>
      <c r="I7553" s="28"/>
      <c r="J7553" s="39"/>
      <c r="K7553" s="41"/>
      <c r="L7553" s="31" t="str">
        <f>IFERROR(__xludf.DUMMYFUNCTION("IF(OR(E7553="""",K7553=""""),"""",IFERROR(IF(K7553="""","""",query('tbl user'!$A$2:$D10975,""SELECT A WHERE D = '""&amp;K7553&amp;""'"")),""USER TIDAK DIKETAHUI""))"),"")</f>
        <v/>
      </c>
    </row>
    <row r="7554">
      <c r="A7554" s="21" t="str">
        <f t="shared" si="3"/>
        <v/>
      </c>
      <c r="B7554" s="38"/>
      <c r="C7554" s="23"/>
      <c r="D7554" s="23"/>
      <c r="E7554" s="24"/>
      <c r="F7554" s="25"/>
      <c r="G7554" s="25"/>
      <c r="H7554" s="27"/>
      <c r="I7554" s="28"/>
      <c r="J7554" s="39"/>
      <c r="K7554" s="41"/>
      <c r="L7554" s="31" t="str">
        <f>IFERROR(__xludf.DUMMYFUNCTION("IF(OR(E7554="""",K7554=""""),"""",IFERROR(IF(K7554="""","""",query('tbl user'!$A$2:$D10975,""SELECT A WHERE D = '""&amp;K7554&amp;""'"")),""USER TIDAK DIKETAHUI""))"),"")</f>
        <v/>
      </c>
    </row>
    <row r="7555">
      <c r="A7555" s="21" t="str">
        <f t="shared" si="3"/>
        <v/>
      </c>
      <c r="B7555" s="38"/>
      <c r="C7555" s="23"/>
      <c r="D7555" s="23"/>
      <c r="E7555" s="24"/>
      <c r="F7555" s="25"/>
      <c r="G7555" s="25"/>
      <c r="H7555" s="27"/>
      <c r="I7555" s="28"/>
      <c r="J7555" s="39"/>
      <c r="K7555" s="41"/>
      <c r="L7555" s="31" t="str">
        <f>IFERROR(__xludf.DUMMYFUNCTION("IF(OR(E7555="""",K7555=""""),"""",IFERROR(IF(K7555="""","""",query('tbl user'!$A$2:$D10975,""SELECT A WHERE D = '""&amp;K7555&amp;""'"")),""USER TIDAK DIKETAHUI""))"),"")</f>
        <v/>
      </c>
    </row>
    <row r="7556">
      <c r="A7556" s="21" t="str">
        <f t="shared" si="3"/>
        <v/>
      </c>
      <c r="B7556" s="38"/>
      <c r="C7556" s="23"/>
      <c r="D7556" s="23"/>
      <c r="E7556" s="24"/>
      <c r="F7556" s="25"/>
      <c r="G7556" s="25"/>
      <c r="H7556" s="27"/>
      <c r="I7556" s="28"/>
      <c r="J7556" s="39"/>
      <c r="K7556" s="41"/>
      <c r="L7556" s="31" t="str">
        <f>IFERROR(__xludf.DUMMYFUNCTION("IF(OR(E7556="""",K7556=""""),"""",IFERROR(IF(K7556="""","""",query('tbl user'!$A$2:$D10975,""SELECT A WHERE D = '""&amp;K7556&amp;""'"")),""USER TIDAK DIKETAHUI""))"),"")</f>
        <v/>
      </c>
    </row>
    <row r="7557">
      <c r="A7557" s="21" t="str">
        <f t="shared" si="3"/>
        <v/>
      </c>
      <c r="B7557" s="38"/>
      <c r="C7557" s="23"/>
      <c r="D7557" s="23"/>
      <c r="E7557" s="24"/>
      <c r="F7557" s="25"/>
      <c r="G7557" s="25"/>
      <c r="H7557" s="27"/>
      <c r="I7557" s="28"/>
      <c r="J7557" s="39"/>
      <c r="K7557" s="41"/>
      <c r="L7557" s="31" t="str">
        <f>IFERROR(__xludf.DUMMYFUNCTION("IF(OR(E7557="""",K7557=""""),"""",IFERROR(IF(K7557="""","""",query('tbl user'!$A$2:$D10975,""SELECT A WHERE D = '""&amp;K7557&amp;""'"")),""USER TIDAK DIKETAHUI""))"),"")</f>
        <v/>
      </c>
    </row>
    <row r="7558">
      <c r="A7558" s="21" t="str">
        <f t="shared" si="3"/>
        <v/>
      </c>
      <c r="B7558" s="38"/>
      <c r="C7558" s="23"/>
      <c r="D7558" s="23"/>
      <c r="E7558" s="24"/>
      <c r="F7558" s="25"/>
      <c r="G7558" s="25"/>
      <c r="H7558" s="27"/>
      <c r="I7558" s="28"/>
      <c r="J7558" s="39"/>
      <c r="K7558" s="41"/>
      <c r="L7558" s="31" t="str">
        <f>IFERROR(__xludf.DUMMYFUNCTION("IF(OR(E7558="""",K7558=""""),"""",IFERROR(IF(K7558="""","""",query('tbl user'!$A$2:$D10975,""SELECT A WHERE D = '""&amp;K7558&amp;""'"")),""USER TIDAK DIKETAHUI""))"),"")</f>
        <v/>
      </c>
    </row>
    <row r="7559">
      <c r="A7559" s="21" t="str">
        <f t="shared" si="3"/>
        <v/>
      </c>
      <c r="B7559" s="38"/>
      <c r="C7559" s="23"/>
      <c r="D7559" s="23"/>
      <c r="E7559" s="24"/>
      <c r="F7559" s="25"/>
      <c r="G7559" s="25"/>
      <c r="H7559" s="27"/>
      <c r="I7559" s="28"/>
      <c r="J7559" s="39"/>
      <c r="K7559" s="41"/>
      <c r="L7559" s="31" t="str">
        <f>IFERROR(__xludf.DUMMYFUNCTION("IF(OR(E7559="""",K7559=""""),"""",IFERROR(IF(K7559="""","""",query('tbl user'!$A$2:$D10975,""SELECT A WHERE D = '""&amp;K7559&amp;""'"")),""USER TIDAK DIKETAHUI""))"),"")</f>
        <v/>
      </c>
    </row>
    <row r="7560">
      <c r="A7560" s="21" t="str">
        <f t="shared" si="3"/>
        <v/>
      </c>
      <c r="B7560" s="38"/>
      <c r="C7560" s="23"/>
      <c r="D7560" s="23"/>
      <c r="E7560" s="24"/>
      <c r="F7560" s="25"/>
      <c r="G7560" s="25"/>
      <c r="H7560" s="27"/>
      <c r="I7560" s="28"/>
      <c r="J7560" s="39"/>
      <c r="K7560" s="41"/>
      <c r="L7560" s="31" t="str">
        <f>IFERROR(__xludf.DUMMYFUNCTION("IF(OR(E7560="""",K7560=""""),"""",IFERROR(IF(K7560="""","""",query('tbl user'!$A$2:$D10975,""SELECT A WHERE D = '""&amp;K7560&amp;""'"")),""USER TIDAK DIKETAHUI""))"),"")</f>
        <v/>
      </c>
    </row>
    <row r="7561">
      <c r="A7561" s="21" t="str">
        <f t="shared" si="3"/>
        <v/>
      </c>
      <c r="B7561" s="38"/>
      <c r="C7561" s="23"/>
      <c r="D7561" s="23"/>
      <c r="E7561" s="24"/>
      <c r="F7561" s="25"/>
      <c r="G7561" s="25"/>
      <c r="H7561" s="27"/>
      <c r="I7561" s="28"/>
      <c r="J7561" s="39"/>
      <c r="K7561" s="41"/>
      <c r="L7561" s="31" t="str">
        <f>IFERROR(__xludf.DUMMYFUNCTION("IF(OR(E7561="""",K7561=""""),"""",IFERROR(IF(K7561="""","""",query('tbl user'!$A$2:$D10975,""SELECT A WHERE D = '""&amp;K7561&amp;""'"")),""USER TIDAK DIKETAHUI""))"),"")</f>
        <v/>
      </c>
    </row>
    <row r="7562">
      <c r="A7562" s="21" t="str">
        <f t="shared" si="3"/>
        <v/>
      </c>
      <c r="B7562" s="38"/>
      <c r="C7562" s="23"/>
      <c r="D7562" s="23"/>
      <c r="E7562" s="24"/>
      <c r="F7562" s="25"/>
      <c r="G7562" s="25"/>
      <c r="H7562" s="27"/>
      <c r="I7562" s="28"/>
      <c r="J7562" s="39"/>
      <c r="K7562" s="41"/>
      <c r="L7562" s="31" t="str">
        <f>IFERROR(__xludf.DUMMYFUNCTION("IF(OR(E7562="""",K7562=""""),"""",IFERROR(IF(K7562="""","""",query('tbl user'!$A$2:$D10975,""SELECT A WHERE D = '""&amp;K7562&amp;""'"")),""USER TIDAK DIKETAHUI""))"),"")</f>
        <v/>
      </c>
    </row>
    <row r="7563">
      <c r="A7563" s="21" t="str">
        <f t="shared" si="3"/>
        <v/>
      </c>
      <c r="B7563" s="38"/>
      <c r="C7563" s="23"/>
      <c r="D7563" s="23"/>
      <c r="E7563" s="24"/>
      <c r="F7563" s="25"/>
      <c r="G7563" s="25"/>
      <c r="H7563" s="27"/>
      <c r="I7563" s="28"/>
      <c r="J7563" s="39"/>
      <c r="K7563" s="41"/>
      <c r="L7563" s="31" t="str">
        <f>IFERROR(__xludf.DUMMYFUNCTION("IF(OR(E7563="""",K7563=""""),"""",IFERROR(IF(K7563="""","""",query('tbl user'!$A$2:$D10975,""SELECT A WHERE D = '""&amp;K7563&amp;""'"")),""USER TIDAK DIKETAHUI""))"),"")</f>
        <v/>
      </c>
    </row>
    <row r="7564">
      <c r="A7564" s="21" t="str">
        <f t="shared" si="3"/>
        <v/>
      </c>
      <c r="B7564" s="38"/>
      <c r="C7564" s="23"/>
      <c r="D7564" s="23"/>
      <c r="E7564" s="24"/>
      <c r="F7564" s="25"/>
      <c r="G7564" s="25"/>
      <c r="H7564" s="27"/>
      <c r="I7564" s="28"/>
      <c r="J7564" s="39"/>
      <c r="K7564" s="41"/>
      <c r="L7564" s="31" t="str">
        <f>IFERROR(__xludf.DUMMYFUNCTION("IF(OR(E7564="""",K7564=""""),"""",IFERROR(IF(K7564="""","""",query('tbl user'!$A$2:$D10975,""SELECT A WHERE D = '""&amp;K7564&amp;""'"")),""USER TIDAK DIKETAHUI""))"),"")</f>
        <v/>
      </c>
    </row>
    <row r="7565">
      <c r="A7565" s="21" t="str">
        <f t="shared" si="3"/>
        <v/>
      </c>
      <c r="B7565" s="38"/>
      <c r="C7565" s="23"/>
      <c r="D7565" s="23"/>
      <c r="E7565" s="24"/>
      <c r="F7565" s="25"/>
      <c r="G7565" s="25"/>
      <c r="H7565" s="27"/>
      <c r="I7565" s="28"/>
      <c r="J7565" s="39"/>
      <c r="K7565" s="41"/>
      <c r="L7565" s="31" t="str">
        <f>IFERROR(__xludf.DUMMYFUNCTION("IF(OR(E7565="""",K7565=""""),"""",IFERROR(IF(K7565="""","""",query('tbl user'!$A$2:$D10975,""SELECT A WHERE D = '""&amp;K7565&amp;""'"")),""USER TIDAK DIKETAHUI""))"),"")</f>
        <v/>
      </c>
    </row>
    <row r="7566">
      <c r="A7566" s="21" t="str">
        <f t="shared" si="3"/>
        <v/>
      </c>
      <c r="B7566" s="38"/>
      <c r="C7566" s="23"/>
      <c r="D7566" s="23"/>
      <c r="E7566" s="24"/>
      <c r="F7566" s="25"/>
      <c r="G7566" s="25"/>
      <c r="H7566" s="27"/>
      <c r="I7566" s="28"/>
      <c r="J7566" s="39"/>
      <c r="K7566" s="41"/>
      <c r="L7566" s="31" t="str">
        <f>IFERROR(__xludf.DUMMYFUNCTION("IF(OR(E7566="""",K7566=""""),"""",IFERROR(IF(K7566="""","""",query('tbl user'!$A$2:$D10975,""SELECT A WHERE D = '""&amp;K7566&amp;""'"")),""USER TIDAK DIKETAHUI""))"),"")</f>
        <v/>
      </c>
    </row>
    <row r="7567">
      <c r="A7567" s="21" t="str">
        <f t="shared" si="3"/>
        <v/>
      </c>
      <c r="B7567" s="38"/>
      <c r="C7567" s="23"/>
      <c r="D7567" s="23"/>
      <c r="E7567" s="24"/>
      <c r="F7567" s="25"/>
      <c r="G7567" s="25"/>
      <c r="H7567" s="27"/>
      <c r="I7567" s="28"/>
      <c r="J7567" s="39"/>
      <c r="K7567" s="41"/>
      <c r="L7567" s="31" t="str">
        <f>IFERROR(__xludf.DUMMYFUNCTION("IF(OR(E7567="""",K7567=""""),"""",IFERROR(IF(K7567="""","""",query('tbl user'!$A$2:$D10975,""SELECT A WHERE D = '""&amp;K7567&amp;""'"")),""USER TIDAK DIKETAHUI""))"),"")</f>
        <v/>
      </c>
    </row>
    <row r="7568">
      <c r="A7568" s="21" t="str">
        <f t="shared" si="3"/>
        <v/>
      </c>
      <c r="B7568" s="38"/>
      <c r="C7568" s="23"/>
      <c r="D7568" s="23"/>
      <c r="E7568" s="24"/>
      <c r="F7568" s="25"/>
      <c r="G7568" s="25"/>
      <c r="H7568" s="27"/>
      <c r="I7568" s="28"/>
      <c r="J7568" s="39"/>
      <c r="K7568" s="41"/>
      <c r="L7568" s="31" t="str">
        <f>IFERROR(__xludf.DUMMYFUNCTION("IF(OR(E7568="""",K7568=""""),"""",IFERROR(IF(K7568="""","""",query('tbl user'!$A$2:$D10975,""SELECT A WHERE D = '""&amp;K7568&amp;""'"")),""USER TIDAK DIKETAHUI""))"),"")</f>
        <v/>
      </c>
    </row>
    <row r="7569">
      <c r="A7569" s="21" t="str">
        <f t="shared" si="3"/>
        <v/>
      </c>
      <c r="B7569" s="38"/>
      <c r="C7569" s="23"/>
      <c r="D7569" s="23"/>
      <c r="E7569" s="24"/>
      <c r="F7569" s="25"/>
      <c r="G7569" s="25"/>
      <c r="H7569" s="27"/>
      <c r="I7569" s="28"/>
      <c r="J7569" s="39"/>
      <c r="K7569" s="41"/>
      <c r="L7569" s="31" t="str">
        <f>IFERROR(__xludf.DUMMYFUNCTION("IF(OR(E7569="""",K7569=""""),"""",IFERROR(IF(K7569="""","""",query('tbl user'!$A$2:$D10975,""SELECT A WHERE D = '""&amp;K7569&amp;""'"")),""USER TIDAK DIKETAHUI""))"),"")</f>
        <v/>
      </c>
    </row>
    <row r="7570">
      <c r="A7570" s="21" t="str">
        <f t="shared" si="3"/>
        <v/>
      </c>
      <c r="B7570" s="38"/>
      <c r="C7570" s="23"/>
      <c r="D7570" s="23"/>
      <c r="E7570" s="24"/>
      <c r="F7570" s="25"/>
      <c r="G7570" s="25"/>
      <c r="H7570" s="27"/>
      <c r="I7570" s="28"/>
      <c r="J7570" s="39"/>
      <c r="K7570" s="41"/>
      <c r="L7570" s="31" t="str">
        <f>IFERROR(__xludf.DUMMYFUNCTION("IF(OR(E7570="""",K7570=""""),"""",IFERROR(IF(K7570="""","""",query('tbl user'!$A$2:$D10975,""SELECT A WHERE D = '""&amp;K7570&amp;""'"")),""USER TIDAK DIKETAHUI""))"),"")</f>
        <v/>
      </c>
    </row>
    <row r="7571">
      <c r="A7571" s="21" t="str">
        <f t="shared" si="3"/>
        <v/>
      </c>
      <c r="B7571" s="38"/>
      <c r="C7571" s="23"/>
      <c r="D7571" s="23"/>
      <c r="E7571" s="24"/>
      <c r="F7571" s="25"/>
      <c r="G7571" s="25"/>
      <c r="H7571" s="27"/>
      <c r="I7571" s="28"/>
      <c r="J7571" s="39"/>
      <c r="K7571" s="41"/>
      <c r="L7571" s="31" t="str">
        <f>IFERROR(__xludf.DUMMYFUNCTION("IF(OR(E7571="""",K7571=""""),"""",IFERROR(IF(K7571="""","""",query('tbl user'!$A$2:$D10975,""SELECT A WHERE D = '""&amp;K7571&amp;""'"")),""USER TIDAK DIKETAHUI""))"),"")</f>
        <v/>
      </c>
    </row>
    <row r="7572">
      <c r="A7572" s="21" t="str">
        <f t="shared" si="3"/>
        <v/>
      </c>
      <c r="B7572" s="38"/>
      <c r="C7572" s="23"/>
      <c r="D7572" s="23"/>
      <c r="E7572" s="24"/>
      <c r="F7572" s="25"/>
      <c r="G7572" s="25"/>
      <c r="H7572" s="27"/>
      <c r="I7572" s="28"/>
      <c r="J7572" s="39"/>
      <c r="K7572" s="41"/>
      <c r="L7572" s="31" t="str">
        <f>IFERROR(__xludf.DUMMYFUNCTION("IF(OR(E7572="""",K7572=""""),"""",IFERROR(IF(K7572="""","""",query('tbl user'!$A$2:$D10975,""SELECT A WHERE D = '""&amp;K7572&amp;""'"")),""USER TIDAK DIKETAHUI""))"),"")</f>
        <v/>
      </c>
    </row>
    <row r="7573">
      <c r="A7573" s="21" t="str">
        <f t="shared" si="3"/>
        <v/>
      </c>
      <c r="B7573" s="38"/>
      <c r="C7573" s="23"/>
      <c r="D7573" s="23"/>
      <c r="E7573" s="24"/>
      <c r="F7573" s="25"/>
      <c r="G7573" s="25"/>
      <c r="H7573" s="27"/>
      <c r="I7573" s="28"/>
      <c r="J7573" s="39"/>
      <c r="K7573" s="41"/>
      <c r="L7573" s="31" t="str">
        <f>IFERROR(__xludf.DUMMYFUNCTION("IF(OR(E7573="""",K7573=""""),"""",IFERROR(IF(K7573="""","""",query('tbl user'!$A$2:$D10975,""SELECT A WHERE D = '""&amp;K7573&amp;""'"")),""USER TIDAK DIKETAHUI""))"),"")</f>
        <v/>
      </c>
    </row>
    <row r="7574">
      <c r="A7574" s="21" t="str">
        <f t="shared" si="3"/>
        <v/>
      </c>
      <c r="B7574" s="38"/>
      <c r="C7574" s="23"/>
      <c r="D7574" s="23"/>
      <c r="E7574" s="24"/>
      <c r="F7574" s="25"/>
      <c r="G7574" s="25"/>
      <c r="H7574" s="27"/>
      <c r="I7574" s="28"/>
      <c r="J7574" s="39"/>
      <c r="K7574" s="41"/>
      <c r="L7574" s="31" t="str">
        <f>IFERROR(__xludf.DUMMYFUNCTION("IF(OR(E7574="""",K7574=""""),"""",IFERROR(IF(K7574="""","""",query('tbl user'!$A$2:$D10975,""SELECT A WHERE D = '""&amp;K7574&amp;""'"")),""USER TIDAK DIKETAHUI""))"),"")</f>
        <v/>
      </c>
    </row>
    <row r="7575">
      <c r="A7575" s="21" t="str">
        <f t="shared" si="3"/>
        <v/>
      </c>
      <c r="B7575" s="38"/>
      <c r="C7575" s="23"/>
      <c r="D7575" s="23"/>
      <c r="E7575" s="24"/>
      <c r="F7575" s="25"/>
      <c r="G7575" s="25"/>
      <c r="H7575" s="27"/>
      <c r="I7575" s="28"/>
      <c r="J7575" s="39"/>
      <c r="K7575" s="41"/>
      <c r="L7575" s="31" t="str">
        <f>IFERROR(__xludf.DUMMYFUNCTION("IF(OR(E7575="""",K7575=""""),"""",IFERROR(IF(K7575="""","""",query('tbl user'!$A$2:$D10975,""SELECT A WHERE D = '""&amp;K7575&amp;""'"")),""USER TIDAK DIKETAHUI""))"),"")</f>
        <v/>
      </c>
    </row>
    <row r="7576">
      <c r="A7576" s="21" t="str">
        <f t="shared" si="3"/>
        <v/>
      </c>
      <c r="B7576" s="38"/>
      <c r="C7576" s="23"/>
      <c r="D7576" s="23"/>
      <c r="E7576" s="24"/>
      <c r="F7576" s="25"/>
      <c r="G7576" s="25"/>
      <c r="H7576" s="27"/>
      <c r="I7576" s="28"/>
      <c r="J7576" s="39"/>
      <c r="K7576" s="41"/>
      <c r="L7576" s="31" t="str">
        <f>IFERROR(__xludf.DUMMYFUNCTION("IF(OR(E7576="""",K7576=""""),"""",IFERROR(IF(K7576="""","""",query('tbl user'!$A$2:$D10975,""SELECT A WHERE D = '""&amp;K7576&amp;""'"")),""USER TIDAK DIKETAHUI""))"),"")</f>
        <v/>
      </c>
    </row>
    <row r="7577">
      <c r="A7577" s="21" t="str">
        <f t="shared" si="3"/>
        <v/>
      </c>
      <c r="B7577" s="38"/>
      <c r="C7577" s="23"/>
      <c r="D7577" s="23"/>
      <c r="E7577" s="24"/>
      <c r="F7577" s="25"/>
      <c r="G7577" s="25"/>
      <c r="H7577" s="27"/>
      <c r="I7577" s="28"/>
      <c r="J7577" s="39"/>
      <c r="K7577" s="41"/>
      <c r="L7577" s="31" t="str">
        <f>IFERROR(__xludf.DUMMYFUNCTION("IF(OR(E7577="""",K7577=""""),"""",IFERROR(IF(K7577="""","""",query('tbl user'!$A$2:$D10975,""SELECT A WHERE D = '""&amp;K7577&amp;""'"")),""USER TIDAK DIKETAHUI""))"),"")</f>
        <v/>
      </c>
    </row>
    <row r="7578">
      <c r="A7578" s="21" t="str">
        <f t="shared" si="3"/>
        <v/>
      </c>
      <c r="B7578" s="38"/>
      <c r="C7578" s="23"/>
      <c r="D7578" s="23"/>
      <c r="E7578" s="24"/>
      <c r="F7578" s="25"/>
      <c r="G7578" s="25"/>
      <c r="H7578" s="27"/>
      <c r="I7578" s="28"/>
      <c r="J7578" s="39"/>
      <c r="K7578" s="41"/>
      <c r="L7578" s="31" t="str">
        <f>IFERROR(__xludf.DUMMYFUNCTION("IF(OR(E7578="""",K7578=""""),"""",IFERROR(IF(K7578="""","""",query('tbl user'!$A$2:$D10975,""SELECT A WHERE D = '""&amp;K7578&amp;""'"")),""USER TIDAK DIKETAHUI""))"),"")</f>
        <v/>
      </c>
    </row>
    <row r="7579">
      <c r="A7579" s="21" t="str">
        <f t="shared" si="3"/>
        <v/>
      </c>
      <c r="B7579" s="38"/>
      <c r="C7579" s="23"/>
      <c r="D7579" s="23"/>
      <c r="E7579" s="24"/>
      <c r="F7579" s="25"/>
      <c r="G7579" s="25"/>
      <c r="H7579" s="27"/>
      <c r="I7579" s="28"/>
      <c r="J7579" s="39"/>
      <c r="K7579" s="41"/>
      <c r="L7579" s="31" t="str">
        <f>IFERROR(__xludf.DUMMYFUNCTION("IF(OR(E7579="""",K7579=""""),"""",IFERROR(IF(K7579="""","""",query('tbl user'!$A$2:$D10975,""SELECT A WHERE D = '""&amp;K7579&amp;""'"")),""USER TIDAK DIKETAHUI""))"),"")</f>
        <v/>
      </c>
    </row>
    <row r="7580">
      <c r="A7580" s="21" t="str">
        <f t="shared" si="3"/>
        <v/>
      </c>
      <c r="B7580" s="38"/>
      <c r="C7580" s="23"/>
      <c r="D7580" s="23"/>
      <c r="E7580" s="24"/>
      <c r="F7580" s="25"/>
      <c r="G7580" s="25"/>
      <c r="H7580" s="27"/>
      <c r="I7580" s="28"/>
      <c r="J7580" s="39"/>
      <c r="K7580" s="41"/>
      <c r="L7580" s="31" t="str">
        <f>IFERROR(__xludf.DUMMYFUNCTION("IF(OR(E7580="""",K7580=""""),"""",IFERROR(IF(K7580="""","""",query('tbl user'!$A$2:$D10975,""SELECT A WHERE D = '""&amp;K7580&amp;""'"")),""USER TIDAK DIKETAHUI""))"),"")</f>
        <v/>
      </c>
    </row>
    <row r="7581">
      <c r="A7581" s="21" t="str">
        <f t="shared" si="3"/>
        <v/>
      </c>
      <c r="B7581" s="38"/>
      <c r="C7581" s="23"/>
      <c r="D7581" s="23"/>
      <c r="E7581" s="24"/>
      <c r="F7581" s="25"/>
      <c r="G7581" s="25"/>
      <c r="H7581" s="27"/>
      <c r="I7581" s="28"/>
      <c r="J7581" s="39"/>
      <c r="K7581" s="41"/>
      <c r="L7581" s="31" t="str">
        <f>IFERROR(__xludf.DUMMYFUNCTION("IF(OR(E7581="""",K7581=""""),"""",IFERROR(IF(K7581="""","""",query('tbl user'!$A$2:$D10975,""SELECT A WHERE D = '""&amp;K7581&amp;""'"")),""USER TIDAK DIKETAHUI""))"),"")</f>
        <v/>
      </c>
    </row>
    <row r="7582">
      <c r="A7582" s="21" t="str">
        <f t="shared" si="3"/>
        <v/>
      </c>
      <c r="B7582" s="38"/>
      <c r="C7582" s="23"/>
      <c r="D7582" s="23"/>
      <c r="E7582" s="24"/>
      <c r="F7582" s="25"/>
      <c r="G7582" s="25"/>
      <c r="H7582" s="27"/>
      <c r="I7582" s="28"/>
      <c r="J7582" s="39"/>
      <c r="K7582" s="41"/>
      <c r="L7582" s="31" t="str">
        <f>IFERROR(__xludf.DUMMYFUNCTION("IF(OR(E7582="""",K7582=""""),"""",IFERROR(IF(K7582="""","""",query('tbl user'!$A$2:$D10975,""SELECT A WHERE D = '""&amp;K7582&amp;""'"")),""USER TIDAK DIKETAHUI""))"),"")</f>
        <v/>
      </c>
    </row>
    <row r="7583">
      <c r="A7583" s="21" t="str">
        <f t="shared" si="3"/>
        <v/>
      </c>
      <c r="B7583" s="38"/>
      <c r="C7583" s="23"/>
      <c r="D7583" s="23"/>
      <c r="E7583" s="24"/>
      <c r="F7583" s="25"/>
      <c r="G7583" s="25"/>
      <c r="H7583" s="27"/>
      <c r="I7583" s="28"/>
      <c r="J7583" s="39"/>
      <c r="K7583" s="41"/>
      <c r="L7583" s="31" t="str">
        <f>IFERROR(__xludf.DUMMYFUNCTION("IF(OR(E7583="""",K7583=""""),"""",IFERROR(IF(K7583="""","""",query('tbl user'!$A$2:$D10975,""SELECT A WHERE D = '""&amp;K7583&amp;""'"")),""USER TIDAK DIKETAHUI""))"),"")</f>
        <v/>
      </c>
    </row>
    <row r="7584">
      <c r="A7584" s="21" t="str">
        <f t="shared" si="3"/>
        <v/>
      </c>
      <c r="B7584" s="38"/>
      <c r="C7584" s="23"/>
      <c r="D7584" s="23"/>
      <c r="E7584" s="24"/>
      <c r="F7584" s="25"/>
      <c r="G7584" s="25"/>
      <c r="H7584" s="27"/>
      <c r="I7584" s="28"/>
      <c r="J7584" s="39"/>
      <c r="K7584" s="41"/>
      <c r="L7584" s="31" t="str">
        <f>IFERROR(__xludf.DUMMYFUNCTION("IF(OR(E7584="""",K7584=""""),"""",IFERROR(IF(K7584="""","""",query('tbl user'!$A$2:$D10975,""SELECT A WHERE D = '""&amp;K7584&amp;""'"")),""USER TIDAK DIKETAHUI""))"),"")</f>
        <v/>
      </c>
    </row>
    <row r="7585">
      <c r="A7585" s="21" t="str">
        <f t="shared" si="3"/>
        <v/>
      </c>
      <c r="B7585" s="38"/>
      <c r="C7585" s="23"/>
      <c r="D7585" s="23"/>
      <c r="E7585" s="24"/>
      <c r="F7585" s="25"/>
      <c r="G7585" s="25"/>
      <c r="H7585" s="27"/>
      <c r="I7585" s="28"/>
      <c r="J7585" s="39"/>
      <c r="K7585" s="41"/>
      <c r="L7585" s="31" t="str">
        <f>IFERROR(__xludf.DUMMYFUNCTION("IF(OR(E7585="""",K7585=""""),"""",IFERROR(IF(K7585="""","""",query('tbl user'!$A$2:$D10975,""SELECT A WHERE D = '""&amp;K7585&amp;""'"")),""USER TIDAK DIKETAHUI""))"),"")</f>
        <v/>
      </c>
    </row>
    <row r="7586">
      <c r="A7586" s="21" t="str">
        <f t="shared" si="3"/>
        <v/>
      </c>
      <c r="B7586" s="38"/>
      <c r="C7586" s="23"/>
      <c r="D7586" s="23"/>
      <c r="E7586" s="24"/>
      <c r="F7586" s="25"/>
      <c r="G7586" s="25"/>
      <c r="H7586" s="27"/>
      <c r="I7586" s="28"/>
      <c r="J7586" s="39"/>
      <c r="K7586" s="41"/>
      <c r="L7586" s="31" t="str">
        <f>IFERROR(__xludf.DUMMYFUNCTION("IF(OR(E7586="""",K7586=""""),"""",IFERROR(IF(K7586="""","""",query('tbl user'!$A$2:$D10975,""SELECT A WHERE D = '""&amp;K7586&amp;""'"")),""USER TIDAK DIKETAHUI""))"),"")</f>
        <v/>
      </c>
    </row>
    <row r="7587">
      <c r="A7587" s="21" t="str">
        <f t="shared" si="3"/>
        <v/>
      </c>
      <c r="B7587" s="38"/>
      <c r="C7587" s="23"/>
      <c r="D7587" s="23"/>
      <c r="E7587" s="24"/>
      <c r="F7587" s="25"/>
      <c r="G7587" s="25"/>
      <c r="H7587" s="27"/>
      <c r="I7587" s="28"/>
      <c r="J7587" s="39"/>
      <c r="K7587" s="41"/>
      <c r="L7587" s="31" t="str">
        <f>IFERROR(__xludf.DUMMYFUNCTION("IF(OR(E7587="""",K7587=""""),"""",IFERROR(IF(K7587="""","""",query('tbl user'!$A$2:$D10975,""SELECT A WHERE D = '""&amp;K7587&amp;""'"")),""USER TIDAK DIKETAHUI""))"),"")</f>
        <v/>
      </c>
    </row>
    <row r="7588">
      <c r="A7588" s="21" t="str">
        <f t="shared" si="3"/>
        <v/>
      </c>
      <c r="B7588" s="38"/>
      <c r="C7588" s="23"/>
      <c r="D7588" s="23"/>
      <c r="E7588" s="24"/>
      <c r="F7588" s="25"/>
      <c r="G7588" s="25"/>
      <c r="H7588" s="27"/>
      <c r="I7588" s="28"/>
      <c r="J7588" s="39"/>
      <c r="K7588" s="41"/>
      <c r="L7588" s="31" t="str">
        <f>IFERROR(__xludf.DUMMYFUNCTION("IF(OR(E7588="""",K7588=""""),"""",IFERROR(IF(K7588="""","""",query('tbl user'!$A$2:$D10975,""SELECT A WHERE D = '""&amp;K7588&amp;""'"")),""USER TIDAK DIKETAHUI""))"),"")</f>
        <v/>
      </c>
    </row>
    <row r="7589">
      <c r="A7589" s="21" t="str">
        <f t="shared" si="3"/>
        <v/>
      </c>
      <c r="B7589" s="38"/>
      <c r="C7589" s="23"/>
      <c r="D7589" s="23"/>
      <c r="E7589" s="24"/>
      <c r="F7589" s="25"/>
      <c r="G7589" s="25"/>
      <c r="H7589" s="27"/>
      <c r="I7589" s="28"/>
      <c r="J7589" s="39"/>
      <c r="K7589" s="41"/>
      <c r="L7589" s="31" t="str">
        <f>IFERROR(__xludf.DUMMYFUNCTION("IF(OR(E7589="""",K7589=""""),"""",IFERROR(IF(K7589="""","""",query('tbl user'!$A$2:$D10975,""SELECT A WHERE D = '""&amp;K7589&amp;""'"")),""USER TIDAK DIKETAHUI""))"),"")</f>
        <v/>
      </c>
    </row>
    <row r="7590">
      <c r="A7590" s="21" t="str">
        <f t="shared" si="3"/>
        <v/>
      </c>
      <c r="B7590" s="38"/>
      <c r="C7590" s="23"/>
      <c r="D7590" s="23"/>
      <c r="E7590" s="24"/>
      <c r="F7590" s="25"/>
      <c r="G7590" s="25"/>
      <c r="H7590" s="27"/>
      <c r="I7590" s="28"/>
      <c r="J7590" s="39"/>
      <c r="K7590" s="41"/>
      <c r="L7590" s="31" t="str">
        <f>IFERROR(__xludf.DUMMYFUNCTION("IF(OR(E7590="""",K7590=""""),"""",IFERROR(IF(K7590="""","""",query('tbl user'!$A$2:$D10975,""SELECT A WHERE D = '""&amp;K7590&amp;""'"")),""USER TIDAK DIKETAHUI""))"),"")</f>
        <v/>
      </c>
    </row>
    <row r="7591">
      <c r="A7591" s="21" t="str">
        <f t="shared" si="3"/>
        <v/>
      </c>
      <c r="B7591" s="38"/>
      <c r="C7591" s="23"/>
      <c r="D7591" s="23"/>
      <c r="E7591" s="24"/>
      <c r="F7591" s="25"/>
      <c r="G7591" s="25"/>
      <c r="H7591" s="27"/>
      <c r="I7591" s="28"/>
      <c r="J7591" s="39"/>
      <c r="K7591" s="41"/>
      <c r="L7591" s="31" t="str">
        <f>IFERROR(__xludf.DUMMYFUNCTION("IF(OR(E7591="""",K7591=""""),"""",IFERROR(IF(K7591="""","""",query('tbl user'!$A$2:$D10975,""SELECT A WHERE D = '""&amp;K7591&amp;""'"")),""USER TIDAK DIKETAHUI""))"),"")</f>
        <v/>
      </c>
    </row>
    <row r="7592">
      <c r="A7592" s="21" t="str">
        <f t="shared" si="3"/>
        <v/>
      </c>
      <c r="B7592" s="38"/>
      <c r="C7592" s="23"/>
      <c r="D7592" s="23"/>
      <c r="E7592" s="24"/>
      <c r="F7592" s="25"/>
      <c r="G7592" s="25"/>
      <c r="H7592" s="27"/>
      <c r="I7592" s="28"/>
      <c r="J7592" s="39"/>
      <c r="K7592" s="41"/>
      <c r="L7592" s="31" t="str">
        <f>IFERROR(__xludf.DUMMYFUNCTION("IF(OR(E7592="""",K7592=""""),"""",IFERROR(IF(K7592="""","""",query('tbl user'!$A$2:$D10975,""SELECT A WHERE D = '""&amp;K7592&amp;""'"")),""USER TIDAK DIKETAHUI""))"),"")</f>
        <v/>
      </c>
    </row>
    <row r="7593">
      <c r="A7593" s="21" t="str">
        <f t="shared" si="3"/>
        <v/>
      </c>
      <c r="B7593" s="38"/>
      <c r="C7593" s="23"/>
      <c r="D7593" s="23"/>
      <c r="E7593" s="24"/>
      <c r="F7593" s="25"/>
      <c r="G7593" s="25"/>
      <c r="H7593" s="27"/>
      <c r="I7593" s="28"/>
      <c r="J7593" s="39"/>
      <c r="K7593" s="41"/>
      <c r="L7593" s="31" t="str">
        <f>IFERROR(__xludf.DUMMYFUNCTION("IF(OR(E7593="""",K7593=""""),"""",IFERROR(IF(K7593="""","""",query('tbl user'!$A$2:$D10975,""SELECT A WHERE D = '""&amp;K7593&amp;""'"")),""USER TIDAK DIKETAHUI""))"),"")</f>
        <v/>
      </c>
    </row>
    <row r="7594">
      <c r="A7594" s="21" t="str">
        <f t="shared" si="3"/>
        <v/>
      </c>
      <c r="B7594" s="38"/>
      <c r="C7594" s="23"/>
      <c r="D7594" s="23"/>
      <c r="E7594" s="24"/>
      <c r="F7594" s="25"/>
      <c r="G7594" s="25"/>
      <c r="H7594" s="27"/>
      <c r="I7594" s="28"/>
      <c r="J7594" s="39"/>
      <c r="K7594" s="41"/>
      <c r="L7594" s="31" t="str">
        <f>IFERROR(__xludf.DUMMYFUNCTION("IF(OR(E7594="""",K7594=""""),"""",IFERROR(IF(K7594="""","""",query('tbl user'!$A$2:$D10975,""SELECT A WHERE D = '""&amp;K7594&amp;""'"")),""USER TIDAK DIKETAHUI""))"),"")</f>
        <v/>
      </c>
    </row>
    <row r="7595">
      <c r="A7595" s="21" t="str">
        <f t="shared" si="3"/>
        <v/>
      </c>
      <c r="B7595" s="38"/>
      <c r="C7595" s="23"/>
      <c r="D7595" s="23"/>
      <c r="E7595" s="24"/>
      <c r="F7595" s="25"/>
      <c r="G7595" s="25"/>
      <c r="H7595" s="27"/>
      <c r="I7595" s="28"/>
      <c r="J7595" s="39"/>
      <c r="K7595" s="41"/>
      <c r="L7595" s="31" t="str">
        <f>IFERROR(__xludf.DUMMYFUNCTION("IF(OR(E7595="""",K7595=""""),"""",IFERROR(IF(K7595="""","""",query('tbl user'!$A$2:$D10975,""SELECT A WHERE D = '""&amp;K7595&amp;""'"")),""USER TIDAK DIKETAHUI""))"),"")</f>
        <v/>
      </c>
    </row>
    <row r="7596">
      <c r="A7596" s="21" t="str">
        <f t="shared" si="3"/>
        <v/>
      </c>
      <c r="B7596" s="38"/>
      <c r="C7596" s="23"/>
      <c r="D7596" s="23"/>
      <c r="E7596" s="24"/>
      <c r="F7596" s="25"/>
      <c r="G7596" s="25"/>
      <c r="H7596" s="27"/>
      <c r="I7596" s="28"/>
      <c r="J7596" s="39"/>
      <c r="K7596" s="41"/>
      <c r="L7596" s="31" t="str">
        <f>IFERROR(__xludf.DUMMYFUNCTION("IF(OR(E7596="""",K7596=""""),"""",IFERROR(IF(K7596="""","""",query('tbl user'!$A$2:$D10975,""SELECT A WHERE D = '""&amp;K7596&amp;""'"")),""USER TIDAK DIKETAHUI""))"),"")</f>
        <v/>
      </c>
    </row>
    <row r="7597">
      <c r="A7597" s="21" t="str">
        <f t="shared" si="3"/>
        <v/>
      </c>
      <c r="B7597" s="38"/>
      <c r="C7597" s="23"/>
      <c r="D7597" s="23"/>
      <c r="E7597" s="24"/>
      <c r="F7597" s="25"/>
      <c r="G7597" s="25"/>
      <c r="H7597" s="27"/>
      <c r="I7597" s="28"/>
      <c r="J7597" s="39"/>
      <c r="K7597" s="41"/>
      <c r="L7597" s="31" t="str">
        <f>IFERROR(__xludf.DUMMYFUNCTION("IF(OR(E7597="""",K7597=""""),"""",IFERROR(IF(K7597="""","""",query('tbl user'!$A$2:$D10975,""SELECT A WHERE D = '""&amp;K7597&amp;""'"")),""USER TIDAK DIKETAHUI""))"),"")</f>
        <v/>
      </c>
    </row>
    <row r="7598">
      <c r="A7598" s="21" t="str">
        <f t="shared" si="3"/>
        <v/>
      </c>
      <c r="B7598" s="38"/>
      <c r="C7598" s="23"/>
      <c r="D7598" s="23"/>
      <c r="E7598" s="24"/>
      <c r="F7598" s="25"/>
      <c r="G7598" s="25"/>
      <c r="H7598" s="27"/>
      <c r="I7598" s="28"/>
      <c r="J7598" s="39"/>
      <c r="K7598" s="41"/>
      <c r="L7598" s="31" t="str">
        <f>IFERROR(__xludf.DUMMYFUNCTION("IF(OR(E7598="""",K7598=""""),"""",IFERROR(IF(K7598="""","""",query('tbl user'!$A$2:$D10975,""SELECT A WHERE D = '""&amp;K7598&amp;""'"")),""USER TIDAK DIKETAHUI""))"),"")</f>
        <v/>
      </c>
    </row>
    <row r="7599">
      <c r="A7599" s="21" t="str">
        <f t="shared" si="3"/>
        <v/>
      </c>
      <c r="B7599" s="38"/>
      <c r="C7599" s="23"/>
      <c r="D7599" s="23"/>
      <c r="E7599" s="24"/>
      <c r="F7599" s="25"/>
      <c r="G7599" s="25"/>
      <c r="H7599" s="27"/>
      <c r="I7599" s="28"/>
      <c r="J7599" s="39"/>
      <c r="K7599" s="41"/>
      <c r="L7599" s="31" t="str">
        <f>IFERROR(__xludf.DUMMYFUNCTION("IF(OR(E7599="""",K7599=""""),"""",IFERROR(IF(K7599="""","""",query('tbl user'!$A$2:$D10975,""SELECT A WHERE D = '""&amp;K7599&amp;""'"")),""USER TIDAK DIKETAHUI""))"),"")</f>
        <v/>
      </c>
    </row>
    <row r="7600">
      <c r="A7600" s="21" t="str">
        <f t="shared" si="3"/>
        <v/>
      </c>
      <c r="B7600" s="38"/>
      <c r="C7600" s="23"/>
      <c r="D7600" s="23"/>
      <c r="E7600" s="24"/>
      <c r="F7600" s="25"/>
      <c r="G7600" s="25"/>
      <c r="H7600" s="27"/>
      <c r="I7600" s="28"/>
      <c r="J7600" s="39"/>
      <c r="K7600" s="41"/>
      <c r="L7600" s="31" t="str">
        <f>IFERROR(__xludf.DUMMYFUNCTION("IF(OR(E7600="""",K7600=""""),"""",IFERROR(IF(K7600="""","""",query('tbl user'!$A$2:$D10975,""SELECT A WHERE D = '""&amp;K7600&amp;""'"")),""USER TIDAK DIKETAHUI""))"),"")</f>
        <v/>
      </c>
    </row>
    <row r="7601">
      <c r="A7601" s="21" t="str">
        <f t="shared" si="3"/>
        <v/>
      </c>
      <c r="B7601" s="38"/>
      <c r="C7601" s="23"/>
      <c r="D7601" s="23"/>
      <c r="E7601" s="24"/>
      <c r="F7601" s="25"/>
      <c r="G7601" s="25"/>
      <c r="H7601" s="27"/>
      <c r="I7601" s="28"/>
      <c r="J7601" s="39"/>
      <c r="K7601" s="41"/>
      <c r="L7601" s="31" t="str">
        <f>IFERROR(__xludf.DUMMYFUNCTION("IF(OR(E7601="""",K7601=""""),"""",IFERROR(IF(K7601="""","""",query('tbl user'!$A$2:$D10975,""SELECT A WHERE D = '""&amp;K7601&amp;""'"")),""USER TIDAK DIKETAHUI""))"),"")</f>
        <v/>
      </c>
    </row>
    <row r="7602">
      <c r="A7602" s="21" t="str">
        <f t="shared" si="3"/>
        <v/>
      </c>
      <c r="B7602" s="38"/>
      <c r="C7602" s="23"/>
      <c r="D7602" s="23"/>
      <c r="E7602" s="24"/>
      <c r="F7602" s="25"/>
      <c r="G7602" s="25"/>
      <c r="H7602" s="27"/>
      <c r="I7602" s="28"/>
      <c r="J7602" s="39"/>
      <c r="K7602" s="41"/>
      <c r="L7602" s="31" t="str">
        <f>IFERROR(__xludf.DUMMYFUNCTION("IF(OR(E7602="""",K7602=""""),"""",IFERROR(IF(K7602="""","""",query('tbl user'!$A$2:$D10975,""SELECT A WHERE D = '""&amp;K7602&amp;""'"")),""USER TIDAK DIKETAHUI""))"),"")</f>
        <v/>
      </c>
    </row>
    <row r="7603">
      <c r="A7603" s="21" t="str">
        <f t="shared" si="3"/>
        <v/>
      </c>
      <c r="B7603" s="38"/>
      <c r="C7603" s="23"/>
      <c r="D7603" s="23"/>
      <c r="E7603" s="24"/>
      <c r="F7603" s="25"/>
      <c r="G7603" s="25"/>
      <c r="H7603" s="27"/>
      <c r="I7603" s="28"/>
      <c r="J7603" s="39"/>
      <c r="K7603" s="41"/>
      <c r="L7603" s="31" t="str">
        <f>IFERROR(__xludf.DUMMYFUNCTION("IF(OR(E7603="""",K7603=""""),"""",IFERROR(IF(K7603="""","""",query('tbl user'!$A$2:$D10975,""SELECT A WHERE D = '""&amp;K7603&amp;""'"")),""USER TIDAK DIKETAHUI""))"),"")</f>
        <v/>
      </c>
    </row>
    <row r="7604">
      <c r="A7604" s="21" t="str">
        <f t="shared" si="3"/>
        <v/>
      </c>
      <c r="B7604" s="38"/>
      <c r="C7604" s="23"/>
      <c r="D7604" s="23"/>
      <c r="E7604" s="24"/>
      <c r="F7604" s="25"/>
      <c r="G7604" s="25"/>
      <c r="H7604" s="27"/>
      <c r="I7604" s="28"/>
      <c r="J7604" s="39"/>
      <c r="K7604" s="41"/>
      <c r="L7604" s="31" t="str">
        <f>IFERROR(__xludf.DUMMYFUNCTION("IF(OR(E7604="""",K7604=""""),"""",IFERROR(IF(K7604="""","""",query('tbl user'!$A$2:$D10975,""SELECT A WHERE D = '""&amp;K7604&amp;""'"")),""USER TIDAK DIKETAHUI""))"),"")</f>
        <v/>
      </c>
    </row>
    <row r="7605">
      <c r="A7605" s="21" t="str">
        <f t="shared" si="3"/>
        <v/>
      </c>
      <c r="B7605" s="38"/>
      <c r="C7605" s="23"/>
      <c r="D7605" s="23"/>
      <c r="E7605" s="24"/>
      <c r="F7605" s="25"/>
      <c r="G7605" s="25"/>
      <c r="H7605" s="27"/>
      <c r="I7605" s="28"/>
      <c r="J7605" s="39"/>
      <c r="K7605" s="41"/>
      <c r="L7605" s="31" t="str">
        <f>IFERROR(__xludf.DUMMYFUNCTION("IF(OR(E7605="""",K7605=""""),"""",IFERROR(IF(K7605="""","""",query('tbl user'!$A$2:$D10975,""SELECT A WHERE D = '""&amp;K7605&amp;""'"")),""USER TIDAK DIKETAHUI""))"),"")</f>
        <v/>
      </c>
    </row>
    <row r="7606">
      <c r="A7606" s="21" t="str">
        <f t="shared" si="3"/>
        <v/>
      </c>
      <c r="B7606" s="38"/>
      <c r="C7606" s="23"/>
      <c r="D7606" s="23"/>
      <c r="E7606" s="24"/>
      <c r="F7606" s="25"/>
      <c r="G7606" s="25"/>
      <c r="H7606" s="27"/>
      <c r="I7606" s="28"/>
      <c r="J7606" s="39"/>
      <c r="K7606" s="41"/>
      <c r="L7606" s="31" t="str">
        <f>IFERROR(__xludf.DUMMYFUNCTION("IF(OR(E7606="""",K7606=""""),"""",IFERROR(IF(K7606="""","""",query('tbl user'!$A$2:$D10975,""SELECT A WHERE D = '""&amp;K7606&amp;""'"")),""USER TIDAK DIKETAHUI""))"),"")</f>
        <v/>
      </c>
    </row>
    <row r="7607">
      <c r="A7607" s="21" t="str">
        <f t="shared" si="3"/>
        <v/>
      </c>
      <c r="B7607" s="38"/>
      <c r="C7607" s="23"/>
      <c r="D7607" s="23"/>
      <c r="E7607" s="24"/>
      <c r="F7607" s="25"/>
      <c r="G7607" s="25"/>
      <c r="H7607" s="27"/>
      <c r="I7607" s="28"/>
      <c r="J7607" s="39"/>
      <c r="K7607" s="41"/>
      <c r="L7607" s="31" t="str">
        <f>IFERROR(__xludf.DUMMYFUNCTION("IF(OR(E7607="""",K7607=""""),"""",IFERROR(IF(K7607="""","""",query('tbl user'!$A$2:$D10975,""SELECT A WHERE D = '""&amp;K7607&amp;""'"")),""USER TIDAK DIKETAHUI""))"),"")</f>
        <v/>
      </c>
    </row>
    <row r="7608">
      <c r="A7608" s="21" t="str">
        <f t="shared" si="3"/>
        <v/>
      </c>
      <c r="B7608" s="38"/>
      <c r="C7608" s="23"/>
      <c r="D7608" s="23"/>
      <c r="E7608" s="24"/>
      <c r="F7608" s="25"/>
      <c r="G7608" s="25"/>
      <c r="H7608" s="27"/>
      <c r="I7608" s="28"/>
      <c r="J7608" s="39"/>
      <c r="K7608" s="41"/>
      <c r="L7608" s="31" t="str">
        <f>IFERROR(__xludf.DUMMYFUNCTION("IF(OR(E7608="""",K7608=""""),"""",IFERROR(IF(K7608="""","""",query('tbl user'!$A$2:$D10975,""SELECT A WHERE D = '""&amp;K7608&amp;""'"")),""USER TIDAK DIKETAHUI""))"),"")</f>
        <v/>
      </c>
    </row>
    <row r="7609">
      <c r="A7609" s="21" t="str">
        <f t="shared" si="3"/>
        <v/>
      </c>
      <c r="B7609" s="38"/>
      <c r="C7609" s="23"/>
      <c r="D7609" s="23"/>
      <c r="E7609" s="24"/>
      <c r="F7609" s="25"/>
      <c r="G7609" s="25"/>
      <c r="H7609" s="27"/>
      <c r="I7609" s="28"/>
      <c r="J7609" s="39"/>
      <c r="K7609" s="41"/>
      <c r="L7609" s="31" t="str">
        <f>IFERROR(__xludf.DUMMYFUNCTION("IF(OR(E7609="""",K7609=""""),"""",IFERROR(IF(K7609="""","""",query('tbl user'!$A$2:$D10975,""SELECT A WHERE D = '""&amp;K7609&amp;""'"")),""USER TIDAK DIKETAHUI""))"),"")</f>
        <v/>
      </c>
    </row>
    <row r="7610">
      <c r="A7610" s="21" t="str">
        <f t="shared" si="3"/>
        <v/>
      </c>
      <c r="B7610" s="38"/>
      <c r="C7610" s="23"/>
      <c r="D7610" s="23"/>
      <c r="E7610" s="24"/>
      <c r="F7610" s="25"/>
      <c r="G7610" s="25"/>
      <c r="H7610" s="27"/>
      <c r="I7610" s="28"/>
      <c r="J7610" s="39"/>
      <c r="K7610" s="41"/>
      <c r="L7610" s="31" t="str">
        <f>IFERROR(__xludf.DUMMYFUNCTION("IF(OR(E7610="""",K7610=""""),"""",IFERROR(IF(K7610="""","""",query('tbl user'!$A$2:$D10975,""SELECT A WHERE D = '""&amp;K7610&amp;""'"")),""USER TIDAK DIKETAHUI""))"),"")</f>
        <v/>
      </c>
    </row>
    <row r="7611">
      <c r="A7611" s="21" t="str">
        <f t="shared" si="3"/>
        <v/>
      </c>
      <c r="B7611" s="38"/>
      <c r="C7611" s="23"/>
      <c r="D7611" s="23"/>
      <c r="E7611" s="24"/>
      <c r="F7611" s="25"/>
      <c r="G7611" s="25"/>
      <c r="H7611" s="27"/>
      <c r="I7611" s="28"/>
      <c r="J7611" s="39"/>
      <c r="K7611" s="41"/>
      <c r="L7611" s="31" t="str">
        <f>IFERROR(__xludf.DUMMYFUNCTION("IF(OR(E7611="""",K7611=""""),"""",IFERROR(IF(K7611="""","""",query('tbl user'!$A$2:$D10975,""SELECT A WHERE D = '""&amp;K7611&amp;""'"")),""USER TIDAK DIKETAHUI""))"),"")</f>
        <v/>
      </c>
    </row>
    <row r="7612">
      <c r="A7612" s="21" t="str">
        <f t="shared" si="3"/>
        <v/>
      </c>
      <c r="B7612" s="38"/>
      <c r="C7612" s="23"/>
      <c r="D7612" s="23"/>
      <c r="E7612" s="24"/>
      <c r="F7612" s="25"/>
      <c r="G7612" s="25"/>
      <c r="H7612" s="27"/>
      <c r="I7612" s="28"/>
      <c r="J7612" s="39"/>
      <c r="K7612" s="41"/>
      <c r="L7612" s="31" t="str">
        <f>IFERROR(__xludf.DUMMYFUNCTION("IF(OR(E7612="""",K7612=""""),"""",IFERROR(IF(K7612="""","""",query('tbl user'!$A$2:$D10975,""SELECT A WHERE D = '""&amp;K7612&amp;""'"")),""USER TIDAK DIKETAHUI""))"),"")</f>
        <v/>
      </c>
    </row>
    <row r="7613">
      <c r="A7613" s="21" t="str">
        <f t="shared" si="3"/>
        <v/>
      </c>
      <c r="B7613" s="38"/>
      <c r="C7613" s="23"/>
      <c r="D7613" s="23"/>
      <c r="E7613" s="24"/>
      <c r="F7613" s="25"/>
      <c r="G7613" s="25"/>
      <c r="H7613" s="27"/>
      <c r="I7613" s="28"/>
      <c r="J7613" s="39"/>
      <c r="K7613" s="41"/>
      <c r="L7613" s="31" t="str">
        <f>IFERROR(__xludf.DUMMYFUNCTION("IF(OR(E7613="""",K7613=""""),"""",IFERROR(IF(K7613="""","""",query('tbl user'!$A$2:$D10975,""SELECT A WHERE D = '""&amp;K7613&amp;""'"")),""USER TIDAK DIKETAHUI""))"),"")</f>
        <v/>
      </c>
    </row>
    <row r="7614">
      <c r="A7614" s="21" t="str">
        <f t="shared" si="3"/>
        <v/>
      </c>
      <c r="B7614" s="38"/>
      <c r="C7614" s="23"/>
      <c r="D7614" s="23"/>
      <c r="E7614" s="24"/>
      <c r="F7614" s="25"/>
      <c r="G7614" s="25"/>
      <c r="H7614" s="27"/>
      <c r="I7614" s="28"/>
      <c r="J7614" s="39"/>
      <c r="K7614" s="41"/>
      <c r="L7614" s="31" t="str">
        <f>IFERROR(__xludf.DUMMYFUNCTION("IF(OR(E7614="""",K7614=""""),"""",IFERROR(IF(K7614="""","""",query('tbl user'!$A$2:$D10975,""SELECT A WHERE D = '""&amp;K7614&amp;""'"")),""USER TIDAK DIKETAHUI""))"),"")</f>
        <v/>
      </c>
    </row>
    <row r="7615">
      <c r="A7615" s="21" t="str">
        <f t="shared" si="3"/>
        <v/>
      </c>
      <c r="B7615" s="38"/>
      <c r="C7615" s="23"/>
      <c r="D7615" s="23"/>
      <c r="E7615" s="24"/>
      <c r="F7615" s="25"/>
      <c r="G7615" s="25"/>
      <c r="H7615" s="27"/>
      <c r="I7615" s="28"/>
      <c r="J7615" s="39"/>
      <c r="K7615" s="41"/>
      <c r="L7615" s="31" t="str">
        <f>IFERROR(__xludf.DUMMYFUNCTION("IF(OR(E7615="""",K7615=""""),"""",IFERROR(IF(K7615="""","""",query('tbl user'!$A$2:$D10975,""SELECT A WHERE D = '""&amp;K7615&amp;""'"")),""USER TIDAK DIKETAHUI""))"),"")</f>
        <v/>
      </c>
    </row>
    <row r="7616">
      <c r="A7616" s="21" t="str">
        <f t="shared" si="3"/>
        <v/>
      </c>
      <c r="B7616" s="38"/>
      <c r="C7616" s="23"/>
      <c r="D7616" s="23"/>
      <c r="E7616" s="24"/>
      <c r="F7616" s="25"/>
      <c r="G7616" s="25"/>
      <c r="H7616" s="27"/>
      <c r="I7616" s="28"/>
      <c r="J7616" s="39"/>
      <c r="K7616" s="41"/>
      <c r="L7616" s="31" t="str">
        <f>IFERROR(__xludf.DUMMYFUNCTION("IF(OR(E7616="""",K7616=""""),"""",IFERROR(IF(K7616="""","""",query('tbl user'!$A$2:$D10975,""SELECT A WHERE D = '""&amp;K7616&amp;""'"")),""USER TIDAK DIKETAHUI""))"),"")</f>
        <v/>
      </c>
    </row>
    <row r="7617">
      <c r="A7617" s="21" t="str">
        <f t="shared" si="3"/>
        <v/>
      </c>
      <c r="B7617" s="38"/>
      <c r="C7617" s="23"/>
      <c r="D7617" s="23"/>
      <c r="E7617" s="24"/>
      <c r="F7617" s="25"/>
      <c r="G7617" s="25"/>
      <c r="H7617" s="27"/>
      <c r="I7617" s="28"/>
      <c r="J7617" s="39"/>
      <c r="K7617" s="41"/>
      <c r="L7617" s="31" t="str">
        <f>IFERROR(__xludf.DUMMYFUNCTION("IF(OR(E7617="""",K7617=""""),"""",IFERROR(IF(K7617="""","""",query('tbl user'!$A$2:$D10975,""SELECT A WHERE D = '""&amp;K7617&amp;""'"")),""USER TIDAK DIKETAHUI""))"),"")</f>
        <v/>
      </c>
    </row>
    <row r="7618">
      <c r="A7618" s="21" t="str">
        <f t="shared" si="3"/>
        <v/>
      </c>
      <c r="B7618" s="38"/>
      <c r="C7618" s="23"/>
      <c r="D7618" s="23"/>
      <c r="E7618" s="24"/>
      <c r="F7618" s="25"/>
      <c r="G7618" s="25"/>
      <c r="H7618" s="27"/>
      <c r="I7618" s="28"/>
      <c r="J7618" s="39"/>
      <c r="K7618" s="41"/>
      <c r="L7618" s="31" t="str">
        <f>IFERROR(__xludf.DUMMYFUNCTION("IF(OR(E7618="""",K7618=""""),"""",IFERROR(IF(K7618="""","""",query('tbl user'!$A$2:$D10975,""SELECT A WHERE D = '""&amp;K7618&amp;""'"")),""USER TIDAK DIKETAHUI""))"),"")</f>
        <v/>
      </c>
    </row>
    <row r="7619">
      <c r="A7619" s="21" t="str">
        <f t="shared" si="3"/>
        <v/>
      </c>
      <c r="B7619" s="38"/>
      <c r="C7619" s="23"/>
      <c r="D7619" s="23"/>
      <c r="E7619" s="24"/>
      <c r="F7619" s="25"/>
      <c r="G7619" s="25"/>
      <c r="H7619" s="27"/>
      <c r="I7619" s="28"/>
      <c r="J7619" s="39"/>
      <c r="K7619" s="41"/>
      <c r="L7619" s="31" t="str">
        <f>IFERROR(__xludf.DUMMYFUNCTION("IF(OR(E7619="""",K7619=""""),"""",IFERROR(IF(K7619="""","""",query('tbl user'!$A$2:$D10975,""SELECT A WHERE D = '""&amp;K7619&amp;""'"")),""USER TIDAK DIKETAHUI""))"),"")</f>
        <v/>
      </c>
    </row>
    <row r="7620">
      <c r="A7620" s="21" t="str">
        <f t="shared" si="3"/>
        <v/>
      </c>
      <c r="B7620" s="38"/>
      <c r="C7620" s="23"/>
      <c r="D7620" s="23"/>
      <c r="E7620" s="24"/>
      <c r="F7620" s="25"/>
      <c r="G7620" s="25"/>
      <c r="H7620" s="27"/>
      <c r="I7620" s="28"/>
      <c r="J7620" s="39"/>
      <c r="K7620" s="41"/>
      <c r="L7620" s="31" t="str">
        <f>IFERROR(__xludf.DUMMYFUNCTION("IF(OR(E7620="""",K7620=""""),"""",IFERROR(IF(K7620="""","""",query('tbl user'!$A$2:$D10975,""SELECT A WHERE D = '""&amp;K7620&amp;""'"")),""USER TIDAK DIKETAHUI""))"),"")</f>
        <v/>
      </c>
    </row>
    <row r="7621">
      <c r="A7621" s="21" t="str">
        <f t="shared" si="3"/>
        <v/>
      </c>
      <c r="B7621" s="38"/>
      <c r="C7621" s="23"/>
      <c r="D7621" s="23"/>
      <c r="E7621" s="24"/>
      <c r="F7621" s="25"/>
      <c r="G7621" s="25"/>
      <c r="H7621" s="27"/>
      <c r="I7621" s="28"/>
      <c r="J7621" s="39"/>
      <c r="K7621" s="41"/>
      <c r="L7621" s="31" t="str">
        <f>IFERROR(__xludf.DUMMYFUNCTION("IF(OR(E7621="""",K7621=""""),"""",IFERROR(IF(K7621="""","""",query('tbl user'!$A$2:$D10975,""SELECT A WHERE D = '""&amp;K7621&amp;""'"")),""USER TIDAK DIKETAHUI""))"),"")</f>
        <v/>
      </c>
    </row>
    <row r="7622">
      <c r="A7622" s="21" t="str">
        <f t="shared" si="3"/>
        <v/>
      </c>
      <c r="B7622" s="38"/>
      <c r="C7622" s="23"/>
      <c r="D7622" s="23"/>
      <c r="E7622" s="24"/>
      <c r="F7622" s="25"/>
      <c r="G7622" s="25"/>
      <c r="H7622" s="27"/>
      <c r="I7622" s="28"/>
      <c r="J7622" s="39"/>
      <c r="K7622" s="41"/>
      <c r="L7622" s="31" t="str">
        <f>IFERROR(__xludf.DUMMYFUNCTION("IF(OR(E7622="""",K7622=""""),"""",IFERROR(IF(K7622="""","""",query('tbl user'!$A$2:$D10975,""SELECT A WHERE D = '""&amp;K7622&amp;""'"")),""USER TIDAK DIKETAHUI""))"),"")</f>
        <v/>
      </c>
    </row>
    <row r="7623">
      <c r="A7623" s="21" t="str">
        <f t="shared" si="3"/>
        <v/>
      </c>
      <c r="B7623" s="38"/>
      <c r="C7623" s="23"/>
      <c r="D7623" s="23"/>
      <c r="E7623" s="24"/>
      <c r="F7623" s="25"/>
      <c r="G7623" s="25"/>
      <c r="H7623" s="27"/>
      <c r="I7623" s="28"/>
      <c r="J7623" s="39"/>
      <c r="K7623" s="41"/>
      <c r="L7623" s="31" t="str">
        <f>IFERROR(__xludf.DUMMYFUNCTION("IF(OR(E7623="""",K7623=""""),"""",IFERROR(IF(K7623="""","""",query('tbl user'!$A$2:$D10975,""SELECT A WHERE D = '""&amp;K7623&amp;""'"")),""USER TIDAK DIKETAHUI""))"),"")</f>
        <v/>
      </c>
    </row>
    <row r="7624">
      <c r="A7624" s="21" t="str">
        <f t="shared" si="3"/>
        <v/>
      </c>
      <c r="B7624" s="38"/>
      <c r="C7624" s="23"/>
      <c r="D7624" s="23"/>
      <c r="E7624" s="24"/>
      <c r="F7624" s="25"/>
      <c r="G7624" s="25"/>
      <c r="H7624" s="27"/>
      <c r="I7624" s="28"/>
      <c r="J7624" s="39"/>
      <c r="K7624" s="41"/>
      <c r="L7624" s="31" t="str">
        <f>IFERROR(__xludf.DUMMYFUNCTION("IF(OR(E7624="""",K7624=""""),"""",IFERROR(IF(K7624="""","""",query('tbl user'!$A$2:$D10975,""SELECT A WHERE D = '""&amp;K7624&amp;""'"")),""USER TIDAK DIKETAHUI""))"),"")</f>
        <v/>
      </c>
    </row>
    <row r="7625">
      <c r="A7625" s="21" t="str">
        <f t="shared" si="3"/>
        <v/>
      </c>
      <c r="B7625" s="38"/>
      <c r="C7625" s="23"/>
      <c r="D7625" s="23"/>
      <c r="E7625" s="24"/>
      <c r="F7625" s="25"/>
      <c r="G7625" s="25"/>
      <c r="H7625" s="27"/>
      <c r="I7625" s="28"/>
      <c r="J7625" s="39"/>
      <c r="K7625" s="41"/>
      <c r="L7625" s="31" t="str">
        <f>IFERROR(__xludf.DUMMYFUNCTION("IF(OR(E7625="""",K7625=""""),"""",IFERROR(IF(K7625="""","""",query('tbl user'!$A$2:$D10975,""SELECT A WHERE D = '""&amp;K7625&amp;""'"")),""USER TIDAK DIKETAHUI""))"),"")</f>
        <v/>
      </c>
    </row>
    <row r="7626">
      <c r="A7626" s="21" t="str">
        <f t="shared" si="3"/>
        <v/>
      </c>
      <c r="B7626" s="38"/>
      <c r="C7626" s="23"/>
      <c r="D7626" s="23"/>
      <c r="E7626" s="24"/>
      <c r="F7626" s="25"/>
      <c r="G7626" s="25"/>
      <c r="H7626" s="27"/>
      <c r="I7626" s="28"/>
      <c r="J7626" s="39"/>
      <c r="K7626" s="41"/>
      <c r="L7626" s="31" t="str">
        <f>IFERROR(__xludf.DUMMYFUNCTION("IF(OR(E7626="""",K7626=""""),"""",IFERROR(IF(K7626="""","""",query('tbl user'!$A$2:$D10975,""SELECT A WHERE D = '""&amp;K7626&amp;""'"")),""USER TIDAK DIKETAHUI""))"),"")</f>
        <v/>
      </c>
    </row>
    <row r="7627">
      <c r="A7627" s="21" t="str">
        <f t="shared" si="3"/>
        <v/>
      </c>
      <c r="B7627" s="38"/>
      <c r="C7627" s="23"/>
      <c r="D7627" s="23"/>
      <c r="E7627" s="24"/>
      <c r="F7627" s="25"/>
      <c r="G7627" s="25"/>
      <c r="H7627" s="27"/>
      <c r="I7627" s="28"/>
      <c r="J7627" s="39"/>
      <c r="K7627" s="41"/>
      <c r="L7627" s="31" t="str">
        <f>IFERROR(__xludf.DUMMYFUNCTION("IF(OR(E7627="""",K7627=""""),"""",IFERROR(IF(K7627="""","""",query('tbl user'!$A$2:$D10975,""SELECT A WHERE D = '""&amp;K7627&amp;""'"")),""USER TIDAK DIKETAHUI""))"),"")</f>
        <v/>
      </c>
    </row>
    <row r="7628">
      <c r="A7628" s="21" t="str">
        <f t="shared" si="3"/>
        <v/>
      </c>
      <c r="B7628" s="38"/>
      <c r="C7628" s="23"/>
      <c r="D7628" s="23"/>
      <c r="E7628" s="24"/>
      <c r="F7628" s="25"/>
      <c r="G7628" s="25"/>
      <c r="H7628" s="27"/>
      <c r="I7628" s="28"/>
      <c r="J7628" s="39"/>
      <c r="K7628" s="41"/>
      <c r="L7628" s="31" t="str">
        <f>IFERROR(__xludf.DUMMYFUNCTION("IF(OR(E7628="""",K7628=""""),"""",IFERROR(IF(K7628="""","""",query('tbl user'!$A$2:$D10975,""SELECT A WHERE D = '""&amp;K7628&amp;""'"")),""USER TIDAK DIKETAHUI""))"),"")</f>
        <v/>
      </c>
    </row>
    <row r="7629">
      <c r="A7629" s="21" t="str">
        <f t="shared" si="3"/>
        <v/>
      </c>
      <c r="B7629" s="38"/>
      <c r="C7629" s="23"/>
      <c r="D7629" s="23"/>
      <c r="E7629" s="24"/>
      <c r="F7629" s="25"/>
      <c r="G7629" s="25"/>
      <c r="H7629" s="27"/>
      <c r="I7629" s="28"/>
      <c r="J7629" s="39"/>
      <c r="K7629" s="41"/>
      <c r="L7629" s="31" t="str">
        <f>IFERROR(__xludf.DUMMYFUNCTION("IF(OR(E7629="""",K7629=""""),"""",IFERROR(IF(K7629="""","""",query('tbl user'!$A$2:$D10975,""SELECT A WHERE D = '""&amp;K7629&amp;""'"")),""USER TIDAK DIKETAHUI""))"),"")</f>
        <v/>
      </c>
    </row>
    <row r="7630">
      <c r="A7630" s="21" t="str">
        <f t="shared" si="3"/>
        <v/>
      </c>
      <c r="B7630" s="38"/>
      <c r="C7630" s="23"/>
      <c r="D7630" s="23"/>
      <c r="E7630" s="24"/>
      <c r="F7630" s="25"/>
      <c r="G7630" s="25"/>
      <c r="H7630" s="27"/>
      <c r="I7630" s="28"/>
      <c r="J7630" s="39"/>
      <c r="K7630" s="41"/>
      <c r="L7630" s="31" t="str">
        <f>IFERROR(__xludf.DUMMYFUNCTION("IF(OR(E7630="""",K7630=""""),"""",IFERROR(IF(K7630="""","""",query('tbl user'!$A$2:$D10975,""SELECT A WHERE D = '""&amp;K7630&amp;""'"")),""USER TIDAK DIKETAHUI""))"),"")</f>
        <v/>
      </c>
    </row>
    <row r="7631">
      <c r="A7631" s="21" t="str">
        <f t="shared" si="3"/>
        <v/>
      </c>
      <c r="B7631" s="38"/>
      <c r="C7631" s="23"/>
      <c r="D7631" s="23"/>
      <c r="E7631" s="24"/>
      <c r="F7631" s="25"/>
      <c r="G7631" s="25"/>
      <c r="H7631" s="27"/>
      <c r="I7631" s="28"/>
      <c r="J7631" s="39"/>
      <c r="K7631" s="41"/>
      <c r="L7631" s="31" t="str">
        <f>IFERROR(__xludf.DUMMYFUNCTION("IF(OR(E7631="""",K7631=""""),"""",IFERROR(IF(K7631="""","""",query('tbl user'!$A$2:$D10975,""SELECT A WHERE D = '""&amp;K7631&amp;""'"")),""USER TIDAK DIKETAHUI""))"),"")</f>
        <v/>
      </c>
    </row>
    <row r="7632">
      <c r="A7632" s="21" t="str">
        <f t="shared" si="3"/>
        <v/>
      </c>
      <c r="B7632" s="38"/>
      <c r="C7632" s="23"/>
      <c r="D7632" s="23"/>
      <c r="E7632" s="24"/>
      <c r="F7632" s="25"/>
      <c r="G7632" s="25"/>
      <c r="H7632" s="27"/>
      <c r="I7632" s="28"/>
      <c r="J7632" s="39"/>
      <c r="K7632" s="41"/>
      <c r="L7632" s="31" t="str">
        <f>IFERROR(__xludf.DUMMYFUNCTION("IF(OR(E7632="""",K7632=""""),"""",IFERROR(IF(K7632="""","""",query('tbl user'!$A$2:$D10975,""SELECT A WHERE D = '""&amp;K7632&amp;""'"")),""USER TIDAK DIKETAHUI""))"),"")</f>
        <v/>
      </c>
    </row>
    <row r="7633">
      <c r="A7633" s="21" t="str">
        <f t="shared" si="3"/>
        <v/>
      </c>
      <c r="B7633" s="38"/>
      <c r="C7633" s="23"/>
      <c r="D7633" s="23"/>
      <c r="E7633" s="24"/>
      <c r="F7633" s="25"/>
      <c r="G7633" s="25"/>
      <c r="H7633" s="27"/>
      <c r="I7633" s="28"/>
      <c r="J7633" s="39"/>
      <c r="K7633" s="41"/>
      <c r="L7633" s="31" t="str">
        <f>IFERROR(__xludf.DUMMYFUNCTION("IF(OR(E7633="""",K7633=""""),"""",IFERROR(IF(K7633="""","""",query('tbl user'!$A$2:$D10975,""SELECT A WHERE D = '""&amp;K7633&amp;""'"")),""USER TIDAK DIKETAHUI""))"),"")</f>
        <v/>
      </c>
    </row>
    <row r="7634">
      <c r="A7634" s="21" t="str">
        <f t="shared" si="3"/>
        <v/>
      </c>
      <c r="B7634" s="38"/>
      <c r="C7634" s="23"/>
      <c r="D7634" s="23"/>
      <c r="E7634" s="24"/>
      <c r="F7634" s="25"/>
      <c r="G7634" s="25"/>
      <c r="H7634" s="27"/>
      <c r="I7634" s="28"/>
      <c r="J7634" s="39"/>
      <c r="K7634" s="41"/>
      <c r="L7634" s="31" t="str">
        <f>IFERROR(__xludf.DUMMYFUNCTION("IF(OR(E7634="""",K7634=""""),"""",IFERROR(IF(K7634="""","""",query('tbl user'!$A$2:$D10975,""SELECT A WHERE D = '""&amp;K7634&amp;""'"")),""USER TIDAK DIKETAHUI""))"),"")</f>
        <v/>
      </c>
    </row>
    <row r="7635">
      <c r="A7635" s="21" t="str">
        <f t="shared" si="3"/>
        <v/>
      </c>
      <c r="B7635" s="38"/>
      <c r="C7635" s="23"/>
      <c r="D7635" s="23"/>
      <c r="E7635" s="24"/>
      <c r="F7635" s="25"/>
      <c r="G7635" s="25"/>
      <c r="H7635" s="27"/>
      <c r="I7635" s="28"/>
      <c r="J7635" s="39"/>
      <c r="K7635" s="41"/>
      <c r="L7635" s="31" t="str">
        <f>IFERROR(__xludf.DUMMYFUNCTION("IF(OR(E7635="""",K7635=""""),"""",IFERROR(IF(K7635="""","""",query('tbl user'!$A$2:$D10975,""SELECT A WHERE D = '""&amp;K7635&amp;""'"")),""USER TIDAK DIKETAHUI""))"),"")</f>
        <v/>
      </c>
    </row>
    <row r="7636">
      <c r="A7636" s="21" t="str">
        <f t="shared" si="3"/>
        <v/>
      </c>
      <c r="B7636" s="38"/>
      <c r="C7636" s="23"/>
      <c r="D7636" s="23"/>
      <c r="E7636" s="24"/>
      <c r="F7636" s="25"/>
      <c r="G7636" s="25"/>
      <c r="H7636" s="27"/>
      <c r="I7636" s="28"/>
      <c r="J7636" s="39"/>
      <c r="K7636" s="41"/>
      <c r="L7636" s="31" t="str">
        <f>IFERROR(__xludf.DUMMYFUNCTION("IF(OR(E7636="""",K7636=""""),"""",IFERROR(IF(K7636="""","""",query('tbl user'!$A$2:$D10975,""SELECT A WHERE D = '""&amp;K7636&amp;""'"")),""USER TIDAK DIKETAHUI""))"),"")</f>
        <v/>
      </c>
    </row>
    <row r="7637">
      <c r="A7637" s="21" t="str">
        <f t="shared" si="3"/>
        <v/>
      </c>
      <c r="B7637" s="38"/>
      <c r="C7637" s="23"/>
      <c r="D7637" s="23"/>
      <c r="E7637" s="24"/>
      <c r="F7637" s="25"/>
      <c r="G7637" s="25"/>
      <c r="H7637" s="27"/>
      <c r="I7637" s="28"/>
      <c r="J7637" s="39"/>
      <c r="K7637" s="41"/>
      <c r="L7637" s="31" t="str">
        <f>IFERROR(__xludf.DUMMYFUNCTION("IF(OR(E7637="""",K7637=""""),"""",IFERROR(IF(K7637="""","""",query('tbl user'!$A$2:$D10975,""SELECT A WHERE D = '""&amp;K7637&amp;""'"")),""USER TIDAK DIKETAHUI""))"),"")</f>
        <v/>
      </c>
    </row>
    <row r="7638">
      <c r="A7638" s="21" t="str">
        <f t="shared" si="3"/>
        <v/>
      </c>
      <c r="B7638" s="38"/>
      <c r="C7638" s="23"/>
      <c r="D7638" s="23"/>
      <c r="E7638" s="24"/>
      <c r="F7638" s="25"/>
      <c r="G7638" s="25"/>
      <c r="H7638" s="27"/>
      <c r="I7638" s="28"/>
      <c r="J7638" s="39"/>
      <c r="K7638" s="41"/>
      <c r="L7638" s="31" t="str">
        <f>IFERROR(__xludf.DUMMYFUNCTION("IF(OR(E7638="""",K7638=""""),"""",IFERROR(IF(K7638="""","""",query('tbl user'!$A$2:$D10975,""SELECT A WHERE D = '""&amp;K7638&amp;""'"")),""USER TIDAK DIKETAHUI""))"),"")</f>
        <v/>
      </c>
    </row>
    <row r="7639">
      <c r="A7639" s="21" t="str">
        <f t="shared" si="3"/>
        <v/>
      </c>
      <c r="B7639" s="38"/>
      <c r="C7639" s="23"/>
      <c r="D7639" s="23"/>
      <c r="E7639" s="24"/>
      <c r="F7639" s="25"/>
      <c r="G7639" s="25"/>
      <c r="H7639" s="27"/>
      <c r="I7639" s="28"/>
      <c r="J7639" s="39"/>
      <c r="K7639" s="41"/>
      <c r="L7639" s="31" t="str">
        <f>IFERROR(__xludf.DUMMYFUNCTION("IF(OR(E7639="""",K7639=""""),"""",IFERROR(IF(K7639="""","""",query('tbl user'!$A$2:$D10975,""SELECT A WHERE D = '""&amp;K7639&amp;""'"")),""USER TIDAK DIKETAHUI""))"),"")</f>
        <v/>
      </c>
    </row>
    <row r="7640">
      <c r="A7640" s="21" t="str">
        <f t="shared" si="3"/>
        <v/>
      </c>
      <c r="B7640" s="38"/>
      <c r="C7640" s="23"/>
      <c r="D7640" s="23"/>
      <c r="E7640" s="24"/>
      <c r="F7640" s="25"/>
      <c r="G7640" s="25"/>
      <c r="H7640" s="27"/>
      <c r="I7640" s="28"/>
      <c r="J7640" s="39"/>
      <c r="K7640" s="41"/>
      <c r="L7640" s="31" t="str">
        <f>IFERROR(__xludf.DUMMYFUNCTION("IF(OR(E7640="""",K7640=""""),"""",IFERROR(IF(K7640="""","""",query('tbl user'!$A$2:$D10975,""SELECT A WHERE D = '""&amp;K7640&amp;""'"")),""USER TIDAK DIKETAHUI""))"),"")</f>
        <v/>
      </c>
    </row>
    <row r="7641">
      <c r="A7641" s="21" t="str">
        <f t="shared" si="3"/>
        <v/>
      </c>
      <c r="B7641" s="38"/>
      <c r="C7641" s="23"/>
      <c r="D7641" s="23"/>
      <c r="E7641" s="24"/>
      <c r="F7641" s="25"/>
      <c r="G7641" s="25"/>
      <c r="H7641" s="27"/>
      <c r="I7641" s="28"/>
      <c r="J7641" s="39"/>
      <c r="K7641" s="41"/>
      <c r="L7641" s="31" t="str">
        <f>IFERROR(__xludf.DUMMYFUNCTION("IF(OR(E7641="""",K7641=""""),"""",IFERROR(IF(K7641="""","""",query('tbl user'!$A$2:$D10975,""SELECT A WHERE D = '""&amp;K7641&amp;""'"")),""USER TIDAK DIKETAHUI""))"),"")</f>
        <v/>
      </c>
    </row>
    <row r="7642">
      <c r="A7642" s="21" t="str">
        <f t="shared" si="3"/>
        <v/>
      </c>
      <c r="B7642" s="38"/>
      <c r="C7642" s="23"/>
      <c r="D7642" s="23"/>
      <c r="E7642" s="24"/>
      <c r="F7642" s="25"/>
      <c r="G7642" s="25"/>
      <c r="H7642" s="27"/>
      <c r="I7642" s="28"/>
      <c r="J7642" s="39"/>
      <c r="K7642" s="41"/>
      <c r="L7642" s="31" t="str">
        <f>IFERROR(__xludf.DUMMYFUNCTION("IF(OR(E7642="""",K7642=""""),"""",IFERROR(IF(K7642="""","""",query('tbl user'!$A$2:$D10975,""SELECT A WHERE D = '""&amp;K7642&amp;""'"")),""USER TIDAK DIKETAHUI""))"),"")</f>
        <v/>
      </c>
    </row>
    <row r="7643">
      <c r="A7643" s="21" t="str">
        <f t="shared" si="3"/>
        <v/>
      </c>
      <c r="B7643" s="38"/>
      <c r="C7643" s="23"/>
      <c r="D7643" s="23"/>
      <c r="E7643" s="24"/>
      <c r="F7643" s="25"/>
      <c r="G7643" s="25"/>
      <c r="H7643" s="27"/>
      <c r="I7643" s="28"/>
      <c r="J7643" s="39"/>
      <c r="K7643" s="41"/>
      <c r="L7643" s="31" t="str">
        <f>IFERROR(__xludf.DUMMYFUNCTION("IF(OR(E7643="""",K7643=""""),"""",IFERROR(IF(K7643="""","""",query('tbl user'!$A$2:$D10975,""SELECT A WHERE D = '""&amp;K7643&amp;""'"")),""USER TIDAK DIKETAHUI""))"),"")</f>
        <v/>
      </c>
    </row>
    <row r="7644">
      <c r="A7644" s="21" t="str">
        <f t="shared" si="3"/>
        <v/>
      </c>
      <c r="B7644" s="38"/>
      <c r="C7644" s="23"/>
      <c r="D7644" s="23"/>
      <c r="E7644" s="24"/>
      <c r="F7644" s="25"/>
      <c r="G7644" s="25"/>
      <c r="H7644" s="27"/>
      <c r="I7644" s="28"/>
      <c r="J7644" s="39"/>
      <c r="K7644" s="41"/>
      <c r="L7644" s="31" t="str">
        <f>IFERROR(__xludf.DUMMYFUNCTION("IF(OR(E7644="""",K7644=""""),"""",IFERROR(IF(K7644="""","""",query('tbl user'!$A$2:$D10975,""SELECT A WHERE D = '""&amp;K7644&amp;""'"")),""USER TIDAK DIKETAHUI""))"),"")</f>
        <v/>
      </c>
    </row>
    <row r="7645">
      <c r="A7645" s="21" t="str">
        <f t="shared" si="3"/>
        <v/>
      </c>
      <c r="B7645" s="38"/>
      <c r="C7645" s="23"/>
      <c r="D7645" s="23"/>
      <c r="E7645" s="24"/>
      <c r="F7645" s="25"/>
      <c r="G7645" s="25"/>
      <c r="H7645" s="27"/>
      <c r="I7645" s="28"/>
      <c r="J7645" s="39"/>
      <c r="K7645" s="41"/>
      <c r="L7645" s="31" t="str">
        <f>IFERROR(__xludf.DUMMYFUNCTION("IF(OR(E7645="""",K7645=""""),"""",IFERROR(IF(K7645="""","""",query('tbl user'!$A$2:$D10975,""SELECT A WHERE D = '""&amp;K7645&amp;""'"")),""USER TIDAK DIKETAHUI""))"),"")</f>
        <v/>
      </c>
    </row>
    <row r="7646">
      <c r="A7646" s="21" t="str">
        <f t="shared" si="3"/>
        <v/>
      </c>
      <c r="B7646" s="38"/>
      <c r="C7646" s="23"/>
      <c r="D7646" s="23"/>
      <c r="E7646" s="24"/>
      <c r="F7646" s="25"/>
      <c r="G7646" s="25"/>
      <c r="H7646" s="27"/>
      <c r="I7646" s="28"/>
      <c r="J7646" s="39"/>
      <c r="K7646" s="41"/>
      <c r="L7646" s="31" t="str">
        <f>IFERROR(__xludf.DUMMYFUNCTION("IF(OR(E7646="""",K7646=""""),"""",IFERROR(IF(K7646="""","""",query('tbl user'!$A$2:$D10975,""SELECT A WHERE D = '""&amp;K7646&amp;""'"")),""USER TIDAK DIKETAHUI""))"),"")</f>
        <v/>
      </c>
    </row>
    <row r="7647">
      <c r="A7647" s="21" t="str">
        <f t="shared" si="3"/>
        <v/>
      </c>
      <c r="B7647" s="38"/>
      <c r="C7647" s="23"/>
      <c r="D7647" s="23"/>
      <c r="E7647" s="24"/>
      <c r="F7647" s="25"/>
      <c r="G7647" s="25"/>
      <c r="H7647" s="27"/>
      <c r="I7647" s="28"/>
      <c r="J7647" s="39"/>
      <c r="K7647" s="41"/>
      <c r="L7647" s="31" t="str">
        <f>IFERROR(__xludf.DUMMYFUNCTION("IF(OR(E7647="""",K7647=""""),"""",IFERROR(IF(K7647="""","""",query('tbl user'!$A$2:$D10975,""SELECT A WHERE D = '""&amp;K7647&amp;""'"")),""USER TIDAK DIKETAHUI""))"),"")</f>
        <v/>
      </c>
    </row>
    <row r="7648">
      <c r="A7648" s="21" t="str">
        <f t="shared" si="3"/>
        <v/>
      </c>
      <c r="B7648" s="38"/>
      <c r="C7648" s="23"/>
      <c r="D7648" s="23"/>
      <c r="E7648" s="24"/>
      <c r="F7648" s="25"/>
      <c r="G7648" s="25"/>
      <c r="H7648" s="27"/>
      <c r="I7648" s="28"/>
      <c r="J7648" s="39"/>
      <c r="K7648" s="41"/>
      <c r="L7648" s="31" t="str">
        <f>IFERROR(__xludf.DUMMYFUNCTION("IF(OR(E7648="""",K7648=""""),"""",IFERROR(IF(K7648="""","""",query('tbl user'!$A$2:$D10975,""SELECT A WHERE D = '""&amp;K7648&amp;""'"")),""USER TIDAK DIKETAHUI""))"),"")</f>
        <v/>
      </c>
    </row>
    <row r="7649">
      <c r="A7649" s="21" t="str">
        <f t="shared" si="3"/>
        <v/>
      </c>
      <c r="B7649" s="38"/>
      <c r="C7649" s="23"/>
      <c r="D7649" s="23"/>
      <c r="E7649" s="24"/>
      <c r="F7649" s="25"/>
      <c r="G7649" s="25"/>
      <c r="H7649" s="27"/>
      <c r="I7649" s="28"/>
      <c r="J7649" s="39"/>
      <c r="K7649" s="41"/>
      <c r="L7649" s="31" t="str">
        <f>IFERROR(__xludf.DUMMYFUNCTION("IF(OR(E7649="""",K7649=""""),"""",IFERROR(IF(K7649="""","""",query('tbl user'!$A$2:$D10975,""SELECT A WHERE D = '""&amp;K7649&amp;""'"")),""USER TIDAK DIKETAHUI""))"),"")</f>
        <v/>
      </c>
    </row>
    <row r="7650">
      <c r="A7650" s="21" t="str">
        <f t="shared" si="3"/>
        <v/>
      </c>
      <c r="B7650" s="38"/>
      <c r="C7650" s="23"/>
      <c r="D7650" s="23"/>
      <c r="E7650" s="24"/>
      <c r="F7650" s="25"/>
      <c r="G7650" s="25"/>
      <c r="H7650" s="27"/>
      <c r="I7650" s="28"/>
      <c r="J7650" s="39"/>
      <c r="K7650" s="41"/>
      <c r="L7650" s="31" t="str">
        <f>IFERROR(__xludf.DUMMYFUNCTION("IF(OR(E7650="""",K7650=""""),"""",IFERROR(IF(K7650="""","""",query('tbl user'!$A$2:$D10975,""SELECT A WHERE D = '""&amp;K7650&amp;""'"")),""USER TIDAK DIKETAHUI""))"),"")</f>
        <v/>
      </c>
    </row>
    <row r="7651">
      <c r="A7651" s="21" t="str">
        <f t="shared" si="3"/>
        <v/>
      </c>
      <c r="B7651" s="38"/>
      <c r="C7651" s="23"/>
      <c r="D7651" s="23"/>
      <c r="E7651" s="24"/>
      <c r="F7651" s="25"/>
      <c r="G7651" s="25"/>
      <c r="H7651" s="27"/>
      <c r="I7651" s="28"/>
      <c r="J7651" s="39"/>
      <c r="K7651" s="41"/>
      <c r="L7651" s="31" t="str">
        <f>IFERROR(__xludf.DUMMYFUNCTION("IF(OR(E7651="""",K7651=""""),"""",IFERROR(IF(K7651="""","""",query('tbl user'!$A$2:$D10975,""SELECT A WHERE D = '""&amp;K7651&amp;""'"")),""USER TIDAK DIKETAHUI""))"),"")</f>
        <v/>
      </c>
    </row>
    <row r="7652">
      <c r="A7652" s="21" t="str">
        <f t="shared" si="3"/>
        <v/>
      </c>
      <c r="B7652" s="38"/>
      <c r="C7652" s="23"/>
      <c r="D7652" s="23"/>
      <c r="E7652" s="24"/>
      <c r="F7652" s="25"/>
      <c r="G7652" s="25"/>
      <c r="H7652" s="27"/>
      <c r="I7652" s="28"/>
      <c r="J7652" s="39"/>
      <c r="K7652" s="41"/>
      <c r="L7652" s="31" t="str">
        <f>IFERROR(__xludf.DUMMYFUNCTION("IF(OR(E7652="""",K7652=""""),"""",IFERROR(IF(K7652="""","""",query('tbl user'!$A$2:$D10975,""SELECT A WHERE D = '""&amp;K7652&amp;""'"")),""USER TIDAK DIKETAHUI""))"),"")</f>
        <v/>
      </c>
    </row>
    <row r="7653">
      <c r="A7653" s="21" t="str">
        <f t="shared" si="3"/>
        <v/>
      </c>
      <c r="B7653" s="38"/>
      <c r="C7653" s="23"/>
      <c r="D7653" s="23"/>
      <c r="E7653" s="24"/>
      <c r="F7653" s="25"/>
      <c r="G7653" s="25"/>
      <c r="H7653" s="27"/>
      <c r="I7653" s="28"/>
      <c r="J7653" s="39"/>
      <c r="K7653" s="41"/>
      <c r="L7653" s="31" t="str">
        <f>IFERROR(__xludf.DUMMYFUNCTION("IF(OR(E7653="""",K7653=""""),"""",IFERROR(IF(K7653="""","""",query('tbl user'!$A$2:$D10975,""SELECT A WHERE D = '""&amp;K7653&amp;""'"")),""USER TIDAK DIKETAHUI""))"),"")</f>
        <v/>
      </c>
    </row>
    <row r="7654">
      <c r="A7654" s="21" t="str">
        <f t="shared" si="3"/>
        <v/>
      </c>
      <c r="B7654" s="38"/>
      <c r="C7654" s="23"/>
      <c r="D7654" s="23"/>
      <c r="E7654" s="24"/>
      <c r="F7654" s="25"/>
      <c r="G7654" s="25"/>
      <c r="H7654" s="27"/>
      <c r="I7654" s="28"/>
      <c r="J7654" s="39"/>
      <c r="K7654" s="41"/>
      <c r="L7654" s="31" t="str">
        <f>IFERROR(__xludf.DUMMYFUNCTION("IF(OR(E7654="""",K7654=""""),"""",IFERROR(IF(K7654="""","""",query('tbl user'!$A$2:$D10975,""SELECT A WHERE D = '""&amp;K7654&amp;""'"")),""USER TIDAK DIKETAHUI""))"),"")</f>
        <v/>
      </c>
    </row>
    <row r="7655">
      <c r="A7655" s="21" t="str">
        <f t="shared" si="3"/>
        <v/>
      </c>
      <c r="B7655" s="38"/>
      <c r="C7655" s="23"/>
      <c r="D7655" s="23"/>
      <c r="E7655" s="24"/>
      <c r="F7655" s="25"/>
      <c r="G7655" s="25"/>
      <c r="H7655" s="27"/>
      <c r="I7655" s="28"/>
      <c r="J7655" s="39"/>
      <c r="K7655" s="41"/>
      <c r="L7655" s="31" t="str">
        <f>IFERROR(__xludf.DUMMYFUNCTION("IF(OR(E7655="""",K7655=""""),"""",IFERROR(IF(K7655="""","""",query('tbl user'!$A$2:$D10975,""SELECT A WHERE D = '""&amp;K7655&amp;""'"")),""USER TIDAK DIKETAHUI""))"),"")</f>
        <v/>
      </c>
    </row>
    <row r="7656">
      <c r="A7656" s="21" t="str">
        <f t="shared" si="3"/>
        <v/>
      </c>
      <c r="B7656" s="38"/>
      <c r="C7656" s="23"/>
      <c r="D7656" s="23"/>
      <c r="E7656" s="24"/>
      <c r="F7656" s="25"/>
      <c r="G7656" s="25"/>
      <c r="H7656" s="27"/>
      <c r="I7656" s="28"/>
      <c r="J7656" s="39"/>
      <c r="K7656" s="41"/>
      <c r="L7656" s="31" t="str">
        <f>IFERROR(__xludf.DUMMYFUNCTION("IF(OR(E7656="""",K7656=""""),"""",IFERROR(IF(K7656="""","""",query('tbl user'!$A$2:$D10975,""SELECT A WHERE D = '""&amp;K7656&amp;""'"")),""USER TIDAK DIKETAHUI""))"),"")</f>
        <v/>
      </c>
    </row>
    <row r="7657">
      <c r="A7657" s="21" t="str">
        <f t="shared" si="3"/>
        <v/>
      </c>
      <c r="B7657" s="38"/>
      <c r="C7657" s="23"/>
      <c r="D7657" s="23"/>
      <c r="E7657" s="24"/>
      <c r="F7657" s="25"/>
      <c r="G7657" s="25"/>
      <c r="H7657" s="27"/>
      <c r="I7657" s="28"/>
      <c r="J7657" s="39"/>
      <c r="K7657" s="41"/>
      <c r="L7657" s="31" t="str">
        <f>IFERROR(__xludf.DUMMYFUNCTION("IF(OR(E7657="""",K7657=""""),"""",IFERROR(IF(K7657="""","""",query('tbl user'!$A$2:$D10975,""SELECT A WHERE D = '""&amp;K7657&amp;""'"")),""USER TIDAK DIKETAHUI""))"),"")</f>
        <v/>
      </c>
    </row>
    <row r="7658">
      <c r="A7658" s="21" t="str">
        <f t="shared" si="3"/>
        <v/>
      </c>
      <c r="B7658" s="38"/>
      <c r="C7658" s="23"/>
      <c r="D7658" s="23"/>
      <c r="E7658" s="24"/>
      <c r="F7658" s="25"/>
      <c r="G7658" s="25"/>
      <c r="H7658" s="27"/>
      <c r="I7658" s="28"/>
      <c r="J7658" s="39"/>
      <c r="K7658" s="41"/>
      <c r="L7658" s="31" t="str">
        <f>IFERROR(__xludf.DUMMYFUNCTION("IF(OR(E7658="""",K7658=""""),"""",IFERROR(IF(K7658="""","""",query('tbl user'!$A$2:$D10975,""SELECT A WHERE D = '""&amp;K7658&amp;""'"")),""USER TIDAK DIKETAHUI""))"),"")</f>
        <v/>
      </c>
    </row>
    <row r="7659">
      <c r="A7659" s="21" t="str">
        <f t="shared" si="3"/>
        <v/>
      </c>
      <c r="B7659" s="38"/>
      <c r="C7659" s="23"/>
      <c r="D7659" s="23"/>
      <c r="E7659" s="24"/>
      <c r="F7659" s="25"/>
      <c r="G7659" s="25"/>
      <c r="H7659" s="27"/>
      <c r="I7659" s="28"/>
      <c r="J7659" s="39"/>
      <c r="K7659" s="41"/>
      <c r="L7659" s="31" t="str">
        <f>IFERROR(__xludf.DUMMYFUNCTION("IF(OR(E7659="""",K7659=""""),"""",IFERROR(IF(K7659="""","""",query('tbl user'!$A$2:$D10975,""SELECT A WHERE D = '""&amp;K7659&amp;""'"")),""USER TIDAK DIKETAHUI""))"),"")</f>
        <v/>
      </c>
    </row>
    <row r="7660">
      <c r="A7660" s="21" t="str">
        <f t="shared" si="3"/>
        <v/>
      </c>
      <c r="B7660" s="38"/>
      <c r="C7660" s="23"/>
      <c r="D7660" s="23"/>
      <c r="E7660" s="24"/>
      <c r="F7660" s="25"/>
      <c r="G7660" s="25"/>
      <c r="H7660" s="27"/>
      <c r="I7660" s="28"/>
      <c r="J7660" s="39"/>
      <c r="K7660" s="41"/>
      <c r="L7660" s="31" t="str">
        <f>IFERROR(__xludf.DUMMYFUNCTION("IF(OR(E7660="""",K7660=""""),"""",IFERROR(IF(K7660="""","""",query('tbl user'!$A$2:$D10975,""SELECT A WHERE D = '""&amp;K7660&amp;""'"")),""USER TIDAK DIKETAHUI""))"),"")</f>
        <v/>
      </c>
    </row>
    <row r="7661">
      <c r="A7661" s="21" t="str">
        <f t="shared" si="3"/>
        <v/>
      </c>
      <c r="B7661" s="38"/>
      <c r="C7661" s="23"/>
      <c r="D7661" s="23"/>
      <c r="E7661" s="24"/>
      <c r="F7661" s="25"/>
      <c r="G7661" s="25"/>
      <c r="H7661" s="27"/>
      <c r="I7661" s="28"/>
      <c r="J7661" s="39"/>
      <c r="K7661" s="41"/>
      <c r="L7661" s="31" t="str">
        <f>IFERROR(__xludf.DUMMYFUNCTION("IF(OR(E7661="""",K7661=""""),"""",IFERROR(IF(K7661="""","""",query('tbl user'!$A$2:$D10975,""SELECT A WHERE D = '""&amp;K7661&amp;""'"")),""USER TIDAK DIKETAHUI""))"),"")</f>
        <v/>
      </c>
    </row>
    <row r="7662">
      <c r="A7662" s="21" t="str">
        <f t="shared" si="3"/>
        <v/>
      </c>
      <c r="B7662" s="38"/>
      <c r="C7662" s="23"/>
      <c r="D7662" s="23"/>
      <c r="E7662" s="24"/>
      <c r="F7662" s="25"/>
      <c r="G7662" s="25"/>
      <c r="H7662" s="27"/>
      <c r="I7662" s="28"/>
      <c r="J7662" s="39"/>
      <c r="K7662" s="41"/>
      <c r="L7662" s="31" t="str">
        <f>IFERROR(__xludf.DUMMYFUNCTION("IF(OR(E7662="""",K7662=""""),"""",IFERROR(IF(K7662="""","""",query('tbl user'!$A$2:$D10975,""SELECT A WHERE D = '""&amp;K7662&amp;""'"")),""USER TIDAK DIKETAHUI""))"),"")</f>
        <v/>
      </c>
    </row>
    <row r="7663">
      <c r="A7663" s="21" t="str">
        <f t="shared" si="3"/>
        <v/>
      </c>
      <c r="B7663" s="38"/>
      <c r="C7663" s="23"/>
      <c r="D7663" s="23"/>
      <c r="E7663" s="24"/>
      <c r="F7663" s="25"/>
      <c r="G7663" s="25"/>
      <c r="H7663" s="27"/>
      <c r="I7663" s="28"/>
      <c r="J7663" s="39"/>
      <c r="K7663" s="41"/>
      <c r="L7663" s="31" t="str">
        <f>IFERROR(__xludf.DUMMYFUNCTION("IF(OR(E7663="""",K7663=""""),"""",IFERROR(IF(K7663="""","""",query('tbl user'!$A$2:$D10975,""SELECT A WHERE D = '""&amp;K7663&amp;""'"")),""USER TIDAK DIKETAHUI""))"),"")</f>
        <v/>
      </c>
    </row>
    <row r="7664">
      <c r="A7664" s="21" t="str">
        <f t="shared" si="3"/>
        <v/>
      </c>
      <c r="B7664" s="38"/>
      <c r="C7664" s="23"/>
      <c r="D7664" s="23"/>
      <c r="E7664" s="24"/>
      <c r="F7664" s="25"/>
      <c r="G7664" s="25"/>
      <c r="H7664" s="27"/>
      <c r="I7664" s="28"/>
      <c r="J7664" s="39"/>
      <c r="K7664" s="41"/>
      <c r="L7664" s="31" t="str">
        <f>IFERROR(__xludf.DUMMYFUNCTION("IF(OR(E7664="""",K7664=""""),"""",IFERROR(IF(K7664="""","""",query('tbl user'!$A$2:$D10975,""SELECT A WHERE D = '""&amp;K7664&amp;""'"")),""USER TIDAK DIKETAHUI""))"),"")</f>
        <v/>
      </c>
    </row>
    <row r="7665">
      <c r="A7665" s="21" t="str">
        <f t="shared" si="3"/>
        <v/>
      </c>
      <c r="B7665" s="38"/>
      <c r="C7665" s="23"/>
      <c r="D7665" s="23"/>
      <c r="E7665" s="24"/>
      <c r="F7665" s="25"/>
      <c r="G7665" s="25"/>
      <c r="H7665" s="27"/>
      <c r="I7665" s="28"/>
      <c r="J7665" s="39"/>
      <c r="K7665" s="41"/>
      <c r="L7665" s="31" t="str">
        <f>IFERROR(__xludf.DUMMYFUNCTION("IF(OR(E7665="""",K7665=""""),"""",IFERROR(IF(K7665="""","""",query('tbl user'!$A$2:$D10975,""SELECT A WHERE D = '""&amp;K7665&amp;""'"")),""USER TIDAK DIKETAHUI""))"),"")</f>
        <v/>
      </c>
    </row>
    <row r="7666">
      <c r="A7666" s="21" t="str">
        <f t="shared" si="3"/>
        <v/>
      </c>
      <c r="B7666" s="38"/>
      <c r="C7666" s="23"/>
      <c r="D7666" s="23"/>
      <c r="E7666" s="24"/>
      <c r="F7666" s="25"/>
      <c r="G7666" s="25"/>
      <c r="H7666" s="27"/>
      <c r="I7666" s="28"/>
      <c r="J7666" s="39"/>
      <c r="K7666" s="41"/>
      <c r="L7666" s="31" t="str">
        <f>IFERROR(__xludf.DUMMYFUNCTION("IF(OR(E7666="""",K7666=""""),"""",IFERROR(IF(K7666="""","""",query('tbl user'!$A$2:$D10975,""SELECT A WHERE D = '""&amp;K7666&amp;""'"")),""USER TIDAK DIKETAHUI""))"),"")</f>
        <v/>
      </c>
    </row>
    <row r="7667">
      <c r="A7667" s="21" t="str">
        <f t="shared" si="3"/>
        <v/>
      </c>
      <c r="B7667" s="38"/>
      <c r="C7667" s="23"/>
      <c r="D7667" s="23"/>
      <c r="E7667" s="24"/>
      <c r="F7667" s="25"/>
      <c r="G7667" s="25"/>
      <c r="H7667" s="27"/>
      <c r="I7667" s="28"/>
      <c r="J7667" s="39"/>
      <c r="K7667" s="41"/>
      <c r="L7667" s="31" t="str">
        <f>IFERROR(__xludf.DUMMYFUNCTION("IF(OR(E7667="""",K7667=""""),"""",IFERROR(IF(K7667="""","""",query('tbl user'!$A$2:$D10975,""SELECT A WHERE D = '""&amp;K7667&amp;""'"")),""USER TIDAK DIKETAHUI""))"),"")</f>
        <v/>
      </c>
    </row>
    <row r="7668">
      <c r="A7668" s="21" t="str">
        <f t="shared" si="3"/>
        <v/>
      </c>
      <c r="B7668" s="38"/>
      <c r="C7668" s="23"/>
      <c r="D7668" s="23"/>
      <c r="E7668" s="24"/>
      <c r="F7668" s="25"/>
      <c r="G7668" s="25"/>
      <c r="H7668" s="27"/>
      <c r="I7668" s="28"/>
      <c r="J7668" s="39"/>
      <c r="K7668" s="41"/>
      <c r="L7668" s="31" t="str">
        <f>IFERROR(__xludf.DUMMYFUNCTION("IF(OR(E7668="""",K7668=""""),"""",IFERROR(IF(K7668="""","""",query('tbl user'!$A$2:$D10975,""SELECT A WHERE D = '""&amp;K7668&amp;""'"")),""USER TIDAK DIKETAHUI""))"),"")</f>
        <v/>
      </c>
    </row>
    <row r="7669">
      <c r="A7669" s="21" t="str">
        <f t="shared" si="3"/>
        <v/>
      </c>
      <c r="B7669" s="38"/>
      <c r="C7669" s="23"/>
      <c r="D7669" s="23"/>
      <c r="E7669" s="24"/>
      <c r="F7669" s="25"/>
      <c r="G7669" s="25"/>
      <c r="H7669" s="27"/>
      <c r="I7669" s="28"/>
      <c r="J7669" s="39"/>
      <c r="K7669" s="41"/>
      <c r="L7669" s="31" t="str">
        <f>IFERROR(__xludf.DUMMYFUNCTION("IF(OR(E7669="""",K7669=""""),"""",IFERROR(IF(K7669="""","""",query('tbl user'!$A$2:$D10975,""SELECT A WHERE D = '""&amp;K7669&amp;""'"")),""USER TIDAK DIKETAHUI""))"),"")</f>
        <v/>
      </c>
    </row>
    <row r="7670">
      <c r="A7670" s="21" t="str">
        <f t="shared" si="3"/>
        <v/>
      </c>
      <c r="B7670" s="38"/>
      <c r="C7670" s="23"/>
      <c r="D7670" s="23"/>
      <c r="E7670" s="24"/>
      <c r="F7670" s="25"/>
      <c r="G7670" s="25"/>
      <c r="H7670" s="27"/>
      <c r="I7670" s="28"/>
      <c r="J7670" s="39"/>
      <c r="K7670" s="41"/>
      <c r="L7670" s="31" t="str">
        <f>IFERROR(__xludf.DUMMYFUNCTION("IF(OR(E7670="""",K7670=""""),"""",IFERROR(IF(K7670="""","""",query('tbl user'!$A$2:$D10975,""SELECT A WHERE D = '""&amp;K7670&amp;""'"")),""USER TIDAK DIKETAHUI""))"),"")</f>
        <v/>
      </c>
    </row>
    <row r="7671">
      <c r="A7671" s="21" t="str">
        <f t="shared" si="3"/>
        <v/>
      </c>
      <c r="B7671" s="38"/>
      <c r="C7671" s="23"/>
      <c r="D7671" s="23"/>
      <c r="E7671" s="24"/>
      <c r="F7671" s="25"/>
      <c r="G7671" s="25"/>
      <c r="H7671" s="27"/>
      <c r="I7671" s="28"/>
      <c r="J7671" s="39"/>
      <c r="K7671" s="41"/>
      <c r="L7671" s="31" t="str">
        <f>IFERROR(__xludf.DUMMYFUNCTION("IF(OR(E7671="""",K7671=""""),"""",IFERROR(IF(K7671="""","""",query('tbl user'!$A$2:$D10975,""SELECT A WHERE D = '""&amp;K7671&amp;""'"")),""USER TIDAK DIKETAHUI""))"),"")</f>
        <v/>
      </c>
    </row>
    <row r="7672">
      <c r="A7672" s="21" t="str">
        <f t="shared" si="3"/>
        <v/>
      </c>
      <c r="B7672" s="38"/>
      <c r="C7672" s="23"/>
      <c r="D7672" s="23"/>
      <c r="E7672" s="24"/>
      <c r="F7672" s="25"/>
      <c r="G7672" s="25"/>
      <c r="H7672" s="27"/>
      <c r="I7672" s="28"/>
      <c r="J7672" s="39"/>
      <c r="K7672" s="41"/>
      <c r="L7672" s="31" t="str">
        <f>IFERROR(__xludf.DUMMYFUNCTION("IF(OR(E7672="""",K7672=""""),"""",IFERROR(IF(K7672="""","""",query('tbl user'!$A$2:$D10975,""SELECT A WHERE D = '""&amp;K7672&amp;""'"")),""USER TIDAK DIKETAHUI""))"),"")</f>
        <v/>
      </c>
    </row>
    <row r="7673">
      <c r="A7673" s="21" t="str">
        <f t="shared" si="3"/>
        <v/>
      </c>
      <c r="B7673" s="38"/>
      <c r="C7673" s="23"/>
      <c r="D7673" s="23"/>
      <c r="E7673" s="24"/>
      <c r="F7673" s="25"/>
      <c r="G7673" s="25"/>
      <c r="H7673" s="27"/>
      <c r="I7673" s="28"/>
      <c r="J7673" s="39"/>
      <c r="K7673" s="41"/>
      <c r="L7673" s="31" t="str">
        <f>IFERROR(__xludf.DUMMYFUNCTION("IF(OR(E7673="""",K7673=""""),"""",IFERROR(IF(K7673="""","""",query('tbl user'!$A$2:$D10975,""SELECT A WHERE D = '""&amp;K7673&amp;""'"")),""USER TIDAK DIKETAHUI""))"),"")</f>
        <v/>
      </c>
    </row>
    <row r="7674">
      <c r="A7674" s="21" t="str">
        <f t="shared" si="3"/>
        <v/>
      </c>
      <c r="B7674" s="38"/>
      <c r="C7674" s="23"/>
      <c r="D7674" s="23"/>
      <c r="E7674" s="24"/>
      <c r="F7674" s="25"/>
      <c r="G7674" s="25"/>
      <c r="H7674" s="27"/>
      <c r="I7674" s="28"/>
      <c r="J7674" s="39"/>
      <c r="K7674" s="41"/>
      <c r="L7674" s="31" t="str">
        <f>IFERROR(__xludf.DUMMYFUNCTION("IF(OR(E7674="""",K7674=""""),"""",IFERROR(IF(K7674="""","""",query('tbl user'!$A$2:$D10975,""SELECT A WHERE D = '""&amp;K7674&amp;""'"")),""USER TIDAK DIKETAHUI""))"),"")</f>
        <v/>
      </c>
    </row>
    <row r="7675">
      <c r="A7675" s="21" t="str">
        <f t="shared" si="3"/>
        <v/>
      </c>
      <c r="B7675" s="38"/>
      <c r="C7675" s="23"/>
      <c r="D7675" s="23"/>
      <c r="E7675" s="24"/>
      <c r="F7675" s="25"/>
      <c r="G7675" s="25"/>
      <c r="H7675" s="27"/>
      <c r="I7675" s="28"/>
      <c r="J7675" s="39"/>
      <c r="K7675" s="41"/>
      <c r="L7675" s="31" t="str">
        <f>IFERROR(__xludf.DUMMYFUNCTION("IF(OR(E7675="""",K7675=""""),"""",IFERROR(IF(K7675="""","""",query('tbl user'!$A$2:$D10975,""SELECT A WHERE D = '""&amp;K7675&amp;""'"")),""USER TIDAK DIKETAHUI""))"),"")</f>
        <v/>
      </c>
    </row>
    <row r="7676">
      <c r="A7676" s="21" t="str">
        <f t="shared" si="3"/>
        <v/>
      </c>
      <c r="B7676" s="38"/>
      <c r="C7676" s="23"/>
      <c r="D7676" s="23"/>
      <c r="E7676" s="24"/>
      <c r="F7676" s="25"/>
      <c r="G7676" s="25"/>
      <c r="H7676" s="27"/>
      <c r="I7676" s="28"/>
      <c r="J7676" s="39"/>
      <c r="K7676" s="41"/>
      <c r="L7676" s="31" t="str">
        <f>IFERROR(__xludf.DUMMYFUNCTION("IF(OR(E7676="""",K7676=""""),"""",IFERROR(IF(K7676="""","""",query('tbl user'!$A$2:$D10975,""SELECT A WHERE D = '""&amp;K7676&amp;""'"")),""USER TIDAK DIKETAHUI""))"),"")</f>
        <v/>
      </c>
    </row>
    <row r="7677">
      <c r="A7677" s="21" t="str">
        <f t="shared" si="3"/>
        <v/>
      </c>
      <c r="B7677" s="38"/>
      <c r="C7677" s="23"/>
      <c r="D7677" s="23"/>
      <c r="E7677" s="24"/>
      <c r="F7677" s="25"/>
      <c r="G7677" s="25"/>
      <c r="H7677" s="27"/>
      <c r="I7677" s="28"/>
      <c r="J7677" s="39"/>
      <c r="K7677" s="41"/>
      <c r="L7677" s="31" t="str">
        <f>IFERROR(__xludf.DUMMYFUNCTION("IF(OR(E7677="""",K7677=""""),"""",IFERROR(IF(K7677="""","""",query('tbl user'!$A$2:$D10975,""SELECT A WHERE D = '""&amp;K7677&amp;""'"")),""USER TIDAK DIKETAHUI""))"),"")</f>
        <v/>
      </c>
    </row>
    <row r="7678">
      <c r="A7678" s="21" t="str">
        <f t="shared" si="3"/>
        <v/>
      </c>
      <c r="B7678" s="38"/>
      <c r="C7678" s="23"/>
      <c r="D7678" s="23"/>
      <c r="E7678" s="24"/>
      <c r="F7678" s="25"/>
      <c r="G7678" s="25"/>
      <c r="H7678" s="27"/>
      <c r="I7678" s="28"/>
      <c r="J7678" s="39"/>
      <c r="K7678" s="41"/>
      <c r="L7678" s="31" t="str">
        <f>IFERROR(__xludf.DUMMYFUNCTION("IF(OR(E7678="""",K7678=""""),"""",IFERROR(IF(K7678="""","""",query('tbl user'!$A$2:$D10975,""SELECT A WHERE D = '""&amp;K7678&amp;""'"")),""USER TIDAK DIKETAHUI""))"),"")</f>
        <v/>
      </c>
    </row>
    <row r="7679">
      <c r="A7679" s="21" t="str">
        <f t="shared" si="3"/>
        <v/>
      </c>
      <c r="B7679" s="38"/>
      <c r="C7679" s="23"/>
      <c r="D7679" s="23"/>
      <c r="E7679" s="24"/>
      <c r="F7679" s="25"/>
      <c r="G7679" s="25"/>
      <c r="H7679" s="27"/>
      <c r="I7679" s="28"/>
      <c r="J7679" s="39"/>
      <c r="K7679" s="41"/>
      <c r="L7679" s="31" t="str">
        <f>IFERROR(__xludf.DUMMYFUNCTION("IF(OR(E7679="""",K7679=""""),"""",IFERROR(IF(K7679="""","""",query('tbl user'!$A$2:$D10975,""SELECT A WHERE D = '""&amp;K7679&amp;""'"")),""USER TIDAK DIKETAHUI""))"),"")</f>
        <v/>
      </c>
    </row>
    <row r="7680">
      <c r="A7680" s="21" t="str">
        <f t="shared" si="3"/>
        <v/>
      </c>
      <c r="B7680" s="38"/>
      <c r="C7680" s="23"/>
      <c r="D7680" s="23"/>
      <c r="E7680" s="24"/>
      <c r="F7680" s="25"/>
      <c r="G7680" s="25"/>
      <c r="H7680" s="27"/>
      <c r="I7680" s="28"/>
      <c r="J7680" s="39"/>
      <c r="K7680" s="41"/>
      <c r="L7680" s="31" t="str">
        <f>IFERROR(__xludf.DUMMYFUNCTION("IF(OR(E7680="""",K7680=""""),"""",IFERROR(IF(K7680="""","""",query('tbl user'!$A$2:$D10975,""SELECT A WHERE D = '""&amp;K7680&amp;""'"")),""USER TIDAK DIKETAHUI""))"),"")</f>
        <v/>
      </c>
    </row>
    <row r="7681">
      <c r="A7681" s="21" t="str">
        <f t="shared" si="3"/>
        <v/>
      </c>
      <c r="B7681" s="38"/>
      <c r="C7681" s="23"/>
      <c r="D7681" s="23"/>
      <c r="E7681" s="24"/>
      <c r="F7681" s="25"/>
      <c r="G7681" s="25"/>
      <c r="H7681" s="27"/>
      <c r="I7681" s="28"/>
      <c r="J7681" s="39"/>
      <c r="K7681" s="41"/>
      <c r="L7681" s="31" t="str">
        <f>IFERROR(__xludf.DUMMYFUNCTION("IF(OR(E7681="""",K7681=""""),"""",IFERROR(IF(K7681="""","""",query('tbl user'!$A$2:$D10975,""SELECT A WHERE D = '""&amp;K7681&amp;""'"")),""USER TIDAK DIKETAHUI""))"),"")</f>
        <v/>
      </c>
    </row>
    <row r="7682">
      <c r="A7682" s="21" t="str">
        <f t="shared" si="3"/>
        <v/>
      </c>
      <c r="B7682" s="38"/>
      <c r="C7682" s="23"/>
      <c r="D7682" s="23"/>
      <c r="E7682" s="24"/>
      <c r="F7682" s="25"/>
      <c r="G7682" s="25"/>
      <c r="H7682" s="27"/>
      <c r="I7682" s="28"/>
      <c r="J7682" s="39"/>
      <c r="K7682" s="41"/>
      <c r="L7682" s="31" t="str">
        <f>IFERROR(__xludf.DUMMYFUNCTION("IF(OR(E7682="""",K7682=""""),"""",IFERROR(IF(K7682="""","""",query('tbl user'!$A$2:$D10975,""SELECT A WHERE D = '""&amp;K7682&amp;""'"")),""USER TIDAK DIKETAHUI""))"),"")</f>
        <v/>
      </c>
    </row>
    <row r="7683">
      <c r="A7683" s="21" t="str">
        <f t="shared" si="3"/>
        <v/>
      </c>
      <c r="B7683" s="38"/>
      <c r="C7683" s="23"/>
      <c r="D7683" s="23"/>
      <c r="E7683" s="24"/>
      <c r="F7683" s="25"/>
      <c r="G7683" s="25"/>
      <c r="H7683" s="27"/>
      <c r="I7683" s="28"/>
      <c r="J7683" s="39"/>
      <c r="K7683" s="41"/>
      <c r="L7683" s="31" t="str">
        <f>IFERROR(__xludf.DUMMYFUNCTION("IF(OR(E7683="""",K7683=""""),"""",IFERROR(IF(K7683="""","""",query('tbl user'!$A$2:$D10975,""SELECT A WHERE D = '""&amp;K7683&amp;""'"")),""USER TIDAK DIKETAHUI""))"),"")</f>
        <v/>
      </c>
    </row>
    <row r="7684">
      <c r="A7684" s="21" t="str">
        <f t="shared" si="3"/>
        <v/>
      </c>
      <c r="B7684" s="38"/>
      <c r="C7684" s="23"/>
      <c r="D7684" s="23"/>
      <c r="E7684" s="24"/>
      <c r="F7684" s="25"/>
      <c r="G7684" s="25"/>
      <c r="H7684" s="27"/>
      <c r="I7684" s="28"/>
      <c r="J7684" s="39"/>
      <c r="K7684" s="41"/>
      <c r="L7684" s="31" t="str">
        <f>IFERROR(__xludf.DUMMYFUNCTION("IF(OR(E7684="""",K7684=""""),"""",IFERROR(IF(K7684="""","""",query('tbl user'!$A$2:$D10975,""SELECT A WHERE D = '""&amp;K7684&amp;""'"")),""USER TIDAK DIKETAHUI""))"),"")</f>
        <v/>
      </c>
    </row>
    <row r="7685">
      <c r="A7685" s="21" t="str">
        <f t="shared" si="3"/>
        <v/>
      </c>
      <c r="B7685" s="38"/>
      <c r="C7685" s="23"/>
      <c r="D7685" s="23"/>
      <c r="E7685" s="24"/>
      <c r="F7685" s="25"/>
      <c r="G7685" s="25"/>
      <c r="H7685" s="27"/>
      <c r="I7685" s="28"/>
      <c r="J7685" s="39"/>
      <c r="K7685" s="41"/>
      <c r="L7685" s="31" t="str">
        <f>IFERROR(__xludf.DUMMYFUNCTION("IF(OR(E7685="""",K7685=""""),"""",IFERROR(IF(K7685="""","""",query('tbl user'!$A$2:$D10975,""SELECT A WHERE D = '""&amp;K7685&amp;""'"")),""USER TIDAK DIKETAHUI""))"),"")</f>
        <v/>
      </c>
    </row>
    <row r="7686">
      <c r="A7686" s="21" t="str">
        <f t="shared" si="3"/>
        <v/>
      </c>
      <c r="B7686" s="38"/>
      <c r="C7686" s="23"/>
      <c r="D7686" s="23"/>
      <c r="E7686" s="24"/>
      <c r="F7686" s="25"/>
      <c r="G7686" s="25"/>
      <c r="H7686" s="27"/>
      <c r="I7686" s="28"/>
      <c r="J7686" s="39"/>
      <c r="K7686" s="41"/>
      <c r="L7686" s="31" t="str">
        <f>IFERROR(__xludf.DUMMYFUNCTION("IF(OR(E7686="""",K7686=""""),"""",IFERROR(IF(K7686="""","""",query('tbl user'!$A$2:$D10975,""SELECT A WHERE D = '""&amp;K7686&amp;""'"")),""USER TIDAK DIKETAHUI""))"),"")</f>
        <v/>
      </c>
    </row>
    <row r="7687">
      <c r="A7687" s="21" t="str">
        <f t="shared" si="3"/>
        <v/>
      </c>
      <c r="B7687" s="38"/>
      <c r="C7687" s="23"/>
      <c r="D7687" s="23"/>
      <c r="E7687" s="24"/>
      <c r="F7687" s="25"/>
      <c r="G7687" s="25"/>
      <c r="H7687" s="27"/>
      <c r="I7687" s="28"/>
      <c r="J7687" s="39"/>
      <c r="K7687" s="41"/>
      <c r="L7687" s="31" t="str">
        <f>IFERROR(__xludf.DUMMYFUNCTION("IF(OR(E7687="""",K7687=""""),"""",IFERROR(IF(K7687="""","""",query('tbl user'!$A$2:$D10975,""SELECT A WHERE D = '""&amp;K7687&amp;""'"")),""USER TIDAK DIKETAHUI""))"),"")</f>
        <v/>
      </c>
    </row>
    <row r="7688">
      <c r="A7688" s="21" t="str">
        <f t="shared" si="3"/>
        <v/>
      </c>
      <c r="B7688" s="38"/>
      <c r="C7688" s="23"/>
      <c r="D7688" s="23"/>
      <c r="E7688" s="24"/>
      <c r="F7688" s="25"/>
      <c r="G7688" s="25"/>
      <c r="H7688" s="27"/>
      <c r="I7688" s="28"/>
      <c r="J7688" s="39"/>
      <c r="K7688" s="41"/>
      <c r="L7688" s="31" t="str">
        <f>IFERROR(__xludf.DUMMYFUNCTION("IF(OR(E7688="""",K7688=""""),"""",IFERROR(IF(K7688="""","""",query('tbl user'!$A$2:$D10975,""SELECT A WHERE D = '""&amp;K7688&amp;""'"")),""USER TIDAK DIKETAHUI""))"),"")</f>
        <v/>
      </c>
    </row>
    <row r="7689">
      <c r="A7689" s="21" t="str">
        <f t="shared" si="3"/>
        <v/>
      </c>
      <c r="B7689" s="38"/>
      <c r="C7689" s="23"/>
      <c r="D7689" s="23"/>
      <c r="E7689" s="24"/>
      <c r="F7689" s="25"/>
      <c r="G7689" s="25"/>
      <c r="H7689" s="27"/>
      <c r="I7689" s="28"/>
      <c r="J7689" s="39"/>
      <c r="K7689" s="41"/>
      <c r="L7689" s="31" t="str">
        <f>IFERROR(__xludf.DUMMYFUNCTION("IF(OR(E7689="""",K7689=""""),"""",IFERROR(IF(K7689="""","""",query('tbl user'!$A$2:$D10975,""SELECT A WHERE D = '""&amp;K7689&amp;""'"")),""USER TIDAK DIKETAHUI""))"),"")</f>
        <v/>
      </c>
    </row>
    <row r="7690">
      <c r="A7690" s="21" t="str">
        <f t="shared" si="3"/>
        <v/>
      </c>
      <c r="B7690" s="38"/>
      <c r="C7690" s="23"/>
      <c r="D7690" s="23"/>
      <c r="E7690" s="24"/>
      <c r="F7690" s="25"/>
      <c r="G7690" s="25"/>
      <c r="H7690" s="27"/>
      <c r="I7690" s="28"/>
      <c r="J7690" s="39"/>
      <c r="K7690" s="41"/>
      <c r="L7690" s="31" t="str">
        <f>IFERROR(__xludf.DUMMYFUNCTION("IF(OR(E7690="""",K7690=""""),"""",IFERROR(IF(K7690="""","""",query('tbl user'!$A$2:$D10975,""SELECT A WHERE D = '""&amp;K7690&amp;""'"")),""USER TIDAK DIKETAHUI""))"),"")</f>
        <v/>
      </c>
    </row>
    <row r="7691">
      <c r="A7691" s="21" t="str">
        <f t="shared" si="3"/>
        <v/>
      </c>
      <c r="B7691" s="38"/>
      <c r="C7691" s="23"/>
      <c r="D7691" s="23"/>
      <c r="E7691" s="24"/>
      <c r="F7691" s="25"/>
      <c r="G7691" s="25"/>
      <c r="H7691" s="27"/>
      <c r="I7691" s="28"/>
      <c r="J7691" s="39"/>
      <c r="K7691" s="41"/>
      <c r="L7691" s="31" t="str">
        <f>IFERROR(__xludf.DUMMYFUNCTION("IF(OR(E7691="""",K7691=""""),"""",IFERROR(IF(K7691="""","""",query('tbl user'!$A$2:$D10975,""SELECT A WHERE D = '""&amp;K7691&amp;""'"")),""USER TIDAK DIKETAHUI""))"),"")</f>
        <v/>
      </c>
    </row>
    <row r="7692">
      <c r="A7692" s="21" t="str">
        <f t="shared" si="3"/>
        <v/>
      </c>
      <c r="B7692" s="38"/>
      <c r="C7692" s="23"/>
      <c r="D7692" s="23"/>
      <c r="E7692" s="24"/>
      <c r="F7692" s="25"/>
      <c r="G7692" s="25"/>
      <c r="H7692" s="27"/>
      <c r="I7692" s="28"/>
      <c r="J7692" s="39"/>
      <c r="K7692" s="41"/>
      <c r="L7692" s="31" t="str">
        <f>IFERROR(__xludf.DUMMYFUNCTION("IF(OR(E7692="""",K7692=""""),"""",IFERROR(IF(K7692="""","""",query('tbl user'!$A$2:$D10975,""SELECT A WHERE D = '""&amp;K7692&amp;""'"")),""USER TIDAK DIKETAHUI""))"),"")</f>
        <v/>
      </c>
    </row>
    <row r="7693">
      <c r="A7693" s="21" t="str">
        <f t="shared" si="3"/>
        <v/>
      </c>
      <c r="B7693" s="38"/>
      <c r="C7693" s="23"/>
      <c r="D7693" s="23"/>
      <c r="E7693" s="24"/>
      <c r="F7693" s="25"/>
      <c r="G7693" s="25"/>
      <c r="H7693" s="27"/>
      <c r="I7693" s="28"/>
      <c r="J7693" s="39"/>
      <c r="K7693" s="41"/>
      <c r="L7693" s="31" t="str">
        <f>IFERROR(__xludf.DUMMYFUNCTION("IF(OR(E7693="""",K7693=""""),"""",IFERROR(IF(K7693="""","""",query('tbl user'!$A$2:$D10975,""SELECT A WHERE D = '""&amp;K7693&amp;""'"")),""USER TIDAK DIKETAHUI""))"),"")</f>
        <v/>
      </c>
    </row>
    <row r="7694">
      <c r="A7694" s="21" t="str">
        <f t="shared" si="3"/>
        <v/>
      </c>
      <c r="B7694" s="38"/>
      <c r="C7694" s="23"/>
      <c r="D7694" s="23"/>
      <c r="E7694" s="24"/>
      <c r="F7694" s="25"/>
      <c r="G7694" s="25"/>
      <c r="H7694" s="27"/>
      <c r="I7694" s="28"/>
      <c r="J7694" s="39"/>
      <c r="K7694" s="41"/>
      <c r="L7694" s="31" t="str">
        <f>IFERROR(__xludf.DUMMYFUNCTION("IF(OR(E7694="""",K7694=""""),"""",IFERROR(IF(K7694="""","""",query('tbl user'!$A$2:$D10975,""SELECT A WHERE D = '""&amp;K7694&amp;""'"")),""USER TIDAK DIKETAHUI""))"),"")</f>
        <v/>
      </c>
    </row>
    <row r="7695">
      <c r="A7695" s="21" t="str">
        <f t="shared" si="3"/>
        <v/>
      </c>
      <c r="B7695" s="38"/>
      <c r="C7695" s="23"/>
      <c r="D7695" s="23"/>
      <c r="E7695" s="24"/>
      <c r="F7695" s="25"/>
      <c r="G7695" s="25"/>
      <c r="H7695" s="27"/>
      <c r="I7695" s="28"/>
      <c r="J7695" s="39"/>
      <c r="K7695" s="41"/>
      <c r="L7695" s="31" t="str">
        <f>IFERROR(__xludf.DUMMYFUNCTION("IF(OR(E7695="""",K7695=""""),"""",IFERROR(IF(K7695="""","""",query('tbl user'!$A$2:$D10975,""SELECT A WHERE D = '""&amp;K7695&amp;""'"")),""USER TIDAK DIKETAHUI""))"),"")</f>
        <v/>
      </c>
    </row>
    <row r="7696">
      <c r="A7696" s="21" t="str">
        <f t="shared" si="3"/>
        <v/>
      </c>
      <c r="B7696" s="38"/>
      <c r="C7696" s="23"/>
      <c r="D7696" s="23"/>
      <c r="E7696" s="24"/>
      <c r="F7696" s="25"/>
      <c r="G7696" s="25"/>
      <c r="H7696" s="27"/>
      <c r="I7696" s="28"/>
      <c r="J7696" s="39"/>
      <c r="K7696" s="41"/>
      <c r="L7696" s="31" t="str">
        <f>IFERROR(__xludf.DUMMYFUNCTION("IF(OR(E7696="""",K7696=""""),"""",IFERROR(IF(K7696="""","""",query('tbl user'!$A$2:$D10975,""SELECT A WHERE D = '""&amp;K7696&amp;""'"")),""USER TIDAK DIKETAHUI""))"),"")</f>
        <v/>
      </c>
    </row>
    <row r="7697">
      <c r="A7697" s="21" t="str">
        <f t="shared" si="3"/>
        <v/>
      </c>
      <c r="B7697" s="38"/>
      <c r="C7697" s="23"/>
      <c r="D7697" s="23"/>
      <c r="E7697" s="24"/>
      <c r="F7697" s="25"/>
      <c r="G7697" s="25"/>
      <c r="H7697" s="27"/>
      <c r="I7697" s="28"/>
      <c r="J7697" s="39"/>
      <c r="K7697" s="41"/>
      <c r="L7697" s="31" t="str">
        <f>IFERROR(__xludf.DUMMYFUNCTION("IF(OR(E7697="""",K7697=""""),"""",IFERROR(IF(K7697="""","""",query('tbl user'!$A$2:$D10975,""SELECT A WHERE D = '""&amp;K7697&amp;""'"")),""USER TIDAK DIKETAHUI""))"),"")</f>
        <v/>
      </c>
    </row>
    <row r="7698">
      <c r="A7698" s="21" t="str">
        <f t="shared" si="3"/>
        <v/>
      </c>
      <c r="B7698" s="38"/>
      <c r="C7698" s="23"/>
      <c r="D7698" s="23"/>
      <c r="E7698" s="24"/>
      <c r="F7698" s="25"/>
      <c r="G7698" s="25"/>
      <c r="H7698" s="27"/>
      <c r="I7698" s="28"/>
      <c r="J7698" s="39"/>
      <c r="K7698" s="41"/>
      <c r="L7698" s="31" t="str">
        <f>IFERROR(__xludf.DUMMYFUNCTION("IF(OR(E7698="""",K7698=""""),"""",IFERROR(IF(K7698="""","""",query('tbl user'!$A$2:$D10975,""SELECT A WHERE D = '""&amp;K7698&amp;""'"")),""USER TIDAK DIKETAHUI""))"),"")</f>
        <v/>
      </c>
    </row>
    <row r="7699">
      <c r="A7699" s="21" t="str">
        <f t="shared" si="3"/>
        <v/>
      </c>
      <c r="B7699" s="38"/>
      <c r="C7699" s="23"/>
      <c r="D7699" s="23"/>
      <c r="E7699" s="24"/>
      <c r="F7699" s="25"/>
      <c r="G7699" s="25"/>
      <c r="H7699" s="27"/>
      <c r="I7699" s="28"/>
      <c r="J7699" s="39"/>
      <c r="K7699" s="41"/>
      <c r="L7699" s="31" t="str">
        <f>IFERROR(__xludf.DUMMYFUNCTION("IF(OR(E7699="""",K7699=""""),"""",IFERROR(IF(K7699="""","""",query('tbl user'!$A$2:$D10975,""SELECT A WHERE D = '""&amp;K7699&amp;""'"")),""USER TIDAK DIKETAHUI""))"),"")</f>
        <v/>
      </c>
    </row>
    <row r="7700">
      <c r="A7700" s="21" t="str">
        <f t="shared" si="3"/>
        <v/>
      </c>
      <c r="B7700" s="38"/>
      <c r="C7700" s="23"/>
      <c r="D7700" s="23"/>
      <c r="E7700" s="24"/>
      <c r="F7700" s="25"/>
      <c r="G7700" s="25"/>
      <c r="H7700" s="27"/>
      <c r="I7700" s="28"/>
      <c r="J7700" s="39"/>
      <c r="K7700" s="41"/>
      <c r="L7700" s="31" t="str">
        <f>IFERROR(__xludf.DUMMYFUNCTION("IF(OR(E7700="""",K7700=""""),"""",IFERROR(IF(K7700="""","""",query('tbl user'!$A$2:$D10975,""SELECT A WHERE D = '""&amp;K7700&amp;""'"")),""USER TIDAK DIKETAHUI""))"),"")</f>
        <v/>
      </c>
    </row>
    <row r="7701">
      <c r="A7701" s="21" t="str">
        <f t="shared" si="3"/>
        <v/>
      </c>
      <c r="B7701" s="38"/>
      <c r="C7701" s="23"/>
      <c r="D7701" s="23"/>
      <c r="E7701" s="24"/>
      <c r="F7701" s="25"/>
      <c r="G7701" s="25"/>
      <c r="H7701" s="27"/>
      <c r="I7701" s="28"/>
      <c r="J7701" s="39"/>
      <c r="K7701" s="41"/>
      <c r="L7701" s="31" t="str">
        <f>IFERROR(__xludf.DUMMYFUNCTION("IF(OR(E7701="""",K7701=""""),"""",IFERROR(IF(K7701="""","""",query('tbl user'!$A$2:$D10975,""SELECT A WHERE D = '""&amp;K7701&amp;""'"")),""USER TIDAK DIKETAHUI""))"),"")</f>
        <v/>
      </c>
    </row>
    <row r="7702">
      <c r="A7702" s="21" t="str">
        <f t="shared" si="3"/>
        <v/>
      </c>
      <c r="B7702" s="38"/>
      <c r="C7702" s="23"/>
      <c r="D7702" s="23"/>
      <c r="E7702" s="24"/>
      <c r="F7702" s="25"/>
      <c r="G7702" s="25"/>
      <c r="H7702" s="27"/>
      <c r="I7702" s="28"/>
      <c r="J7702" s="39"/>
      <c r="K7702" s="41"/>
      <c r="L7702" s="31" t="str">
        <f>IFERROR(__xludf.DUMMYFUNCTION("IF(OR(E7702="""",K7702=""""),"""",IFERROR(IF(K7702="""","""",query('tbl user'!$A$2:$D10975,""SELECT A WHERE D = '""&amp;K7702&amp;""'"")),""USER TIDAK DIKETAHUI""))"),"")</f>
        <v/>
      </c>
    </row>
    <row r="7703">
      <c r="A7703" s="21" t="str">
        <f t="shared" si="3"/>
        <v/>
      </c>
      <c r="B7703" s="38"/>
      <c r="C7703" s="23"/>
      <c r="D7703" s="23"/>
      <c r="E7703" s="24"/>
      <c r="F7703" s="25"/>
      <c r="G7703" s="25"/>
      <c r="H7703" s="27"/>
      <c r="I7703" s="28"/>
      <c r="J7703" s="39"/>
      <c r="K7703" s="41"/>
      <c r="L7703" s="31" t="str">
        <f>IFERROR(__xludf.DUMMYFUNCTION("IF(OR(E7703="""",K7703=""""),"""",IFERROR(IF(K7703="""","""",query('tbl user'!$A$2:$D10975,""SELECT A WHERE D = '""&amp;K7703&amp;""'"")),""USER TIDAK DIKETAHUI""))"),"")</f>
        <v/>
      </c>
    </row>
    <row r="7704">
      <c r="A7704" s="21" t="str">
        <f t="shared" si="3"/>
        <v/>
      </c>
      <c r="B7704" s="38"/>
      <c r="C7704" s="23"/>
      <c r="D7704" s="23"/>
      <c r="E7704" s="24"/>
      <c r="F7704" s="25"/>
      <c r="G7704" s="25"/>
      <c r="H7704" s="27"/>
      <c r="I7704" s="28"/>
      <c r="J7704" s="39"/>
      <c r="K7704" s="41"/>
      <c r="L7704" s="31" t="str">
        <f>IFERROR(__xludf.DUMMYFUNCTION("IF(OR(E7704="""",K7704=""""),"""",IFERROR(IF(K7704="""","""",query('tbl user'!$A$2:$D10975,""SELECT A WHERE D = '""&amp;K7704&amp;""'"")),""USER TIDAK DIKETAHUI""))"),"")</f>
        <v/>
      </c>
    </row>
    <row r="7705">
      <c r="A7705" s="21" t="str">
        <f t="shared" si="3"/>
        <v/>
      </c>
      <c r="B7705" s="38"/>
      <c r="C7705" s="23"/>
      <c r="D7705" s="23"/>
      <c r="E7705" s="24"/>
      <c r="F7705" s="25"/>
      <c r="G7705" s="25"/>
      <c r="H7705" s="27"/>
      <c r="I7705" s="28"/>
      <c r="J7705" s="39"/>
      <c r="K7705" s="41"/>
      <c r="L7705" s="31" t="str">
        <f>IFERROR(__xludf.DUMMYFUNCTION("IF(OR(E7705="""",K7705=""""),"""",IFERROR(IF(K7705="""","""",query('tbl user'!$A$2:$D10975,""SELECT A WHERE D = '""&amp;K7705&amp;""'"")),""USER TIDAK DIKETAHUI""))"),"")</f>
        <v/>
      </c>
    </row>
    <row r="7706">
      <c r="A7706" s="21" t="str">
        <f t="shared" si="3"/>
        <v/>
      </c>
      <c r="B7706" s="38"/>
      <c r="C7706" s="23"/>
      <c r="D7706" s="23"/>
      <c r="E7706" s="24"/>
      <c r="F7706" s="25"/>
      <c r="G7706" s="25"/>
      <c r="H7706" s="27"/>
      <c r="I7706" s="28"/>
      <c r="J7706" s="39"/>
      <c r="K7706" s="41"/>
      <c r="L7706" s="31" t="str">
        <f>IFERROR(__xludf.DUMMYFUNCTION("IF(OR(E7706="""",K7706=""""),"""",IFERROR(IF(K7706="""","""",query('tbl user'!$A$2:$D10975,""SELECT A WHERE D = '""&amp;K7706&amp;""'"")),""USER TIDAK DIKETAHUI""))"),"")</f>
        <v/>
      </c>
    </row>
    <row r="7707">
      <c r="A7707" s="21" t="str">
        <f t="shared" si="3"/>
        <v/>
      </c>
      <c r="B7707" s="38"/>
      <c r="C7707" s="23"/>
      <c r="D7707" s="23"/>
      <c r="E7707" s="24"/>
      <c r="F7707" s="25"/>
      <c r="G7707" s="25"/>
      <c r="H7707" s="27"/>
      <c r="I7707" s="28"/>
      <c r="J7707" s="39"/>
      <c r="K7707" s="41"/>
      <c r="L7707" s="31" t="str">
        <f>IFERROR(__xludf.DUMMYFUNCTION("IF(OR(E7707="""",K7707=""""),"""",IFERROR(IF(K7707="""","""",query('tbl user'!$A$2:$D10975,""SELECT A WHERE D = '""&amp;K7707&amp;""'"")),""USER TIDAK DIKETAHUI""))"),"")</f>
        <v/>
      </c>
    </row>
    <row r="7708">
      <c r="A7708" s="21" t="str">
        <f t="shared" si="3"/>
        <v/>
      </c>
      <c r="B7708" s="38"/>
      <c r="C7708" s="23"/>
      <c r="D7708" s="23"/>
      <c r="E7708" s="24"/>
      <c r="F7708" s="25"/>
      <c r="G7708" s="25"/>
      <c r="H7708" s="27"/>
      <c r="I7708" s="28"/>
      <c r="J7708" s="39"/>
      <c r="K7708" s="41"/>
      <c r="L7708" s="31" t="str">
        <f>IFERROR(__xludf.DUMMYFUNCTION("IF(OR(E7708="""",K7708=""""),"""",IFERROR(IF(K7708="""","""",query('tbl user'!$A$2:$D10975,""SELECT A WHERE D = '""&amp;K7708&amp;""'"")),""USER TIDAK DIKETAHUI""))"),"")</f>
        <v/>
      </c>
    </row>
    <row r="7709">
      <c r="A7709" s="21" t="str">
        <f t="shared" si="3"/>
        <v/>
      </c>
      <c r="B7709" s="38"/>
      <c r="C7709" s="23"/>
      <c r="D7709" s="23"/>
      <c r="E7709" s="24"/>
      <c r="F7709" s="25"/>
      <c r="G7709" s="25"/>
      <c r="H7709" s="27"/>
      <c r="I7709" s="28"/>
      <c r="J7709" s="39"/>
      <c r="K7709" s="41"/>
      <c r="L7709" s="31" t="str">
        <f>IFERROR(__xludf.DUMMYFUNCTION("IF(OR(E7709="""",K7709=""""),"""",IFERROR(IF(K7709="""","""",query('tbl user'!$A$2:$D10975,""SELECT A WHERE D = '""&amp;K7709&amp;""'"")),""USER TIDAK DIKETAHUI""))"),"")</f>
        <v/>
      </c>
    </row>
    <row r="7710">
      <c r="A7710" s="21" t="str">
        <f t="shared" si="3"/>
        <v/>
      </c>
      <c r="B7710" s="38"/>
      <c r="C7710" s="23"/>
      <c r="D7710" s="23"/>
      <c r="E7710" s="24"/>
      <c r="F7710" s="25"/>
      <c r="G7710" s="25"/>
      <c r="H7710" s="27"/>
      <c r="I7710" s="28"/>
      <c r="J7710" s="39"/>
      <c r="K7710" s="41"/>
      <c r="L7710" s="31" t="str">
        <f>IFERROR(__xludf.DUMMYFUNCTION("IF(OR(E7710="""",K7710=""""),"""",IFERROR(IF(K7710="""","""",query('tbl user'!$A$2:$D10975,""SELECT A WHERE D = '""&amp;K7710&amp;""'"")),""USER TIDAK DIKETAHUI""))"),"")</f>
        <v/>
      </c>
    </row>
    <row r="7711">
      <c r="A7711" s="21" t="str">
        <f t="shared" si="3"/>
        <v/>
      </c>
      <c r="B7711" s="38"/>
      <c r="C7711" s="23"/>
      <c r="D7711" s="23"/>
      <c r="E7711" s="24"/>
      <c r="F7711" s="25"/>
      <c r="G7711" s="25"/>
      <c r="H7711" s="27"/>
      <c r="I7711" s="28"/>
      <c r="J7711" s="39"/>
      <c r="K7711" s="41"/>
      <c r="L7711" s="31" t="str">
        <f>IFERROR(__xludf.DUMMYFUNCTION("IF(OR(E7711="""",K7711=""""),"""",IFERROR(IF(K7711="""","""",query('tbl user'!$A$2:$D10975,""SELECT A WHERE D = '""&amp;K7711&amp;""'"")),""USER TIDAK DIKETAHUI""))"),"")</f>
        <v/>
      </c>
    </row>
    <row r="7712">
      <c r="A7712" s="21" t="str">
        <f t="shared" si="3"/>
        <v/>
      </c>
      <c r="B7712" s="38"/>
      <c r="C7712" s="23"/>
      <c r="D7712" s="23"/>
      <c r="E7712" s="24"/>
      <c r="F7712" s="25"/>
      <c r="G7712" s="25"/>
      <c r="H7712" s="27"/>
      <c r="I7712" s="28"/>
      <c r="J7712" s="39"/>
      <c r="K7712" s="41"/>
      <c r="L7712" s="31" t="str">
        <f>IFERROR(__xludf.DUMMYFUNCTION("IF(OR(E7712="""",K7712=""""),"""",IFERROR(IF(K7712="""","""",query('tbl user'!$A$2:$D10975,""SELECT A WHERE D = '""&amp;K7712&amp;""'"")),""USER TIDAK DIKETAHUI""))"),"")</f>
        <v/>
      </c>
    </row>
    <row r="7713">
      <c r="A7713" s="21" t="str">
        <f t="shared" si="3"/>
        <v/>
      </c>
      <c r="B7713" s="38"/>
      <c r="C7713" s="23"/>
      <c r="D7713" s="23"/>
      <c r="E7713" s="24"/>
      <c r="F7713" s="25"/>
      <c r="G7713" s="25"/>
      <c r="H7713" s="27"/>
      <c r="I7713" s="28"/>
      <c r="J7713" s="39"/>
      <c r="K7713" s="41"/>
      <c r="L7713" s="31" t="str">
        <f>IFERROR(__xludf.DUMMYFUNCTION("IF(OR(E7713="""",K7713=""""),"""",IFERROR(IF(K7713="""","""",query('tbl user'!$A$2:$D10975,""SELECT A WHERE D = '""&amp;K7713&amp;""'"")),""USER TIDAK DIKETAHUI""))"),"")</f>
        <v/>
      </c>
    </row>
    <row r="7714">
      <c r="A7714" s="21" t="str">
        <f t="shared" si="3"/>
        <v/>
      </c>
      <c r="B7714" s="38"/>
      <c r="C7714" s="23"/>
      <c r="D7714" s="23"/>
      <c r="E7714" s="24"/>
      <c r="F7714" s="25"/>
      <c r="G7714" s="25"/>
      <c r="H7714" s="27"/>
      <c r="I7714" s="28"/>
      <c r="J7714" s="39"/>
      <c r="K7714" s="41"/>
      <c r="L7714" s="31" t="str">
        <f>IFERROR(__xludf.DUMMYFUNCTION("IF(OR(E7714="""",K7714=""""),"""",IFERROR(IF(K7714="""","""",query('tbl user'!$A$2:$D10975,""SELECT A WHERE D = '""&amp;K7714&amp;""'"")),""USER TIDAK DIKETAHUI""))"),"")</f>
        <v/>
      </c>
    </row>
    <row r="7715">
      <c r="A7715" s="21" t="str">
        <f t="shared" si="3"/>
        <v/>
      </c>
      <c r="B7715" s="38"/>
      <c r="C7715" s="23"/>
      <c r="D7715" s="23"/>
      <c r="E7715" s="24"/>
      <c r="F7715" s="25"/>
      <c r="G7715" s="25"/>
      <c r="H7715" s="27"/>
      <c r="I7715" s="28"/>
      <c r="J7715" s="39"/>
      <c r="K7715" s="41"/>
      <c r="L7715" s="31" t="str">
        <f>IFERROR(__xludf.DUMMYFUNCTION("IF(OR(E7715="""",K7715=""""),"""",IFERROR(IF(K7715="""","""",query('tbl user'!$A$2:$D10975,""SELECT A WHERE D = '""&amp;K7715&amp;""'"")),""USER TIDAK DIKETAHUI""))"),"")</f>
        <v/>
      </c>
    </row>
    <row r="7716">
      <c r="A7716" s="21" t="str">
        <f t="shared" si="3"/>
        <v/>
      </c>
      <c r="B7716" s="38"/>
      <c r="C7716" s="23"/>
      <c r="D7716" s="23"/>
      <c r="E7716" s="24"/>
      <c r="F7716" s="25"/>
      <c r="G7716" s="25"/>
      <c r="H7716" s="27"/>
      <c r="I7716" s="28"/>
      <c r="J7716" s="39"/>
      <c r="K7716" s="41"/>
      <c r="L7716" s="31" t="str">
        <f>IFERROR(__xludf.DUMMYFUNCTION("IF(OR(E7716="""",K7716=""""),"""",IFERROR(IF(K7716="""","""",query('tbl user'!$A$2:$D10975,""SELECT A WHERE D = '""&amp;K7716&amp;""'"")),""USER TIDAK DIKETAHUI""))"),"")</f>
        <v/>
      </c>
    </row>
    <row r="7717">
      <c r="A7717" s="21" t="str">
        <f t="shared" si="3"/>
        <v/>
      </c>
      <c r="B7717" s="38"/>
      <c r="C7717" s="23"/>
      <c r="D7717" s="23"/>
      <c r="E7717" s="24"/>
      <c r="F7717" s="25"/>
      <c r="G7717" s="25"/>
      <c r="H7717" s="27"/>
      <c r="I7717" s="28"/>
      <c r="J7717" s="39"/>
      <c r="K7717" s="41"/>
      <c r="L7717" s="31" t="str">
        <f>IFERROR(__xludf.DUMMYFUNCTION("IF(OR(E7717="""",K7717=""""),"""",IFERROR(IF(K7717="""","""",query('tbl user'!$A$2:$D10975,""SELECT A WHERE D = '""&amp;K7717&amp;""'"")),""USER TIDAK DIKETAHUI""))"),"")</f>
        <v/>
      </c>
    </row>
    <row r="7718">
      <c r="A7718" s="21" t="str">
        <f t="shared" si="3"/>
        <v/>
      </c>
      <c r="B7718" s="38"/>
      <c r="C7718" s="23"/>
      <c r="D7718" s="23"/>
      <c r="E7718" s="24"/>
      <c r="F7718" s="25"/>
      <c r="G7718" s="25"/>
      <c r="H7718" s="27"/>
      <c r="I7718" s="28"/>
      <c r="J7718" s="39"/>
      <c r="K7718" s="41"/>
      <c r="L7718" s="31" t="str">
        <f>IFERROR(__xludf.DUMMYFUNCTION("IF(OR(E7718="""",K7718=""""),"""",IFERROR(IF(K7718="""","""",query('tbl user'!$A$2:$D10975,""SELECT A WHERE D = '""&amp;K7718&amp;""'"")),""USER TIDAK DIKETAHUI""))"),"")</f>
        <v/>
      </c>
    </row>
    <row r="7719">
      <c r="A7719" s="21" t="str">
        <f t="shared" si="3"/>
        <v/>
      </c>
      <c r="B7719" s="38"/>
      <c r="C7719" s="23"/>
      <c r="D7719" s="23"/>
      <c r="E7719" s="24"/>
      <c r="F7719" s="25"/>
      <c r="G7719" s="25"/>
      <c r="H7719" s="27"/>
      <c r="I7719" s="28"/>
      <c r="J7719" s="39"/>
      <c r="K7719" s="41"/>
      <c r="L7719" s="31" t="str">
        <f>IFERROR(__xludf.DUMMYFUNCTION("IF(OR(E7719="""",K7719=""""),"""",IFERROR(IF(K7719="""","""",query('tbl user'!$A$2:$D10975,""SELECT A WHERE D = '""&amp;K7719&amp;""'"")),""USER TIDAK DIKETAHUI""))"),"")</f>
        <v/>
      </c>
    </row>
    <row r="7720">
      <c r="A7720" s="21" t="str">
        <f t="shared" si="3"/>
        <v/>
      </c>
      <c r="B7720" s="38"/>
      <c r="C7720" s="23"/>
      <c r="D7720" s="23"/>
      <c r="E7720" s="24"/>
      <c r="F7720" s="25"/>
      <c r="G7720" s="25"/>
      <c r="H7720" s="27"/>
      <c r="I7720" s="28"/>
      <c r="J7720" s="39"/>
      <c r="K7720" s="41"/>
      <c r="L7720" s="31" t="str">
        <f>IFERROR(__xludf.DUMMYFUNCTION("IF(OR(E7720="""",K7720=""""),"""",IFERROR(IF(K7720="""","""",query('tbl user'!$A$2:$D10975,""SELECT A WHERE D = '""&amp;K7720&amp;""'"")),""USER TIDAK DIKETAHUI""))"),"")</f>
        <v/>
      </c>
    </row>
    <row r="7721">
      <c r="A7721" s="21" t="str">
        <f t="shared" si="3"/>
        <v/>
      </c>
      <c r="B7721" s="38"/>
      <c r="C7721" s="23"/>
      <c r="D7721" s="23"/>
      <c r="E7721" s="24"/>
      <c r="F7721" s="25"/>
      <c r="G7721" s="25"/>
      <c r="H7721" s="27"/>
      <c r="I7721" s="28"/>
      <c r="J7721" s="39"/>
      <c r="K7721" s="41"/>
      <c r="L7721" s="31" t="str">
        <f>IFERROR(__xludf.DUMMYFUNCTION("IF(OR(E7721="""",K7721=""""),"""",IFERROR(IF(K7721="""","""",query('tbl user'!$A$2:$D10975,""SELECT A WHERE D = '""&amp;K7721&amp;""'"")),""USER TIDAK DIKETAHUI""))"),"")</f>
        <v/>
      </c>
    </row>
    <row r="7722">
      <c r="A7722" s="21" t="str">
        <f t="shared" si="3"/>
        <v/>
      </c>
      <c r="B7722" s="38"/>
      <c r="C7722" s="23"/>
      <c r="D7722" s="23"/>
      <c r="E7722" s="24"/>
      <c r="F7722" s="25"/>
      <c r="G7722" s="25"/>
      <c r="H7722" s="27"/>
      <c r="I7722" s="28"/>
      <c r="J7722" s="39"/>
      <c r="K7722" s="41"/>
      <c r="L7722" s="31" t="str">
        <f>IFERROR(__xludf.DUMMYFUNCTION("IF(OR(E7722="""",K7722=""""),"""",IFERROR(IF(K7722="""","""",query('tbl user'!$A$2:$D10975,""SELECT A WHERE D = '""&amp;K7722&amp;""'"")),""USER TIDAK DIKETAHUI""))"),"")</f>
        <v/>
      </c>
    </row>
    <row r="7723">
      <c r="A7723" s="21" t="str">
        <f t="shared" si="3"/>
        <v/>
      </c>
      <c r="B7723" s="38"/>
      <c r="C7723" s="23"/>
      <c r="D7723" s="23"/>
      <c r="E7723" s="24"/>
      <c r="F7723" s="25"/>
      <c r="G7723" s="25"/>
      <c r="H7723" s="27"/>
      <c r="I7723" s="28"/>
      <c r="J7723" s="39"/>
      <c r="K7723" s="41"/>
      <c r="L7723" s="31" t="str">
        <f>IFERROR(__xludf.DUMMYFUNCTION("IF(OR(E7723="""",K7723=""""),"""",IFERROR(IF(K7723="""","""",query('tbl user'!$A$2:$D10975,""SELECT A WHERE D = '""&amp;K7723&amp;""'"")),""USER TIDAK DIKETAHUI""))"),"")</f>
        <v/>
      </c>
    </row>
    <row r="7724">
      <c r="A7724" s="21" t="str">
        <f t="shared" si="3"/>
        <v/>
      </c>
      <c r="B7724" s="38"/>
      <c r="C7724" s="23"/>
      <c r="D7724" s="23"/>
      <c r="E7724" s="24"/>
      <c r="F7724" s="25"/>
      <c r="G7724" s="25"/>
      <c r="H7724" s="27"/>
      <c r="I7724" s="28"/>
      <c r="J7724" s="39"/>
      <c r="K7724" s="41"/>
      <c r="L7724" s="31" t="str">
        <f>IFERROR(__xludf.DUMMYFUNCTION("IF(OR(E7724="""",K7724=""""),"""",IFERROR(IF(K7724="""","""",query('tbl user'!$A$2:$D10975,""SELECT A WHERE D = '""&amp;K7724&amp;""'"")),""USER TIDAK DIKETAHUI""))"),"")</f>
        <v/>
      </c>
    </row>
    <row r="7725">
      <c r="A7725" s="21" t="str">
        <f t="shared" si="3"/>
        <v/>
      </c>
      <c r="B7725" s="38"/>
      <c r="C7725" s="23"/>
      <c r="D7725" s="23"/>
      <c r="E7725" s="24"/>
      <c r="F7725" s="25"/>
      <c r="G7725" s="25"/>
      <c r="H7725" s="27"/>
      <c r="I7725" s="28"/>
      <c r="J7725" s="39"/>
      <c r="K7725" s="41"/>
      <c r="L7725" s="31" t="str">
        <f>IFERROR(__xludf.DUMMYFUNCTION("IF(OR(E7725="""",K7725=""""),"""",IFERROR(IF(K7725="""","""",query('tbl user'!$A$2:$D10975,""SELECT A WHERE D = '""&amp;K7725&amp;""'"")),""USER TIDAK DIKETAHUI""))"),"")</f>
        <v/>
      </c>
    </row>
    <row r="7726">
      <c r="A7726" s="21" t="str">
        <f t="shared" si="3"/>
        <v/>
      </c>
      <c r="B7726" s="38"/>
      <c r="C7726" s="23"/>
      <c r="D7726" s="23"/>
      <c r="E7726" s="24"/>
      <c r="F7726" s="25"/>
      <c r="G7726" s="25"/>
      <c r="H7726" s="27"/>
      <c r="I7726" s="28"/>
      <c r="J7726" s="39"/>
      <c r="K7726" s="41"/>
      <c r="L7726" s="31" t="str">
        <f>IFERROR(__xludf.DUMMYFUNCTION("IF(OR(E7726="""",K7726=""""),"""",IFERROR(IF(K7726="""","""",query('tbl user'!$A$2:$D10975,""SELECT A WHERE D = '""&amp;K7726&amp;""'"")),""USER TIDAK DIKETAHUI""))"),"")</f>
        <v/>
      </c>
    </row>
    <row r="7727">
      <c r="A7727" s="21" t="str">
        <f t="shared" si="3"/>
        <v/>
      </c>
      <c r="B7727" s="38"/>
      <c r="C7727" s="23"/>
      <c r="D7727" s="23"/>
      <c r="E7727" s="24"/>
      <c r="F7727" s="25"/>
      <c r="G7727" s="25"/>
      <c r="H7727" s="27"/>
      <c r="I7727" s="28"/>
      <c r="J7727" s="39"/>
      <c r="K7727" s="41"/>
      <c r="L7727" s="31" t="str">
        <f>IFERROR(__xludf.DUMMYFUNCTION("IF(OR(E7727="""",K7727=""""),"""",IFERROR(IF(K7727="""","""",query('tbl user'!$A$2:$D10975,""SELECT A WHERE D = '""&amp;K7727&amp;""'"")),""USER TIDAK DIKETAHUI""))"),"")</f>
        <v/>
      </c>
    </row>
    <row r="7728">
      <c r="A7728" s="21" t="str">
        <f t="shared" si="3"/>
        <v/>
      </c>
      <c r="B7728" s="38"/>
      <c r="C7728" s="23"/>
      <c r="D7728" s="23"/>
      <c r="E7728" s="24"/>
      <c r="F7728" s="25"/>
      <c r="G7728" s="25"/>
      <c r="H7728" s="27"/>
      <c r="I7728" s="28"/>
      <c r="J7728" s="39"/>
      <c r="K7728" s="41"/>
      <c r="L7728" s="31" t="str">
        <f>IFERROR(__xludf.DUMMYFUNCTION("IF(OR(E7728="""",K7728=""""),"""",IFERROR(IF(K7728="""","""",query('tbl user'!$A$2:$D10975,""SELECT A WHERE D = '""&amp;K7728&amp;""'"")),""USER TIDAK DIKETAHUI""))"),"")</f>
        <v/>
      </c>
    </row>
    <row r="7729">
      <c r="A7729" s="21" t="str">
        <f t="shared" si="3"/>
        <v/>
      </c>
      <c r="B7729" s="38"/>
      <c r="C7729" s="23"/>
      <c r="D7729" s="23"/>
      <c r="E7729" s="24"/>
      <c r="F7729" s="25"/>
      <c r="G7729" s="25"/>
      <c r="H7729" s="27"/>
      <c r="I7729" s="28"/>
      <c r="J7729" s="39"/>
      <c r="K7729" s="41"/>
      <c r="L7729" s="31" t="str">
        <f>IFERROR(__xludf.DUMMYFUNCTION("IF(OR(E7729="""",K7729=""""),"""",IFERROR(IF(K7729="""","""",query('tbl user'!$A$2:$D10975,""SELECT A WHERE D = '""&amp;K7729&amp;""'"")),""USER TIDAK DIKETAHUI""))"),"")</f>
        <v/>
      </c>
    </row>
    <row r="7730">
      <c r="A7730" s="21" t="str">
        <f t="shared" si="3"/>
        <v/>
      </c>
      <c r="B7730" s="38"/>
      <c r="C7730" s="23"/>
      <c r="D7730" s="23"/>
      <c r="E7730" s="24"/>
      <c r="F7730" s="25"/>
      <c r="G7730" s="25"/>
      <c r="H7730" s="27"/>
      <c r="I7730" s="28"/>
      <c r="J7730" s="39"/>
      <c r="K7730" s="41"/>
      <c r="L7730" s="31" t="str">
        <f>IFERROR(__xludf.DUMMYFUNCTION("IF(OR(E7730="""",K7730=""""),"""",IFERROR(IF(K7730="""","""",query('tbl user'!$A$2:$D10975,""SELECT A WHERE D = '""&amp;K7730&amp;""'"")),""USER TIDAK DIKETAHUI""))"),"")</f>
        <v/>
      </c>
    </row>
    <row r="7731">
      <c r="A7731" s="21" t="str">
        <f t="shared" si="3"/>
        <v/>
      </c>
      <c r="B7731" s="38"/>
      <c r="C7731" s="23"/>
      <c r="D7731" s="23"/>
      <c r="E7731" s="24"/>
      <c r="F7731" s="25"/>
      <c r="G7731" s="25"/>
      <c r="H7731" s="27"/>
      <c r="I7731" s="28"/>
      <c r="J7731" s="39"/>
      <c r="K7731" s="41"/>
      <c r="L7731" s="31" t="str">
        <f>IFERROR(__xludf.DUMMYFUNCTION("IF(OR(E7731="""",K7731=""""),"""",IFERROR(IF(K7731="""","""",query('tbl user'!$A$2:$D10975,""SELECT A WHERE D = '""&amp;K7731&amp;""'"")),""USER TIDAK DIKETAHUI""))"),"")</f>
        <v/>
      </c>
    </row>
    <row r="7732">
      <c r="A7732" s="21" t="str">
        <f t="shared" si="3"/>
        <v/>
      </c>
      <c r="B7732" s="38"/>
      <c r="C7732" s="23"/>
      <c r="D7732" s="23"/>
      <c r="E7732" s="24"/>
      <c r="F7732" s="25"/>
      <c r="G7732" s="25"/>
      <c r="H7732" s="27"/>
      <c r="I7732" s="28"/>
      <c r="J7732" s="39"/>
      <c r="K7732" s="41"/>
      <c r="L7732" s="31" t="str">
        <f>IFERROR(__xludf.DUMMYFUNCTION("IF(OR(E7732="""",K7732=""""),"""",IFERROR(IF(K7732="""","""",query('tbl user'!$A$2:$D10975,""SELECT A WHERE D = '""&amp;K7732&amp;""'"")),""USER TIDAK DIKETAHUI""))"),"")</f>
        <v/>
      </c>
    </row>
    <row r="7733">
      <c r="A7733" s="21" t="str">
        <f t="shared" si="3"/>
        <v/>
      </c>
      <c r="B7733" s="38"/>
      <c r="C7733" s="23"/>
      <c r="D7733" s="23"/>
      <c r="E7733" s="24"/>
      <c r="F7733" s="25"/>
      <c r="G7733" s="25"/>
      <c r="H7733" s="27"/>
      <c r="I7733" s="28"/>
      <c r="J7733" s="39"/>
      <c r="K7733" s="41"/>
      <c r="L7733" s="31" t="str">
        <f>IFERROR(__xludf.DUMMYFUNCTION("IF(OR(E7733="""",K7733=""""),"""",IFERROR(IF(K7733="""","""",query('tbl user'!$A$2:$D10975,""SELECT A WHERE D = '""&amp;K7733&amp;""'"")),""USER TIDAK DIKETAHUI""))"),"")</f>
        <v/>
      </c>
    </row>
    <row r="7734">
      <c r="A7734" s="21" t="str">
        <f t="shared" si="3"/>
        <v/>
      </c>
      <c r="B7734" s="38"/>
      <c r="C7734" s="23"/>
      <c r="D7734" s="23"/>
      <c r="E7734" s="24"/>
      <c r="F7734" s="25"/>
      <c r="G7734" s="25"/>
      <c r="H7734" s="27"/>
      <c r="I7734" s="28"/>
      <c r="J7734" s="39"/>
      <c r="K7734" s="41"/>
      <c r="L7734" s="31" t="str">
        <f>IFERROR(__xludf.DUMMYFUNCTION("IF(OR(E7734="""",K7734=""""),"""",IFERROR(IF(K7734="""","""",query('tbl user'!$A$2:$D10975,""SELECT A WHERE D = '""&amp;K7734&amp;""'"")),""USER TIDAK DIKETAHUI""))"),"")</f>
        <v/>
      </c>
    </row>
    <row r="7735">
      <c r="A7735" s="21" t="str">
        <f t="shared" si="3"/>
        <v/>
      </c>
      <c r="B7735" s="38"/>
      <c r="C7735" s="23"/>
      <c r="D7735" s="23"/>
      <c r="E7735" s="24"/>
      <c r="F7735" s="25"/>
      <c r="G7735" s="25"/>
      <c r="H7735" s="27"/>
      <c r="I7735" s="28"/>
      <c r="J7735" s="39"/>
      <c r="K7735" s="41"/>
      <c r="L7735" s="31" t="str">
        <f>IFERROR(__xludf.DUMMYFUNCTION("IF(OR(E7735="""",K7735=""""),"""",IFERROR(IF(K7735="""","""",query('tbl user'!$A$2:$D10975,""SELECT A WHERE D = '""&amp;K7735&amp;""'"")),""USER TIDAK DIKETAHUI""))"),"")</f>
        <v/>
      </c>
    </row>
    <row r="7736">
      <c r="A7736" s="21" t="str">
        <f t="shared" si="3"/>
        <v/>
      </c>
      <c r="B7736" s="38"/>
      <c r="C7736" s="23"/>
      <c r="D7736" s="23"/>
      <c r="E7736" s="24"/>
      <c r="F7736" s="25"/>
      <c r="G7736" s="25"/>
      <c r="H7736" s="27"/>
      <c r="I7736" s="28"/>
      <c r="J7736" s="39"/>
      <c r="K7736" s="41"/>
      <c r="L7736" s="31" t="str">
        <f>IFERROR(__xludf.DUMMYFUNCTION("IF(OR(E7736="""",K7736=""""),"""",IFERROR(IF(K7736="""","""",query('tbl user'!$A$2:$D10975,""SELECT A WHERE D = '""&amp;K7736&amp;""'"")),""USER TIDAK DIKETAHUI""))"),"")</f>
        <v/>
      </c>
    </row>
    <row r="7737">
      <c r="A7737" s="21" t="str">
        <f t="shared" si="3"/>
        <v/>
      </c>
      <c r="B7737" s="38"/>
      <c r="C7737" s="23"/>
      <c r="D7737" s="23"/>
      <c r="E7737" s="24"/>
      <c r="F7737" s="25"/>
      <c r="G7737" s="25"/>
      <c r="H7737" s="27"/>
      <c r="I7737" s="28"/>
      <c r="J7737" s="39"/>
      <c r="K7737" s="41"/>
      <c r="L7737" s="31" t="str">
        <f>IFERROR(__xludf.DUMMYFUNCTION("IF(OR(E7737="""",K7737=""""),"""",IFERROR(IF(K7737="""","""",query('tbl user'!$A$2:$D10975,""SELECT A WHERE D = '""&amp;K7737&amp;""'"")),""USER TIDAK DIKETAHUI""))"),"")</f>
        <v/>
      </c>
    </row>
    <row r="7738">
      <c r="A7738" s="21" t="str">
        <f t="shared" si="3"/>
        <v/>
      </c>
      <c r="B7738" s="38"/>
      <c r="C7738" s="23"/>
      <c r="D7738" s="23"/>
      <c r="E7738" s="24"/>
      <c r="F7738" s="25"/>
      <c r="G7738" s="25"/>
      <c r="H7738" s="27"/>
      <c r="I7738" s="28"/>
      <c r="J7738" s="39"/>
      <c r="K7738" s="41"/>
      <c r="L7738" s="31" t="str">
        <f>IFERROR(__xludf.DUMMYFUNCTION("IF(OR(E7738="""",K7738=""""),"""",IFERROR(IF(K7738="""","""",query('tbl user'!$A$2:$D10975,""SELECT A WHERE D = '""&amp;K7738&amp;""'"")),""USER TIDAK DIKETAHUI""))"),"")</f>
        <v/>
      </c>
    </row>
    <row r="7739">
      <c r="A7739" s="21" t="str">
        <f t="shared" si="3"/>
        <v/>
      </c>
      <c r="B7739" s="38"/>
      <c r="C7739" s="23"/>
      <c r="D7739" s="23"/>
      <c r="E7739" s="24"/>
      <c r="F7739" s="25"/>
      <c r="G7739" s="25"/>
      <c r="H7739" s="27"/>
      <c r="I7739" s="28"/>
      <c r="J7739" s="39"/>
      <c r="K7739" s="41"/>
      <c r="L7739" s="31" t="str">
        <f>IFERROR(__xludf.DUMMYFUNCTION("IF(OR(E7739="""",K7739=""""),"""",IFERROR(IF(K7739="""","""",query('tbl user'!$A$2:$D10975,""SELECT A WHERE D = '""&amp;K7739&amp;""'"")),""USER TIDAK DIKETAHUI""))"),"")</f>
        <v/>
      </c>
    </row>
    <row r="7740">
      <c r="A7740" s="21" t="str">
        <f t="shared" si="3"/>
        <v/>
      </c>
      <c r="B7740" s="38"/>
      <c r="C7740" s="23"/>
      <c r="D7740" s="23"/>
      <c r="E7740" s="24"/>
      <c r="F7740" s="25"/>
      <c r="G7740" s="25"/>
      <c r="H7740" s="27"/>
      <c r="I7740" s="28"/>
      <c r="J7740" s="39"/>
      <c r="K7740" s="41"/>
      <c r="L7740" s="31" t="str">
        <f>IFERROR(__xludf.DUMMYFUNCTION("IF(OR(E7740="""",K7740=""""),"""",IFERROR(IF(K7740="""","""",query('tbl user'!$A$2:$D10975,""SELECT A WHERE D = '""&amp;K7740&amp;""'"")),""USER TIDAK DIKETAHUI""))"),"")</f>
        <v/>
      </c>
    </row>
    <row r="7741">
      <c r="A7741" s="21" t="str">
        <f t="shared" si="3"/>
        <v/>
      </c>
      <c r="B7741" s="38"/>
      <c r="C7741" s="23"/>
      <c r="D7741" s="23"/>
      <c r="E7741" s="24"/>
      <c r="F7741" s="25"/>
      <c r="G7741" s="25"/>
      <c r="H7741" s="27"/>
      <c r="I7741" s="28"/>
      <c r="J7741" s="39"/>
      <c r="K7741" s="41"/>
      <c r="L7741" s="31" t="str">
        <f>IFERROR(__xludf.DUMMYFUNCTION("IF(OR(E7741="""",K7741=""""),"""",IFERROR(IF(K7741="""","""",query('tbl user'!$A$2:$D10975,""SELECT A WHERE D = '""&amp;K7741&amp;""'"")),""USER TIDAK DIKETAHUI""))"),"")</f>
        <v/>
      </c>
    </row>
    <row r="7742">
      <c r="A7742" s="21" t="str">
        <f t="shared" si="3"/>
        <v/>
      </c>
      <c r="B7742" s="38"/>
      <c r="C7742" s="23"/>
      <c r="D7742" s="23"/>
      <c r="E7742" s="24"/>
      <c r="F7742" s="25"/>
      <c r="G7742" s="25"/>
      <c r="H7742" s="27"/>
      <c r="I7742" s="28"/>
      <c r="J7742" s="39"/>
      <c r="K7742" s="41"/>
      <c r="L7742" s="31" t="str">
        <f>IFERROR(__xludf.DUMMYFUNCTION("IF(OR(E7742="""",K7742=""""),"""",IFERROR(IF(K7742="""","""",query('tbl user'!$A$2:$D10975,""SELECT A WHERE D = '""&amp;K7742&amp;""'"")),""USER TIDAK DIKETAHUI""))"),"")</f>
        <v/>
      </c>
    </row>
    <row r="7743">
      <c r="A7743" s="21" t="str">
        <f t="shared" si="3"/>
        <v/>
      </c>
      <c r="B7743" s="38"/>
      <c r="C7743" s="23"/>
      <c r="D7743" s="23"/>
      <c r="E7743" s="24"/>
      <c r="F7743" s="25"/>
      <c r="G7743" s="25"/>
      <c r="H7743" s="27"/>
      <c r="I7743" s="28"/>
      <c r="J7743" s="39"/>
      <c r="K7743" s="41"/>
      <c r="L7743" s="31" t="str">
        <f>IFERROR(__xludf.DUMMYFUNCTION("IF(OR(E7743="""",K7743=""""),"""",IFERROR(IF(K7743="""","""",query('tbl user'!$A$2:$D10975,""SELECT A WHERE D = '""&amp;K7743&amp;""'"")),""USER TIDAK DIKETAHUI""))"),"")</f>
        <v/>
      </c>
    </row>
    <row r="7744">
      <c r="A7744" s="21" t="str">
        <f t="shared" si="3"/>
        <v/>
      </c>
      <c r="B7744" s="38"/>
      <c r="C7744" s="23"/>
      <c r="D7744" s="23"/>
      <c r="E7744" s="24"/>
      <c r="F7744" s="25"/>
      <c r="G7744" s="25"/>
      <c r="H7744" s="27"/>
      <c r="I7744" s="28"/>
      <c r="J7744" s="39"/>
      <c r="K7744" s="41"/>
      <c r="L7744" s="31" t="str">
        <f>IFERROR(__xludf.DUMMYFUNCTION("IF(OR(E7744="""",K7744=""""),"""",IFERROR(IF(K7744="""","""",query('tbl user'!$A$2:$D10975,""SELECT A WHERE D = '""&amp;K7744&amp;""'"")),""USER TIDAK DIKETAHUI""))"),"")</f>
        <v/>
      </c>
    </row>
    <row r="7745">
      <c r="A7745" s="21" t="str">
        <f t="shared" si="3"/>
        <v/>
      </c>
      <c r="B7745" s="38"/>
      <c r="C7745" s="23"/>
      <c r="D7745" s="23"/>
      <c r="E7745" s="24"/>
      <c r="F7745" s="25"/>
      <c r="G7745" s="25"/>
      <c r="H7745" s="27"/>
      <c r="I7745" s="28"/>
      <c r="J7745" s="39"/>
      <c r="K7745" s="41"/>
      <c r="L7745" s="31" t="str">
        <f>IFERROR(__xludf.DUMMYFUNCTION("IF(OR(E7745="""",K7745=""""),"""",IFERROR(IF(K7745="""","""",query('tbl user'!$A$2:$D10975,""SELECT A WHERE D = '""&amp;K7745&amp;""'"")),""USER TIDAK DIKETAHUI""))"),"")</f>
        <v/>
      </c>
    </row>
    <row r="7746">
      <c r="A7746" s="21" t="str">
        <f t="shared" si="3"/>
        <v/>
      </c>
      <c r="B7746" s="38"/>
      <c r="C7746" s="23"/>
      <c r="D7746" s="23"/>
      <c r="E7746" s="24"/>
      <c r="F7746" s="25"/>
      <c r="G7746" s="25"/>
      <c r="H7746" s="27"/>
      <c r="I7746" s="28"/>
      <c r="J7746" s="39"/>
      <c r="K7746" s="41"/>
      <c r="L7746" s="31" t="str">
        <f>IFERROR(__xludf.DUMMYFUNCTION("IF(OR(E7746="""",K7746=""""),"""",IFERROR(IF(K7746="""","""",query('tbl user'!$A$2:$D10975,""SELECT A WHERE D = '""&amp;K7746&amp;""'"")),""USER TIDAK DIKETAHUI""))"),"")</f>
        <v/>
      </c>
    </row>
    <row r="7747">
      <c r="A7747" s="21" t="str">
        <f t="shared" si="3"/>
        <v/>
      </c>
      <c r="B7747" s="38"/>
      <c r="C7747" s="23"/>
      <c r="D7747" s="23"/>
      <c r="E7747" s="24"/>
      <c r="F7747" s="25"/>
      <c r="G7747" s="25"/>
      <c r="H7747" s="27"/>
      <c r="I7747" s="28"/>
      <c r="J7747" s="39"/>
      <c r="K7747" s="41"/>
      <c r="L7747" s="31" t="str">
        <f>IFERROR(__xludf.DUMMYFUNCTION("IF(OR(E7747="""",K7747=""""),"""",IFERROR(IF(K7747="""","""",query('tbl user'!$A$2:$D10975,""SELECT A WHERE D = '""&amp;K7747&amp;""'"")),""USER TIDAK DIKETAHUI""))"),"")</f>
        <v/>
      </c>
    </row>
    <row r="7748">
      <c r="A7748" s="21" t="str">
        <f t="shared" si="3"/>
        <v/>
      </c>
      <c r="B7748" s="38"/>
      <c r="C7748" s="23"/>
      <c r="D7748" s="23"/>
      <c r="E7748" s="24"/>
      <c r="F7748" s="25"/>
      <c r="G7748" s="25"/>
      <c r="H7748" s="27"/>
      <c r="I7748" s="28"/>
      <c r="J7748" s="39"/>
      <c r="K7748" s="41"/>
      <c r="L7748" s="31" t="str">
        <f>IFERROR(__xludf.DUMMYFUNCTION("IF(OR(E7748="""",K7748=""""),"""",IFERROR(IF(K7748="""","""",query('tbl user'!$A$2:$D10975,""SELECT A WHERE D = '""&amp;K7748&amp;""'"")),""USER TIDAK DIKETAHUI""))"),"")</f>
        <v/>
      </c>
    </row>
    <row r="7749">
      <c r="A7749" s="21" t="str">
        <f t="shared" si="3"/>
        <v/>
      </c>
      <c r="B7749" s="38"/>
      <c r="C7749" s="23"/>
      <c r="D7749" s="23"/>
      <c r="E7749" s="24"/>
      <c r="F7749" s="25"/>
      <c r="G7749" s="25"/>
      <c r="H7749" s="27"/>
      <c r="I7749" s="28"/>
      <c r="J7749" s="39"/>
      <c r="K7749" s="41"/>
      <c r="L7749" s="31" t="str">
        <f>IFERROR(__xludf.DUMMYFUNCTION("IF(OR(E7749="""",K7749=""""),"""",IFERROR(IF(K7749="""","""",query('tbl user'!$A$2:$D10975,""SELECT A WHERE D = '""&amp;K7749&amp;""'"")),""USER TIDAK DIKETAHUI""))"),"")</f>
        <v/>
      </c>
    </row>
    <row r="7750">
      <c r="A7750" s="21" t="str">
        <f t="shared" si="3"/>
        <v/>
      </c>
      <c r="B7750" s="38"/>
      <c r="C7750" s="23"/>
      <c r="D7750" s="23"/>
      <c r="E7750" s="24"/>
      <c r="F7750" s="25"/>
      <c r="G7750" s="25"/>
      <c r="H7750" s="27"/>
      <c r="I7750" s="28"/>
      <c r="J7750" s="39"/>
      <c r="K7750" s="41"/>
      <c r="L7750" s="31" t="str">
        <f>IFERROR(__xludf.DUMMYFUNCTION("IF(OR(E7750="""",K7750=""""),"""",IFERROR(IF(K7750="""","""",query('tbl user'!$A$2:$D10975,""SELECT A WHERE D = '""&amp;K7750&amp;""'"")),""USER TIDAK DIKETAHUI""))"),"")</f>
        <v/>
      </c>
    </row>
    <row r="7751">
      <c r="A7751" s="21" t="str">
        <f t="shared" si="3"/>
        <v/>
      </c>
      <c r="B7751" s="38"/>
      <c r="C7751" s="23"/>
      <c r="D7751" s="23"/>
      <c r="E7751" s="24"/>
      <c r="F7751" s="25"/>
      <c r="G7751" s="25"/>
      <c r="H7751" s="27"/>
      <c r="I7751" s="28"/>
      <c r="J7751" s="39"/>
      <c r="K7751" s="41"/>
      <c r="L7751" s="31" t="str">
        <f>IFERROR(__xludf.DUMMYFUNCTION("IF(OR(E7751="""",K7751=""""),"""",IFERROR(IF(K7751="""","""",query('tbl user'!$A$2:$D10975,""SELECT A WHERE D = '""&amp;K7751&amp;""'"")),""USER TIDAK DIKETAHUI""))"),"")</f>
        <v/>
      </c>
    </row>
    <row r="7752">
      <c r="A7752" s="21" t="str">
        <f t="shared" si="3"/>
        <v/>
      </c>
      <c r="B7752" s="38"/>
      <c r="C7752" s="23"/>
      <c r="D7752" s="23"/>
      <c r="E7752" s="24"/>
      <c r="F7752" s="25"/>
      <c r="G7752" s="25"/>
      <c r="H7752" s="27"/>
      <c r="I7752" s="28"/>
      <c r="J7752" s="39"/>
      <c r="K7752" s="41"/>
      <c r="L7752" s="31" t="str">
        <f>IFERROR(__xludf.DUMMYFUNCTION("IF(OR(E7752="""",K7752=""""),"""",IFERROR(IF(K7752="""","""",query('tbl user'!$A$2:$D10975,""SELECT A WHERE D = '""&amp;K7752&amp;""'"")),""USER TIDAK DIKETAHUI""))"),"")</f>
        <v/>
      </c>
    </row>
    <row r="7753">
      <c r="A7753" s="21" t="str">
        <f t="shared" si="3"/>
        <v/>
      </c>
      <c r="B7753" s="38"/>
      <c r="C7753" s="23"/>
      <c r="D7753" s="23"/>
      <c r="E7753" s="24"/>
      <c r="F7753" s="25"/>
      <c r="G7753" s="25"/>
      <c r="H7753" s="27"/>
      <c r="I7753" s="28"/>
      <c r="J7753" s="39"/>
      <c r="K7753" s="41"/>
      <c r="L7753" s="31" t="str">
        <f>IFERROR(__xludf.DUMMYFUNCTION("IF(OR(E7753="""",K7753=""""),"""",IFERROR(IF(K7753="""","""",query('tbl user'!$A$2:$D10975,""SELECT A WHERE D = '""&amp;K7753&amp;""'"")),""USER TIDAK DIKETAHUI""))"),"")</f>
        <v/>
      </c>
    </row>
    <row r="7754">
      <c r="A7754" s="21" t="str">
        <f t="shared" si="3"/>
        <v/>
      </c>
      <c r="B7754" s="38"/>
      <c r="C7754" s="23"/>
      <c r="D7754" s="23"/>
      <c r="E7754" s="24"/>
      <c r="F7754" s="25"/>
      <c r="G7754" s="25"/>
      <c r="H7754" s="27"/>
      <c r="I7754" s="28"/>
      <c r="J7754" s="39"/>
      <c r="K7754" s="41"/>
      <c r="L7754" s="31" t="str">
        <f>IFERROR(__xludf.DUMMYFUNCTION("IF(OR(E7754="""",K7754=""""),"""",IFERROR(IF(K7754="""","""",query('tbl user'!$A$2:$D10975,""SELECT A WHERE D = '""&amp;K7754&amp;""'"")),""USER TIDAK DIKETAHUI""))"),"")</f>
        <v/>
      </c>
    </row>
    <row r="7755">
      <c r="A7755" s="21" t="str">
        <f t="shared" si="3"/>
        <v/>
      </c>
      <c r="B7755" s="38"/>
      <c r="C7755" s="23"/>
      <c r="D7755" s="23"/>
      <c r="E7755" s="24"/>
      <c r="F7755" s="25"/>
      <c r="G7755" s="25"/>
      <c r="H7755" s="27"/>
      <c r="I7755" s="28"/>
      <c r="J7755" s="39"/>
      <c r="K7755" s="41"/>
      <c r="L7755" s="31" t="str">
        <f>IFERROR(__xludf.DUMMYFUNCTION("IF(OR(E7755="""",K7755=""""),"""",IFERROR(IF(K7755="""","""",query('tbl user'!$A$2:$D10975,""SELECT A WHERE D = '""&amp;K7755&amp;""'"")),""USER TIDAK DIKETAHUI""))"),"")</f>
        <v/>
      </c>
    </row>
    <row r="7756">
      <c r="A7756" s="21" t="str">
        <f t="shared" si="3"/>
        <v/>
      </c>
      <c r="B7756" s="38"/>
      <c r="C7756" s="23"/>
      <c r="D7756" s="23"/>
      <c r="E7756" s="24"/>
      <c r="F7756" s="25"/>
      <c r="G7756" s="25"/>
      <c r="H7756" s="27"/>
      <c r="I7756" s="28"/>
      <c r="J7756" s="39"/>
      <c r="K7756" s="41"/>
      <c r="L7756" s="31" t="str">
        <f>IFERROR(__xludf.DUMMYFUNCTION("IF(OR(E7756="""",K7756=""""),"""",IFERROR(IF(K7756="""","""",query('tbl user'!$A$2:$D10975,""SELECT A WHERE D = '""&amp;K7756&amp;""'"")),""USER TIDAK DIKETAHUI""))"),"")</f>
        <v/>
      </c>
    </row>
    <row r="7757">
      <c r="A7757" s="21" t="str">
        <f t="shared" si="3"/>
        <v/>
      </c>
      <c r="B7757" s="38"/>
      <c r="C7757" s="23"/>
      <c r="D7757" s="23"/>
      <c r="E7757" s="24"/>
      <c r="F7757" s="25"/>
      <c r="G7757" s="25"/>
      <c r="H7757" s="27"/>
      <c r="I7757" s="28"/>
      <c r="J7757" s="39"/>
      <c r="K7757" s="41"/>
      <c r="L7757" s="31" t="str">
        <f>IFERROR(__xludf.DUMMYFUNCTION("IF(OR(E7757="""",K7757=""""),"""",IFERROR(IF(K7757="""","""",query('tbl user'!$A$2:$D10975,""SELECT A WHERE D = '""&amp;K7757&amp;""'"")),""USER TIDAK DIKETAHUI""))"),"")</f>
        <v/>
      </c>
    </row>
    <row r="7758">
      <c r="A7758" s="21" t="str">
        <f t="shared" si="3"/>
        <v/>
      </c>
      <c r="B7758" s="38"/>
      <c r="C7758" s="23"/>
      <c r="D7758" s="23"/>
      <c r="E7758" s="24"/>
      <c r="F7758" s="25"/>
      <c r="G7758" s="25"/>
      <c r="H7758" s="27"/>
      <c r="I7758" s="28"/>
      <c r="J7758" s="39"/>
      <c r="K7758" s="41"/>
      <c r="L7758" s="31" t="str">
        <f>IFERROR(__xludf.DUMMYFUNCTION("IF(OR(E7758="""",K7758=""""),"""",IFERROR(IF(K7758="""","""",query('tbl user'!$A$2:$D10975,""SELECT A WHERE D = '""&amp;K7758&amp;""'"")),""USER TIDAK DIKETAHUI""))"),"")</f>
        <v/>
      </c>
    </row>
    <row r="7759">
      <c r="A7759" s="21" t="str">
        <f t="shared" si="3"/>
        <v/>
      </c>
      <c r="B7759" s="38"/>
      <c r="C7759" s="23"/>
      <c r="D7759" s="23"/>
      <c r="E7759" s="24"/>
      <c r="F7759" s="25"/>
      <c r="G7759" s="25"/>
      <c r="H7759" s="27"/>
      <c r="I7759" s="28"/>
      <c r="J7759" s="39"/>
      <c r="K7759" s="41"/>
      <c r="L7759" s="31" t="str">
        <f>IFERROR(__xludf.DUMMYFUNCTION("IF(OR(E7759="""",K7759=""""),"""",IFERROR(IF(K7759="""","""",query('tbl user'!$A$2:$D10975,""SELECT A WHERE D = '""&amp;K7759&amp;""'"")),""USER TIDAK DIKETAHUI""))"),"")</f>
        <v/>
      </c>
    </row>
    <row r="7760">
      <c r="A7760" s="21" t="str">
        <f t="shared" si="3"/>
        <v/>
      </c>
      <c r="B7760" s="38"/>
      <c r="C7760" s="23"/>
      <c r="D7760" s="23"/>
      <c r="E7760" s="24"/>
      <c r="F7760" s="25"/>
      <c r="G7760" s="25"/>
      <c r="H7760" s="27"/>
      <c r="I7760" s="28"/>
      <c r="J7760" s="39"/>
      <c r="K7760" s="41"/>
      <c r="L7760" s="31" t="str">
        <f>IFERROR(__xludf.DUMMYFUNCTION("IF(OR(E7760="""",K7760=""""),"""",IFERROR(IF(K7760="""","""",query('tbl user'!$A$2:$D10975,""SELECT A WHERE D = '""&amp;K7760&amp;""'"")),""USER TIDAK DIKETAHUI""))"),"")</f>
        <v/>
      </c>
    </row>
    <row r="7761">
      <c r="A7761" s="21" t="str">
        <f t="shared" si="3"/>
        <v/>
      </c>
      <c r="B7761" s="38"/>
      <c r="C7761" s="23"/>
      <c r="D7761" s="23"/>
      <c r="E7761" s="24"/>
      <c r="F7761" s="25"/>
      <c r="G7761" s="25"/>
      <c r="H7761" s="27"/>
      <c r="I7761" s="28"/>
      <c r="J7761" s="39"/>
      <c r="K7761" s="41"/>
      <c r="L7761" s="31" t="str">
        <f>IFERROR(__xludf.DUMMYFUNCTION("IF(OR(E7761="""",K7761=""""),"""",IFERROR(IF(K7761="""","""",query('tbl user'!$A$2:$D10975,""SELECT A WHERE D = '""&amp;K7761&amp;""'"")),""USER TIDAK DIKETAHUI""))"),"")</f>
        <v/>
      </c>
    </row>
    <row r="7762">
      <c r="A7762" s="21" t="str">
        <f t="shared" si="3"/>
        <v/>
      </c>
      <c r="B7762" s="38"/>
      <c r="C7762" s="23"/>
      <c r="D7762" s="23"/>
      <c r="E7762" s="24"/>
      <c r="F7762" s="25"/>
      <c r="G7762" s="25"/>
      <c r="H7762" s="27"/>
      <c r="I7762" s="28"/>
      <c r="J7762" s="39"/>
      <c r="K7762" s="41"/>
      <c r="L7762" s="31" t="str">
        <f>IFERROR(__xludf.DUMMYFUNCTION("IF(OR(E7762="""",K7762=""""),"""",IFERROR(IF(K7762="""","""",query('tbl user'!$A$2:$D10975,""SELECT A WHERE D = '""&amp;K7762&amp;""'"")),""USER TIDAK DIKETAHUI""))"),"")</f>
        <v/>
      </c>
    </row>
    <row r="7763">
      <c r="A7763" s="21" t="str">
        <f t="shared" si="3"/>
        <v/>
      </c>
      <c r="B7763" s="38"/>
      <c r="C7763" s="23"/>
      <c r="D7763" s="23"/>
      <c r="E7763" s="24"/>
      <c r="F7763" s="25"/>
      <c r="G7763" s="25"/>
      <c r="H7763" s="27"/>
      <c r="I7763" s="28"/>
      <c r="J7763" s="39"/>
      <c r="K7763" s="41"/>
      <c r="L7763" s="31" t="str">
        <f>IFERROR(__xludf.DUMMYFUNCTION("IF(OR(E7763="""",K7763=""""),"""",IFERROR(IF(K7763="""","""",query('tbl user'!$A$2:$D10975,""SELECT A WHERE D = '""&amp;K7763&amp;""'"")),""USER TIDAK DIKETAHUI""))"),"")</f>
        <v/>
      </c>
    </row>
    <row r="7764">
      <c r="A7764" s="21" t="str">
        <f t="shared" si="3"/>
        <v/>
      </c>
      <c r="B7764" s="38"/>
      <c r="C7764" s="23"/>
      <c r="D7764" s="23"/>
      <c r="E7764" s="24"/>
      <c r="F7764" s="25"/>
      <c r="G7764" s="25"/>
      <c r="H7764" s="27"/>
      <c r="I7764" s="28"/>
      <c r="J7764" s="39"/>
      <c r="K7764" s="41"/>
      <c r="L7764" s="31" t="str">
        <f>IFERROR(__xludf.DUMMYFUNCTION("IF(OR(E7764="""",K7764=""""),"""",IFERROR(IF(K7764="""","""",query('tbl user'!$A$2:$D10975,""SELECT A WHERE D = '""&amp;K7764&amp;""'"")),""USER TIDAK DIKETAHUI""))"),"")</f>
        <v/>
      </c>
    </row>
    <row r="7765">
      <c r="A7765" s="21" t="str">
        <f t="shared" si="3"/>
        <v/>
      </c>
      <c r="B7765" s="38"/>
      <c r="C7765" s="23"/>
      <c r="D7765" s="23"/>
      <c r="E7765" s="24"/>
      <c r="F7765" s="25"/>
      <c r="G7765" s="25"/>
      <c r="H7765" s="27"/>
      <c r="I7765" s="28"/>
      <c r="J7765" s="39"/>
      <c r="K7765" s="41"/>
      <c r="L7765" s="31" t="str">
        <f>IFERROR(__xludf.DUMMYFUNCTION("IF(OR(E7765="""",K7765=""""),"""",IFERROR(IF(K7765="""","""",query('tbl user'!$A$2:$D10975,""SELECT A WHERE D = '""&amp;K7765&amp;""'"")),""USER TIDAK DIKETAHUI""))"),"")</f>
        <v/>
      </c>
    </row>
    <row r="7766">
      <c r="A7766" s="21" t="str">
        <f t="shared" si="3"/>
        <v/>
      </c>
      <c r="B7766" s="38"/>
      <c r="C7766" s="23"/>
      <c r="D7766" s="23"/>
      <c r="E7766" s="24"/>
      <c r="F7766" s="25"/>
      <c r="G7766" s="25"/>
      <c r="H7766" s="27"/>
      <c r="I7766" s="28"/>
      <c r="J7766" s="39"/>
      <c r="K7766" s="41"/>
      <c r="L7766" s="31" t="str">
        <f>IFERROR(__xludf.DUMMYFUNCTION("IF(OR(E7766="""",K7766=""""),"""",IFERROR(IF(K7766="""","""",query('tbl user'!$A$2:$D10975,""SELECT A WHERE D = '""&amp;K7766&amp;""'"")),""USER TIDAK DIKETAHUI""))"),"")</f>
        <v/>
      </c>
    </row>
    <row r="7767">
      <c r="A7767" s="21" t="str">
        <f t="shared" si="3"/>
        <v/>
      </c>
      <c r="B7767" s="38"/>
      <c r="C7767" s="23"/>
      <c r="D7767" s="23"/>
      <c r="E7767" s="24"/>
      <c r="F7767" s="25"/>
      <c r="G7767" s="25"/>
      <c r="H7767" s="27"/>
      <c r="I7767" s="28"/>
      <c r="J7767" s="39"/>
      <c r="K7767" s="41"/>
      <c r="L7767" s="31" t="str">
        <f>IFERROR(__xludf.DUMMYFUNCTION("IF(OR(E7767="""",K7767=""""),"""",IFERROR(IF(K7767="""","""",query('tbl user'!$A$2:$D10975,""SELECT A WHERE D = '""&amp;K7767&amp;""'"")),""USER TIDAK DIKETAHUI""))"),"")</f>
        <v/>
      </c>
    </row>
    <row r="7768">
      <c r="A7768" s="21" t="str">
        <f t="shared" si="3"/>
        <v/>
      </c>
      <c r="B7768" s="38"/>
      <c r="C7768" s="23"/>
      <c r="D7768" s="23"/>
      <c r="E7768" s="24"/>
      <c r="F7768" s="25"/>
      <c r="G7768" s="25"/>
      <c r="H7768" s="27"/>
      <c r="I7768" s="28"/>
      <c r="J7768" s="39"/>
      <c r="K7768" s="41"/>
      <c r="L7768" s="31" t="str">
        <f>IFERROR(__xludf.DUMMYFUNCTION("IF(OR(E7768="""",K7768=""""),"""",IFERROR(IF(K7768="""","""",query('tbl user'!$A$2:$D10975,""SELECT A WHERE D = '""&amp;K7768&amp;""'"")),""USER TIDAK DIKETAHUI""))"),"")</f>
        <v/>
      </c>
    </row>
    <row r="7769">
      <c r="A7769" s="21" t="str">
        <f t="shared" si="3"/>
        <v/>
      </c>
      <c r="B7769" s="38"/>
      <c r="C7769" s="23"/>
      <c r="D7769" s="23"/>
      <c r="E7769" s="24"/>
      <c r="F7769" s="25"/>
      <c r="G7769" s="25"/>
      <c r="H7769" s="27"/>
      <c r="I7769" s="28"/>
      <c r="J7769" s="39"/>
      <c r="K7769" s="41"/>
      <c r="L7769" s="31" t="str">
        <f>IFERROR(__xludf.DUMMYFUNCTION("IF(OR(E7769="""",K7769=""""),"""",IFERROR(IF(K7769="""","""",query('tbl user'!$A$2:$D10975,""SELECT A WHERE D = '""&amp;K7769&amp;""'"")),""USER TIDAK DIKETAHUI""))"),"")</f>
        <v/>
      </c>
    </row>
    <row r="7770">
      <c r="A7770" s="21" t="str">
        <f t="shared" si="3"/>
        <v/>
      </c>
      <c r="B7770" s="38"/>
      <c r="C7770" s="23"/>
      <c r="D7770" s="23"/>
      <c r="E7770" s="24"/>
      <c r="F7770" s="25"/>
      <c r="G7770" s="25"/>
      <c r="H7770" s="27"/>
      <c r="I7770" s="28"/>
      <c r="J7770" s="39"/>
      <c r="K7770" s="41"/>
      <c r="L7770" s="31" t="str">
        <f>IFERROR(__xludf.DUMMYFUNCTION("IF(OR(E7770="""",K7770=""""),"""",IFERROR(IF(K7770="""","""",query('tbl user'!$A$2:$D10975,""SELECT A WHERE D = '""&amp;K7770&amp;""'"")),""USER TIDAK DIKETAHUI""))"),"")</f>
        <v/>
      </c>
    </row>
    <row r="7771">
      <c r="A7771" s="21" t="str">
        <f t="shared" si="3"/>
        <v/>
      </c>
      <c r="B7771" s="38"/>
      <c r="C7771" s="23"/>
      <c r="D7771" s="23"/>
      <c r="E7771" s="24"/>
      <c r="F7771" s="25"/>
      <c r="G7771" s="25"/>
      <c r="H7771" s="27"/>
      <c r="I7771" s="28"/>
      <c r="J7771" s="39"/>
      <c r="K7771" s="41"/>
      <c r="L7771" s="31" t="str">
        <f>IFERROR(__xludf.DUMMYFUNCTION("IF(OR(E7771="""",K7771=""""),"""",IFERROR(IF(K7771="""","""",query('tbl user'!$A$2:$D10975,""SELECT A WHERE D = '""&amp;K7771&amp;""'"")),""USER TIDAK DIKETAHUI""))"),"")</f>
        <v/>
      </c>
    </row>
    <row r="7772">
      <c r="A7772" s="21" t="str">
        <f t="shared" si="3"/>
        <v/>
      </c>
      <c r="B7772" s="38"/>
      <c r="C7772" s="23"/>
      <c r="D7772" s="23"/>
      <c r="E7772" s="24"/>
      <c r="F7772" s="25"/>
      <c r="G7772" s="25"/>
      <c r="H7772" s="27"/>
      <c r="I7772" s="28"/>
      <c r="J7772" s="39"/>
      <c r="K7772" s="41"/>
      <c r="L7772" s="31" t="str">
        <f>IFERROR(__xludf.DUMMYFUNCTION("IF(OR(E7772="""",K7772=""""),"""",IFERROR(IF(K7772="""","""",query('tbl user'!$A$2:$D10975,""SELECT A WHERE D = '""&amp;K7772&amp;""'"")),""USER TIDAK DIKETAHUI""))"),"")</f>
        <v/>
      </c>
    </row>
    <row r="7773">
      <c r="A7773" s="21" t="str">
        <f t="shared" si="3"/>
        <v/>
      </c>
      <c r="B7773" s="38"/>
      <c r="C7773" s="23"/>
      <c r="D7773" s="23"/>
      <c r="E7773" s="24"/>
      <c r="F7773" s="25"/>
      <c r="G7773" s="25"/>
      <c r="H7773" s="27"/>
      <c r="I7773" s="28"/>
      <c r="J7773" s="39"/>
      <c r="K7773" s="41"/>
      <c r="L7773" s="31" t="str">
        <f>IFERROR(__xludf.DUMMYFUNCTION("IF(OR(E7773="""",K7773=""""),"""",IFERROR(IF(K7773="""","""",query('tbl user'!$A$2:$D10975,""SELECT A WHERE D = '""&amp;K7773&amp;""'"")),""USER TIDAK DIKETAHUI""))"),"")</f>
        <v/>
      </c>
    </row>
    <row r="7774">
      <c r="A7774" s="21" t="str">
        <f t="shared" si="3"/>
        <v/>
      </c>
      <c r="B7774" s="38"/>
      <c r="C7774" s="23"/>
      <c r="D7774" s="23"/>
      <c r="E7774" s="24"/>
      <c r="F7774" s="25"/>
      <c r="G7774" s="25"/>
      <c r="H7774" s="27"/>
      <c r="I7774" s="28"/>
      <c r="J7774" s="39"/>
      <c r="K7774" s="41"/>
      <c r="L7774" s="31" t="str">
        <f>IFERROR(__xludf.DUMMYFUNCTION("IF(OR(E7774="""",K7774=""""),"""",IFERROR(IF(K7774="""","""",query('tbl user'!$A$2:$D10975,""SELECT A WHERE D = '""&amp;K7774&amp;""'"")),""USER TIDAK DIKETAHUI""))"),"")</f>
        <v/>
      </c>
    </row>
    <row r="7775">
      <c r="A7775" s="21" t="str">
        <f t="shared" si="3"/>
        <v/>
      </c>
      <c r="B7775" s="38"/>
      <c r="C7775" s="23"/>
      <c r="D7775" s="23"/>
      <c r="E7775" s="24"/>
      <c r="F7775" s="25"/>
      <c r="G7775" s="25"/>
      <c r="H7775" s="27"/>
      <c r="I7775" s="28"/>
      <c r="J7775" s="39"/>
      <c r="K7775" s="41"/>
      <c r="L7775" s="31" t="str">
        <f>IFERROR(__xludf.DUMMYFUNCTION("IF(OR(E7775="""",K7775=""""),"""",IFERROR(IF(K7775="""","""",query('tbl user'!$A$2:$D10975,""SELECT A WHERE D = '""&amp;K7775&amp;""'"")),""USER TIDAK DIKETAHUI""))"),"")</f>
        <v/>
      </c>
    </row>
    <row r="7776">
      <c r="A7776" s="21" t="str">
        <f t="shared" si="3"/>
        <v/>
      </c>
      <c r="B7776" s="38"/>
      <c r="C7776" s="23"/>
      <c r="D7776" s="23"/>
      <c r="E7776" s="24"/>
      <c r="F7776" s="25"/>
      <c r="G7776" s="25"/>
      <c r="H7776" s="27"/>
      <c r="I7776" s="28"/>
      <c r="J7776" s="39"/>
      <c r="K7776" s="41"/>
      <c r="L7776" s="31" t="str">
        <f>IFERROR(__xludf.DUMMYFUNCTION("IF(OR(E7776="""",K7776=""""),"""",IFERROR(IF(K7776="""","""",query('tbl user'!$A$2:$D10975,""SELECT A WHERE D = '""&amp;K7776&amp;""'"")),""USER TIDAK DIKETAHUI""))"),"")</f>
        <v/>
      </c>
    </row>
    <row r="7777">
      <c r="A7777" s="21" t="str">
        <f t="shared" si="3"/>
        <v/>
      </c>
      <c r="B7777" s="38"/>
      <c r="C7777" s="23"/>
      <c r="D7777" s="23"/>
      <c r="E7777" s="24"/>
      <c r="F7777" s="25"/>
      <c r="G7777" s="25"/>
      <c r="H7777" s="27"/>
      <c r="I7777" s="28"/>
      <c r="J7777" s="39"/>
      <c r="K7777" s="41"/>
      <c r="L7777" s="31" t="str">
        <f>IFERROR(__xludf.DUMMYFUNCTION("IF(OR(E7777="""",K7777=""""),"""",IFERROR(IF(K7777="""","""",query('tbl user'!$A$2:$D10975,""SELECT A WHERE D = '""&amp;K7777&amp;""'"")),""USER TIDAK DIKETAHUI""))"),"")</f>
        <v/>
      </c>
    </row>
    <row r="7778">
      <c r="A7778" s="21" t="str">
        <f t="shared" si="3"/>
        <v/>
      </c>
      <c r="B7778" s="38"/>
      <c r="C7778" s="23"/>
      <c r="D7778" s="23"/>
      <c r="E7778" s="24"/>
      <c r="F7778" s="25"/>
      <c r="G7778" s="25"/>
      <c r="H7778" s="27"/>
      <c r="I7778" s="28"/>
      <c r="J7778" s="39"/>
      <c r="K7778" s="41"/>
      <c r="L7778" s="31" t="str">
        <f>IFERROR(__xludf.DUMMYFUNCTION("IF(OR(E7778="""",K7778=""""),"""",IFERROR(IF(K7778="""","""",query('tbl user'!$A$2:$D10975,""SELECT A WHERE D = '""&amp;K7778&amp;""'"")),""USER TIDAK DIKETAHUI""))"),"")</f>
        <v/>
      </c>
    </row>
    <row r="7779">
      <c r="A7779" s="21" t="str">
        <f t="shared" si="3"/>
        <v/>
      </c>
      <c r="B7779" s="38"/>
      <c r="C7779" s="23"/>
      <c r="D7779" s="23"/>
      <c r="E7779" s="24"/>
      <c r="F7779" s="25"/>
      <c r="G7779" s="25"/>
      <c r="H7779" s="27"/>
      <c r="I7779" s="28"/>
      <c r="J7779" s="39"/>
      <c r="K7779" s="41"/>
      <c r="L7779" s="31" t="str">
        <f>IFERROR(__xludf.DUMMYFUNCTION("IF(OR(E7779="""",K7779=""""),"""",IFERROR(IF(K7779="""","""",query('tbl user'!$A$2:$D10975,""SELECT A WHERE D = '""&amp;K7779&amp;""'"")),""USER TIDAK DIKETAHUI""))"),"")</f>
        <v/>
      </c>
    </row>
    <row r="7780">
      <c r="A7780" s="21" t="str">
        <f t="shared" si="3"/>
        <v/>
      </c>
      <c r="B7780" s="38"/>
      <c r="C7780" s="23"/>
      <c r="D7780" s="23"/>
      <c r="E7780" s="24"/>
      <c r="F7780" s="25"/>
      <c r="G7780" s="25"/>
      <c r="H7780" s="27"/>
      <c r="I7780" s="28"/>
      <c r="J7780" s="39"/>
      <c r="K7780" s="41"/>
      <c r="L7780" s="31" t="str">
        <f>IFERROR(__xludf.DUMMYFUNCTION("IF(OR(E7780="""",K7780=""""),"""",IFERROR(IF(K7780="""","""",query('tbl user'!$A$2:$D10975,""SELECT A WHERE D = '""&amp;K7780&amp;""'"")),""USER TIDAK DIKETAHUI""))"),"")</f>
        <v/>
      </c>
    </row>
    <row r="7781">
      <c r="A7781" s="21" t="str">
        <f t="shared" si="3"/>
        <v/>
      </c>
      <c r="B7781" s="38"/>
      <c r="C7781" s="23"/>
      <c r="D7781" s="23"/>
      <c r="E7781" s="24"/>
      <c r="F7781" s="25"/>
      <c r="G7781" s="25"/>
      <c r="H7781" s="27"/>
      <c r="I7781" s="28"/>
      <c r="J7781" s="39"/>
      <c r="K7781" s="41"/>
      <c r="L7781" s="31" t="str">
        <f>IFERROR(__xludf.DUMMYFUNCTION("IF(OR(E7781="""",K7781=""""),"""",IFERROR(IF(K7781="""","""",query('tbl user'!$A$2:$D10975,""SELECT A WHERE D = '""&amp;K7781&amp;""'"")),""USER TIDAK DIKETAHUI""))"),"")</f>
        <v/>
      </c>
    </row>
    <row r="7782">
      <c r="A7782" s="21" t="str">
        <f t="shared" si="3"/>
        <v/>
      </c>
      <c r="B7782" s="38"/>
      <c r="C7782" s="23"/>
      <c r="D7782" s="23"/>
      <c r="E7782" s="24"/>
      <c r="F7782" s="25"/>
      <c r="G7782" s="25"/>
      <c r="H7782" s="27"/>
      <c r="I7782" s="28"/>
      <c r="J7782" s="39"/>
      <c r="K7782" s="41"/>
      <c r="L7782" s="31" t="str">
        <f>IFERROR(__xludf.DUMMYFUNCTION("IF(OR(E7782="""",K7782=""""),"""",IFERROR(IF(K7782="""","""",query('tbl user'!$A$2:$D10975,""SELECT A WHERE D = '""&amp;K7782&amp;""'"")),""USER TIDAK DIKETAHUI""))"),"")</f>
        <v/>
      </c>
    </row>
    <row r="7783">
      <c r="A7783" s="21" t="str">
        <f t="shared" si="3"/>
        <v/>
      </c>
      <c r="B7783" s="38"/>
      <c r="C7783" s="23"/>
      <c r="D7783" s="23"/>
      <c r="E7783" s="24"/>
      <c r="F7783" s="25"/>
      <c r="G7783" s="25"/>
      <c r="H7783" s="27"/>
      <c r="I7783" s="28"/>
      <c r="J7783" s="39"/>
      <c r="K7783" s="41"/>
      <c r="L7783" s="31" t="str">
        <f>IFERROR(__xludf.DUMMYFUNCTION("IF(OR(E7783="""",K7783=""""),"""",IFERROR(IF(K7783="""","""",query('tbl user'!$A$2:$D10975,""SELECT A WHERE D = '""&amp;K7783&amp;""'"")),""USER TIDAK DIKETAHUI""))"),"")</f>
        <v/>
      </c>
    </row>
    <row r="7784">
      <c r="A7784" s="21" t="str">
        <f t="shared" si="3"/>
        <v/>
      </c>
      <c r="B7784" s="38"/>
      <c r="C7784" s="23"/>
      <c r="D7784" s="23"/>
      <c r="E7784" s="24"/>
      <c r="F7784" s="25"/>
      <c r="G7784" s="25"/>
      <c r="H7784" s="27"/>
      <c r="I7784" s="28"/>
      <c r="J7784" s="39"/>
      <c r="K7784" s="41"/>
      <c r="L7784" s="31" t="str">
        <f>IFERROR(__xludf.DUMMYFUNCTION("IF(OR(E7784="""",K7784=""""),"""",IFERROR(IF(K7784="""","""",query('tbl user'!$A$2:$D10975,""SELECT A WHERE D = '""&amp;K7784&amp;""'"")),""USER TIDAK DIKETAHUI""))"),"")</f>
        <v/>
      </c>
    </row>
    <row r="7785">
      <c r="A7785" s="21" t="str">
        <f t="shared" si="3"/>
        <v/>
      </c>
      <c r="B7785" s="38"/>
      <c r="C7785" s="23"/>
      <c r="D7785" s="23"/>
      <c r="E7785" s="24"/>
      <c r="F7785" s="25"/>
      <c r="G7785" s="25"/>
      <c r="H7785" s="27"/>
      <c r="I7785" s="28"/>
      <c r="J7785" s="39"/>
      <c r="K7785" s="41"/>
      <c r="L7785" s="31" t="str">
        <f>IFERROR(__xludf.DUMMYFUNCTION("IF(OR(E7785="""",K7785=""""),"""",IFERROR(IF(K7785="""","""",query('tbl user'!$A$2:$D10975,""SELECT A WHERE D = '""&amp;K7785&amp;""'"")),""USER TIDAK DIKETAHUI""))"),"")</f>
        <v/>
      </c>
    </row>
    <row r="7786">
      <c r="A7786" s="21" t="str">
        <f t="shared" si="3"/>
        <v/>
      </c>
      <c r="B7786" s="38"/>
      <c r="C7786" s="23"/>
      <c r="D7786" s="23"/>
      <c r="E7786" s="24"/>
      <c r="F7786" s="25"/>
      <c r="G7786" s="25"/>
      <c r="H7786" s="27"/>
      <c r="I7786" s="28"/>
      <c r="J7786" s="39"/>
      <c r="K7786" s="41"/>
      <c r="L7786" s="31" t="str">
        <f>IFERROR(__xludf.DUMMYFUNCTION("IF(OR(E7786="""",K7786=""""),"""",IFERROR(IF(K7786="""","""",query('tbl user'!$A$2:$D10975,""SELECT A WHERE D = '""&amp;K7786&amp;""'"")),""USER TIDAK DIKETAHUI""))"),"")</f>
        <v/>
      </c>
    </row>
    <row r="7787">
      <c r="A7787" s="21" t="str">
        <f t="shared" si="3"/>
        <v/>
      </c>
      <c r="B7787" s="38"/>
      <c r="C7787" s="23"/>
      <c r="D7787" s="23"/>
      <c r="E7787" s="24"/>
      <c r="F7787" s="25"/>
      <c r="G7787" s="25"/>
      <c r="H7787" s="27"/>
      <c r="I7787" s="28"/>
      <c r="J7787" s="39"/>
      <c r="K7787" s="41"/>
      <c r="L7787" s="31" t="str">
        <f>IFERROR(__xludf.DUMMYFUNCTION("IF(OR(E7787="""",K7787=""""),"""",IFERROR(IF(K7787="""","""",query('tbl user'!$A$2:$D10975,""SELECT A WHERE D = '""&amp;K7787&amp;""'"")),""USER TIDAK DIKETAHUI""))"),"")</f>
        <v/>
      </c>
    </row>
    <row r="7788">
      <c r="A7788" s="21" t="str">
        <f t="shared" si="3"/>
        <v/>
      </c>
      <c r="B7788" s="38"/>
      <c r="C7788" s="23"/>
      <c r="D7788" s="23"/>
      <c r="E7788" s="24"/>
      <c r="F7788" s="25"/>
      <c r="G7788" s="25"/>
      <c r="H7788" s="27"/>
      <c r="I7788" s="28"/>
      <c r="J7788" s="39"/>
      <c r="K7788" s="41"/>
      <c r="L7788" s="31" t="str">
        <f>IFERROR(__xludf.DUMMYFUNCTION("IF(OR(E7788="""",K7788=""""),"""",IFERROR(IF(K7788="""","""",query('tbl user'!$A$2:$D10975,""SELECT A WHERE D = '""&amp;K7788&amp;""'"")),""USER TIDAK DIKETAHUI""))"),"")</f>
        <v/>
      </c>
    </row>
    <row r="7789">
      <c r="A7789" s="21" t="str">
        <f t="shared" si="3"/>
        <v/>
      </c>
      <c r="B7789" s="38"/>
      <c r="C7789" s="23"/>
      <c r="D7789" s="23"/>
      <c r="E7789" s="24"/>
      <c r="F7789" s="25"/>
      <c r="G7789" s="25"/>
      <c r="H7789" s="27"/>
      <c r="I7789" s="28"/>
      <c r="J7789" s="39"/>
      <c r="K7789" s="41"/>
      <c r="L7789" s="31" t="str">
        <f>IFERROR(__xludf.DUMMYFUNCTION("IF(OR(E7789="""",K7789=""""),"""",IFERROR(IF(K7789="""","""",query('tbl user'!$A$2:$D10975,""SELECT A WHERE D = '""&amp;K7789&amp;""'"")),""USER TIDAK DIKETAHUI""))"),"")</f>
        <v/>
      </c>
    </row>
    <row r="7790">
      <c r="A7790" s="21" t="str">
        <f t="shared" si="3"/>
        <v/>
      </c>
      <c r="B7790" s="38"/>
      <c r="C7790" s="23"/>
      <c r="D7790" s="23"/>
      <c r="E7790" s="24"/>
      <c r="F7790" s="25"/>
      <c r="G7790" s="25"/>
      <c r="H7790" s="27"/>
      <c r="I7790" s="28"/>
      <c r="J7790" s="39"/>
      <c r="K7790" s="41"/>
      <c r="L7790" s="31" t="str">
        <f>IFERROR(__xludf.DUMMYFUNCTION("IF(OR(E7790="""",K7790=""""),"""",IFERROR(IF(K7790="""","""",query('tbl user'!$A$2:$D10975,""SELECT A WHERE D = '""&amp;K7790&amp;""'"")),""USER TIDAK DIKETAHUI""))"),"")</f>
        <v/>
      </c>
    </row>
    <row r="7791">
      <c r="A7791" s="21" t="str">
        <f t="shared" si="3"/>
        <v/>
      </c>
      <c r="B7791" s="38"/>
      <c r="C7791" s="23"/>
      <c r="D7791" s="23"/>
      <c r="E7791" s="24"/>
      <c r="F7791" s="25"/>
      <c r="G7791" s="25"/>
      <c r="H7791" s="27"/>
      <c r="I7791" s="28"/>
      <c r="J7791" s="39"/>
      <c r="K7791" s="41"/>
      <c r="L7791" s="31" t="str">
        <f>IFERROR(__xludf.DUMMYFUNCTION("IF(OR(E7791="""",K7791=""""),"""",IFERROR(IF(K7791="""","""",query('tbl user'!$A$2:$D10975,""SELECT A WHERE D = '""&amp;K7791&amp;""'"")),""USER TIDAK DIKETAHUI""))"),"")</f>
        <v/>
      </c>
    </row>
    <row r="7792">
      <c r="A7792" s="21" t="str">
        <f t="shared" si="3"/>
        <v/>
      </c>
      <c r="B7792" s="38"/>
      <c r="C7792" s="23"/>
      <c r="D7792" s="23"/>
      <c r="E7792" s="24"/>
      <c r="F7792" s="25"/>
      <c r="G7792" s="25"/>
      <c r="H7792" s="27"/>
      <c r="I7792" s="28"/>
      <c r="J7792" s="39"/>
      <c r="K7792" s="41"/>
      <c r="L7792" s="31" t="str">
        <f>IFERROR(__xludf.DUMMYFUNCTION("IF(OR(E7792="""",K7792=""""),"""",IFERROR(IF(K7792="""","""",query('tbl user'!$A$2:$D10975,""SELECT A WHERE D = '""&amp;K7792&amp;""'"")),""USER TIDAK DIKETAHUI""))"),"")</f>
        <v/>
      </c>
    </row>
    <row r="7793">
      <c r="A7793" s="21" t="str">
        <f t="shared" si="3"/>
        <v/>
      </c>
      <c r="B7793" s="38"/>
      <c r="C7793" s="23"/>
      <c r="D7793" s="23"/>
      <c r="E7793" s="24"/>
      <c r="F7793" s="25"/>
      <c r="G7793" s="25"/>
      <c r="H7793" s="27"/>
      <c r="I7793" s="28"/>
      <c r="J7793" s="39"/>
      <c r="K7793" s="41"/>
      <c r="L7793" s="31" t="str">
        <f>IFERROR(__xludf.DUMMYFUNCTION("IF(OR(E7793="""",K7793=""""),"""",IFERROR(IF(K7793="""","""",query('tbl user'!$A$2:$D10975,""SELECT A WHERE D = '""&amp;K7793&amp;""'"")),""USER TIDAK DIKETAHUI""))"),"")</f>
        <v/>
      </c>
    </row>
    <row r="7794">
      <c r="A7794" s="21" t="str">
        <f t="shared" si="3"/>
        <v/>
      </c>
      <c r="B7794" s="38"/>
      <c r="C7794" s="23"/>
      <c r="D7794" s="23"/>
      <c r="E7794" s="24"/>
      <c r="F7794" s="25"/>
      <c r="G7794" s="25"/>
      <c r="H7794" s="27"/>
      <c r="I7794" s="28"/>
      <c r="J7794" s="39"/>
      <c r="K7794" s="41"/>
      <c r="L7794" s="31" t="str">
        <f>IFERROR(__xludf.DUMMYFUNCTION("IF(OR(E7794="""",K7794=""""),"""",IFERROR(IF(K7794="""","""",query('tbl user'!$A$2:$D10975,""SELECT A WHERE D = '""&amp;K7794&amp;""'"")),""USER TIDAK DIKETAHUI""))"),"")</f>
        <v/>
      </c>
    </row>
    <row r="7795">
      <c r="A7795" s="21" t="str">
        <f t="shared" si="3"/>
        <v/>
      </c>
      <c r="B7795" s="38"/>
      <c r="C7795" s="23"/>
      <c r="D7795" s="23"/>
      <c r="E7795" s="24"/>
      <c r="F7795" s="25"/>
      <c r="G7795" s="25"/>
      <c r="H7795" s="27"/>
      <c r="I7795" s="28"/>
      <c r="J7795" s="39"/>
      <c r="K7795" s="41"/>
      <c r="L7795" s="31" t="str">
        <f>IFERROR(__xludf.DUMMYFUNCTION("IF(OR(E7795="""",K7795=""""),"""",IFERROR(IF(K7795="""","""",query('tbl user'!$A$2:$D10975,""SELECT A WHERE D = '""&amp;K7795&amp;""'"")),""USER TIDAK DIKETAHUI""))"),"")</f>
        <v/>
      </c>
    </row>
    <row r="7796">
      <c r="A7796" s="21" t="str">
        <f t="shared" si="3"/>
        <v/>
      </c>
      <c r="B7796" s="38"/>
      <c r="C7796" s="23"/>
      <c r="D7796" s="23"/>
      <c r="E7796" s="24"/>
      <c r="F7796" s="25"/>
      <c r="G7796" s="25"/>
      <c r="H7796" s="27"/>
      <c r="I7796" s="28"/>
      <c r="J7796" s="39"/>
      <c r="K7796" s="41"/>
      <c r="L7796" s="31" t="str">
        <f>IFERROR(__xludf.DUMMYFUNCTION("IF(OR(E7796="""",K7796=""""),"""",IFERROR(IF(K7796="""","""",query('tbl user'!$A$2:$D10975,""SELECT A WHERE D = '""&amp;K7796&amp;""'"")),""USER TIDAK DIKETAHUI""))"),"")</f>
        <v/>
      </c>
    </row>
    <row r="7797">
      <c r="A7797" s="21" t="str">
        <f t="shared" si="3"/>
        <v/>
      </c>
      <c r="B7797" s="38"/>
      <c r="C7797" s="23"/>
      <c r="D7797" s="23"/>
      <c r="E7797" s="24"/>
      <c r="F7797" s="25"/>
      <c r="G7797" s="25"/>
      <c r="H7797" s="27"/>
      <c r="I7797" s="28"/>
      <c r="J7797" s="39"/>
      <c r="K7797" s="41"/>
      <c r="L7797" s="31" t="str">
        <f>IFERROR(__xludf.DUMMYFUNCTION("IF(OR(E7797="""",K7797=""""),"""",IFERROR(IF(K7797="""","""",query('tbl user'!$A$2:$D10975,""SELECT A WHERE D = '""&amp;K7797&amp;""'"")),""USER TIDAK DIKETAHUI""))"),"")</f>
        <v/>
      </c>
    </row>
    <row r="7798">
      <c r="A7798" s="21" t="str">
        <f t="shared" si="3"/>
        <v/>
      </c>
      <c r="B7798" s="38"/>
      <c r="C7798" s="23"/>
      <c r="D7798" s="23"/>
      <c r="E7798" s="24"/>
      <c r="F7798" s="25"/>
      <c r="G7798" s="25"/>
      <c r="H7798" s="27"/>
      <c r="I7798" s="28"/>
      <c r="J7798" s="39"/>
      <c r="K7798" s="41"/>
      <c r="L7798" s="31" t="str">
        <f>IFERROR(__xludf.DUMMYFUNCTION("IF(OR(E7798="""",K7798=""""),"""",IFERROR(IF(K7798="""","""",query('tbl user'!$A$2:$D10975,""SELECT A WHERE D = '""&amp;K7798&amp;""'"")),""USER TIDAK DIKETAHUI""))"),"")</f>
        <v/>
      </c>
    </row>
    <row r="7799">
      <c r="A7799" s="21" t="str">
        <f t="shared" si="3"/>
        <v/>
      </c>
      <c r="B7799" s="38"/>
      <c r="C7799" s="23"/>
      <c r="D7799" s="23"/>
      <c r="E7799" s="24"/>
      <c r="F7799" s="25"/>
      <c r="G7799" s="25"/>
      <c r="H7799" s="27"/>
      <c r="I7799" s="28"/>
      <c r="J7799" s="39"/>
      <c r="K7799" s="41"/>
      <c r="L7799" s="31" t="str">
        <f>IFERROR(__xludf.DUMMYFUNCTION("IF(OR(E7799="""",K7799=""""),"""",IFERROR(IF(K7799="""","""",query('tbl user'!$A$2:$D10975,""SELECT A WHERE D = '""&amp;K7799&amp;""'"")),""USER TIDAK DIKETAHUI""))"),"")</f>
        <v/>
      </c>
    </row>
    <row r="7800">
      <c r="A7800" s="21" t="str">
        <f t="shared" si="3"/>
        <v/>
      </c>
      <c r="B7800" s="38"/>
      <c r="C7800" s="23"/>
      <c r="D7800" s="23"/>
      <c r="E7800" s="24"/>
      <c r="F7800" s="25"/>
      <c r="G7800" s="25"/>
      <c r="H7800" s="27"/>
      <c r="I7800" s="28"/>
      <c r="J7800" s="39"/>
      <c r="K7800" s="41"/>
      <c r="L7800" s="31" t="str">
        <f>IFERROR(__xludf.DUMMYFUNCTION("IF(OR(E7800="""",K7800=""""),"""",IFERROR(IF(K7800="""","""",query('tbl user'!$A$2:$D10975,""SELECT A WHERE D = '""&amp;K7800&amp;""'"")),""USER TIDAK DIKETAHUI""))"),"")</f>
        <v/>
      </c>
    </row>
    <row r="7801">
      <c r="A7801" s="21" t="str">
        <f t="shared" si="3"/>
        <v/>
      </c>
      <c r="B7801" s="38"/>
      <c r="C7801" s="23"/>
      <c r="D7801" s="23"/>
      <c r="E7801" s="24"/>
      <c r="F7801" s="25"/>
      <c r="G7801" s="25"/>
      <c r="H7801" s="27"/>
      <c r="I7801" s="28"/>
      <c r="J7801" s="39"/>
      <c r="K7801" s="41"/>
      <c r="L7801" s="31" t="str">
        <f>IFERROR(__xludf.DUMMYFUNCTION("IF(OR(E7801="""",K7801=""""),"""",IFERROR(IF(K7801="""","""",query('tbl user'!$A$2:$D10975,""SELECT A WHERE D = '""&amp;K7801&amp;""'"")),""USER TIDAK DIKETAHUI""))"),"")</f>
        <v/>
      </c>
    </row>
    <row r="7802">
      <c r="A7802" s="21" t="str">
        <f t="shared" si="3"/>
        <v/>
      </c>
      <c r="B7802" s="38"/>
      <c r="C7802" s="23"/>
      <c r="D7802" s="23"/>
      <c r="E7802" s="24"/>
      <c r="F7802" s="25"/>
      <c r="G7802" s="25"/>
      <c r="H7802" s="27"/>
      <c r="I7802" s="28"/>
      <c r="J7802" s="39"/>
      <c r="K7802" s="41"/>
      <c r="L7802" s="31" t="str">
        <f>IFERROR(__xludf.DUMMYFUNCTION("IF(OR(E7802="""",K7802=""""),"""",IFERROR(IF(K7802="""","""",query('tbl user'!$A$2:$D10975,""SELECT A WHERE D = '""&amp;K7802&amp;""'"")),""USER TIDAK DIKETAHUI""))"),"")</f>
        <v/>
      </c>
    </row>
    <row r="7803">
      <c r="A7803" s="21" t="str">
        <f t="shared" si="3"/>
        <v/>
      </c>
      <c r="B7803" s="38"/>
      <c r="C7803" s="23"/>
      <c r="D7803" s="23"/>
      <c r="E7803" s="24"/>
      <c r="F7803" s="25"/>
      <c r="G7803" s="25"/>
      <c r="H7803" s="27"/>
      <c r="I7803" s="28"/>
      <c r="J7803" s="39"/>
      <c r="K7803" s="41"/>
      <c r="L7803" s="31" t="str">
        <f>IFERROR(__xludf.DUMMYFUNCTION("IF(OR(E7803="""",K7803=""""),"""",IFERROR(IF(K7803="""","""",query('tbl user'!$A$2:$D10975,""SELECT A WHERE D = '""&amp;K7803&amp;""'"")),""USER TIDAK DIKETAHUI""))"),"")</f>
        <v/>
      </c>
    </row>
    <row r="7804">
      <c r="A7804" s="21" t="str">
        <f t="shared" si="3"/>
        <v/>
      </c>
      <c r="B7804" s="38"/>
      <c r="C7804" s="23"/>
      <c r="D7804" s="23"/>
      <c r="E7804" s="24"/>
      <c r="F7804" s="25"/>
      <c r="G7804" s="25"/>
      <c r="H7804" s="27"/>
      <c r="I7804" s="28"/>
      <c r="J7804" s="39"/>
      <c r="K7804" s="41"/>
      <c r="L7804" s="31" t="str">
        <f>IFERROR(__xludf.DUMMYFUNCTION("IF(OR(E7804="""",K7804=""""),"""",IFERROR(IF(K7804="""","""",query('tbl user'!$A$2:$D10975,""SELECT A WHERE D = '""&amp;K7804&amp;""'"")),""USER TIDAK DIKETAHUI""))"),"")</f>
        <v/>
      </c>
    </row>
    <row r="7805">
      <c r="A7805" s="21" t="str">
        <f t="shared" si="3"/>
        <v/>
      </c>
      <c r="B7805" s="38"/>
      <c r="C7805" s="23"/>
      <c r="D7805" s="23"/>
      <c r="E7805" s="24"/>
      <c r="F7805" s="25"/>
      <c r="G7805" s="25"/>
      <c r="H7805" s="27"/>
      <c r="I7805" s="28"/>
      <c r="J7805" s="39"/>
      <c r="K7805" s="41"/>
      <c r="L7805" s="31" t="str">
        <f>IFERROR(__xludf.DUMMYFUNCTION("IF(OR(E7805="""",K7805=""""),"""",IFERROR(IF(K7805="""","""",query('tbl user'!$A$2:$D10975,""SELECT A WHERE D = '""&amp;K7805&amp;""'"")),""USER TIDAK DIKETAHUI""))"),"")</f>
        <v/>
      </c>
    </row>
    <row r="7806">
      <c r="A7806" s="21" t="str">
        <f t="shared" si="3"/>
        <v/>
      </c>
      <c r="B7806" s="38"/>
      <c r="C7806" s="23"/>
      <c r="D7806" s="23"/>
      <c r="E7806" s="24"/>
      <c r="F7806" s="25"/>
      <c r="G7806" s="25"/>
      <c r="H7806" s="27"/>
      <c r="I7806" s="28"/>
      <c r="J7806" s="39"/>
      <c r="K7806" s="41"/>
      <c r="L7806" s="31" t="str">
        <f>IFERROR(__xludf.DUMMYFUNCTION("IF(OR(E7806="""",K7806=""""),"""",IFERROR(IF(K7806="""","""",query('tbl user'!$A$2:$D10975,""SELECT A WHERE D = '""&amp;K7806&amp;""'"")),""USER TIDAK DIKETAHUI""))"),"")</f>
        <v/>
      </c>
    </row>
    <row r="7807">
      <c r="A7807" s="21" t="str">
        <f t="shared" si="3"/>
        <v/>
      </c>
      <c r="B7807" s="38"/>
      <c r="C7807" s="23"/>
      <c r="D7807" s="23"/>
      <c r="E7807" s="24"/>
      <c r="F7807" s="25"/>
      <c r="G7807" s="25"/>
      <c r="H7807" s="27"/>
      <c r="I7807" s="28"/>
      <c r="J7807" s="39"/>
      <c r="K7807" s="41"/>
      <c r="L7807" s="31" t="str">
        <f>IFERROR(__xludf.DUMMYFUNCTION("IF(OR(E7807="""",K7807=""""),"""",IFERROR(IF(K7807="""","""",query('tbl user'!$A$2:$D10975,""SELECT A WHERE D = '""&amp;K7807&amp;""'"")),""USER TIDAK DIKETAHUI""))"),"")</f>
        <v/>
      </c>
    </row>
    <row r="7808">
      <c r="A7808" s="21" t="str">
        <f t="shared" si="3"/>
        <v/>
      </c>
      <c r="B7808" s="38"/>
      <c r="C7808" s="23"/>
      <c r="D7808" s="23"/>
      <c r="E7808" s="24"/>
      <c r="F7808" s="25"/>
      <c r="G7808" s="25"/>
      <c r="H7808" s="27"/>
      <c r="I7808" s="28"/>
      <c r="J7808" s="39"/>
      <c r="K7808" s="41"/>
      <c r="L7808" s="31" t="str">
        <f>IFERROR(__xludf.DUMMYFUNCTION("IF(OR(E7808="""",K7808=""""),"""",IFERROR(IF(K7808="""","""",query('tbl user'!$A$2:$D10975,""SELECT A WHERE D = '""&amp;K7808&amp;""'"")),""USER TIDAK DIKETAHUI""))"),"")</f>
        <v/>
      </c>
    </row>
    <row r="7809">
      <c r="A7809" s="21" t="str">
        <f t="shared" si="3"/>
        <v/>
      </c>
      <c r="B7809" s="38"/>
      <c r="C7809" s="23"/>
      <c r="D7809" s="23"/>
      <c r="E7809" s="24"/>
      <c r="F7809" s="25"/>
      <c r="G7809" s="25"/>
      <c r="H7809" s="27"/>
      <c r="I7809" s="28"/>
      <c r="J7809" s="39"/>
      <c r="K7809" s="41"/>
      <c r="L7809" s="31" t="str">
        <f>IFERROR(__xludf.DUMMYFUNCTION("IF(OR(E7809="""",K7809=""""),"""",IFERROR(IF(K7809="""","""",query('tbl user'!$A$2:$D10975,""SELECT A WHERE D = '""&amp;K7809&amp;""'"")),""USER TIDAK DIKETAHUI""))"),"")</f>
        <v/>
      </c>
    </row>
    <row r="7810">
      <c r="A7810" s="21" t="str">
        <f t="shared" si="3"/>
        <v/>
      </c>
      <c r="B7810" s="38"/>
      <c r="C7810" s="23"/>
      <c r="D7810" s="23"/>
      <c r="E7810" s="24"/>
      <c r="F7810" s="25"/>
      <c r="G7810" s="25"/>
      <c r="H7810" s="27"/>
      <c r="I7810" s="28"/>
      <c r="J7810" s="39"/>
      <c r="K7810" s="41"/>
      <c r="L7810" s="31" t="str">
        <f>IFERROR(__xludf.DUMMYFUNCTION("IF(OR(E7810="""",K7810=""""),"""",IFERROR(IF(K7810="""","""",query('tbl user'!$A$2:$D10975,""SELECT A WHERE D = '""&amp;K7810&amp;""'"")),""USER TIDAK DIKETAHUI""))"),"")</f>
        <v/>
      </c>
    </row>
    <row r="7811">
      <c r="A7811" s="21" t="str">
        <f t="shared" si="3"/>
        <v/>
      </c>
      <c r="B7811" s="38"/>
      <c r="C7811" s="23"/>
      <c r="D7811" s="23"/>
      <c r="E7811" s="24"/>
      <c r="F7811" s="25"/>
      <c r="G7811" s="25"/>
      <c r="H7811" s="27"/>
      <c r="I7811" s="28"/>
      <c r="J7811" s="39"/>
      <c r="K7811" s="41"/>
      <c r="L7811" s="31" t="str">
        <f>IFERROR(__xludf.DUMMYFUNCTION("IF(OR(E7811="""",K7811=""""),"""",IFERROR(IF(K7811="""","""",query('tbl user'!$A$2:$D10975,""SELECT A WHERE D = '""&amp;K7811&amp;""'"")),""USER TIDAK DIKETAHUI""))"),"")</f>
        <v/>
      </c>
    </row>
    <row r="7812">
      <c r="A7812" s="21" t="str">
        <f t="shared" si="3"/>
        <v/>
      </c>
      <c r="B7812" s="38"/>
      <c r="C7812" s="23"/>
      <c r="D7812" s="23"/>
      <c r="E7812" s="24"/>
      <c r="F7812" s="25"/>
      <c r="G7812" s="25"/>
      <c r="H7812" s="27"/>
      <c r="I7812" s="28"/>
      <c r="J7812" s="39"/>
      <c r="K7812" s="41"/>
      <c r="L7812" s="31" t="str">
        <f>IFERROR(__xludf.DUMMYFUNCTION("IF(OR(E7812="""",K7812=""""),"""",IFERROR(IF(K7812="""","""",query('tbl user'!$A$2:$D10975,""SELECT A WHERE D = '""&amp;K7812&amp;""'"")),""USER TIDAK DIKETAHUI""))"),"")</f>
        <v/>
      </c>
    </row>
    <row r="7813">
      <c r="A7813" s="21" t="str">
        <f t="shared" si="3"/>
        <v/>
      </c>
      <c r="B7813" s="38"/>
      <c r="C7813" s="23"/>
      <c r="D7813" s="23"/>
      <c r="E7813" s="24"/>
      <c r="F7813" s="25"/>
      <c r="G7813" s="25"/>
      <c r="H7813" s="27"/>
      <c r="I7813" s="28"/>
      <c r="J7813" s="39"/>
      <c r="K7813" s="41"/>
      <c r="L7813" s="31" t="str">
        <f>IFERROR(__xludf.DUMMYFUNCTION("IF(OR(E7813="""",K7813=""""),"""",IFERROR(IF(K7813="""","""",query('tbl user'!$A$2:$D10975,""SELECT A WHERE D = '""&amp;K7813&amp;""'"")),""USER TIDAK DIKETAHUI""))"),"")</f>
        <v/>
      </c>
    </row>
    <row r="7814">
      <c r="A7814" s="21" t="str">
        <f t="shared" si="3"/>
        <v/>
      </c>
      <c r="B7814" s="38"/>
      <c r="C7814" s="23"/>
      <c r="D7814" s="23"/>
      <c r="E7814" s="24"/>
      <c r="F7814" s="25"/>
      <c r="G7814" s="25"/>
      <c r="H7814" s="27"/>
      <c r="I7814" s="28"/>
      <c r="J7814" s="39"/>
      <c r="K7814" s="41"/>
      <c r="L7814" s="31" t="str">
        <f>IFERROR(__xludf.DUMMYFUNCTION("IF(OR(E7814="""",K7814=""""),"""",IFERROR(IF(K7814="""","""",query('tbl user'!$A$2:$D10975,""SELECT A WHERE D = '""&amp;K7814&amp;""'"")),""USER TIDAK DIKETAHUI""))"),"")</f>
        <v/>
      </c>
    </row>
    <row r="7815">
      <c r="A7815" s="21" t="str">
        <f t="shared" si="3"/>
        <v/>
      </c>
      <c r="B7815" s="38"/>
      <c r="C7815" s="23"/>
      <c r="D7815" s="23"/>
      <c r="E7815" s="24"/>
      <c r="F7815" s="25"/>
      <c r="G7815" s="25"/>
      <c r="H7815" s="27"/>
      <c r="I7815" s="28"/>
      <c r="J7815" s="39"/>
      <c r="K7815" s="41"/>
      <c r="L7815" s="31" t="str">
        <f>IFERROR(__xludf.DUMMYFUNCTION("IF(OR(E7815="""",K7815=""""),"""",IFERROR(IF(K7815="""","""",query('tbl user'!$A$2:$D10975,""SELECT A WHERE D = '""&amp;K7815&amp;""'"")),""USER TIDAK DIKETAHUI""))"),"")</f>
        <v/>
      </c>
    </row>
    <row r="7816">
      <c r="A7816" s="21" t="str">
        <f t="shared" si="3"/>
        <v/>
      </c>
      <c r="B7816" s="38"/>
      <c r="C7816" s="23"/>
      <c r="D7816" s="23"/>
      <c r="E7816" s="24"/>
      <c r="F7816" s="25"/>
      <c r="G7816" s="25"/>
      <c r="H7816" s="27"/>
      <c r="I7816" s="28"/>
      <c r="J7816" s="39"/>
      <c r="K7816" s="41"/>
      <c r="L7816" s="31" t="str">
        <f>IFERROR(__xludf.DUMMYFUNCTION("IF(OR(E7816="""",K7816=""""),"""",IFERROR(IF(K7816="""","""",query('tbl user'!$A$2:$D10975,""SELECT A WHERE D = '""&amp;K7816&amp;""'"")),""USER TIDAK DIKETAHUI""))"),"")</f>
        <v/>
      </c>
    </row>
    <row r="7817">
      <c r="A7817" s="21" t="str">
        <f t="shared" si="3"/>
        <v/>
      </c>
      <c r="B7817" s="38"/>
      <c r="C7817" s="23"/>
      <c r="D7817" s="23"/>
      <c r="E7817" s="24"/>
      <c r="F7817" s="25"/>
      <c r="G7817" s="25"/>
      <c r="H7817" s="27"/>
      <c r="I7817" s="28"/>
      <c r="J7817" s="39"/>
      <c r="K7817" s="41"/>
      <c r="L7817" s="31" t="str">
        <f>IFERROR(__xludf.DUMMYFUNCTION("IF(OR(E7817="""",K7817=""""),"""",IFERROR(IF(K7817="""","""",query('tbl user'!$A$2:$D10975,""SELECT A WHERE D = '""&amp;K7817&amp;""'"")),""USER TIDAK DIKETAHUI""))"),"")</f>
        <v/>
      </c>
    </row>
    <row r="7818">
      <c r="A7818" s="21" t="str">
        <f t="shared" si="3"/>
        <v/>
      </c>
      <c r="B7818" s="38"/>
      <c r="C7818" s="23"/>
      <c r="D7818" s="23"/>
      <c r="E7818" s="24"/>
      <c r="F7818" s="25"/>
      <c r="G7818" s="25"/>
      <c r="H7818" s="27"/>
      <c r="I7818" s="28"/>
      <c r="J7818" s="39"/>
      <c r="K7818" s="41"/>
      <c r="L7818" s="31" t="str">
        <f>IFERROR(__xludf.DUMMYFUNCTION("IF(OR(E7818="""",K7818=""""),"""",IFERROR(IF(K7818="""","""",query('tbl user'!$A$2:$D10975,""SELECT A WHERE D = '""&amp;K7818&amp;""'"")),""USER TIDAK DIKETAHUI""))"),"")</f>
        <v/>
      </c>
    </row>
    <row r="7819">
      <c r="A7819" s="21" t="str">
        <f t="shared" si="3"/>
        <v/>
      </c>
      <c r="B7819" s="38"/>
      <c r="C7819" s="23"/>
      <c r="D7819" s="23"/>
      <c r="E7819" s="24"/>
      <c r="F7819" s="25"/>
      <c r="G7819" s="25"/>
      <c r="H7819" s="27"/>
      <c r="I7819" s="28"/>
      <c r="J7819" s="39"/>
      <c r="K7819" s="41"/>
      <c r="L7819" s="31" t="str">
        <f>IFERROR(__xludf.DUMMYFUNCTION("IF(OR(E7819="""",K7819=""""),"""",IFERROR(IF(K7819="""","""",query('tbl user'!$A$2:$D10975,""SELECT A WHERE D = '""&amp;K7819&amp;""'"")),""USER TIDAK DIKETAHUI""))"),"")</f>
        <v/>
      </c>
    </row>
    <row r="7820">
      <c r="A7820" s="21" t="str">
        <f t="shared" si="3"/>
        <v/>
      </c>
      <c r="B7820" s="38"/>
      <c r="C7820" s="23"/>
      <c r="D7820" s="23"/>
      <c r="E7820" s="24"/>
      <c r="F7820" s="25"/>
      <c r="G7820" s="25"/>
      <c r="H7820" s="27"/>
      <c r="I7820" s="28"/>
      <c r="J7820" s="39"/>
      <c r="K7820" s="41"/>
      <c r="L7820" s="31" t="str">
        <f>IFERROR(__xludf.DUMMYFUNCTION("IF(OR(E7820="""",K7820=""""),"""",IFERROR(IF(K7820="""","""",query('tbl user'!$A$2:$D10975,""SELECT A WHERE D = '""&amp;K7820&amp;""'"")),""USER TIDAK DIKETAHUI""))"),"")</f>
        <v/>
      </c>
    </row>
    <row r="7821">
      <c r="A7821" s="21" t="str">
        <f t="shared" si="3"/>
        <v/>
      </c>
      <c r="B7821" s="38"/>
      <c r="C7821" s="23"/>
      <c r="D7821" s="23"/>
      <c r="E7821" s="24"/>
      <c r="F7821" s="25"/>
      <c r="G7821" s="25"/>
      <c r="H7821" s="27"/>
      <c r="I7821" s="28"/>
      <c r="J7821" s="39"/>
      <c r="K7821" s="41"/>
      <c r="L7821" s="31" t="str">
        <f>IFERROR(__xludf.DUMMYFUNCTION("IF(OR(E7821="""",K7821=""""),"""",IFERROR(IF(K7821="""","""",query('tbl user'!$A$2:$D10975,""SELECT A WHERE D = '""&amp;K7821&amp;""'"")),""USER TIDAK DIKETAHUI""))"),"")</f>
        <v/>
      </c>
    </row>
    <row r="7822">
      <c r="A7822" s="21" t="str">
        <f t="shared" si="3"/>
        <v/>
      </c>
      <c r="B7822" s="38"/>
      <c r="C7822" s="23"/>
      <c r="D7822" s="23"/>
      <c r="E7822" s="24"/>
      <c r="F7822" s="25"/>
      <c r="G7822" s="25"/>
      <c r="H7822" s="27"/>
      <c r="I7822" s="28"/>
      <c r="J7822" s="39"/>
      <c r="K7822" s="41"/>
      <c r="L7822" s="31" t="str">
        <f>IFERROR(__xludf.DUMMYFUNCTION("IF(OR(E7822="""",K7822=""""),"""",IFERROR(IF(K7822="""","""",query('tbl user'!$A$2:$D10975,""SELECT A WHERE D = '""&amp;K7822&amp;""'"")),""USER TIDAK DIKETAHUI""))"),"")</f>
        <v/>
      </c>
    </row>
    <row r="7823">
      <c r="A7823" s="21" t="str">
        <f t="shared" si="3"/>
        <v/>
      </c>
      <c r="B7823" s="38"/>
      <c r="C7823" s="23"/>
      <c r="D7823" s="23"/>
      <c r="E7823" s="24"/>
      <c r="F7823" s="25"/>
      <c r="G7823" s="25"/>
      <c r="H7823" s="27"/>
      <c r="I7823" s="28"/>
      <c r="J7823" s="39"/>
      <c r="K7823" s="41"/>
      <c r="L7823" s="31" t="str">
        <f>IFERROR(__xludf.DUMMYFUNCTION("IF(OR(E7823="""",K7823=""""),"""",IFERROR(IF(K7823="""","""",query('tbl user'!$A$2:$D10975,""SELECT A WHERE D = '""&amp;K7823&amp;""'"")),""USER TIDAK DIKETAHUI""))"),"")</f>
        <v/>
      </c>
    </row>
    <row r="7824">
      <c r="A7824" s="21" t="str">
        <f t="shared" si="3"/>
        <v/>
      </c>
      <c r="B7824" s="38"/>
      <c r="C7824" s="23"/>
      <c r="D7824" s="23"/>
      <c r="E7824" s="24"/>
      <c r="F7824" s="25"/>
      <c r="G7824" s="25"/>
      <c r="H7824" s="27"/>
      <c r="I7824" s="28"/>
      <c r="J7824" s="39"/>
      <c r="K7824" s="41"/>
      <c r="L7824" s="31" t="str">
        <f>IFERROR(__xludf.DUMMYFUNCTION("IF(OR(E7824="""",K7824=""""),"""",IFERROR(IF(K7824="""","""",query('tbl user'!$A$2:$D10975,""SELECT A WHERE D = '""&amp;K7824&amp;""'"")),""USER TIDAK DIKETAHUI""))"),"")</f>
        <v/>
      </c>
    </row>
    <row r="7825">
      <c r="A7825" s="21" t="str">
        <f t="shared" si="3"/>
        <v/>
      </c>
      <c r="B7825" s="38"/>
      <c r="C7825" s="23"/>
      <c r="D7825" s="23"/>
      <c r="E7825" s="24"/>
      <c r="F7825" s="25"/>
      <c r="G7825" s="25"/>
      <c r="H7825" s="27"/>
      <c r="I7825" s="28"/>
      <c r="J7825" s="39"/>
      <c r="K7825" s="41"/>
      <c r="L7825" s="31" t="str">
        <f>IFERROR(__xludf.DUMMYFUNCTION("IF(OR(E7825="""",K7825=""""),"""",IFERROR(IF(K7825="""","""",query('tbl user'!$A$2:$D10975,""SELECT A WHERE D = '""&amp;K7825&amp;""'"")),""USER TIDAK DIKETAHUI""))"),"")</f>
        <v/>
      </c>
    </row>
    <row r="7826">
      <c r="A7826" s="21" t="str">
        <f t="shared" si="3"/>
        <v/>
      </c>
      <c r="B7826" s="38"/>
      <c r="C7826" s="23"/>
      <c r="D7826" s="23"/>
      <c r="E7826" s="24"/>
      <c r="F7826" s="25"/>
      <c r="G7826" s="25"/>
      <c r="H7826" s="27"/>
      <c r="I7826" s="28"/>
      <c r="J7826" s="39"/>
      <c r="K7826" s="41"/>
      <c r="L7826" s="31" t="str">
        <f>IFERROR(__xludf.DUMMYFUNCTION("IF(OR(E7826="""",K7826=""""),"""",IFERROR(IF(K7826="""","""",query('tbl user'!$A$2:$D10975,""SELECT A WHERE D = '""&amp;K7826&amp;""'"")),""USER TIDAK DIKETAHUI""))"),"")</f>
        <v/>
      </c>
    </row>
    <row r="7827">
      <c r="A7827" s="21" t="str">
        <f t="shared" si="3"/>
        <v/>
      </c>
      <c r="B7827" s="38"/>
      <c r="C7827" s="23"/>
      <c r="D7827" s="23"/>
      <c r="E7827" s="24"/>
      <c r="F7827" s="25"/>
      <c r="G7827" s="25"/>
      <c r="H7827" s="27"/>
      <c r="I7827" s="28"/>
      <c r="J7827" s="39"/>
      <c r="K7827" s="41"/>
      <c r="L7827" s="31" t="str">
        <f>IFERROR(__xludf.DUMMYFUNCTION("IF(OR(E7827="""",K7827=""""),"""",IFERROR(IF(K7827="""","""",query('tbl user'!$A$2:$D10975,""SELECT A WHERE D = '""&amp;K7827&amp;""'"")),""USER TIDAK DIKETAHUI""))"),"")</f>
        <v/>
      </c>
    </row>
    <row r="7828">
      <c r="A7828" s="21" t="str">
        <f t="shared" si="3"/>
        <v/>
      </c>
      <c r="B7828" s="38"/>
      <c r="C7828" s="23"/>
      <c r="D7828" s="23"/>
      <c r="E7828" s="24"/>
      <c r="F7828" s="25"/>
      <c r="G7828" s="25"/>
      <c r="H7828" s="27"/>
      <c r="I7828" s="28"/>
      <c r="J7828" s="39"/>
      <c r="K7828" s="41"/>
      <c r="L7828" s="31" t="str">
        <f>IFERROR(__xludf.DUMMYFUNCTION("IF(OR(E7828="""",K7828=""""),"""",IFERROR(IF(K7828="""","""",query('tbl user'!$A$2:$D10975,""SELECT A WHERE D = '""&amp;K7828&amp;""'"")),""USER TIDAK DIKETAHUI""))"),"")</f>
        <v/>
      </c>
    </row>
    <row r="7829">
      <c r="A7829" s="21" t="str">
        <f t="shared" si="3"/>
        <v/>
      </c>
      <c r="B7829" s="38"/>
      <c r="C7829" s="23"/>
      <c r="D7829" s="23"/>
      <c r="E7829" s="24"/>
      <c r="F7829" s="25"/>
      <c r="G7829" s="25"/>
      <c r="H7829" s="27"/>
      <c r="I7829" s="28"/>
      <c r="J7829" s="39"/>
      <c r="K7829" s="41"/>
      <c r="L7829" s="31" t="str">
        <f>IFERROR(__xludf.DUMMYFUNCTION("IF(OR(E7829="""",K7829=""""),"""",IFERROR(IF(K7829="""","""",query('tbl user'!$A$2:$D10975,""SELECT A WHERE D = '""&amp;K7829&amp;""'"")),""USER TIDAK DIKETAHUI""))"),"")</f>
        <v/>
      </c>
    </row>
    <row r="7830">
      <c r="A7830" s="21" t="str">
        <f t="shared" si="3"/>
        <v/>
      </c>
      <c r="B7830" s="38"/>
      <c r="C7830" s="23"/>
      <c r="D7830" s="23"/>
      <c r="E7830" s="24"/>
      <c r="F7830" s="25"/>
      <c r="G7830" s="25"/>
      <c r="H7830" s="27"/>
      <c r="I7830" s="28"/>
      <c r="J7830" s="39"/>
      <c r="K7830" s="41"/>
      <c r="L7830" s="31" t="str">
        <f>IFERROR(__xludf.DUMMYFUNCTION("IF(OR(E7830="""",K7830=""""),"""",IFERROR(IF(K7830="""","""",query('tbl user'!$A$2:$D10975,""SELECT A WHERE D = '""&amp;K7830&amp;""'"")),""USER TIDAK DIKETAHUI""))"),"")</f>
        <v/>
      </c>
    </row>
    <row r="7831">
      <c r="A7831" s="21" t="str">
        <f t="shared" si="3"/>
        <v/>
      </c>
      <c r="B7831" s="38"/>
      <c r="C7831" s="23"/>
      <c r="D7831" s="23"/>
      <c r="E7831" s="24"/>
      <c r="F7831" s="25"/>
      <c r="G7831" s="25"/>
      <c r="H7831" s="27"/>
      <c r="I7831" s="28"/>
      <c r="J7831" s="39"/>
      <c r="K7831" s="41"/>
      <c r="L7831" s="31" t="str">
        <f>IFERROR(__xludf.DUMMYFUNCTION("IF(OR(E7831="""",K7831=""""),"""",IFERROR(IF(K7831="""","""",query('tbl user'!$A$2:$D10975,""SELECT A WHERE D = '""&amp;K7831&amp;""'"")),""USER TIDAK DIKETAHUI""))"),"")</f>
        <v/>
      </c>
    </row>
    <row r="7832">
      <c r="A7832" s="21" t="str">
        <f t="shared" si="3"/>
        <v/>
      </c>
      <c r="B7832" s="38"/>
      <c r="C7832" s="23"/>
      <c r="D7832" s="23"/>
      <c r="E7832" s="24"/>
      <c r="F7832" s="25"/>
      <c r="G7832" s="25"/>
      <c r="H7832" s="27"/>
      <c r="I7832" s="28"/>
      <c r="J7832" s="39"/>
      <c r="K7832" s="41"/>
      <c r="L7832" s="31" t="str">
        <f>IFERROR(__xludf.DUMMYFUNCTION("IF(OR(E7832="""",K7832=""""),"""",IFERROR(IF(K7832="""","""",query('tbl user'!$A$2:$D10975,""SELECT A WHERE D = '""&amp;K7832&amp;""'"")),""USER TIDAK DIKETAHUI""))"),"")</f>
        <v/>
      </c>
    </row>
    <row r="7833">
      <c r="A7833" s="21" t="str">
        <f t="shared" si="3"/>
        <v/>
      </c>
      <c r="B7833" s="38"/>
      <c r="C7833" s="23"/>
      <c r="D7833" s="23"/>
      <c r="E7833" s="24"/>
      <c r="F7833" s="25"/>
      <c r="G7833" s="25"/>
      <c r="H7833" s="27"/>
      <c r="I7833" s="28"/>
      <c r="J7833" s="39"/>
      <c r="K7833" s="41"/>
      <c r="L7833" s="31" t="str">
        <f>IFERROR(__xludf.DUMMYFUNCTION("IF(OR(E7833="""",K7833=""""),"""",IFERROR(IF(K7833="""","""",query('tbl user'!$A$2:$D10975,""SELECT A WHERE D = '""&amp;K7833&amp;""'"")),""USER TIDAK DIKETAHUI""))"),"")</f>
        <v/>
      </c>
    </row>
    <row r="7834">
      <c r="A7834" s="21" t="str">
        <f t="shared" si="3"/>
        <v/>
      </c>
      <c r="B7834" s="38"/>
      <c r="C7834" s="23"/>
      <c r="D7834" s="23"/>
      <c r="E7834" s="24"/>
      <c r="F7834" s="25"/>
      <c r="G7834" s="25"/>
      <c r="H7834" s="27"/>
      <c r="I7834" s="28"/>
      <c r="J7834" s="39"/>
      <c r="K7834" s="41"/>
      <c r="L7834" s="31" t="str">
        <f>IFERROR(__xludf.DUMMYFUNCTION("IF(OR(E7834="""",K7834=""""),"""",IFERROR(IF(K7834="""","""",query('tbl user'!$A$2:$D10975,""SELECT A WHERE D = '""&amp;K7834&amp;""'"")),""USER TIDAK DIKETAHUI""))"),"")</f>
        <v/>
      </c>
    </row>
    <row r="7835">
      <c r="A7835" s="21" t="str">
        <f t="shared" si="3"/>
        <v/>
      </c>
      <c r="B7835" s="38"/>
      <c r="C7835" s="23"/>
      <c r="D7835" s="23"/>
      <c r="E7835" s="24"/>
      <c r="F7835" s="25"/>
      <c r="G7835" s="25"/>
      <c r="H7835" s="27"/>
      <c r="I7835" s="28"/>
      <c r="J7835" s="39"/>
      <c r="K7835" s="41"/>
      <c r="L7835" s="31" t="str">
        <f>IFERROR(__xludf.DUMMYFUNCTION("IF(OR(E7835="""",K7835=""""),"""",IFERROR(IF(K7835="""","""",query('tbl user'!$A$2:$D10975,""SELECT A WHERE D = '""&amp;K7835&amp;""'"")),""USER TIDAK DIKETAHUI""))"),"")</f>
        <v/>
      </c>
    </row>
    <row r="7836">
      <c r="A7836" s="21" t="str">
        <f t="shared" si="3"/>
        <v/>
      </c>
      <c r="B7836" s="38"/>
      <c r="C7836" s="23"/>
      <c r="D7836" s="23"/>
      <c r="E7836" s="24"/>
      <c r="F7836" s="25"/>
      <c r="G7836" s="25"/>
      <c r="H7836" s="27"/>
      <c r="I7836" s="28"/>
      <c r="J7836" s="39"/>
      <c r="K7836" s="41"/>
      <c r="L7836" s="31" t="str">
        <f>IFERROR(__xludf.DUMMYFUNCTION("IF(OR(E7836="""",K7836=""""),"""",IFERROR(IF(K7836="""","""",query('tbl user'!$A$2:$D10975,""SELECT A WHERE D = '""&amp;K7836&amp;""'"")),""USER TIDAK DIKETAHUI""))"),"")</f>
        <v/>
      </c>
    </row>
    <row r="7837">
      <c r="A7837" s="21" t="str">
        <f t="shared" si="3"/>
        <v/>
      </c>
      <c r="B7837" s="38"/>
      <c r="C7837" s="23"/>
      <c r="D7837" s="23"/>
      <c r="E7837" s="24"/>
      <c r="F7837" s="25"/>
      <c r="G7837" s="25"/>
      <c r="H7837" s="27"/>
      <c r="I7837" s="28"/>
      <c r="J7837" s="39"/>
      <c r="K7837" s="41"/>
      <c r="L7837" s="31" t="str">
        <f>IFERROR(__xludf.DUMMYFUNCTION("IF(OR(E7837="""",K7837=""""),"""",IFERROR(IF(K7837="""","""",query('tbl user'!$A$2:$D10975,""SELECT A WHERE D = '""&amp;K7837&amp;""'"")),""USER TIDAK DIKETAHUI""))"),"")</f>
        <v/>
      </c>
    </row>
    <row r="7838">
      <c r="A7838" s="21" t="str">
        <f t="shared" si="3"/>
        <v/>
      </c>
      <c r="B7838" s="38"/>
      <c r="C7838" s="23"/>
      <c r="D7838" s="23"/>
      <c r="E7838" s="24"/>
      <c r="F7838" s="25"/>
      <c r="G7838" s="25"/>
      <c r="H7838" s="27"/>
      <c r="I7838" s="28"/>
      <c r="J7838" s="39"/>
      <c r="K7838" s="41"/>
      <c r="L7838" s="31" t="str">
        <f>IFERROR(__xludf.DUMMYFUNCTION("IF(OR(E7838="""",K7838=""""),"""",IFERROR(IF(K7838="""","""",query('tbl user'!$A$2:$D10975,""SELECT A WHERE D = '""&amp;K7838&amp;""'"")),""USER TIDAK DIKETAHUI""))"),"")</f>
        <v/>
      </c>
    </row>
    <row r="7839">
      <c r="A7839" s="21" t="str">
        <f t="shared" si="3"/>
        <v/>
      </c>
      <c r="B7839" s="38"/>
      <c r="C7839" s="23"/>
      <c r="D7839" s="23"/>
      <c r="E7839" s="24"/>
      <c r="F7839" s="25"/>
      <c r="G7839" s="25"/>
      <c r="H7839" s="27"/>
      <c r="I7839" s="28"/>
      <c r="J7839" s="39"/>
      <c r="K7839" s="41"/>
      <c r="L7839" s="31" t="str">
        <f>IFERROR(__xludf.DUMMYFUNCTION("IF(OR(E7839="""",K7839=""""),"""",IFERROR(IF(K7839="""","""",query('tbl user'!$A$2:$D10975,""SELECT A WHERE D = '""&amp;K7839&amp;""'"")),""USER TIDAK DIKETAHUI""))"),"")</f>
        <v/>
      </c>
    </row>
    <row r="7840">
      <c r="A7840" s="21" t="str">
        <f t="shared" si="3"/>
        <v/>
      </c>
      <c r="B7840" s="38"/>
      <c r="C7840" s="23"/>
      <c r="D7840" s="23"/>
      <c r="E7840" s="24"/>
      <c r="F7840" s="25"/>
      <c r="G7840" s="25"/>
      <c r="H7840" s="27"/>
      <c r="I7840" s="28"/>
      <c r="J7840" s="39"/>
      <c r="K7840" s="41"/>
      <c r="L7840" s="31" t="str">
        <f>IFERROR(__xludf.DUMMYFUNCTION("IF(OR(E7840="""",K7840=""""),"""",IFERROR(IF(K7840="""","""",query('tbl user'!$A$2:$D10975,""SELECT A WHERE D = '""&amp;K7840&amp;""'"")),""USER TIDAK DIKETAHUI""))"),"")</f>
        <v/>
      </c>
    </row>
    <row r="7841">
      <c r="A7841" s="21" t="str">
        <f t="shared" si="3"/>
        <v/>
      </c>
      <c r="B7841" s="38"/>
      <c r="C7841" s="23"/>
      <c r="D7841" s="23"/>
      <c r="E7841" s="24"/>
      <c r="F7841" s="25"/>
      <c r="G7841" s="25"/>
      <c r="H7841" s="27"/>
      <c r="I7841" s="28"/>
      <c r="J7841" s="39"/>
      <c r="K7841" s="41"/>
      <c r="L7841" s="31" t="str">
        <f>IFERROR(__xludf.DUMMYFUNCTION("IF(OR(E7841="""",K7841=""""),"""",IFERROR(IF(K7841="""","""",query('tbl user'!$A$2:$D10975,""SELECT A WHERE D = '""&amp;K7841&amp;""'"")),""USER TIDAK DIKETAHUI""))"),"")</f>
        <v/>
      </c>
    </row>
    <row r="7842">
      <c r="A7842" s="21" t="str">
        <f t="shared" si="3"/>
        <v/>
      </c>
      <c r="B7842" s="38"/>
      <c r="C7842" s="23"/>
      <c r="D7842" s="23"/>
      <c r="E7842" s="24"/>
      <c r="F7842" s="25"/>
      <c r="G7842" s="25"/>
      <c r="H7842" s="27"/>
      <c r="I7842" s="28"/>
      <c r="J7842" s="39"/>
      <c r="K7842" s="41"/>
      <c r="L7842" s="31" t="str">
        <f>IFERROR(__xludf.DUMMYFUNCTION("IF(OR(E7842="""",K7842=""""),"""",IFERROR(IF(K7842="""","""",query('tbl user'!$A$2:$D10975,""SELECT A WHERE D = '""&amp;K7842&amp;""'"")),""USER TIDAK DIKETAHUI""))"),"")</f>
        <v/>
      </c>
    </row>
    <row r="7843">
      <c r="A7843" s="21" t="str">
        <f t="shared" si="3"/>
        <v/>
      </c>
      <c r="B7843" s="38"/>
      <c r="C7843" s="23"/>
      <c r="D7843" s="23"/>
      <c r="E7843" s="24"/>
      <c r="F7843" s="25"/>
      <c r="G7843" s="25"/>
      <c r="H7843" s="27"/>
      <c r="I7843" s="28"/>
      <c r="J7843" s="39"/>
      <c r="K7843" s="41"/>
      <c r="L7843" s="31" t="str">
        <f>IFERROR(__xludf.DUMMYFUNCTION("IF(OR(E7843="""",K7843=""""),"""",IFERROR(IF(K7843="""","""",query('tbl user'!$A$2:$D10975,""SELECT A WHERE D = '""&amp;K7843&amp;""'"")),""USER TIDAK DIKETAHUI""))"),"")</f>
        <v/>
      </c>
    </row>
    <row r="7844">
      <c r="A7844" s="21" t="str">
        <f t="shared" si="3"/>
        <v/>
      </c>
      <c r="B7844" s="38"/>
      <c r="C7844" s="23"/>
      <c r="D7844" s="23"/>
      <c r="E7844" s="24"/>
      <c r="F7844" s="25"/>
      <c r="G7844" s="25"/>
      <c r="H7844" s="27"/>
      <c r="I7844" s="28"/>
      <c r="J7844" s="39"/>
      <c r="K7844" s="41"/>
      <c r="L7844" s="31" t="str">
        <f>IFERROR(__xludf.DUMMYFUNCTION("IF(OR(E7844="""",K7844=""""),"""",IFERROR(IF(K7844="""","""",query('tbl user'!$A$2:$D10975,""SELECT A WHERE D = '""&amp;K7844&amp;""'"")),""USER TIDAK DIKETAHUI""))"),"")</f>
        <v/>
      </c>
    </row>
    <row r="7845">
      <c r="A7845" s="21" t="str">
        <f t="shared" si="3"/>
        <v/>
      </c>
      <c r="B7845" s="38"/>
      <c r="C7845" s="23"/>
      <c r="D7845" s="23"/>
      <c r="E7845" s="24"/>
      <c r="F7845" s="25"/>
      <c r="G7845" s="25"/>
      <c r="H7845" s="27"/>
      <c r="I7845" s="28"/>
      <c r="J7845" s="39"/>
      <c r="K7845" s="41"/>
      <c r="L7845" s="31" t="str">
        <f>IFERROR(__xludf.DUMMYFUNCTION("IF(OR(E7845="""",K7845=""""),"""",IFERROR(IF(K7845="""","""",query('tbl user'!$A$2:$D10975,""SELECT A WHERE D = '""&amp;K7845&amp;""'"")),""USER TIDAK DIKETAHUI""))"),"")</f>
        <v/>
      </c>
    </row>
    <row r="7846">
      <c r="A7846" s="21" t="str">
        <f t="shared" si="3"/>
        <v/>
      </c>
      <c r="B7846" s="38"/>
      <c r="C7846" s="23"/>
      <c r="D7846" s="23"/>
      <c r="E7846" s="24"/>
      <c r="F7846" s="25"/>
      <c r="G7846" s="25"/>
      <c r="H7846" s="27"/>
      <c r="I7846" s="28"/>
      <c r="J7846" s="39"/>
      <c r="K7846" s="41"/>
      <c r="L7846" s="31" t="str">
        <f>IFERROR(__xludf.DUMMYFUNCTION("IF(OR(E7846="""",K7846=""""),"""",IFERROR(IF(K7846="""","""",query('tbl user'!$A$2:$D10975,""SELECT A WHERE D = '""&amp;K7846&amp;""'"")),""USER TIDAK DIKETAHUI""))"),"")</f>
        <v/>
      </c>
    </row>
    <row r="7847">
      <c r="A7847" s="21" t="str">
        <f t="shared" si="3"/>
        <v/>
      </c>
      <c r="B7847" s="38"/>
      <c r="C7847" s="23"/>
      <c r="D7847" s="23"/>
      <c r="E7847" s="24"/>
      <c r="F7847" s="25"/>
      <c r="G7847" s="25"/>
      <c r="H7847" s="27"/>
      <c r="I7847" s="28"/>
      <c r="J7847" s="39"/>
      <c r="K7847" s="41"/>
      <c r="L7847" s="31" t="str">
        <f>IFERROR(__xludf.DUMMYFUNCTION("IF(OR(E7847="""",K7847=""""),"""",IFERROR(IF(K7847="""","""",query('tbl user'!$A$2:$D10975,""SELECT A WHERE D = '""&amp;K7847&amp;""'"")),""USER TIDAK DIKETAHUI""))"),"")</f>
        <v/>
      </c>
    </row>
    <row r="7848">
      <c r="A7848" s="21" t="str">
        <f t="shared" si="3"/>
        <v/>
      </c>
      <c r="B7848" s="38"/>
      <c r="C7848" s="23"/>
      <c r="D7848" s="23"/>
      <c r="E7848" s="24"/>
      <c r="F7848" s="25"/>
      <c r="G7848" s="25"/>
      <c r="H7848" s="27"/>
      <c r="I7848" s="28"/>
      <c r="J7848" s="39"/>
      <c r="K7848" s="41"/>
      <c r="L7848" s="31" t="str">
        <f>IFERROR(__xludf.DUMMYFUNCTION("IF(OR(E7848="""",K7848=""""),"""",IFERROR(IF(K7848="""","""",query('tbl user'!$A$2:$D10975,""SELECT A WHERE D = '""&amp;K7848&amp;""'"")),""USER TIDAK DIKETAHUI""))"),"")</f>
        <v/>
      </c>
    </row>
    <row r="7849">
      <c r="A7849" s="21" t="str">
        <f t="shared" si="3"/>
        <v/>
      </c>
      <c r="B7849" s="38"/>
      <c r="C7849" s="23"/>
      <c r="D7849" s="23"/>
      <c r="E7849" s="24"/>
      <c r="F7849" s="25"/>
      <c r="G7849" s="25"/>
      <c r="H7849" s="27"/>
      <c r="I7849" s="28"/>
      <c r="J7849" s="39"/>
      <c r="K7849" s="41"/>
      <c r="L7849" s="31" t="str">
        <f>IFERROR(__xludf.DUMMYFUNCTION("IF(OR(E7849="""",K7849=""""),"""",IFERROR(IF(K7849="""","""",query('tbl user'!$A$2:$D10975,""SELECT A WHERE D = '""&amp;K7849&amp;""'"")),""USER TIDAK DIKETAHUI""))"),"")</f>
        <v/>
      </c>
    </row>
    <row r="7850">
      <c r="A7850" s="21" t="str">
        <f t="shared" si="3"/>
        <v/>
      </c>
      <c r="B7850" s="38"/>
      <c r="C7850" s="23"/>
      <c r="D7850" s="23"/>
      <c r="E7850" s="24"/>
      <c r="F7850" s="25"/>
      <c r="G7850" s="25"/>
      <c r="H7850" s="27"/>
      <c r="I7850" s="28"/>
      <c r="J7850" s="39"/>
      <c r="K7850" s="41"/>
      <c r="L7850" s="31" t="str">
        <f>IFERROR(__xludf.DUMMYFUNCTION("IF(OR(E7850="""",K7850=""""),"""",IFERROR(IF(K7850="""","""",query('tbl user'!$A$2:$D10975,""SELECT A WHERE D = '""&amp;K7850&amp;""'"")),""USER TIDAK DIKETAHUI""))"),"")</f>
        <v/>
      </c>
    </row>
    <row r="7851">
      <c r="A7851" s="21" t="str">
        <f t="shared" si="3"/>
        <v/>
      </c>
      <c r="B7851" s="38"/>
      <c r="C7851" s="23"/>
      <c r="D7851" s="23"/>
      <c r="E7851" s="24"/>
      <c r="F7851" s="25"/>
      <c r="G7851" s="25"/>
      <c r="H7851" s="27"/>
      <c r="I7851" s="28"/>
      <c r="J7851" s="39"/>
      <c r="K7851" s="41"/>
      <c r="L7851" s="31" t="str">
        <f>IFERROR(__xludf.DUMMYFUNCTION("IF(OR(E7851="""",K7851=""""),"""",IFERROR(IF(K7851="""","""",query('tbl user'!$A$2:$D10975,""SELECT A WHERE D = '""&amp;K7851&amp;""'"")),""USER TIDAK DIKETAHUI""))"),"")</f>
        <v/>
      </c>
    </row>
    <row r="7852">
      <c r="A7852" s="21" t="str">
        <f t="shared" si="3"/>
        <v/>
      </c>
      <c r="B7852" s="38"/>
      <c r="C7852" s="23"/>
      <c r="D7852" s="23"/>
      <c r="E7852" s="24"/>
      <c r="F7852" s="25"/>
      <c r="G7852" s="25"/>
      <c r="H7852" s="27"/>
      <c r="I7852" s="28"/>
      <c r="J7852" s="39"/>
      <c r="K7852" s="41"/>
      <c r="L7852" s="31" t="str">
        <f>IFERROR(__xludf.DUMMYFUNCTION("IF(OR(E7852="""",K7852=""""),"""",IFERROR(IF(K7852="""","""",query('tbl user'!$A$2:$D10975,""SELECT A WHERE D = '""&amp;K7852&amp;""'"")),""USER TIDAK DIKETAHUI""))"),"")</f>
        <v/>
      </c>
    </row>
    <row r="7853">
      <c r="A7853" s="21" t="str">
        <f t="shared" si="3"/>
        <v/>
      </c>
      <c r="B7853" s="38"/>
      <c r="C7853" s="23"/>
      <c r="D7853" s="23"/>
      <c r="E7853" s="24"/>
      <c r="F7853" s="25"/>
      <c r="G7853" s="25"/>
      <c r="H7853" s="27"/>
      <c r="I7853" s="28"/>
      <c r="J7853" s="39"/>
      <c r="K7853" s="41"/>
      <c r="L7853" s="31" t="str">
        <f>IFERROR(__xludf.DUMMYFUNCTION("IF(OR(E7853="""",K7853=""""),"""",IFERROR(IF(K7853="""","""",query('tbl user'!$A$2:$D10975,""SELECT A WHERE D = '""&amp;K7853&amp;""'"")),""USER TIDAK DIKETAHUI""))"),"")</f>
        <v/>
      </c>
    </row>
    <row r="7854">
      <c r="A7854" s="21" t="str">
        <f t="shared" si="3"/>
        <v/>
      </c>
      <c r="B7854" s="38"/>
      <c r="C7854" s="23"/>
      <c r="D7854" s="23"/>
      <c r="E7854" s="24"/>
      <c r="F7854" s="25"/>
      <c r="G7854" s="25"/>
      <c r="H7854" s="27"/>
      <c r="I7854" s="28"/>
      <c r="J7854" s="39"/>
      <c r="K7854" s="41"/>
      <c r="L7854" s="31" t="str">
        <f>IFERROR(__xludf.DUMMYFUNCTION("IF(OR(E7854="""",K7854=""""),"""",IFERROR(IF(K7854="""","""",query('tbl user'!$A$2:$D10975,""SELECT A WHERE D = '""&amp;K7854&amp;""'"")),""USER TIDAK DIKETAHUI""))"),"")</f>
        <v/>
      </c>
    </row>
    <row r="7855">
      <c r="A7855" s="21" t="str">
        <f t="shared" si="3"/>
        <v/>
      </c>
      <c r="B7855" s="38"/>
      <c r="C7855" s="23"/>
      <c r="D7855" s="23"/>
      <c r="E7855" s="24"/>
      <c r="F7855" s="25"/>
      <c r="G7855" s="25"/>
      <c r="H7855" s="27"/>
      <c r="I7855" s="28"/>
      <c r="J7855" s="39"/>
      <c r="K7855" s="41"/>
      <c r="L7855" s="31" t="str">
        <f>IFERROR(__xludf.DUMMYFUNCTION("IF(OR(E7855="""",K7855=""""),"""",IFERROR(IF(K7855="""","""",query('tbl user'!$A$2:$D10975,""SELECT A WHERE D = '""&amp;K7855&amp;""'"")),""USER TIDAK DIKETAHUI""))"),"")</f>
        <v/>
      </c>
    </row>
    <row r="7856">
      <c r="A7856" s="21" t="str">
        <f t="shared" si="3"/>
        <v/>
      </c>
      <c r="B7856" s="38"/>
      <c r="C7856" s="23"/>
      <c r="D7856" s="23"/>
      <c r="E7856" s="24"/>
      <c r="F7856" s="25"/>
      <c r="G7856" s="25"/>
      <c r="H7856" s="27"/>
      <c r="I7856" s="28"/>
      <c r="J7856" s="39"/>
      <c r="K7856" s="41"/>
      <c r="L7856" s="31" t="str">
        <f>IFERROR(__xludf.DUMMYFUNCTION("IF(OR(E7856="""",K7856=""""),"""",IFERROR(IF(K7856="""","""",query('tbl user'!$A$2:$D10975,""SELECT A WHERE D = '""&amp;K7856&amp;""'"")),""USER TIDAK DIKETAHUI""))"),"")</f>
        <v/>
      </c>
    </row>
    <row r="7857">
      <c r="A7857" s="21" t="str">
        <f t="shared" si="3"/>
        <v/>
      </c>
      <c r="B7857" s="38"/>
      <c r="C7857" s="23"/>
      <c r="D7857" s="23"/>
      <c r="E7857" s="24"/>
      <c r="F7857" s="25"/>
      <c r="G7857" s="25"/>
      <c r="H7857" s="27"/>
      <c r="I7857" s="28"/>
      <c r="J7857" s="39"/>
      <c r="K7857" s="41"/>
      <c r="L7857" s="31" t="str">
        <f>IFERROR(__xludf.DUMMYFUNCTION("IF(OR(E7857="""",K7857=""""),"""",IFERROR(IF(K7857="""","""",query('tbl user'!$A$2:$D10975,""SELECT A WHERE D = '""&amp;K7857&amp;""'"")),""USER TIDAK DIKETAHUI""))"),"")</f>
        <v/>
      </c>
    </row>
    <row r="7858">
      <c r="A7858" s="21" t="str">
        <f t="shared" si="3"/>
        <v/>
      </c>
      <c r="B7858" s="38"/>
      <c r="C7858" s="23"/>
      <c r="D7858" s="23"/>
      <c r="E7858" s="24"/>
      <c r="F7858" s="25"/>
      <c r="G7858" s="25"/>
      <c r="H7858" s="27"/>
      <c r="I7858" s="28"/>
      <c r="J7858" s="39"/>
      <c r="K7858" s="41"/>
      <c r="L7858" s="31" t="str">
        <f>IFERROR(__xludf.DUMMYFUNCTION("IF(OR(E7858="""",K7858=""""),"""",IFERROR(IF(K7858="""","""",query('tbl user'!$A$2:$D10975,""SELECT A WHERE D = '""&amp;K7858&amp;""'"")),""USER TIDAK DIKETAHUI""))"),"")</f>
        <v/>
      </c>
    </row>
    <row r="7859">
      <c r="A7859" s="21" t="str">
        <f t="shared" si="3"/>
        <v/>
      </c>
      <c r="B7859" s="38"/>
      <c r="C7859" s="23"/>
      <c r="D7859" s="23"/>
      <c r="E7859" s="24"/>
      <c r="F7859" s="25"/>
      <c r="G7859" s="25"/>
      <c r="H7859" s="27"/>
      <c r="I7859" s="28"/>
      <c r="J7859" s="39"/>
      <c r="K7859" s="41"/>
      <c r="L7859" s="31" t="str">
        <f>IFERROR(__xludf.DUMMYFUNCTION("IF(OR(E7859="""",K7859=""""),"""",IFERROR(IF(K7859="""","""",query('tbl user'!$A$2:$D10975,""SELECT A WHERE D = '""&amp;K7859&amp;""'"")),""USER TIDAK DIKETAHUI""))"),"")</f>
        <v/>
      </c>
    </row>
    <row r="7860">
      <c r="A7860" s="21" t="str">
        <f t="shared" si="3"/>
        <v/>
      </c>
      <c r="B7860" s="38"/>
      <c r="C7860" s="23"/>
      <c r="D7860" s="23"/>
      <c r="E7860" s="24"/>
      <c r="F7860" s="25"/>
      <c r="G7860" s="25"/>
      <c r="H7860" s="27"/>
      <c r="I7860" s="28"/>
      <c r="J7860" s="39"/>
      <c r="K7860" s="41"/>
      <c r="L7860" s="31" t="str">
        <f>IFERROR(__xludf.DUMMYFUNCTION("IF(OR(E7860="""",K7860=""""),"""",IFERROR(IF(K7860="""","""",query('tbl user'!$A$2:$D10975,""SELECT A WHERE D = '""&amp;K7860&amp;""'"")),""USER TIDAK DIKETAHUI""))"),"")</f>
        <v/>
      </c>
    </row>
    <row r="7861">
      <c r="A7861" s="21" t="str">
        <f t="shared" si="3"/>
        <v/>
      </c>
      <c r="B7861" s="38"/>
      <c r="C7861" s="23"/>
      <c r="D7861" s="23"/>
      <c r="E7861" s="24"/>
      <c r="F7861" s="25"/>
      <c r="G7861" s="25"/>
      <c r="H7861" s="27"/>
      <c r="I7861" s="28"/>
      <c r="J7861" s="39"/>
      <c r="K7861" s="41"/>
      <c r="L7861" s="31" t="str">
        <f>IFERROR(__xludf.DUMMYFUNCTION("IF(OR(E7861="""",K7861=""""),"""",IFERROR(IF(K7861="""","""",query('tbl user'!$A$2:$D10975,""SELECT A WHERE D = '""&amp;K7861&amp;""'"")),""USER TIDAK DIKETAHUI""))"),"")</f>
        <v/>
      </c>
    </row>
    <row r="7862">
      <c r="A7862" s="21" t="str">
        <f t="shared" si="3"/>
        <v/>
      </c>
      <c r="B7862" s="38"/>
      <c r="C7862" s="23"/>
      <c r="D7862" s="23"/>
      <c r="E7862" s="24"/>
      <c r="F7862" s="25"/>
      <c r="G7862" s="25"/>
      <c r="H7862" s="27"/>
      <c r="I7862" s="28"/>
      <c r="J7862" s="39"/>
      <c r="K7862" s="41"/>
      <c r="L7862" s="31" t="str">
        <f>IFERROR(__xludf.DUMMYFUNCTION("IF(OR(E7862="""",K7862=""""),"""",IFERROR(IF(K7862="""","""",query('tbl user'!$A$2:$D10975,""SELECT A WHERE D = '""&amp;K7862&amp;""'"")),""USER TIDAK DIKETAHUI""))"),"")</f>
        <v/>
      </c>
    </row>
    <row r="7863">
      <c r="A7863" s="21" t="str">
        <f t="shared" si="3"/>
        <v/>
      </c>
      <c r="B7863" s="38"/>
      <c r="C7863" s="23"/>
      <c r="D7863" s="23"/>
      <c r="E7863" s="24"/>
      <c r="F7863" s="25"/>
      <c r="G7863" s="25"/>
      <c r="H7863" s="27"/>
      <c r="I7863" s="28"/>
      <c r="J7863" s="39"/>
      <c r="K7863" s="41"/>
      <c r="L7863" s="31" t="str">
        <f>IFERROR(__xludf.DUMMYFUNCTION("IF(OR(E7863="""",K7863=""""),"""",IFERROR(IF(K7863="""","""",query('tbl user'!$A$2:$D10975,""SELECT A WHERE D = '""&amp;K7863&amp;""'"")),""USER TIDAK DIKETAHUI""))"),"")</f>
        <v/>
      </c>
    </row>
    <row r="7864">
      <c r="A7864" s="21" t="str">
        <f t="shared" si="3"/>
        <v/>
      </c>
      <c r="B7864" s="38"/>
      <c r="C7864" s="23"/>
      <c r="D7864" s="23"/>
      <c r="E7864" s="24"/>
      <c r="F7864" s="25"/>
      <c r="G7864" s="25"/>
      <c r="H7864" s="27"/>
      <c r="I7864" s="28"/>
      <c r="J7864" s="39"/>
      <c r="K7864" s="41"/>
      <c r="L7864" s="31" t="str">
        <f>IFERROR(__xludf.DUMMYFUNCTION("IF(OR(E7864="""",K7864=""""),"""",IFERROR(IF(K7864="""","""",query('tbl user'!$A$2:$D10975,""SELECT A WHERE D = '""&amp;K7864&amp;""'"")),""USER TIDAK DIKETAHUI""))"),"")</f>
        <v/>
      </c>
    </row>
    <row r="7865">
      <c r="A7865" s="21" t="str">
        <f t="shared" si="3"/>
        <v/>
      </c>
      <c r="B7865" s="38"/>
      <c r="C7865" s="23"/>
      <c r="D7865" s="23"/>
      <c r="E7865" s="24"/>
      <c r="F7865" s="25"/>
      <c r="G7865" s="25"/>
      <c r="H7865" s="27"/>
      <c r="I7865" s="28"/>
      <c r="J7865" s="39"/>
      <c r="K7865" s="41"/>
      <c r="L7865" s="31" t="str">
        <f>IFERROR(__xludf.DUMMYFUNCTION("IF(OR(E7865="""",K7865=""""),"""",IFERROR(IF(K7865="""","""",query('tbl user'!$A$2:$D10975,""SELECT A WHERE D = '""&amp;K7865&amp;""'"")),""USER TIDAK DIKETAHUI""))"),"")</f>
        <v/>
      </c>
    </row>
    <row r="7866">
      <c r="A7866" s="21" t="str">
        <f t="shared" si="3"/>
        <v/>
      </c>
      <c r="B7866" s="38"/>
      <c r="C7866" s="23"/>
      <c r="D7866" s="23"/>
      <c r="E7866" s="24"/>
      <c r="F7866" s="25"/>
      <c r="G7866" s="25"/>
      <c r="H7866" s="27"/>
      <c r="I7866" s="28"/>
      <c r="J7866" s="39"/>
      <c r="K7866" s="41"/>
      <c r="L7866" s="31" t="str">
        <f>IFERROR(__xludf.DUMMYFUNCTION("IF(OR(E7866="""",K7866=""""),"""",IFERROR(IF(K7866="""","""",query('tbl user'!$A$2:$D10975,""SELECT A WHERE D = '""&amp;K7866&amp;""'"")),""USER TIDAK DIKETAHUI""))"),"")</f>
        <v/>
      </c>
    </row>
    <row r="7867">
      <c r="A7867" s="21" t="str">
        <f t="shared" si="3"/>
        <v/>
      </c>
      <c r="B7867" s="38"/>
      <c r="C7867" s="23"/>
      <c r="D7867" s="23"/>
      <c r="E7867" s="24"/>
      <c r="F7867" s="25"/>
      <c r="G7867" s="25"/>
      <c r="H7867" s="27"/>
      <c r="I7867" s="28"/>
      <c r="J7867" s="39"/>
      <c r="K7867" s="41"/>
      <c r="L7867" s="31" t="str">
        <f>IFERROR(__xludf.DUMMYFUNCTION("IF(OR(E7867="""",K7867=""""),"""",IFERROR(IF(K7867="""","""",query('tbl user'!$A$2:$D10975,""SELECT A WHERE D = '""&amp;K7867&amp;""'"")),""USER TIDAK DIKETAHUI""))"),"")</f>
        <v/>
      </c>
    </row>
    <row r="7868">
      <c r="A7868" s="21" t="str">
        <f t="shared" si="3"/>
        <v/>
      </c>
      <c r="B7868" s="38"/>
      <c r="C7868" s="23"/>
      <c r="D7868" s="23"/>
      <c r="E7868" s="24"/>
      <c r="F7868" s="25"/>
      <c r="G7868" s="25"/>
      <c r="H7868" s="27"/>
      <c r="I7868" s="28"/>
      <c r="J7868" s="39"/>
      <c r="K7868" s="41"/>
      <c r="L7868" s="31" t="str">
        <f>IFERROR(__xludf.DUMMYFUNCTION("IF(OR(E7868="""",K7868=""""),"""",IFERROR(IF(K7868="""","""",query('tbl user'!$A$2:$D10975,""SELECT A WHERE D = '""&amp;K7868&amp;""'"")),""USER TIDAK DIKETAHUI""))"),"")</f>
        <v/>
      </c>
    </row>
    <row r="7869">
      <c r="A7869" s="21" t="str">
        <f t="shared" si="3"/>
        <v/>
      </c>
      <c r="B7869" s="38"/>
      <c r="C7869" s="23"/>
      <c r="D7869" s="23"/>
      <c r="E7869" s="24"/>
      <c r="F7869" s="25"/>
      <c r="G7869" s="25"/>
      <c r="H7869" s="27"/>
      <c r="I7869" s="28"/>
      <c r="J7869" s="39"/>
      <c r="K7869" s="41"/>
      <c r="L7869" s="31" t="str">
        <f>IFERROR(__xludf.DUMMYFUNCTION("IF(OR(E7869="""",K7869=""""),"""",IFERROR(IF(K7869="""","""",query('tbl user'!$A$2:$D10975,""SELECT A WHERE D = '""&amp;K7869&amp;""'"")),""USER TIDAK DIKETAHUI""))"),"")</f>
        <v/>
      </c>
    </row>
    <row r="7870">
      <c r="A7870" s="21" t="str">
        <f t="shared" si="3"/>
        <v/>
      </c>
      <c r="B7870" s="38"/>
      <c r="C7870" s="23"/>
      <c r="D7870" s="23"/>
      <c r="E7870" s="24"/>
      <c r="F7870" s="25"/>
      <c r="G7870" s="25"/>
      <c r="H7870" s="27"/>
      <c r="I7870" s="28"/>
      <c r="J7870" s="39"/>
      <c r="K7870" s="41"/>
      <c r="L7870" s="31" t="str">
        <f>IFERROR(__xludf.DUMMYFUNCTION("IF(OR(E7870="""",K7870=""""),"""",IFERROR(IF(K7870="""","""",query('tbl user'!$A$2:$D10975,""SELECT A WHERE D = '""&amp;K7870&amp;""'"")),""USER TIDAK DIKETAHUI""))"),"")</f>
        <v/>
      </c>
    </row>
    <row r="7871">
      <c r="A7871" s="21" t="str">
        <f t="shared" si="3"/>
        <v/>
      </c>
      <c r="B7871" s="38"/>
      <c r="C7871" s="23"/>
      <c r="D7871" s="23"/>
      <c r="E7871" s="24"/>
      <c r="F7871" s="25"/>
      <c r="G7871" s="25"/>
      <c r="H7871" s="27"/>
      <c r="I7871" s="28"/>
      <c r="J7871" s="39"/>
      <c r="K7871" s="41"/>
      <c r="L7871" s="31" t="str">
        <f>IFERROR(__xludf.DUMMYFUNCTION("IF(OR(E7871="""",K7871=""""),"""",IFERROR(IF(K7871="""","""",query('tbl user'!$A$2:$D10975,""SELECT A WHERE D = '""&amp;K7871&amp;""'"")),""USER TIDAK DIKETAHUI""))"),"")</f>
        <v/>
      </c>
    </row>
    <row r="7872">
      <c r="A7872" s="21" t="str">
        <f t="shared" si="3"/>
        <v/>
      </c>
      <c r="B7872" s="38"/>
      <c r="C7872" s="23"/>
      <c r="D7872" s="23"/>
      <c r="E7872" s="24"/>
      <c r="F7872" s="25"/>
      <c r="G7872" s="25"/>
      <c r="H7872" s="27"/>
      <c r="I7872" s="28"/>
      <c r="J7872" s="39"/>
      <c r="K7872" s="41"/>
      <c r="L7872" s="31" t="str">
        <f>IFERROR(__xludf.DUMMYFUNCTION("IF(OR(E7872="""",K7872=""""),"""",IFERROR(IF(K7872="""","""",query('tbl user'!$A$2:$D10975,""SELECT A WHERE D = '""&amp;K7872&amp;""'"")),""USER TIDAK DIKETAHUI""))"),"")</f>
        <v/>
      </c>
    </row>
    <row r="7873">
      <c r="A7873" s="21" t="str">
        <f t="shared" si="3"/>
        <v/>
      </c>
      <c r="B7873" s="38"/>
      <c r="C7873" s="23"/>
      <c r="D7873" s="23"/>
      <c r="E7873" s="24"/>
      <c r="F7873" s="25"/>
      <c r="G7873" s="25"/>
      <c r="H7873" s="27"/>
      <c r="I7873" s="28"/>
      <c r="J7873" s="39"/>
      <c r="K7873" s="41"/>
      <c r="L7873" s="31" t="str">
        <f>IFERROR(__xludf.DUMMYFUNCTION("IF(OR(E7873="""",K7873=""""),"""",IFERROR(IF(K7873="""","""",query('tbl user'!$A$2:$D10975,""SELECT A WHERE D = '""&amp;K7873&amp;""'"")),""USER TIDAK DIKETAHUI""))"),"")</f>
        <v/>
      </c>
    </row>
    <row r="7874">
      <c r="A7874" s="21" t="str">
        <f t="shared" si="3"/>
        <v/>
      </c>
      <c r="B7874" s="38"/>
      <c r="C7874" s="23"/>
      <c r="D7874" s="23"/>
      <c r="E7874" s="24"/>
      <c r="F7874" s="25"/>
      <c r="G7874" s="25"/>
      <c r="H7874" s="27"/>
      <c r="I7874" s="28"/>
      <c r="J7874" s="39"/>
      <c r="K7874" s="41"/>
      <c r="L7874" s="31" t="str">
        <f>IFERROR(__xludf.DUMMYFUNCTION("IF(OR(E7874="""",K7874=""""),"""",IFERROR(IF(K7874="""","""",query('tbl user'!$A$2:$D10975,""SELECT A WHERE D = '""&amp;K7874&amp;""'"")),""USER TIDAK DIKETAHUI""))"),"")</f>
        <v/>
      </c>
    </row>
    <row r="7875">
      <c r="A7875" s="21" t="str">
        <f t="shared" si="3"/>
        <v/>
      </c>
      <c r="B7875" s="38"/>
      <c r="C7875" s="23"/>
      <c r="D7875" s="23"/>
      <c r="E7875" s="24"/>
      <c r="F7875" s="25"/>
      <c r="G7875" s="25"/>
      <c r="H7875" s="27"/>
      <c r="I7875" s="28"/>
      <c r="J7875" s="39"/>
      <c r="K7875" s="41"/>
      <c r="L7875" s="31" t="str">
        <f>IFERROR(__xludf.DUMMYFUNCTION("IF(OR(E7875="""",K7875=""""),"""",IFERROR(IF(K7875="""","""",query('tbl user'!$A$2:$D10975,""SELECT A WHERE D = '""&amp;K7875&amp;""'"")),""USER TIDAK DIKETAHUI""))"),"")</f>
        <v/>
      </c>
    </row>
    <row r="7876">
      <c r="A7876" s="21" t="str">
        <f t="shared" si="3"/>
        <v/>
      </c>
      <c r="B7876" s="38"/>
      <c r="C7876" s="23"/>
      <c r="D7876" s="23"/>
      <c r="E7876" s="24"/>
      <c r="F7876" s="25"/>
      <c r="G7876" s="25"/>
      <c r="H7876" s="27"/>
      <c r="I7876" s="28"/>
      <c r="J7876" s="39"/>
      <c r="K7876" s="41"/>
      <c r="L7876" s="31" t="str">
        <f>IFERROR(__xludf.DUMMYFUNCTION("IF(OR(E7876="""",K7876=""""),"""",IFERROR(IF(K7876="""","""",query('tbl user'!$A$2:$D10975,""SELECT A WHERE D = '""&amp;K7876&amp;""'"")),""USER TIDAK DIKETAHUI""))"),"")</f>
        <v/>
      </c>
    </row>
    <row r="7877">
      <c r="A7877" s="21" t="str">
        <f t="shared" si="3"/>
        <v/>
      </c>
      <c r="B7877" s="38"/>
      <c r="C7877" s="23"/>
      <c r="D7877" s="23"/>
      <c r="E7877" s="24"/>
      <c r="F7877" s="25"/>
      <c r="G7877" s="25"/>
      <c r="H7877" s="27"/>
      <c r="I7877" s="28"/>
      <c r="J7877" s="39"/>
      <c r="K7877" s="41"/>
      <c r="L7877" s="31" t="str">
        <f>IFERROR(__xludf.DUMMYFUNCTION("IF(OR(E7877="""",K7877=""""),"""",IFERROR(IF(K7877="""","""",query('tbl user'!$A$2:$D10975,""SELECT A WHERE D = '""&amp;K7877&amp;""'"")),""USER TIDAK DIKETAHUI""))"),"")</f>
        <v/>
      </c>
    </row>
    <row r="7878">
      <c r="A7878" s="21" t="str">
        <f t="shared" si="3"/>
        <v/>
      </c>
      <c r="B7878" s="38"/>
      <c r="C7878" s="23"/>
      <c r="D7878" s="23"/>
      <c r="E7878" s="24"/>
      <c r="F7878" s="25"/>
      <c r="G7878" s="25"/>
      <c r="H7878" s="27"/>
      <c r="I7878" s="28"/>
      <c r="J7878" s="39"/>
      <c r="K7878" s="41"/>
      <c r="L7878" s="31" t="str">
        <f>IFERROR(__xludf.DUMMYFUNCTION("IF(OR(E7878="""",K7878=""""),"""",IFERROR(IF(K7878="""","""",query('tbl user'!$A$2:$D10975,""SELECT A WHERE D = '""&amp;K7878&amp;""'"")),""USER TIDAK DIKETAHUI""))"),"")</f>
        <v/>
      </c>
    </row>
    <row r="7879">
      <c r="A7879" s="21" t="str">
        <f t="shared" si="3"/>
        <v/>
      </c>
      <c r="B7879" s="38"/>
      <c r="C7879" s="23"/>
      <c r="D7879" s="23"/>
      <c r="E7879" s="24"/>
      <c r="F7879" s="25"/>
      <c r="G7879" s="25"/>
      <c r="H7879" s="27"/>
      <c r="I7879" s="28"/>
      <c r="J7879" s="39"/>
      <c r="K7879" s="41"/>
      <c r="L7879" s="31" t="str">
        <f>IFERROR(__xludf.DUMMYFUNCTION("IF(OR(E7879="""",K7879=""""),"""",IFERROR(IF(K7879="""","""",query('tbl user'!$A$2:$D10975,""SELECT A WHERE D = '""&amp;K7879&amp;""'"")),""USER TIDAK DIKETAHUI""))"),"")</f>
        <v/>
      </c>
    </row>
    <row r="7880">
      <c r="A7880" s="21" t="str">
        <f t="shared" si="3"/>
        <v/>
      </c>
      <c r="B7880" s="38"/>
      <c r="C7880" s="23"/>
      <c r="D7880" s="23"/>
      <c r="E7880" s="24"/>
      <c r="F7880" s="25"/>
      <c r="G7880" s="25"/>
      <c r="H7880" s="27"/>
      <c r="I7880" s="28"/>
      <c r="J7880" s="39"/>
      <c r="K7880" s="41"/>
      <c r="L7880" s="31" t="str">
        <f>IFERROR(__xludf.DUMMYFUNCTION("IF(OR(E7880="""",K7880=""""),"""",IFERROR(IF(K7880="""","""",query('tbl user'!$A$2:$D10975,""SELECT A WHERE D = '""&amp;K7880&amp;""'"")),""USER TIDAK DIKETAHUI""))"),"")</f>
        <v/>
      </c>
    </row>
    <row r="7881">
      <c r="A7881" s="21" t="str">
        <f t="shared" si="3"/>
        <v/>
      </c>
      <c r="B7881" s="38"/>
      <c r="C7881" s="23"/>
      <c r="D7881" s="23"/>
      <c r="E7881" s="24"/>
      <c r="F7881" s="25"/>
      <c r="G7881" s="25"/>
      <c r="H7881" s="27"/>
      <c r="I7881" s="28"/>
      <c r="J7881" s="39"/>
      <c r="K7881" s="41"/>
      <c r="L7881" s="31" t="str">
        <f>IFERROR(__xludf.DUMMYFUNCTION("IF(OR(E7881="""",K7881=""""),"""",IFERROR(IF(K7881="""","""",query('tbl user'!$A$2:$D10975,""SELECT A WHERE D = '""&amp;K7881&amp;""'"")),""USER TIDAK DIKETAHUI""))"),"")</f>
        <v/>
      </c>
    </row>
    <row r="7882">
      <c r="A7882" s="21" t="str">
        <f t="shared" si="3"/>
        <v/>
      </c>
      <c r="B7882" s="38"/>
      <c r="C7882" s="23"/>
      <c r="D7882" s="23"/>
      <c r="E7882" s="24"/>
      <c r="F7882" s="25"/>
      <c r="G7882" s="25"/>
      <c r="H7882" s="27"/>
      <c r="I7882" s="28"/>
      <c r="J7882" s="39"/>
      <c r="K7882" s="41"/>
      <c r="L7882" s="31" t="str">
        <f>IFERROR(__xludf.DUMMYFUNCTION("IF(OR(E7882="""",K7882=""""),"""",IFERROR(IF(K7882="""","""",query('tbl user'!$A$2:$D10975,""SELECT A WHERE D = '""&amp;K7882&amp;""'"")),""USER TIDAK DIKETAHUI""))"),"")</f>
        <v/>
      </c>
    </row>
    <row r="7883">
      <c r="A7883" s="21" t="str">
        <f t="shared" si="3"/>
        <v/>
      </c>
      <c r="B7883" s="38"/>
      <c r="C7883" s="23"/>
      <c r="D7883" s="23"/>
      <c r="E7883" s="24"/>
      <c r="F7883" s="25"/>
      <c r="G7883" s="25"/>
      <c r="H7883" s="27"/>
      <c r="I7883" s="28"/>
      <c r="J7883" s="39"/>
      <c r="K7883" s="41"/>
      <c r="L7883" s="31" t="str">
        <f>IFERROR(__xludf.DUMMYFUNCTION("IF(OR(E7883="""",K7883=""""),"""",IFERROR(IF(K7883="""","""",query('tbl user'!$A$2:$D10975,""SELECT A WHERE D = '""&amp;K7883&amp;""'"")),""USER TIDAK DIKETAHUI""))"),"")</f>
        <v/>
      </c>
    </row>
    <row r="7884">
      <c r="A7884" s="21" t="str">
        <f t="shared" si="3"/>
        <v/>
      </c>
      <c r="B7884" s="38"/>
      <c r="C7884" s="23"/>
      <c r="D7884" s="23"/>
      <c r="E7884" s="24"/>
      <c r="F7884" s="25"/>
      <c r="G7884" s="25"/>
      <c r="H7884" s="27"/>
      <c r="I7884" s="28"/>
      <c r="J7884" s="39"/>
      <c r="K7884" s="41"/>
      <c r="L7884" s="31" t="str">
        <f>IFERROR(__xludf.DUMMYFUNCTION("IF(OR(E7884="""",K7884=""""),"""",IFERROR(IF(K7884="""","""",query('tbl user'!$A$2:$D10975,""SELECT A WHERE D = '""&amp;K7884&amp;""'"")),""USER TIDAK DIKETAHUI""))"),"")</f>
        <v/>
      </c>
    </row>
    <row r="7885">
      <c r="A7885" s="21" t="str">
        <f t="shared" si="3"/>
        <v/>
      </c>
      <c r="B7885" s="38"/>
      <c r="C7885" s="23"/>
      <c r="D7885" s="23"/>
      <c r="E7885" s="24"/>
      <c r="F7885" s="25"/>
      <c r="G7885" s="25"/>
      <c r="H7885" s="27"/>
      <c r="I7885" s="28"/>
      <c r="J7885" s="39"/>
      <c r="K7885" s="41"/>
      <c r="L7885" s="31" t="str">
        <f>IFERROR(__xludf.DUMMYFUNCTION("IF(OR(E7885="""",K7885=""""),"""",IFERROR(IF(K7885="""","""",query('tbl user'!$A$2:$D10975,""SELECT A WHERE D = '""&amp;K7885&amp;""'"")),""USER TIDAK DIKETAHUI""))"),"")</f>
        <v/>
      </c>
    </row>
    <row r="7886">
      <c r="A7886" s="21" t="str">
        <f t="shared" si="3"/>
        <v/>
      </c>
      <c r="B7886" s="38"/>
      <c r="C7886" s="23"/>
      <c r="D7886" s="23"/>
      <c r="E7886" s="24"/>
      <c r="F7886" s="25"/>
      <c r="G7886" s="25"/>
      <c r="H7886" s="27"/>
      <c r="I7886" s="28"/>
      <c r="J7886" s="39"/>
      <c r="K7886" s="41"/>
      <c r="L7886" s="31" t="str">
        <f>IFERROR(__xludf.DUMMYFUNCTION("IF(OR(E7886="""",K7886=""""),"""",IFERROR(IF(K7886="""","""",query('tbl user'!$A$2:$D10975,""SELECT A WHERE D = '""&amp;K7886&amp;""'"")),""USER TIDAK DIKETAHUI""))"),"")</f>
        <v/>
      </c>
    </row>
    <row r="7887">
      <c r="A7887" s="21" t="str">
        <f t="shared" si="3"/>
        <v/>
      </c>
      <c r="B7887" s="38"/>
      <c r="C7887" s="23"/>
      <c r="D7887" s="23"/>
      <c r="E7887" s="24"/>
      <c r="F7887" s="25"/>
      <c r="G7887" s="25"/>
      <c r="H7887" s="27"/>
      <c r="I7887" s="28"/>
      <c r="J7887" s="39"/>
      <c r="K7887" s="41"/>
      <c r="L7887" s="31" t="str">
        <f>IFERROR(__xludf.DUMMYFUNCTION("IF(OR(E7887="""",K7887=""""),"""",IFERROR(IF(K7887="""","""",query('tbl user'!$A$2:$D10975,""SELECT A WHERE D = '""&amp;K7887&amp;""'"")),""USER TIDAK DIKETAHUI""))"),"")</f>
        <v/>
      </c>
    </row>
    <row r="7888">
      <c r="A7888" s="21" t="str">
        <f t="shared" si="3"/>
        <v/>
      </c>
      <c r="B7888" s="38"/>
      <c r="C7888" s="23"/>
      <c r="D7888" s="23"/>
      <c r="E7888" s="24"/>
      <c r="F7888" s="25"/>
      <c r="G7888" s="25"/>
      <c r="H7888" s="27"/>
      <c r="I7888" s="28"/>
      <c r="J7888" s="39"/>
      <c r="K7888" s="41"/>
      <c r="L7888" s="31" t="str">
        <f>IFERROR(__xludf.DUMMYFUNCTION("IF(OR(E7888="""",K7888=""""),"""",IFERROR(IF(K7888="""","""",query('tbl user'!$A$2:$D10975,""SELECT A WHERE D = '""&amp;K7888&amp;""'"")),""USER TIDAK DIKETAHUI""))"),"")</f>
        <v/>
      </c>
    </row>
    <row r="7889">
      <c r="A7889" s="21" t="str">
        <f t="shared" si="3"/>
        <v/>
      </c>
      <c r="B7889" s="38"/>
      <c r="C7889" s="23"/>
      <c r="D7889" s="23"/>
      <c r="E7889" s="24"/>
      <c r="F7889" s="25"/>
      <c r="G7889" s="25"/>
      <c r="H7889" s="27"/>
      <c r="I7889" s="28"/>
      <c r="J7889" s="39"/>
      <c r="K7889" s="41"/>
      <c r="L7889" s="31" t="str">
        <f>IFERROR(__xludf.DUMMYFUNCTION("IF(OR(E7889="""",K7889=""""),"""",IFERROR(IF(K7889="""","""",query('tbl user'!$A$2:$D10975,""SELECT A WHERE D = '""&amp;K7889&amp;""'"")),""USER TIDAK DIKETAHUI""))"),"")</f>
        <v/>
      </c>
    </row>
    <row r="7890">
      <c r="A7890" s="21" t="str">
        <f t="shared" si="3"/>
        <v/>
      </c>
      <c r="B7890" s="38"/>
      <c r="C7890" s="23"/>
      <c r="D7890" s="23"/>
      <c r="E7890" s="24"/>
      <c r="F7890" s="25"/>
      <c r="G7890" s="25"/>
      <c r="H7890" s="27"/>
      <c r="I7890" s="28"/>
      <c r="J7890" s="39"/>
      <c r="K7890" s="41"/>
      <c r="L7890" s="31" t="str">
        <f>IFERROR(__xludf.DUMMYFUNCTION("IF(OR(E7890="""",K7890=""""),"""",IFERROR(IF(K7890="""","""",query('tbl user'!$A$2:$D10975,""SELECT A WHERE D = '""&amp;K7890&amp;""'"")),""USER TIDAK DIKETAHUI""))"),"")</f>
        <v/>
      </c>
    </row>
    <row r="7891">
      <c r="A7891" s="21" t="str">
        <f t="shared" si="3"/>
        <v/>
      </c>
      <c r="B7891" s="38"/>
      <c r="C7891" s="23"/>
      <c r="D7891" s="23"/>
      <c r="E7891" s="24"/>
      <c r="F7891" s="25"/>
      <c r="G7891" s="25"/>
      <c r="H7891" s="27"/>
      <c r="I7891" s="28"/>
      <c r="J7891" s="39"/>
      <c r="K7891" s="41"/>
      <c r="L7891" s="31" t="str">
        <f>IFERROR(__xludf.DUMMYFUNCTION("IF(OR(E7891="""",K7891=""""),"""",IFERROR(IF(K7891="""","""",query('tbl user'!$A$2:$D10975,""SELECT A WHERE D = '""&amp;K7891&amp;""'"")),""USER TIDAK DIKETAHUI""))"),"")</f>
        <v/>
      </c>
    </row>
    <row r="7892">
      <c r="A7892" s="21" t="str">
        <f t="shared" si="3"/>
        <v/>
      </c>
      <c r="B7892" s="38"/>
      <c r="C7892" s="23"/>
      <c r="D7892" s="23"/>
      <c r="E7892" s="24"/>
      <c r="F7892" s="25"/>
      <c r="G7892" s="25"/>
      <c r="H7892" s="27"/>
      <c r="I7892" s="28"/>
      <c r="J7892" s="39"/>
      <c r="K7892" s="41"/>
      <c r="L7892" s="31" t="str">
        <f>IFERROR(__xludf.DUMMYFUNCTION("IF(OR(E7892="""",K7892=""""),"""",IFERROR(IF(K7892="""","""",query('tbl user'!$A$2:$D10975,""SELECT A WHERE D = '""&amp;K7892&amp;""'"")),""USER TIDAK DIKETAHUI""))"),"")</f>
        <v/>
      </c>
    </row>
    <row r="7893">
      <c r="A7893" s="21" t="str">
        <f t="shared" si="3"/>
        <v/>
      </c>
      <c r="B7893" s="38"/>
      <c r="C7893" s="23"/>
      <c r="D7893" s="23"/>
      <c r="E7893" s="24"/>
      <c r="F7893" s="25"/>
      <c r="G7893" s="25"/>
      <c r="H7893" s="27"/>
      <c r="I7893" s="28"/>
      <c r="J7893" s="39"/>
      <c r="K7893" s="41"/>
      <c r="L7893" s="31" t="str">
        <f>IFERROR(__xludf.DUMMYFUNCTION("IF(OR(E7893="""",K7893=""""),"""",IFERROR(IF(K7893="""","""",query('tbl user'!$A$2:$D10975,""SELECT A WHERE D = '""&amp;K7893&amp;""'"")),""USER TIDAK DIKETAHUI""))"),"")</f>
        <v/>
      </c>
    </row>
    <row r="7894">
      <c r="A7894" s="21" t="str">
        <f t="shared" si="3"/>
        <v/>
      </c>
      <c r="B7894" s="38"/>
      <c r="C7894" s="23"/>
      <c r="D7894" s="23"/>
      <c r="E7894" s="24"/>
      <c r="F7894" s="25"/>
      <c r="G7894" s="25"/>
      <c r="H7894" s="27"/>
      <c r="I7894" s="28"/>
      <c r="J7894" s="39"/>
      <c r="K7894" s="41"/>
      <c r="L7894" s="31" t="str">
        <f>IFERROR(__xludf.DUMMYFUNCTION("IF(OR(E7894="""",K7894=""""),"""",IFERROR(IF(K7894="""","""",query('tbl user'!$A$2:$D10975,""SELECT A WHERE D = '""&amp;K7894&amp;""'"")),""USER TIDAK DIKETAHUI""))"),"")</f>
        <v/>
      </c>
    </row>
    <row r="7895">
      <c r="A7895" s="21" t="str">
        <f t="shared" si="3"/>
        <v/>
      </c>
      <c r="B7895" s="38"/>
      <c r="C7895" s="23"/>
      <c r="D7895" s="23"/>
      <c r="E7895" s="24"/>
      <c r="F7895" s="25"/>
      <c r="G7895" s="25"/>
      <c r="H7895" s="27"/>
      <c r="I7895" s="28"/>
      <c r="J7895" s="39"/>
      <c r="K7895" s="41"/>
      <c r="L7895" s="31" t="str">
        <f>IFERROR(__xludf.DUMMYFUNCTION("IF(OR(E7895="""",K7895=""""),"""",IFERROR(IF(K7895="""","""",query('tbl user'!$A$2:$D10975,""SELECT A WHERE D = '""&amp;K7895&amp;""'"")),""USER TIDAK DIKETAHUI""))"),"")</f>
        <v/>
      </c>
    </row>
    <row r="7896">
      <c r="A7896" s="21" t="str">
        <f t="shared" si="3"/>
        <v/>
      </c>
      <c r="B7896" s="38"/>
      <c r="C7896" s="23"/>
      <c r="D7896" s="23"/>
      <c r="E7896" s="24"/>
      <c r="F7896" s="25"/>
      <c r="G7896" s="25"/>
      <c r="H7896" s="27"/>
      <c r="I7896" s="28"/>
      <c r="J7896" s="39"/>
      <c r="K7896" s="41"/>
      <c r="L7896" s="31" t="str">
        <f>IFERROR(__xludf.DUMMYFUNCTION("IF(OR(E7896="""",K7896=""""),"""",IFERROR(IF(K7896="""","""",query('tbl user'!$A$2:$D10975,""SELECT A WHERE D = '""&amp;K7896&amp;""'"")),""USER TIDAK DIKETAHUI""))"),"")</f>
        <v/>
      </c>
    </row>
    <row r="7897">
      <c r="A7897" s="21" t="str">
        <f t="shared" si="3"/>
        <v/>
      </c>
      <c r="B7897" s="38"/>
      <c r="C7897" s="23"/>
      <c r="D7897" s="23"/>
      <c r="E7897" s="24"/>
      <c r="F7897" s="25"/>
      <c r="G7897" s="25"/>
      <c r="H7897" s="27"/>
      <c r="I7897" s="28"/>
      <c r="J7897" s="39"/>
      <c r="K7897" s="41"/>
      <c r="L7897" s="31" t="str">
        <f>IFERROR(__xludf.DUMMYFUNCTION("IF(OR(E7897="""",K7897=""""),"""",IFERROR(IF(K7897="""","""",query('tbl user'!$A$2:$D10975,""SELECT A WHERE D = '""&amp;K7897&amp;""'"")),""USER TIDAK DIKETAHUI""))"),"")</f>
        <v/>
      </c>
    </row>
    <row r="7898">
      <c r="A7898" s="21" t="str">
        <f t="shared" si="3"/>
        <v/>
      </c>
      <c r="B7898" s="38"/>
      <c r="C7898" s="23"/>
      <c r="D7898" s="23"/>
      <c r="E7898" s="24"/>
      <c r="F7898" s="25"/>
      <c r="G7898" s="25"/>
      <c r="H7898" s="27"/>
      <c r="I7898" s="28"/>
      <c r="J7898" s="39"/>
      <c r="K7898" s="41"/>
      <c r="L7898" s="31" t="str">
        <f>IFERROR(__xludf.DUMMYFUNCTION("IF(OR(E7898="""",K7898=""""),"""",IFERROR(IF(K7898="""","""",query('tbl user'!$A$2:$D10975,""SELECT A WHERE D = '""&amp;K7898&amp;""'"")),""USER TIDAK DIKETAHUI""))"),"")</f>
        <v/>
      </c>
    </row>
    <row r="7899">
      <c r="A7899" s="21" t="str">
        <f t="shared" si="3"/>
        <v/>
      </c>
      <c r="B7899" s="38"/>
      <c r="C7899" s="23"/>
      <c r="D7899" s="23"/>
      <c r="E7899" s="24"/>
      <c r="F7899" s="25"/>
      <c r="G7899" s="25"/>
      <c r="H7899" s="27"/>
      <c r="I7899" s="28"/>
      <c r="J7899" s="39"/>
      <c r="K7899" s="41"/>
      <c r="L7899" s="31" t="str">
        <f>IFERROR(__xludf.DUMMYFUNCTION("IF(OR(E7899="""",K7899=""""),"""",IFERROR(IF(K7899="""","""",query('tbl user'!$A$2:$D10975,""SELECT A WHERE D = '""&amp;K7899&amp;""'"")),""USER TIDAK DIKETAHUI""))"),"")</f>
        <v/>
      </c>
    </row>
    <row r="7900">
      <c r="A7900" s="21" t="str">
        <f t="shared" si="3"/>
        <v/>
      </c>
      <c r="B7900" s="38"/>
      <c r="C7900" s="23"/>
      <c r="D7900" s="23"/>
      <c r="E7900" s="24"/>
      <c r="F7900" s="25"/>
      <c r="G7900" s="25"/>
      <c r="H7900" s="27"/>
      <c r="I7900" s="28"/>
      <c r="J7900" s="39"/>
      <c r="K7900" s="41"/>
      <c r="L7900" s="31" t="str">
        <f>IFERROR(__xludf.DUMMYFUNCTION("IF(OR(E7900="""",K7900=""""),"""",IFERROR(IF(K7900="""","""",query('tbl user'!$A$2:$D10975,""SELECT A WHERE D = '""&amp;K7900&amp;""'"")),""USER TIDAK DIKETAHUI""))"),"")</f>
        <v/>
      </c>
    </row>
    <row r="7901">
      <c r="A7901" s="21" t="str">
        <f t="shared" si="3"/>
        <v/>
      </c>
      <c r="B7901" s="38"/>
      <c r="C7901" s="23"/>
      <c r="D7901" s="23"/>
      <c r="E7901" s="24"/>
      <c r="F7901" s="25"/>
      <c r="G7901" s="25"/>
      <c r="H7901" s="27"/>
      <c r="I7901" s="28"/>
      <c r="J7901" s="39"/>
      <c r="K7901" s="41"/>
      <c r="L7901" s="31" t="str">
        <f>IFERROR(__xludf.DUMMYFUNCTION("IF(OR(E7901="""",K7901=""""),"""",IFERROR(IF(K7901="""","""",query('tbl user'!$A$2:$D10975,""SELECT A WHERE D = '""&amp;K7901&amp;""'"")),""USER TIDAK DIKETAHUI""))"),"")</f>
        <v/>
      </c>
    </row>
    <row r="7902">
      <c r="A7902" s="21" t="str">
        <f t="shared" si="3"/>
        <v/>
      </c>
      <c r="B7902" s="38"/>
      <c r="C7902" s="23"/>
      <c r="D7902" s="23"/>
      <c r="E7902" s="24"/>
      <c r="F7902" s="25"/>
      <c r="G7902" s="25"/>
      <c r="H7902" s="27"/>
      <c r="I7902" s="28"/>
      <c r="J7902" s="39"/>
      <c r="K7902" s="41"/>
      <c r="L7902" s="31" t="str">
        <f>IFERROR(__xludf.DUMMYFUNCTION("IF(OR(E7902="""",K7902=""""),"""",IFERROR(IF(K7902="""","""",query('tbl user'!$A$2:$D10975,""SELECT A WHERE D = '""&amp;K7902&amp;""'"")),""USER TIDAK DIKETAHUI""))"),"")</f>
        <v/>
      </c>
    </row>
    <row r="7903">
      <c r="A7903" s="21" t="str">
        <f t="shared" si="3"/>
        <v/>
      </c>
      <c r="B7903" s="38"/>
      <c r="C7903" s="23"/>
      <c r="D7903" s="23"/>
      <c r="E7903" s="24"/>
      <c r="F7903" s="25"/>
      <c r="G7903" s="25"/>
      <c r="H7903" s="27"/>
      <c r="I7903" s="28"/>
      <c r="J7903" s="39"/>
      <c r="K7903" s="41"/>
      <c r="L7903" s="31" t="str">
        <f>IFERROR(__xludf.DUMMYFUNCTION("IF(OR(E7903="""",K7903=""""),"""",IFERROR(IF(K7903="""","""",query('tbl user'!$A$2:$D10975,""SELECT A WHERE D = '""&amp;K7903&amp;""'"")),""USER TIDAK DIKETAHUI""))"),"")</f>
        <v/>
      </c>
    </row>
    <row r="7904">
      <c r="A7904" s="21" t="str">
        <f t="shared" si="3"/>
        <v/>
      </c>
      <c r="B7904" s="38"/>
      <c r="C7904" s="23"/>
      <c r="D7904" s="23"/>
      <c r="E7904" s="24"/>
      <c r="F7904" s="25"/>
      <c r="G7904" s="25"/>
      <c r="H7904" s="27"/>
      <c r="I7904" s="28"/>
      <c r="J7904" s="39"/>
      <c r="K7904" s="41"/>
      <c r="L7904" s="31" t="str">
        <f>IFERROR(__xludf.DUMMYFUNCTION("IF(OR(E7904="""",K7904=""""),"""",IFERROR(IF(K7904="""","""",query('tbl user'!$A$2:$D10975,""SELECT A WHERE D = '""&amp;K7904&amp;""'"")),""USER TIDAK DIKETAHUI""))"),"")</f>
        <v/>
      </c>
    </row>
    <row r="7905">
      <c r="A7905" s="21" t="str">
        <f t="shared" si="3"/>
        <v/>
      </c>
      <c r="B7905" s="38"/>
      <c r="C7905" s="23"/>
      <c r="D7905" s="23"/>
      <c r="E7905" s="24"/>
      <c r="F7905" s="25"/>
      <c r="G7905" s="25"/>
      <c r="H7905" s="27"/>
      <c r="I7905" s="28"/>
      <c r="J7905" s="39"/>
      <c r="K7905" s="41"/>
      <c r="L7905" s="31" t="str">
        <f>IFERROR(__xludf.DUMMYFUNCTION("IF(OR(E7905="""",K7905=""""),"""",IFERROR(IF(K7905="""","""",query('tbl user'!$A$2:$D10975,""SELECT A WHERE D = '""&amp;K7905&amp;""'"")),""USER TIDAK DIKETAHUI""))"),"")</f>
        <v/>
      </c>
    </row>
    <row r="7906">
      <c r="A7906" s="21" t="str">
        <f t="shared" si="3"/>
        <v/>
      </c>
      <c r="B7906" s="38"/>
      <c r="C7906" s="23"/>
      <c r="D7906" s="23"/>
      <c r="E7906" s="24"/>
      <c r="F7906" s="25"/>
      <c r="G7906" s="25"/>
      <c r="H7906" s="27"/>
      <c r="I7906" s="28"/>
      <c r="J7906" s="39"/>
      <c r="K7906" s="41"/>
      <c r="L7906" s="31" t="str">
        <f>IFERROR(__xludf.DUMMYFUNCTION("IF(OR(E7906="""",K7906=""""),"""",IFERROR(IF(K7906="""","""",query('tbl user'!$A$2:$D10975,""SELECT A WHERE D = '""&amp;K7906&amp;""'"")),""USER TIDAK DIKETAHUI""))"),"")</f>
        <v/>
      </c>
    </row>
    <row r="7907">
      <c r="A7907" s="21" t="str">
        <f t="shared" si="3"/>
        <v/>
      </c>
      <c r="B7907" s="38"/>
      <c r="C7907" s="23"/>
      <c r="D7907" s="23"/>
      <c r="E7907" s="24"/>
      <c r="F7907" s="25"/>
      <c r="G7907" s="25"/>
      <c r="H7907" s="27"/>
      <c r="I7907" s="28"/>
      <c r="J7907" s="39"/>
      <c r="K7907" s="41"/>
      <c r="L7907" s="31" t="str">
        <f>IFERROR(__xludf.DUMMYFUNCTION("IF(OR(E7907="""",K7907=""""),"""",IFERROR(IF(K7907="""","""",query('tbl user'!$A$2:$D10975,""SELECT A WHERE D = '""&amp;K7907&amp;""'"")),""USER TIDAK DIKETAHUI""))"),"")</f>
        <v/>
      </c>
    </row>
    <row r="7908">
      <c r="A7908" s="21" t="str">
        <f t="shared" si="3"/>
        <v/>
      </c>
      <c r="B7908" s="38"/>
      <c r="C7908" s="23"/>
      <c r="D7908" s="23"/>
      <c r="E7908" s="24"/>
      <c r="F7908" s="25"/>
      <c r="G7908" s="25"/>
      <c r="H7908" s="27"/>
      <c r="I7908" s="28"/>
      <c r="J7908" s="39"/>
      <c r="K7908" s="41"/>
      <c r="L7908" s="31" t="str">
        <f>IFERROR(__xludf.DUMMYFUNCTION("IF(OR(E7908="""",K7908=""""),"""",IFERROR(IF(K7908="""","""",query('tbl user'!$A$2:$D10975,""SELECT A WHERE D = '""&amp;K7908&amp;""'"")),""USER TIDAK DIKETAHUI""))"),"")</f>
        <v/>
      </c>
    </row>
    <row r="7909">
      <c r="A7909" s="21" t="str">
        <f t="shared" si="3"/>
        <v/>
      </c>
      <c r="B7909" s="38"/>
      <c r="C7909" s="23"/>
      <c r="D7909" s="23"/>
      <c r="E7909" s="24"/>
      <c r="F7909" s="25"/>
      <c r="G7909" s="25"/>
      <c r="H7909" s="27"/>
      <c r="I7909" s="28"/>
      <c r="J7909" s="39"/>
      <c r="K7909" s="41"/>
      <c r="L7909" s="31" t="str">
        <f>IFERROR(__xludf.DUMMYFUNCTION("IF(OR(E7909="""",K7909=""""),"""",IFERROR(IF(K7909="""","""",query('tbl user'!$A$2:$D10975,""SELECT A WHERE D = '""&amp;K7909&amp;""'"")),""USER TIDAK DIKETAHUI""))"),"")</f>
        <v/>
      </c>
    </row>
    <row r="7910">
      <c r="A7910" s="21" t="str">
        <f t="shared" si="3"/>
        <v/>
      </c>
      <c r="B7910" s="38"/>
      <c r="C7910" s="23"/>
      <c r="D7910" s="23"/>
      <c r="E7910" s="24"/>
      <c r="F7910" s="25"/>
      <c r="G7910" s="25"/>
      <c r="H7910" s="27"/>
      <c r="I7910" s="28"/>
      <c r="J7910" s="39"/>
      <c r="K7910" s="41"/>
      <c r="L7910" s="31" t="str">
        <f>IFERROR(__xludf.DUMMYFUNCTION("IF(OR(E7910="""",K7910=""""),"""",IFERROR(IF(K7910="""","""",query('tbl user'!$A$2:$D10975,""SELECT A WHERE D = '""&amp;K7910&amp;""'"")),""USER TIDAK DIKETAHUI""))"),"")</f>
        <v/>
      </c>
    </row>
    <row r="7911">
      <c r="A7911" s="21" t="str">
        <f t="shared" si="3"/>
        <v/>
      </c>
      <c r="B7911" s="38"/>
      <c r="C7911" s="23"/>
      <c r="D7911" s="23"/>
      <c r="E7911" s="24"/>
      <c r="F7911" s="25"/>
      <c r="G7911" s="25"/>
      <c r="H7911" s="27"/>
      <c r="I7911" s="28"/>
      <c r="J7911" s="39"/>
      <c r="K7911" s="41"/>
      <c r="L7911" s="31" t="str">
        <f>IFERROR(__xludf.DUMMYFUNCTION("IF(OR(E7911="""",K7911=""""),"""",IFERROR(IF(K7911="""","""",query('tbl user'!$A$2:$D10975,""SELECT A WHERE D = '""&amp;K7911&amp;""'"")),""USER TIDAK DIKETAHUI""))"),"")</f>
        <v/>
      </c>
    </row>
    <row r="7912">
      <c r="A7912" s="21" t="str">
        <f t="shared" si="3"/>
        <v/>
      </c>
      <c r="B7912" s="38"/>
      <c r="C7912" s="23"/>
      <c r="D7912" s="23"/>
      <c r="E7912" s="24"/>
      <c r="F7912" s="25"/>
      <c r="G7912" s="25"/>
      <c r="H7912" s="27"/>
      <c r="I7912" s="28"/>
      <c r="J7912" s="39"/>
      <c r="K7912" s="41"/>
      <c r="L7912" s="31" t="str">
        <f>IFERROR(__xludf.DUMMYFUNCTION("IF(OR(E7912="""",K7912=""""),"""",IFERROR(IF(K7912="""","""",query('tbl user'!$A$2:$D10975,""SELECT A WHERE D = '""&amp;K7912&amp;""'"")),""USER TIDAK DIKETAHUI""))"),"")</f>
        <v/>
      </c>
    </row>
    <row r="7913">
      <c r="A7913" s="21" t="str">
        <f t="shared" si="3"/>
        <v/>
      </c>
      <c r="B7913" s="38"/>
      <c r="C7913" s="23"/>
      <c r="D7913" s="23"/>
      <c r="E7913" s="24"/>
      <c r="F7913" s="25"/>
      <c r="G7913" s="25"/>
      <c r="H7913" s="27"/>
      <c r="I7913" s="28"/>
      <c r="J7913" s="39"/>
      <c r="K7913" s="41"/>
      <c r="L7913" s="31" t="str">
        <f>IFERROR(__xludf.DUMMYFUNCTION("IF(OR(E7913="""",K7913=""""),"""",IFERROR(IF(K7913="""","""",query('tbl user'!$A$2:$D10975,""SELECT A WHERE D = '""&amp;K7913&amp;""'"")),""USER TIDAK DIKETAHUI""))"),"")</f>
        <v/>
      </c>
    </row>
    <row r="7914">
      <c r="A7914" s="21" t="str">
        <f t="shared" si="3"/>
        <v/>
      </c>
      <c r="B7914" s="38"/>
      <c r="C7914" s="23"/>
      <c r="D7914" s="23"/>
      <c r="E7914" s="24"/>
      <c r="F7914" s="25"/>
      <c r="G7914" s="25"/>
      <c r="H7914" s="27"/>
      <c r="I7914" s="28"/>
      <c r="J7914" s="39"/>
      <c r="K7914" s="41"/>
      <c r="L7914" s="31" t="str">
        <f>IFERROR(__xludf.DUMMYFUNCTION("IF(OR(E7914="""",K7914=""""),"""",IFERROR(IF(K7914="""","""",query('tbl user'!$A$2:$D10975,""SELECT A WHERE D = '""&amp;K7914&amp;""'"")),""USER TIDAK DIKETAHUI""))"),"")</f>
        <v/>
      </c>
    </row>
    <row r="7915">
      <c r="A7915" s="21" t="str">
        <f t="shared" si="3"/>
        <v/>
      </c>
      <c r="B7915" s="38"/>
      <c r="C7915" s="23"/>
      <c r="D7915" s="23"/>
      <c r="E7915" s="24"/>
      <c r="F7915" s="25"/>
      <c r="G7915" s="25"/>
      <c r="H7915" s="27"/>
      <c r="I7915" s="28"/>
      <c r="J7915" s="39"/>
      <c r="K7915" s="41"/>
      <c r="L7915" s="31" t="str">
        <f>IFERROR(__xludf.DUMMYFUNCTION("IF(OR(E7915="""",K7915=""""),"""",IFERROR(IF(K7915="""","""",query('tbl user'!$A$2:$D10975,""SELECT A WHERE D = '""&amp;K7915&amp;""'"")),""USER TIDAK DIKETAHUI""))"),"")</f>
        <v/>
      </c>
    </row>
    <row r="7916">
      <c r="A7916" s="21" t="str">
        <f t="shared" si="3"/>
        <v/>
      </c>
      <c r="B7916" s="38"/>
      <c r="C7916" s="23"/>
      <c r="D7916" s="23"/>
      <c r="E7916" s="24"/>
      <c r="F7916" s="25"/>
      <c r="G7916" s="25"/>
      <c r="H7916" s="27"/>
      <c r="I7916" s="28"/>
      <c r="J7916" s="39"/>
      <c r="K7916" s="41"/>
      <c r="L7916" s="31" t="str">
        <f>IFERROR(__xludf.DUMMYFUNCTION("IF(OR(E7916="""",K7916=""""),"""",IFERROR(IF(K7916="""","""",query('tbl user'!$A$2:$D10975,""SELECT A WHERE D = '""&amp;K7916&amp;""'"")),""USER TIDAK DIKETAHUI""))"),"")</f>
        <v/>
      </c>
    </row>
    <row r="7917">
      <c r="A7917" s="21" t="str">
        <f t="shared" si="3"/>
        <v/>
      </c>
      <c r="B7917" s="38"/>
      <c r="C7917" s="23"/>
      <c r="D7917" s="23"/>
      <c r="E7917" s="24"/>
      <c r="F7917" s="25"/>
      <c r="G7917" s="25"/>
      <c r="H7917" s="27"/>
      <c r="I7917" s="28"/>
      <c r="J7917" s="39"/>
      <c r="K7917" s="41"/>
      <c r="L7917" s="31" t="str">
        <f>IFERROR(__xludf.DUMMYFUNCTION("IF(OR(E7917="""",K7917=""""),"""",IFERROR(IF(K7917="""","""",query('tbl user'!$A$2:$D10975,""SELECT A WHERE D = '""&amp;K7917&amp;""'"")),""USER TIDAK DIKETAHUI""))"),"")</f>
        <v/>
      </c>
    </row>
    <row r="7918">
      <c r="A7918" s="21" t="str">
        <f t="shared" si="3"/>
        <v/>
      </c>
      <c r="B7918" s="38"/>
      <c r="C7918" s="23"/>
      <c r="D7918" s="23"/>
      <c r="E7918" s="24"/>
      <c r="F7918" s="25"/>
      <c r="G7918" s="25"/>
      <c r="H7918" s="27"/>
      <c r="I7918" s="28"/>
      <c r="J7918" s="39"/>
      <c r="K7918" s="41"/>
      <c r="L7918" s="31" t="str">
        <f>IFERROR(__xludf.DUMMYFUNCTION("IF(OR(E7918="""",K7918=""""),"""",IFERROR(IF(K7918="""","""",query('tbl user'!$A$2:$D10975,""SELECT A WHERE D = '""&amp;K7918&amp;""'"")),""USER TIDAK DIKETAHUI""))"),"")</f>
        <v/>
      </c>
    </row>
    <row r="7919">
      <c r="A7919" s="21" t="str">
        <f t="shared" si="3"/>
        <v/>
      </c>
      <c r="B7919" s="38"/>
      <c r="C7919" s="23"/>
      <c r="D7919" s="23"/>
      <c r="E7919" s="24"/>
      <c r="F7919" s="25"/>
      <c r="G7919" s="25"/>
      <c r="H7919" s="27"/>
      <c r="I7919" s="28"/>
      <c r="J7919" s="39"/>
      <c r="K7919" s="41"/>
      <c r="L7919" s="31" t="str">
        <f>IFERROR(__xludf.DUMMYFUNCTION("IF(OR(E7919="""",K7919=""""),"""",IFERROR(IF(K7919="""","""",query('tbl user'!$A$2:$D10975,""SELECT A WHERE D = '""&amp;K7919&amp;""'"")),""USER TIDAK DIKETAHUI""))"),"")</f>
        <v/>
      </c>
    </row>
    <row r="7920">
      <c r="A7920" s="21" t="str">
        <f t="shared" si="3"/>
        <v/>
      </c>
      <c r="B7920" s="38"/>
      <c r="C7920" s="23"/>
      <c r="D7920" s="23"/>
      <c r="E7920" s="24"/>
      <c r="F7920" s="25"/>
      <c r="G7920" s="25"/>
      <c r="H7920" s="27"/>
      <c r="I7920" s="28"/>
      <c r="J7920" s="39"/>
      <c r="K7920" s="41"/>
      <c r="L7920" s="31" t="str">
        <f>IFERROR(__xludf.DUMMYFUNCTION("IF(OR(E7920="""",K7920=""""),"""",IFERROR(IF(K7920="""","""",query('tbl user'!$A$2:$D10975,""SELECT A WHERE D = '""&amp;K7920&amp;""'"")),""USER TIDAK DIKETAHUI""))"),"")</f>
        <v/>
      </c>
    </row>
    <row r="7921">
      <c r="A7921" s="21" t="str">
        <f t="shared" si="3"/>
        <v/>
      </c>
      <c r="B7921" s="38"/>
      <c r="C7921" s="23"/>
      <c r="D7921" s="23"/>
      <c r="E7921" s="24"/>
      <c r="F7921" s="25"/>
      <c r="G7921" s="25"/>
      <c r="H7921" s="27"/>
      <c r="I7921" s="28"/>
      <c r="J7921" s="39"/>
      <c r="K7921" s="41"/>
      <c r="L7921" s="31" t="str">
        <f>IFERROR(__xludf.DUMMYFUNCTION("IF(OR(E7921="""",K7921=""""),"""",IFERROR(IF(K7921="""","""",query('tbl user'!$A$2:$D10975,""SELECT A WHERE D = '""&amp;K7921&amp;""'"")),""USER TIDAK DIKETAHUI""))"),"")</f>
        <v/>
      </c>
    </row>
    <row r="7922">
      <c r="A7922" s="21" t="str">
        <f t="shared" si="3"/>
        <v/>
      </c>
      <c r="B7922" s="38"/>
      <c r="C7922" s="23"/>
      <c r="D7922" s="23"/>
      <c r="E7922" s="24"/>
      <c r="F7922" s="25"/>
      <c r="G7922" s="25"/>
      <c r="H7922" s="27"/>
      <c r="I7922" s="28"/>
      <c r="J7922" s="39"/>
      <c r="K7922" s="41"/>
      <c r="L7922" s="31" t="str">
        <f>IFERROR(__xludf.DUMMYFUNCTION("IF(OR(E7922="""",K7922=""""),"""",IFERROR(IF(K7922="""","""",query('tbl user'!$A$2:$D10975,""SELECT A WHERE D = '""&amp;K7922&amp;""'"")),""USER TIDAK DIKETAHUI""))"),"")</f>
        <v/>
      </c>
    </row>
    <row r="7923">
      <c r="A7923" s="21" t="str">
        <f t="shared" si="3"/>
        <v/>
      </c>
      <c r="B7923" s="38"/>
      <c r="C7923" s="23"/>
      <c r="D7923" s="23"/>
      <c r="E7923" s="24"/>
      <c r="F7923" s="25"/>
      <c r="G7923" s="25"/>
      <c r="H7923" s="27"/>
      <c r="I7923" s="28"/>
      <c r="J7923" s="39"/>
      <c r="K7923" s="41"/>
      <c r="L7923" s="31" t="str">
        <f>IFERROR(__xludf.DUMMYFUNCTION("IF(OR(E7923="""",K7923=""""),"""",IFERROR(IF(K7923="""","""",query('tbl user'!$A$2:$D10975,""SELECT A WHERE D = '""&amp;K7923&amp;""'"")),""USER TIDAK DIKETAHUI""))"),"")</f>
        <v/>
      </c>
    </row>
    <row r="7924">
      <c r="A7924" s="21" t="str">
        <f t="shared" si="3"/>
        <v/>
      </c>
      <c r="B7924" s="38"/>
      <c r="C7924" s="23"/>
      <c r="D7924" s="23"/>
      <c r="E7924" s="24"/>
      <c r="F7924" s="25"/>
      <c r="G7924" s="25"/>
      <c r="H7924" s="27"/>
      <c r="I7924" s="28"/>
      <c r="J7924" s="39"/>
      <c r="K7924" s="41"/>
      <c r="L7924" s="31" t="str">
        <f>IFERROR(__xludf.DUMMYFUNCTION("IF(OR(E7924="""",K7924=""""),"""",IFERROR(IF(K7924="""","""",query('tbl user'!$A$2:$D10975,""SELECT A WHERE D = '""&amp;K7924&amp;""'"")),""USER TIDAK DIKETAHUI""))"),"")</f>
        <v/>
      </c>
    </row>
    <row r="7925">
      <c r="A7925" s="21" t="str">
        <f t="shared" si="3"/>
        <v/>
      </c>
      <c r="B7925" s="38"/>
      <c r="C7925" s="23"/>
      <c r="D7925" s="23"/>
      <c r="E7925" s="24"/>
      <c r="F7925" s="25"/>
      <c r="G7925" s="25"/>
      <c r="H7925" s="27"/>
      <c r="I7925" s="28"/>
      <c r="J7925" s="39"/>
      <c r="K7925" s="41"/>
      <c r="L7925" s="31" t="str">
        <f>IFERROR(__xludf.DUMMYFUNCTION("IF(OR(E7925="""",K7925=""""),"""",IFERROR(IF(K7925="""","""",query('tbl user'!$A$2:$D10975,""SELECT A WHERE D = '""&amp;K7925&amp;""'"")),""USER TIDAK DIKETAHUI""))"),"")</f>
        <v/>
      </c>
    </row>
    <row r="7926">
      <c r="A7926" s="21" t="str">
        <f t="shared" si="3"/>
        <v/>
      </c>
      <c r="B7926" s="38"/>
      <c r="C7926" s="23"/>
      <c r="D7926" s="23"/>
      <c r="E7926" s="24"/>
      <c r="F7926" s="25"/>
      <c r="G7926" s="25"/>
      <c r="H7926" s="27"/>
      <c r="I7926" s="28"/>
      <c r="J7926" s="39"/>
      <c r="K7926" s="41"/>
      <c r="L7926" s="31" t="str">
        <f>IFERROR(__xludf.DUMMYFUNCTION("IF(OR(E7926="""",K7926=""""),"""",IFERROR(IF(K7926="""","""",query('tbl user'!$A$2:$D10975,""SELECT A WHERE D = '""&amp;K7926&amp;""'"")),""USER TIDAK DIKETAHUI""))"),"")</f>
        <v/>
      </c>
    </row>
    <row r="7927">
      <c r="A7927" s="21" t="str">
        <f t="shared" si="3"/>
        <v/>
      </c>
      <c r="B7927" s="38"/>
      <c r="C7927" s="23"/>
      <c r="D7927" s="23"/>
      <c r="E7927" s="24"/>
      <c r="F7927" s="25"/>
      <c r="G7927" s="25"/>
      <c r="H7927" s="27"/>
      <c r="I7927" s="28"/>
      <c r="J7927" s="39"/>
      <c r="K7927" s="41"/>
      <c r="L7927" s="31" t="str">
        <f>IFERROR(__xludf.DUMMYFUNCTION("IF(OR(E7927="""",K7927=""""),"""",IFERROR(IF(K7927="""","""",query('tbl user'!$A$2:$D10975,""SELECT A WHERE D = '""&amp;K7927&amp;""'"")),""USER TIDAK DIKETAHUI""))"),"")</f>
        <v/>
      </c>
    </row>
    <row r="7928">
      <c r="A7928" s="21" t="str">
        <f t="shared" si="3"/>
        <v/>
      </c>
      <c r="B7928" s="38"/>
      <c r="C7928" s="23"/>
      <c r="D7928" s="23"/>
      <c r="E7928" s="24"/>
      <c r="F7928" s="25"/>
      <c r="G7928" s="25"/>
      <c r="H7928" s="27"/>
      <c r="I7928" s="28"/>
      <c r="J7928" s="39"/>
      <c r="K7928" s="41"/>
      <c r="L7928" s="31" t="str">
        <f>IFERROR(__xludf.DUMMYFUNCTION("IF(OR(E7928="""",K7928=""""),"""",IFERROR(IF(K7928="""","""",query('tbl user'!$A$2:$D10975,""SELECT A WHERE D = '""&amp;K7928&amp;""'"")),""USER TIDAK DIKETAHUI""))"),"")</f>
        <v/>
      </c>
    </row>
    <row r="7929">
      <c r="A7929" s="21" t="str">
        <f t="shared" si="3"/>
        <v/>
      </c>
      <c r="B7929" s="38"/>
      <c r="C7929" s="23"/>
      <c r="D7929" s="23"/>
      <c r="E7929" s="24"/>
      <c r="F7929" s="25"/>
      <c r="G7929" s="25"/>
      <c r="H7929" s="27"/>
      <c r="I7929" s="28"/>
      <c r="J7929" s="39"/>
      <c r="K7929" s="41"/>
      <c r="L7929" s="31" t="str">
        <f>IFERROR(__xludf.DUMMYFUNCTION("IF(OR(E7929="""",K7929=""""),"""",IFERROR(IF(K7929="""","""",query('tbl user'!$A$2:$D10975,""SELECT A WHERE D = '""&amp;K7929&amp;""'"")),""USER TIDAK DIKETAHUI""))"),"")</f>
        <v/>
      </c>
    </row>
    <row r="7930">
      <c r="A7930" s="21" t="str">
        <f t="shared" si="3"/>
        <v/>
      </c>
      <c r="B7930" s="38"/>
      <c r="C7930" s="23"/>
      <c r="D7930" s="23"/>
      <c r="E7930" s="24"/>
      <c r="F7930" s="25"/>
      <c r="G7930" s="25"/>
      <c r="H7930" s="27"/>
      <c r="I7930" s="28"/>
      <c r="J7930" s="39"/>
      <c r="K7930" s="41"/>
      <c r="L7930" s="31" t="str">
        <f>IFERROR(__xludf.DUMMYFUNCTION("IF(OR(E7930="""",K7930=""""),"""",IFERROR(IF(K7930="""","""",query('tbl user'!$A$2:$D10975,""SELECT A WHERE D = '""&amp;K7930&amp;""'"")),""USER TIDAK DIKETAHUI""))"),"")</f>
        <v/>
      </c>
    </row>
    <row r="7931">
      <c r="A7931" s="21" t="str">
        <f t="shared" si="3"/>
        <v/>
      </c>
      <c r="B7931" s="38"/>
      <c r="C7931" s="23"/>
      <c r="D7931" s="23"/>
      <c r="E7931" s="24"/>
      <c r="F7931" s="25"/>
      <c r="G7931" s="25"/>
      <c r="H7931" s="27"/>
      <c r="I7931" s="28"/>
      <c r="J7931" s="39"/>
      <c r="K7931" s="41"/>
      <c r="L7931" s="31" t="str">
        <f>IFERROR(__xludf.DUMMYFUNCTION("IF(OR(E7931="""",K7931=""""),"""",IFERROR(IF(K7931="""","""",query('tbl user'!$A$2:$D10975,""SELECT A WHERE D = '""&amp;K7931&amp;""'"")),""USER TIDAK DIKETAHUI""))"),"")</f>
        <v/>
      </c>
    </row>
    <row r="7932">
      <c r="A7932" s="21" t="str">
        <f t="shared" si="3"/>
        <v/>
      </c>
      <c r="B7932" s="38"/>
      <c r="C7932" s="23"/>
      <c r="D7932" s="23"/>
      <c r="E7932" s="24"/>
      <c r="F7932" s="25"/>
      <c r="G7932" s="25"/>
      <c r="H7932" s="27"/>
      <c r="I7932" s="28"/>
      <c r="J7932" s="39"/>
      <c r="K7932" s="41"/>
      <c r="L7932" s="31" t="str">
        <f>IFERROR(__xludf.DUMMYFUNCTION("IF(OR(E7932="""",K7932=""""),"""",IFERROR(IF(K7932="""","""",query('tbl user'!$A$2:$D10975,""SELECT A WHERE D = '""&amp;K7932&amp;""'"")),""USER TIDAK DIKETAHUI""))"),"")</f>
        <v/>
      </c>
    </row>
    <row r="7933">
      <c r="A7933" s="21" t="str">
        <f t="shared" si="3"/>
        <v/>
      </c>
      <c r="B7933" s="38"/>
      <c r="C7933" s="23"/>
      <c r="D7933" s="23"/>
      <c r="E7933" s="24"/>
      <c r="F7933" s="25"/>
      <c r="G7933" s="25"/>
      <c r="H7933" s="27"/>
      <c r="I7933" s="28"/>
      <c r="J7933" s="39"/>
      <c r="K7933" s="41"/>
      <c r="L7933" s="31" t="str">
        <f>IFERROR(__xludf.DUMMYFUNCTION("IF(OR(E7933="""",K7933=""""),"""",IFERROR(IF(K7933="""","""",query('tbl user'!$A$2:$D10975,""SELECT A WHERE D = '""&amp;K7933&amp;""'"")),""USER TIDAK DIKETAHUI""))"),"")</f>
        <v/>
      </c>
    </row>
    <row r="7934">
      <c r="A7934" s="21" t="str">
        <f t="shared" si="3"/>
        <v/>
      </c>
      <c r="B7934" s="38"/>
      <c r="C7934" s="23"/>
      <c r="D7934" s="23"/>
      <c r="E7934" s="24"/>
      <c r="F7934" s="25"/>
      <c r="G7934" s="25"/>
      <c r="H7934" s="27"/>
      <c r="I7934" s="28"/>
      <c r="J7934" s="39"/>
      <c r="K7934" s="41"/>
      <c r="L7934" s="31" t="str">
        <f>IFERROR(__xludf.DUMMYFUNCTION("IF(OR(E7934="""",K7934=""""),"""",IFERROR(IF(K7934="""","""",query('tbl user'!$A$2:$D10975,""SELECT A WHERE D = '""&amp;K7934&amp;""'"")),""USER TIDAK DIKETAHUI""))"),"")</f>
        <v/>
      </c>
    </row>
    <row r="7935">
      <c r="A7935" s="21" t="str">
        <f t="shared" si="3"/>
        <v/>
      </c>
      <c r="B7935" s="38"/>
      <c r="C7935" s="23"/>
      <c r="D7935" s="23"/>
      <c r="E7935" s="24"/>
      <c r="F7935" s="25"/>
      <c r="G7935" s="25"/>
      <c r="H7935" s="27"/>
      <c r="I7935" s="28"/>
      <c r="J7935" s="39"/>
      <c r="K7935" s="41"/>
      <c r="L7935" s="31" t="str">
        <f>IFERROR(__xludf.DUMMYFUNCTION("IF(OR(E7935="""",K7935=""""),"""",IFERROR(IF(K7935="""","""",query('tbl user'!$A$2:$D10975,""SELECT A WHERE D = '""&amp;K7935&amp;""'"")),""USER TIDAK DIKETAHUI""))"),"")</f>
        <v/>
      </c>
    </row>
    <row r="7936">
      <c r="A7936" s="21" t="str">
        <f t="shared" si="3"/>
        <v/>
      </c>
      <c r="B7936" s="38"/>
      <c r="C7936" s="23"/>
      <c r="D7936" s="23"/>
      <c r="E7936" s="24"/>
      <c r="F7936" s="25"/>
      <c r="G7936" s="25"/>
      <c r="H7936" s="27"/>
      <c r="I7936" s="28"/>
      <c r="J7936" s="39"/>
      <c r="K7936" s="41"/>
      <c r="L7936" s="31" t="str">
        <f>IFERROR(__xludf.DUMMYFUNCTION("IF(OR(E7936="""",K7936=""""),"""",IFERROR(IF(K7936="""","""",query('tbl user'!$A$2:$D10975,""SELECT A WHERE D = '""&amp;K7936&amp;""'"")),""USER TIDAK DIKETAHUI""))"),"")</f>
        <v/>
      </c>
    </row>
    <row r="7937">
      <c r="A7937" s="21" t="str">
        <f t="shared" si="3"/>
        <v/>
      </c>
      <c r="B7937" s="38"/>
      <c r="C7937" s="23"/>
      <c r="D7937" s="23"/>
      <c r="E7937" s="24"/>
      <c r="F7937" s="25"/>
      <c r="G7937" s="25"/>
      <c r="H7937" s="27"/>
      <c r="I7937" s="28"/>
      <c r="J7937" s="39"/>
      <c r="K7937" s="41"/>
      <c r="L7937" s="31" t="str">
        <f>IFERROR(__xludf.DUMMYFUNCTION("IF(OR(E7937="""",K7937=""""),"""",IFERROR(IF(K7937="""","""",query('tbl user'!$A$2:$D10975,""SELECT A WHERE D = '""&amp;K7937&amp;""'"")),""USER TIDAK DIKETAHUI""))"),"")</f>
        <v/>
      </c>
    </row>
    <row r="7938">
      <c r="A7938" s="21" t="str">
        <f t="shared" si="3"/>
        <v/>
      </c>
      <c r="B7938" s="38"/>
      <c r="C7938" s="23"/>
      <c r="D7938" s="23"/>
      <c r="E7938" s="24"/>
      <c r="F7938" s="25"/>
      <c r="G7938" s="25"/>
      <c r="H7938" s="27"/>
      <c r="I7938" s="28"/>
      <c r="J7938" s="39"/>
      <c r="K7938" s="41"/>
      <c r="L7938" s="31" t="str">
        <f>IFERROR(__xludf.DUMMYFUNCTION("IF(OR(E7938="""",K7938=""""),"""",IFERROR(IF(K7938="""","""",query('tbl user'!$A$2:$D10975,""SELECT A WHERE D = '""&amp;K7938&amp;""'"")),""USER TIDAK DIKETAHUI""))"),"")</f>
        <v/>
      </c>
    </row>
    <row r="7939">
      <c r="A7939" s="21" t="str">
        <f t="shared" si="3"/>
        <v/>
      </c>
      <c r="B7939" s="38"/>
      <c r="C7939" s="23"/>
      <c r="D7939" s="23"/>
      <c r="E7939" s="24"/>
      <c r="F7939" s="25"/>
      <c r="G7939" s="25"/>
      <c r="H7939" s="27"/>
      <c r="I7939" s="28"/>
      <c r="J7939" s="39"/>
      <c r="K7939" s="41"/>
      <c r="L7939" s="31" t="str">
        <f>IFERROR(__xludf.DUMMYFUNCTION("IF(OR(E7939="""",K7939=""""),"""",IFERROR(IF(K7939="""","""",query('tbl user'!$A$2:$D10975,""SELECT A WHERE D = '""&amp;K7939&amp;""'"")),""USER TIDAK DIKETAHUI""))"),"")</f>
        <v/>
      </c>
    </row>
    <row r="7940">
      <c r="A7940" s="21" t="str">
        <f t="shared" si="3"/>
        <v/>
      </c>
      <c r="B7940" s="38"/>
      <c r="C7940" s="23"/>
      <c r="D7940" s="23"/>
      <c r="E7940" s="24"/>
      <c r="F7940" s="25"/>
      <c r="G7940" s="25"/>
      <c r="H7940" s="27"/>
      <c r="I7940" s="28"/>
      <c r="J7940" s="39"/>
      <c r="K7940" s="41"/>
      <c r="L7940" s="31" t="str">
        <f>IFERROR(__xludf.DUMMYFUNCTION("IF(OR(E7940="""",K7940=""""),"""",IFERROR(IF(K7940="""","""",query('tbl user'!$A$2:$D10975,""SELECT A WHERE D = '""&amp;K7940&amp;""'"")),""USER TIDAK DIKETAHUI""))"),"")</f>
        <v/>
      </c>
    </row>
    <row r="7941">
      <c r="A7941" s="21" t="str">
        <f t="shared" si="3"/>
        <v/>
      </c>
      <c r="B7941" s="38"/>
      <c r="C7941" s="23"/>
      <c r="D7941" s="23"/>
      <c r="E7941" s="24"/>
      <c r="F7941" s="25"/>
      <c r="G7941" s="25"/>
      <c r="H7941" s="27"/>
      <c r="I7941" s="28"/>
      <c r="J7941" s="39"/>
      <c r="K7941" s="41"/>
      <c r="L7941" s="31" t="str">
        <f>IFERROR(__xludf.DUMMYFUNCTION("IF(OR(E7941="""",K7941=""""),"""",IFERROR(IF(K7941="""","""",query('tbl user'!$A$2:$D10975,""SELECT A WHERE D = '""&amp;K7941&amp;""'"")),""USER TIDAK DIKETAHUI""))"),"")</f>
        <v/>
      </c>
    </row>
    <row r="7942">
      <c r="A7942" s="21" t="str">
        <f t="shared" si="3"/>
        <v/>
      </c>
      <c r="B7942" s="38"/>
      <c r="C7942" s="23"/>
      <c r="D7942" s="23"/>
      <c r="E7942" s="24"/>
      <c r="F7942" s="25"/>
      <c r="G7942" s="25"/>
      <c r="H7942" s="27"/>
      <c r="I7942" s="28"/>
      <c r="J7942" s="39"/>
      <c r="K7942" s="41"/>
      <c r="L7942" s="31" t="str">
        <f>IFERROR(__xludf.DUMMYFUNCTION("IF(OR(E7942="""",K7942=""""),"""",IFERROR(IF(K7942="""","""",query('tbl user'!$A$2:$D10975,""SELECT A WHERE D = '""&amp;K7942&amp;""'"")),""USER TIDAK DIKETAHUI""))"),"")</f>
        <v/>
      </c>
    </row>
    <row r="7943">
      <c r="A7943" s="21" t="str">
        <f t="shared" si="3"/>
        <v/>
      </c>
      <c r="B7943" s="38"/>
      <c r="C7943" s="23"/>
      <c r="D7943" s="23"/>
      <c r="E7943" s="24"/>
      <c r="F7943" s="25"/>
      <c r="G7943" s="25"/>
      <c r="H7943" s="27"/>
      <c r="I7943" s="28"/>
      <c r="J7943" s="39"/>
      <c r="K7943" s="41"/>
      <c r="L7943" s="31" t="str">
        <f>IFERROR(__xludf.DUMMYFUNCTION("IF(OR(E7943="""",K7943=""""),"""",IFERROR(IF(K7943="""","""",query('tbl user'!$A$2:$D10975,""SELECT A WHERE D = '""&amp;K7943&amp;""'"")),""USER TIDAK DIKETAHUI""))"),"")</f>
        <v/>
      </c>
    </row>
    <row r="7944">
      <c r="A7944" s="21" t="str">
        <f t="shared" si="3"/>
        <v/>
      </c>
      <c r="B7944" s="38"/>
      <c r="C7944" s="23"/>
      <c r="D7944" s="23"/>
      <c r="E7944" s="24"/>
      <c r="F7944" s="25"/>
      <c r="G7944" s="25"/>
      <c r="H7944" s="27"/>
      <c r="I7944" s="28"/>
      <c r="J7944" s="39"/>
      <c r="K7944" s="41"/>
      <c r="L7944" s="31" t="str">
        <f>IFERROR(__xludf.DUMMYFUNCTION("IF(OR(E7944="""",K7944=""""),"""",IFERROR(IF(K7944="""","""",query('tbl user'!$A$2:$D10975,""SELECT A WHERE D = '""&amp;K7944&amp;""'"")),""USER TIDAK DIKETAHUI""))"),"")</f>
        <v/>
      </c>
    </row>
    <row r="7945">
      <c r="A7945" s="21" t="str">
        <f t="shared" si="3"/>
        <v/>
      </c>
      <c r="B7945" s="38"/>
      <c r="C7945" s="23"/>
      <c r="D7945" s="23"/>
      <c r="E7945" s="24"/>
      <c r="F7945" s="25"/>
      <c r="G7945" s="25"/>
      <c r="H7945" s="27"/>
      <c r="I7945" s="28"/>
      <c r="J7945" s="39"/>
      <c r="K7945" s="41"/>
      <c r="L7945" s="31" t="str">
        <f>IFERROR(__xludf.DUMMYFUNCTION("IF(OR(E7945="""",K7945=""""),"""",IFERROR(IF(K7945="""","""",query('tbl user'!$A$2:$D10975,""SELECT A WHERE D = '""&amp;K7945&amp;""'"")),""USER TIDAK DIKETAHUI""))"),"")</f>
        <v/>
      </c>
    </row>
    <row r="7946">
      <c r="A7946" s="21" t="str">
        <f t="shared" si="3"/>
        <v/>
      </c>
      <c r="B7946" s="38"/>
      <c r="C7946" s="23"/>
      <c r="D7946" s="23"/>
      <c r="E7946" s="24"/>
      <c r="F7946" s="25"/>
      <c r="G7946" s="25"/>
      <c r="H7946" s="27"/>
      <c r="I7946" s="28"/>
      <c r="J7946" s="39"/>
      <c r="K7946" s="41"/>
      <c r="L7946" s="31" t="str">
        <f>IFERROR(__xludf.DUMMYFUNCTION("IF(OR(E7946="""",K7946=""""),"""",IFERROR(IF(K7946="""","""",query('tbl user'!$A$2:$D10975,""SELECT A WHERE D = '""&amp;K7946&amp;""'"")),""USER TIDAK DIKETAHUI""))"),"")</f>
        <v/>
      </c>
    </row>
    <row r="7947">
      <c r="A7947" s="21" t="str">
        <f t="shared" si="3"/>
        <v/>
      </c>
      <c r="B7947" s="38"/>
      <c r="C7947" s="23"/>
      <c r="D7947" s="23"/>
      <c r="E7947" s="24"/>
      <c r="F7947" s="25"/>
      <c r="G7947" s="25"/>
      <c r="H7947" s="27"/>
      <c r="I7947" s="28"/>
      <c r="J7947" s="39"/>
      <c r="K7947" s="41"/>
      <c r="L7947" s="31" t="str">
        <f>IFERROR(__xludf.DUMMYFUNCTION("IF(OR(E7947="""",K7947=""""),"""",IFERROR(IF(K7947="""","""",query('tbl user'!$A$2:$D10975,""SELECT A WHERE D = '""&amp;K7947&amp;""'"")),""USER TIDAK DIKETAHUI""))"),"")</f>
        <v/>
      </c>
    </row>
    <row r="7948">
      <c r="A7948" s="21" t="str">
        <f t="shared" si="3"/>
        <v/>
      </c>
      <c r="B7948" s="38"/>
      <c r="C7948" s="23"/>
      <c r="D7948" s="23"/>
      <c r="E7948" s="24"/>
      <c r="F7948" s="25"/>
      <c r="G7948" s="25"/>
      <c r="H7948" s="27"/>
      <c r="I7948" s="28"/>
      <c r="J7948" s="39"/>
      <c r="K7948" s="41"/>
      <c r="L7948" s="31" t="str">
        <f>IFERROR(__xludf.DUMMYFUNCTION("IF(OR(E7948="""",K7948=""""),"""",IFERROR(IF(K7948="""","""",query('tbl user'!$A$2:$D10975,""SELECT A WHERE D = '""&amp;K7948&amp;""'"")),""USER TIDAK DIKETAHUI""))"),"")</f>
        <v/>
      </c>
    </row>
    <row r="7949">
      <c r="A7949" s="21" t="str">
        <f t="shared" si="3"/>
        <v/>
      </c>
      <c r="B7949" s="38"/>
      <c r="C7949" s="23"/>
      <c r="D7949" s="23"/>
      <c r="E7949" s="24"/>
      <c r="F7949" s="25"/>
      <c r="G7949" s="25"/>
      <c r="H7949" s="27"/>
      <c r="I7949" s="28"/>
      <c r="J7949" s="39"/>
      <c r="K7949" s="41"/>
      <c r="L7949" s="31" t="str">
        <f>IFERROR(__xludf.DUMMYFUNCTION("IF(OR(E7949="""",K7949=""""),"""",IFERROR(IF(K7949="""","""",query('tbl user'!$A$2:$D10975,""SELECT A WHERE D = '""&amp;K7949&amp;""'"")),""USER TIDAK DIKETAHUI""))"),"")</f>
        <v/>
      </c>
    </row>
    <row r="7950">
      <c r="A7950" s="21" t="str">
        <f t="shared" si="3"/>
        <v/>
      </c>
      <c r="B7950" s="38"/>
      <c r="C7950" s="23"/>
      <c r="D7950" s="23"/>
      <c r="E7950" s="24"/>
      <c r="F7950" s="25"/>
      <c r="G7950" s="25"/>
      <c r="H7950" s="27"/>
      <c r="I7950" s="28"/>
      <c r="J7950" s="39"/>
      <c r="K7950" s="41"/>
      <c r="L7950" s="31" t="str">
        <f>IFERROR(__xludf.DUMMYFUNCTION("IF(OR(E7950="""",K7950=""""),"""",IFERROR(IF(K7950="""","""",query('tbl user'!$A$2:$D10975,""SELECT A WHERE D = '""&amp;K7950&amp;""'"")),""USER TIDAK DIKETAHUI""))"),"")</f>
        <v/>
      </c>
    </row>
    <row r="7951">
      <c r="A7951" s="21" t="str">
        <f t="shared" si="3"/>
        <v/>
      </c>
      <c r="B7951" s="38"/>
      <c r="C7951" s="23"/>
      <c r="D7951" s="23"/>
      <c r="E7951" s="24"/>
      <c r="F7951" s="25"/>
      <c r="G7951" s="25"/>
      <c r="H7951" s="27"/>
      <c r="I7951" s="28"/>
      <c r="J7951" s="39"/>
      <c r="K7951" s="41"/>
      <c r="L7951" s="31" t="str">
        <f>IFERROR(__xludf.DUMMYFUNCTION("IF(OR(E7951="""",K7951=""""),"""",IFERROR(IF(K7951="""","""",query('tbl user'!$A$2:$D10975,""SELECT A WHERE D = '""&amp;K7951&amp;""'"")),""USER TIDAK DIKETAHUI""))"),"")</f>
        <v/>
      </c>
    </row>
    <row r="7952">
      <c r="A7952" s="21" t="str">
        <f t="shared" si="3"/>
        <v/>
      </c>
      <c r="B7952" s="38"/>
      <c r="C7952" s="23"/>
      <c r="D7952" s="23"/>
      <c r="E7952" s="24"/>
      <c r="F7952" s="25"/>
      <c r="G7952" s="25"/>
      <c r="H7952" s="27"/>
      <c r="I7952" s="28"/>
      <c r="J7952" s="39"/>
      <c r="K7952" s="41"/>
      <c r="L7952" s="31" t="str">
        <f>IFERROR(__xludf.DUMMYFUNCTION("IF(OR(E7952="""",K7952=""""),"""",IFERROR(IF(K7952="""","""",query('tbl user'!$A$2:$D10975,""SELECT A WHERE D = '""&amp;K7952&amp;""'"")),""USER TIDAK DIKETAHUI""))"),"")</f>
        <v/>
      </c>
    </row>
    <row r="7953">
      <c r="A7953" s="21" t="str">
        <f t="shared" si="3"/>
        <v/>
      </c>
      <c r="B7953" s="38"/>
      <c r="C7953" s="23"/>
      <c r="D7953" s="23"/>
      <c r="E7953" s="24"/>
      <c r="F7953" s="25"/>
      <c r="G7953" s="25"/>
      <c r="H7953" s="27"/>
      <c r="I7953" s="28"/>
      <c r="J7953" s="39"/>
      <c r="K7953" s="41"/>
      <c r="L7953" s="31" t="str">
        <f>IFERROR(__xludf.DUMMYFUNCTION("IF(OR(E7953="""",K7953=""""),"""",IFERROR(IF(K7953="""","""",query('tbl user'!$A$2:$D10975,""SELECT A WHERE D = '""&amp;K7953&amp;""'"")),""USER TIDAK DIKETAHUI""))"),"")</f>
        <v/>
      </c>
    </row>
    <row r="7954">
      <c r="A7954" s="21" t="str">
        <f t="shared" si="3"/>
        <v/>
      </c>
      <c r="B7954" s="38"/>
      <c r="C7954" s="23"/>
      <c r="D7954" s="23"/>
      <c r="E7954" s="24"/>
      <c r="F7954" s="25"/>
      <c r="G7954" s="25"/>
      <c r="H7954" s="27"/>
      <c r="I7954" s="28"/>
      <c r="J7954" s="39"/>
      <c r="K7954" s="41"/>
      <c r="L7954" s="31" t="str">
        <f>IFERROR(__xludf.DUMMYFUNCTION("IF(OR(E7954="""",K7954=""""),"""",IFERROR(IF(K7954="""","""",query('tbl user'!$A$2:$D10975,""SELECT A WHERE D = '""&amp;K7954&amp;""'"")),""USER TIDAK DIKETAHUI""))"),"")</f>
        <v/>
      </c>
    </row>
    <row r="7955">
      <c r="A7955" s="21" t="str">
        <f t="shared" si="3"/>
        <v/>
      </c>
      <c r="B7955" s="38"/>
      <c r="C7955" s="23"/>
      <c r="D7955" s="23"/>
      <c r="E7955" s="24"/>
      <c r="F7955" s="25"/>
      <c r="G7955" s="25"/>
      <c r="H7955" s="27"/>
      <c r="I7955" s="28"/>
      <c r="J7955" s="39"/>
      <c r="K7955" s="41"/>
      <c r="L7955" s="31" t="str">
        <f>IFERROR(__xludf.DUMMYFUNCTION("IF(OR(E7955="""",K7955=""""),"""",IFERROR(IF(K7955="""","""",query('tbl user'!$A$2:$D10975,""SELECT A WHERE D = '""&amp;K7955&amp;""'"")),""USER TIDAK DIKETAHUI""))"),"")</f>
        <v/>
      </c>
    </row>
    <row r="7956">
      <c r="A7956" s="21" t="str">
        <f t="shared" si="3"/>
        <v/>
      </c>
      <c r="B7956" s="38"/>
      <c r="C7956" s="23"/>
      <c r="D7956" s="23"/>
      <c r="E7956" s="24"/>
      <c r="F7956" s="25"/>
      <c r="G7956" s="25"/>
      <c r="H7956" s="27"/>
      <c r="I7956" s="28"/>
      <c r="J7956" s="39"/>
      <c r="K7956" s="41"/>
      <c r="L7956" s="31" t="str">
        <f>IFERROR(__xludf.DUMMYFUNCTION("IF(OR(E7956="""",K7956=""""),"""",IFERROR(IF(K7956="""","""",query('tbl user'!$A$2:$D10975,""SELECT A WHERE D = '""&amp;K7956&amp;""'"")),""USER TIDAK DIKETAHUI""))"),"")</f>
        <v/>
      </c>
    </row>
    <row r="7957">
      <c r="A7957" s="21" t="str">
        <f t="shared" si="3"/>
        <v/>
      </c>
      <c r="B7957" s="38"/>
      <c r="C7957" s="23"/>
      <c r="D7957" s="23"/>
      <c r="E7957" s="24"/>
      <c r="F7957" s="25"/>
      <c r="G7957" s="25"/>
      <c r="H7957" s="27"/>
      <c r="I7957" s="28"/>
      <c r="J7957" s="39"/>
      <c r="K7957" s="41"/>
      <c r="L7957" s="31" t="str">
        <f>IFERROR(__xludf.DUMMYFUNCTION("IF(OR(E7957="""",K7957=""""),"""",IFERROR(IF(K7957="""","""",query('tbl user'!$A$2:$D10975,""SELECT A WHERE D = '""&amp;K7957&amp;""'"")),""USER TIDAK DIKETAHUI""))"),"")</f>
        <v/>
      </c>
    </row>
    <row r="7958">
      <c r="A7958" s="21" t="str">
        <f t="shared" si="3"/>
        <v/>
      </c>
      <c r="B7958" s="38"/>
      <c r="C7958" s="23"/>
      <c r="D7958" s="23"/>
      <c r="E7958" s="24"/>
      <c r="F7958" s="25"/>
      <c r="G7958" s="25"/>
      <c r="H7958" s="27"/>
      <c r="I7958" s="28"/>
      <c r="J7958" s="39"/>
      <c r="K7958" s="41"/>
      <c r="L7958" s="31" t="str">
        <f>IFERROR(__xludf.DUMMYFUNCTION("IF(OR(E7958="""",K7958=""""),"""",IFERROR(IF(K7958="""","""",query('tbl user'!$A$2:$D10975,""SELECT A WHERE D = '""&amp;K7958&amp;""'"")),""USER TIDAK DIKETAHUI""))"),"")</f>
        <v/>
      </c>
    </row>
    <row r="7959">
      <c r="A7959" s="21" t="str">
        <f t="shared" si="3"/>
        <v/>
      </c>
      <c r="B7959" s="38"/>
      <c r="C7959" s="23"/>
      <c r="D7959" s="23"/>
      <c r="E7959" s="24"/>
      <c r="F7959" s="25"/>
      <c r="G7959" s="25"/>
      <c r="H7959" s="27"/>
      <c r="I7959" s="28"/>
      <c r="J7959" s="39"/>
      <c r="K7959" s="41"/>
      <c r="L7959" s="31" t="str">
        <f>IFERROR(__xludf.DUMMYFUNCTION("IF(OR(E7959="""",K7959=""""),"""",IFERROR(IF(K7959="""","""",query('tbl user'!$A$2:$D10975,""SELECT A WHERE D = '""&amp;K7959&amp;""'"")),""USER TIDAK DIKETAHUI""))"),"")</f>
        <v/>
      </c>
    </row>
    <row r="7960">
      <c r="A7960" s="21" t="str">
        <f t="shared" si="3"/>
        <v/>
      </c>
      <c r="B7960" s="38"/>
      <c r="C7960" s="23"/>
      <c r="D7960" s="23"/>
      <c r="E7960" s="24"/>
      <c r="F7960" s="25"/>
      <c r="G7960" s="25"/>
      <c r="H7960" s="27"/>
      <c r="I7960" s="28"/>
      <c r="J7960" s="39"/>
      <c r="K7960" s="41"/>
      <c r="L7960" s="31" t="str">
        <f>IFERROR(__xludf.DUMMYFUNCTION("IF(OR(E7960="""",K7960=""""),"""",IFERROR(IF(K7960="""","""",query('tbl user'!$A$2:$D10975,""SELECT A WHERE D = '""&amp;K7960&amp;""'"")),""USER TIDAK DIKETAHUI""))"),"")</f>
        <v/>
      </c>
    </row>
    <row r="7961">
      <c r="A7961" s="21" t="str">
        <f t="shared" si="3"/>
        <v/>
      </c>
      <c r="B7961" s="38"/>
      <c r="C7961" s="23"/>
      <c r="D7961" s="23"/>
      <c r="E7961" s="24"/>
      <c r="F7961" s="25"/>
      <c r="G7961" s="25"/>
      <c r="H7961" s="27"/>
      <c r="I7961" s="28"/>
      <c r="J7961" s="39"/>
      <c r="K7961" s="41"/>
      <c r="L7961" s="31" t="str">
        <f>IFERROR(__xludf.DUMMYFUNCTION("IF(OR(E7961="""",K7961=""""),"""",IFERROR(IF(K7961="""","""",query('tbl user'!$A$2:$D10975,""SELECT A WHERE D = '""&amp;K7961&amp;""'"")),""USER TIDAK DIKETAHUI""))"),"")</f>
        <v/>
      </c>
    </row>
    <row r="7962">
      <c r="A7962" s="21" t="str">
        <f t="shared" si="3"/>
        <v/>
      </c>
      <c r="B7962" s="38"/>
      <c r="C7962" s="23"/>
      <c r="D7962" s="23"/>
      <c r="E7962" s="24"/>
      <c r="F7962" s="25"/>
      <c r="G7962" s="25"/>
      <c r="H7962" s="27"/>
      <c r="I7962" s="28"/>
      <c r="J7962" s="39"/>
      <c r="K7962" s="41"/>
      <c r="L7962" s="31" t="str">
        <f>IFERROR(__xludf.DUMMYFUNCTION("IF(OR(E7962="""",K7962=""""),"""",IFERROR(IF(K7962="""","""",query('tbl user'!$A$2:$D10975,""SELECT A WHERE D = '""&amp;K7962&amp;""'"")),""USER TIDAK DIKETAHUI""))"),"")</f>
        <v/>
      </c>
    </row>
    <row r="7963">
      <c r="A7963" s="21" t="str">
        <f t="shared" si="3"/>
        <v/>
      </c>
      <c r="B7963" s="38"/>
      <c r="C7963" s="23"/>
      <c r="D7963" s="23"/>
      <c r="E7963" s="24"/>
      <c r="F7963" s="25"/>
      <c r="G7963" s="25"/>
      <c r="H7963" s="27"/>
      <c r="I7963" s="28"/>
      <c r="J7963" s="39"/>
      <c r="K7963" s="41"/>
      <c r="L7963" s="31" t="str">
        <f>IFERROR(__xludf.DUMMYFUNCTION("IF(OR(E7963="""",K7963=""""),"""",IFERROR(IF(K7963="""","""",query('tbl user'!$A$2:$D10975,""SELECT A WHERE D = '""&amp;K7963&amp;""'"")),""USER TIDAK DIKETAHUI""))"),"")</f>
        <v/>
      </c>
    </row>
    <row r="7964">
      <c r="A7964" s="21" t="str">
        <f t="shared" si="3"/>
        <v/>
      </c>
      <c r="B7964" s="38"/>
      <c r="C7964" s="23"/>
      <c r="D7964" s="23"/>
      <c r="E7964" s="24"/>
      <c r="F7964" s="25"/>
      <c r="G7964" s="25"/>
      <c r="H7964" s="27"/>
      <c r="I7964" s="28"/>
      <c r="J7964" s="39"/>
      <c r="K7964" s="41"/>
      <c r="L7964" s="31" t="str">
        <f>IFERROR(__xludf.DUMMYFUNCTION("IF(OR(E7964="""",K7964=""""),"""",IFERROR(IF(K7964="""","""",query('tbl user'!$A$2:$D10975,""SELECT A WHERE D = '""&amp;K7964&amp;""'"")),""USER TIDAK DIKETAHUI""))"),"")</f>
        <v/>
      </c>
    </row>
    <row r="7965">
      <c r="A7965" s="21" t="str">
        <f t="shared" si="3"/>
        <v/>
      </c>
      <c r="B7965" s="38"/>
      <c r="C7965" s="23"/>
      <c r="D7965" s="23"/>
      <c r="E7965" s="24"/>
      <c r="F7965" s="25"/>
      <c r="G7965" s="25"/>
      <c r="H7965" s="27"/>
      <c r="I7965" s="28"/>
      <c r="J7965" s="39"/>
      <c r="K7965" s="41"/>
      <c r="L7965" s="31" t="str">
        <f>IFERROR(__xludf.DUMMYFUNCTION("IF(OR(E7965="""",K7965=""""),"""",IFERROR(IF(K7965="""","""",query('tbl user'!$A$2:$D10975,""SELECT A WHERE D = '""&amp;K7965&amp;""'"")),""USER TIDAK DIKETAHUI""))"),"")</f>
        <v/>
      </c>
    </row>
    <row r="7966">
      <c r="A7966" s="21" t="str">
        <f t="shared" si="3"/>
        <v/>
      </c>
      <c r="B7966" s="38"/>
      <c r="C7966" s="23"/>
      <c r="D7966" s="23"/>
      <c r="E7966" s="24"/>
      <c r="F7966" s="25"/>
      <c r="G7966" s="25"/>
      <c r="H7966" s="27"/>
      <c r="I7966" s="28"/>
      <c r="J7966" s="39"/>
      <c r="K7966" s="41"/>
      <c r="L7966" s="31" t="str">
        <f>IFERROR(__xludf.DUMMYFUNCTION("IF(OR(E7966="""",K7966=""""),"""",IFERROR(IF(K7966="""","""",query('tbl user'!$A$2:$D10975,""SELECT A WHERE D = '""&amp;K7966&amp;""'"")),""USER TIDAK DIKETAHUI""))"),"")</f>
        <v/>
      </c>
    </row>
    <row r="7967">
      <c r="A7967" s="21" t="str">
        <f t="shared" si="3"/>
        <v/>
      </c>
      <c r="B7967" s="38"/>
      <c r="C7967" s="23"/>
      <c r="D7967" s="23"/>
      <c r="E7967" s="24"/>
      <c r="F7967" s="25"/>
      <c r="G7967" s="25"/>
      <c r="H7967" s="27"/>
      <c r="I7967" s="28"/>
      <c r="J7967" s="39"/>
      <c r="K7967" s="41"/>
      <c r="L7967" s="31" t="str">
        <f>IFERROR(__xludf.DUMMYFUNCTION("IF(OR(E7967="""",K7967=""""),"""",IFERROR(IF(K7967="""","""",query('tbl user'!$A$2:$D10975,""SELECT A WHERE D = '""&amp;K7967&amp;""'"")),""USER TIDAK DIKETAHUI""))"),"")</f>
        <v/>
      </c>
    </row>
    <row r="7968">
      <c r="A7968" s="21" t="str">
        <f t="shared" si="3"/>
        <v/>
      </c>
      <c r="B7968" s="38"/>
      <c r="C7968" s="23"/>
      <c r="D7968" s="23"/>
      <c r="E7968" s="24"/>
      <c r="F7968" s="25"/>
      <c r="G7968" s="25"/>
      <c r="H7968" s="27"/>
      <c r="I7968" s="28"/>
      <c r="J7968" s="39"/>
      <c r="K7968" s="41"/>
      <c r="L7968" s="31" t="str">
        <f>IFERROR(__xludf.DUMMYFUNCTION("IF(OR(E7968="""",K7968=""""),"""",IFERROR(IF(K7968="""","""",query('tbl user'!$A$2:$D10975,""SELECT A WHERE D = '""&amp;K7968&amp;""'"")),""USER TIDAK DIKETAHUI""))"),"")</f>
        <v/>
      </c>
    </row>
    <row r="7969">
      <c r="A7969" s="21" t="str">
        <f t="shared" si="3"/>
        <v/>
      </c>
      <c r="B7969" s="38"/>
      <c r="C7969" s="23"/>
      <c r="D7969" s="23"/>
      <c r="E7969" s="24"/>
      <c r="F7969" s="25"/>
      <c r="G7969" s="25"/>
      <c r="H7969" s="27"/>
      <c r="I7969" s="28"/>
      <c r="J7969" s="39"/>
      <c r="K7969" s="41"/>
      <c r="L7969" s="31" t="str">
        <f>IFERROR(__xludf.DUMMYFUNCTION("IF(OR(E7969="""",K7969=""""),"""",IFERROR(IF(K7969="""","""",query('tbl user'!$A$2:$D10975,""SELECT A WHERE D = '""&amp;K7969&amp;""'"")),""USER TIDAK DIKETAHUI""))"),"")</f>
        <v/>
      </c>
    </row>
    <row r="7970">
      <c r="A7970" s="21" t="str">
        <f t="shared" si="3"/>
        <v/>
      </c>
      <c r="B7970" s="38"/>
      <c r="C7970" s="23"/>
      <c r="D7970" s="23"/>
      <c r="E7970" s="24"/>
      <c r="F7970" s="25"/>
      <c r="G7970" s="25"/>
      <c r="H7970" s="27"/>
      <c r="I7970" s="28"/>
      <c r="J7970" s="39"/>
      <c r="K7970" s="41"/>
      <c r="L7970" s="31" t="str">
        <f>IFERROR(__xludf.DUMMYFUNCTION("IF(OR(E7970="""",K7970=""""),"""",IFERROR(IF(K7970="""","""",query('tbl user'!$A$2:$D10975,""SELECT A WHERE D = '""&amp;K7970&amp;""'"")),""USER TIDAK DIKETAHUI""))"),"")</f>
        <v/>
      </c>
    </row>
    <row r="7971">
      <c r="A7971" s="21" t="str">
        <f t="shared" si="3"/>
        <v/>
      </c>
      <c r="B7971" s="38"/>
      <c r="C7971" s="23"/>
      <c r="D7971" s="23"/>
      <c r="E7971" s="24"/>
      <c r="F7971" s="25"/>
      <c r="G7971" s="25"/>
      <c r="H7971" s="27"/>
      <c r="I7971" s="28"/>
      <c r="J7971" s="39"/>
      <c r="K7971" s="41"/>
      <c r="L7971" s="31" t="str">
        <f>IFERROR(__xludf.DUMMYFUNCTION("IF(OR(E7971="""",K7971=""""),"""",IFERROR(IF(K7971="""","""",query('tbl user'!$A$2:$D10975,""SELECT A WHERE D = '""&amp;K7971&amp;""'"")),""USER TIDAK DIKETAHUI""))"),"")</f>
        <v/>
      </c>
    </row>
    <row r="7972">
      <c r="A7972" s="21" t="str">
        <f t="shared" si="3"/>
        <v/>
      </c>
      <c r="B7972" s="38"/>
      <c r="C7972" s="23"/>
      <c r="D7972" s="23"/>
      <c r="E7972" s="24"/>
      <c r="F7972" s="25"/>
      <c r="G7972" s="25"/>
      <c r="H7972" s="27"/>
      <c r="I7972" s="28"/>
      <c r="J7972" s="39"/>
      <c r="K7972" s="41"/>
      <c r="L7972" s="31" t="str">
        <f>IFERROR(__xludf.DUMMYFUNCTION("IF(OR(E7972="""",K7972=""""),"""",IFERROR(IF(K7972="""","""",query('tbl user'!$A$2:$D10975,""SELECT A WHERE D = '""&amp;K7972&amp;""'"")),""USER TIDAK DIKETAHUI""))"),"")</f>
        <v/>
      </c>
    </row>
    <row r="7973">
      <c r="A7973" s="21" t="str">
        <f t="shared" si="3"/>
        <v/>
      </c>
      <c r="B7973" s="38"/>
      <c r="C7973" s="23"/>
      <c r="D7973" s="23"/>
      <c r="E7973" s="24"/>
      <c r="F7973" s="25"/>
      <c r="G7973" s="25"/>
      <c r="H7973" s="27"/>
      <c r="I7973" s="28"/>
      <c r="J7973" s="39"/>
      <c r="K7973" s="41"/>
      <c r="L7973" s="31" t="str">
        <f>IFERROR(__xludf.DUMMYFUNCTION("IF(OR(E7973="""",K7973=""""),"""",IFERROR(IF(K7973="""","""",query('tbl user'!$A$2:$D10975,""SELECT A WHERE D = '""&amp;K7973&amp;""'"")),""USER TIDAK DIKETAHUI""))"),"")</f>
        <v/>
      </c>
    </row>
    <row r="7974">
      <c r="A7974" s="21" t="str">
        <f t="shared" si="3"/>
        <v/>
      </c>
      <c r="B7974" s="38"/>
      <c r="C7974" s="23"/>
      <c r="D7974" s="23"/>
      <c r="E7974" s="24"/>
      <c r="F7974" s="25"/>
      <c r="G7974" s="25"/>
      <c r="H7974" s="27"/>
      <c r="I7974" s="28"/>
      <c r="J7974" s="39"/>
      <c r="K7974" s="41"/>
      <c r="L7974" s="31" t="str">
        <f>IFERROR(__xludf.DUMMYFUNCTION("IF(OR(E7974="""",K7974=""""),"""",IFERROR(IF(K7974="""","""",query('tbl user'!$A$2:$D10975,""SELECT A WHERE D = '""&amp;K7974&amp;""'"")),""USER TIDAK DIKETAHUI""))"),"")</f>
        <v/>
      </c>
    </row>
    <row r="7975">
      <c r="A7975" s="21" t="str">
        <f t="shared" si="3"/>
        <v/>
      </c>
      <c r="B7975" s="38"/>
      <c r="C7975" s="23"/>
      <c r="D7975" s="23"/>
      <c r="E7975" s="24"/>
      <c r="F7975" s="25"/>
      <c r="G7975" s="25"/>
      <c r="H7975" s="27"/>
      <c r="I7975" s="28"/>
      <c r="J7975" s="39"/>
      <c r="K7975" s="41"/>
      <c r="L7975" s="31" t="str">
        <f>IFERROR(__xludf.DUMMYFUNCTION("IF(OR(E7975="""",K7975=""""),"""",IFERROR(IF(K7975="""","""",query('tbl user'!$A$2:$D10975,""SELECT A WHERE D = '""&amp;K7975&amp;""'"")),""USER TIDAK DIKETAHUI""))"),"")</f>
        <v/>
      </c>
    </row>
    <row r="7976">
      <c r="A7976" s="21" t="str">
        <f t="shared" si="3"/>
        <v/>
      </c>
      <c r="B7976" s="38"/>
      <c r="C7976" s="23"/>
      <c r="D7976" s="23"/>
      <c r="E7976" s="24"/>
      <c r="F7976" s="25"/>
      <c r="G7976" s="25"/>
      <c r="H7976" s="27"/>
      <c r="I7976" s="28"/>
      <c r="J7976" s="39"/>
      <c r="K7976" s="41"/>
      <c r="L7976" s="31" t="str">
        <f>IFERROR(__xludf.DUMMYFUNCTION("IF(OR(E7976="""",K7976=""""),"""",IFERROR(IF(K7976="""","""",query('tbl user'!$A$2:$D10975,""SELECT A WHERE D = '""&amp;K7976&amp;""'"")),""USER TIDAK DIKETAHUI""))"),"")</f>
        <v/>
      </c>
    </row>
    <row r="7977">
      <c r="A7977" s="21" t="str">
        <f t="shared" si="3"/>
        <v/>
      </c>
      <c r="B7977" s="38"/>
      <c r="C7977" s="23"/>
      <c r="D7977" s="23"/>
      <c r="E7977" s="24"/>
      <c r="F7977" s="25"/>
      <c r="G7977" s="25"/>
      <c r="H7977" s="27"/>
      <c r="I7977" s="28"/>
      <c r="J7977" s="39"/>
      <c r="K7977" s="41"/>
      <c r="L7977" s="31" t="str">
        <f>IFERROR(__xludf.DUMMYFUNCTION("IF(OR(E7977="""",K7977=""""),"""",IFERROR(IF(K7977="""","""",query('tbl user'!$A$2:$D10975,""SELECT A WHERE D = '""&amp;K7977&amp;""'"")),""USER TIDAK DIKETAHUI""))"),"")</f>
        <v/>
      </c>
    </row>
    <row r="7978">
      <c r="A7978" s="21" t="str">
        <f t="shared" si="3"/>
        <v/>
      </c>
      <c r="B7978" s="38"/>
      <c r="C7978" s="23"/>
      <c r="D7978" s="23"/>
      <c r="E7978" s="24"/>
      <c r="F7978" s="25"/>
      <c r="G7978" s="25"/>
      <c r="H7978" s="27"/>
      <c r="I7978" s="28"/>
      <c r="J7978" s="39"/>
      <c r="K7978" s="41"/>
      <c r="L7978" s="31" t="str">
        <f>IFERROR(__xludf.DUMMYFUNCTION("IF(OR(E7978="""",K7978=""""),"""",IFERROR(IF(K7978="""","""",query('tbl user'!$A$2:$D10975,""SELECT A WHERE D = '""&amp;K7978&amp;""'"")),""USER TIDAK DIKETAHUI""))"),"")</f>
        <v/>
      </c>
    </row>
    <row r="7979">
      <c r="A7979" s="21" t="str">
        <f t="shared" si="3"/>
        <v/>
      </c>
      <c r="B7979" s="38"/>
      <c r="C7979" s="23"/>
      <c r="D7979" s="23"/>
      <c r="E7979" s="24"/>
      <c r="F7979" s="25"/>
      <c r="G7979" s="25"/>
      <c r="H7979" s="27"/>
      <c r="I7979" s="28"/>
      <c r="J7979" s="39"/>
      <c r="K7979" s="41"/>
      <c r="L7979" s="31" t="str">
        <f>IFERROR(__xludf.DUMMYFUNCTION("IF(OR(E7979="""",K7979=""""),"""",IFERROR(IF(K7979="""","""",query('tbl user'!$A$2:$D10975,""SELECT A WHERE D = '""&amp;K7979&amp;""'"")),""USER TIDAK DIKETAHUI""))"),"")</f>
        <v/>
      </c>
    </row>
    <row r="7980">
      <c r="A7980" s="21" t="str">
        <f t="shared" si="3"/>
        <v/>
      </c>
      <c r="B7980" s="38"/>
      <c r="C7980" s="23"/>
      <c r="D7980" s="23"/>
      <c r="E7980" s="24"/>
      <c r="F7980" s="25"/>
      <c r="G7980" s="25"/>
      <c r="H7980" s="27"/>
      <c r="I7980" s="28"/>
      <c r="J7980" s="39"/>
      <c r="K7980" s="41"/>
      <c r="L7980" s="31" t="str">
        <f>IFERROR(__xludf.DUMMYFUNCTION("IF(OR(E7980="""",K7980=""""),"""",IFERROR(IF(K7980="""","""",query('tbl user'!$A$2:$D10975,""SELECT A WHERE D = '""&amp;K7980&amp;""'"")),""USER TIDAK DIKETAHUI""))"),"")</f>
        <v/>
      </c>
    </row>
    <row r="7981">
      <c r="A7981" s="21" t="str">
        <f t="shared" si="3"/>
        <v/>
      </c>
      <c r="B7981" s="38"/>
      <c r="C7981" s="23"/>
      <c r="D7981" s="23"/>
      <c r="E7981" s="24"/>
      <c r="F7981" s="25"/>
      <c r="G7981" s="25"/>
      <c r="H7981" s="27"/>
      <c r="I7981" s="28"/>
      <c r="J7981" s="39"/>
      <c r="K7981" s="41"/>
      <c r="L7981" s="31" t="str">
        <f>IFERROR(__xludf.DUMMYFUNCTION("IF(OR(E7981="""",K7981=""""),"""",IFERROR(IF(K7981="""","""",query('tbl user'!$A$2:$D10975,""SELECT A WHERE D = '""&amp;K7981&amp;""'"")),""USER TIDAK DIKETAHUI""))"),"")</f>
        <v/>
      </c>
    </row>
    <row r="7982">
      <c r="A7982" s="21" t="str">
        <f t="shared" si="3"/>
        <v/>
      </c>
      <c r="B7982" s="38"/>
      <c r="C7982" s="23"/>
      <c r="D7982" s="23"/>
      <c r="E7982" s="24"/>
      <c r="F7982" s="25"/>
      <c r="G7982" s="25"/>
      <c r="H7982" s="27"/>
      <c r="I7982" s="28"/>
      <c r="J7982" s="39"/>
      <c r="K7982" s="41"/>
      <c r="L7982" s="31" t="str">
        <f>IFERROR(__xludf.DUMMYFUNCTION("IF(OR(E7982="""",K7982=""""),"""",IFERROR(IF(K7982="""","""",query('tbl user'!$A$2:$D10975,""SELECT A WHERE D = '""&amp;K7982&amp;""'"")),""USER TIDAK DIKETAHUI""))"),"")</f>
        <v/>
      </c>
    </row>
    <row r="7983">
      <c r="A7983" s="21" t="str">
        <f t="shared" si="3"/>
        <v/>
      </c>
      <c r="B7983" s="38"/>
      <c r="C7983" s="23"/>
      <c r="D7983" s="23"/>
      <c r="E7983" s="24"/>
      <c r="F7983" s="25"/>
      <c r="G7983" s="25"/>
      <c r="H7983" s="27"/>
      <c r="I7983" s="28"/>
      <c r="J7983" s="39"/>
      <c r="K7983" s="41"/>
      <c r="L7983" s="31" t="str">
        <f>IFERROR(__xludf.DUMMYFUNCTION("IF(OR(E7983="""",K7983=""""),"""",IFERROR(IF(K7983="""","""",query('tbl user'!$A$2:$D10975,""SELECT A WHERE D = '""&amp;K7983&amp;""'"")),""USER TIDAK DIKETAHUI""))"),"")</f>
        <v/>
      </c>
    </row>
    <row r="7984">
      <c r="A7984" s="21" t="str">
        <f t="shared" si="3"/>
        <v/>
      </c>
      <c r="B7984" s="38"/>
      <c r="C7984" s="23"/>
      <c r="D7984" s="23"/>
      <c r="E7984" s="24"/>
      <c r="F7984" s="25"/>
      <c r="G7984" s="25"/>
      <c r="H7984" s="27"/>
      <c r="I7984" s="28"/>
      <c r="J7984" s="39"/>
      <c r="K7984" s="41"/>
      <c r="L7984" s="31" t="str">
        <f>IFERROR(__xludf.DUMMYFUNCTION("IF(OR(E7984="""",K7984=""""),"""",IFERROR(IF(K7984="""","""",query('tbl user'!$A$2:$D10975,""SELECT A WHERE D = '""&amp;K7984&amp;""'"")),""USER TIDAK DIKETAHUI""))"),"")</f>
        <v/>
      </c>
    </row>
    <row r="7985">
      <c r="A7985" s="21" t="str">
        <f t="shared" si="3"/>
        <v/>
      </c>
      <c r="B7985" s="38"/>
      <c r="C7985" s="23"/>
      <c r="D7985" s="23"/>
      <c r="E7985" s="24"/>
      <c r="F7985" s="25"/>
      <c r="G7985" s="25"/>
      <c r="H7985" s="27"/>
      <c r="I7985" s="28"/>
      <c r="J7985" s="39"/>
      <c r="K7985" s="41"/>
      <c r="L7985" s="31" t="str">
        <f>IFERROR(__xludf.DUMMYFUNCTION("IF(OR(E7985="""",K7985=""""),"""",IFERROR(IF(K7985="""","""",query('tbl user'!$A$2:$D10975,""SELECT A WHERE D = '""&amp;K7985&amp;""'"")),""USER TIDAK DIKETAHUI""))"),"")</f>
        <v/>
      </c>
    </row>
    <row r="7986">
      <c r="A7986" s="21" t="str">
        <f t="shared" si="3"/>
        <v/>
      </c>
      <c r="B7986" s="38"/>
      <c r="C7986" s="23"/>
      <c r="D7986" s="23"/>
      <c r="E7986" s="24"/>
      <c r="F7986" s="25"/>
      <c r="G7986" s="25"/>
      <c r="H7986" s="27"/>
      <c r="I7986" s="28"/>
      <c r="J7986" s="39"/>
      <c r="K7986" s="41"/>
      <c r="L7986" s="31" t="str">
        <f>IFERROR(__xludf.DUMMYFUNCTION("IF(OR(E7986="""",K7986=""""),"""",IFERROR(IF(K7986="""","""",query('tbl user'!$A$2:$D10975,""SELECT A WHERE D = '""&amp;K7986&amp;""'"")),""USER TIDAK DIKETAHUI""))"),"")</f>
        <v/>
      </c>
    </row>
    <row r="7987">
      <c r="A7987" s="21" t="str">
        <f t="shared" si="3"/>
        <v/>
      </c>
      <c r="B7987" s="38"/>
      <c r="C7987" s="23"/>
      <c r="D7987" s="23"/>
      <c r="E7987" s="24"/>
      <c r="F7987" s="25"/>
      <c r="G7987" s="25"/>
      <c r="H7987" s="27"/>
      <c r="I7987" s="28"/>
      <c r="J7987" s="39"/>
      <c r="K7987" s="41"/>
      <c r="L7987" s="31" t="str">
        <f>IFERROR(__xludf.DUMMYFUNCTION("IF(OR(E7987="""",K7987=""""),"""",IFERROR(IF(K7987="""","""",query('tbl user'!$A$2:$D10975,""SELECT A WHERE D = '""&amp;K7987&amp;""'"")),""USER TIDAK DIKETAHUI""))"),"")</f>
        <v/>
      </c>
    </row>
    <row r="7988">
      <c r="A7988" s="21" t="str">
        <f t="shared" si="3"/>
        <v/>
      </c>
      <c r="B7988" s="38"/>
      <c r="C7988" s="23"/>
      <c r="D7988" s="23"/>
      <c r="E7988" s="24"/>
      <c r="F7988" s="25"/>
      <c r="G7988" s="25"/>
      <c r="H7988" s="27"/>
      <c r="I7988" s="28"/>
      <c r="J7988" s="39"/>
      <c r="K7988" s="41"/>
      <c r="L7988" s="31" t="str">
        <f>IFERROR(__xludf.DUMMYFUNCTION("IF(OR(E7988="""",K7988=""""),"""",IFERROR(IF(K7988="""","""",query('tbl user'!$A$2:$D10975,""SELECT A WHERE D = '""&amp;K7988&amp;""'"")),""USER TIDAK DIKETAHUI""))"),"")</f>
        <v/>
      </c>
    </row>
    <row r="7989">
      <c r="A7989" s="21" t="str">
        <f t="shared" si="3"/>
        <v/>
      </c>
      <c r="B7989" s="38"/>
      <c r="C7989" s="23"/>
      <c r="D7989" s="23"/>
      <c r="E7989" s="24"/>
      <c r="F7989" s="25"/>
      <c r="G7989" s="25"/>
      <c r="H7989" s="27"/>
      <c r="I7989" s="28"/>
      <c r="J7989" s="39"/>
      <c r="K7989" s="41"/>
      <c r="L7989" s="31" t="str">
        <f>IFERROR(__xludf.DUMMYFUNCTION("IF(OR(E7989="""",K7989=""""),"""",IFERROR(IF(K7989="""","""",query('tbl user'!$A$2:$D10975,""SELECT A WHERE D = '""&amp;K7989&amp;""'"")),""USER TIDAK DIKETAHUI""))"),"")</f>
        <v/>
      </c>
    </row>
    <row r="7990">
      <c r="A7990" s="21" t="str">
        <f t="shared" si="3"/>
        <v/>
      </c>
      <c r="B7990" s="38"/>
      <c r="C7990" s="23"/>
      <c r="D7990" s="23"/>
      <c r="E7990" s="24"/>
      <c r="F7990" s="25"/>
      <c r="G7990" s="25"/>
      <c r="H7990" s="27"/>
      <c r="I7990" s="28"/>
      <c r="J7990" s="39"/>
      <c r="K7990" s="41"/>
      <c r="L7990" s="31" t="str">
        <f>IFERROR(__xludf.DUMMYFUNCTION("IF(OR(E7990="""",K7990=""""),"""",IFERROR(IF(K7990="""","""",query('tbl user'!$A$2:$D10975,""SELECT A WHERE D = '""&amp;K7990&amp;""'"")),""USER TIDAK DIKETAHUI""))"),"")</f>
        <v/>
      </c>
    </row>
    <row r="7991">
      <c r="A7991" s="21" t="str">
        <f t="shared" si="3"/>
        <v/>
      </c>
      <c r="B7991" s="38"/>
      <c r="C7991" s="23"/>
      <c r="D7991" s="23"/>
      <c r="E7991" s="24"/>
      <c r="F7991" s="25"/>
      <c r="G7991" s="25"/>
      <c r="H7991" s="27"/>
      <c r="I7991" s="28"/>
      <c r="J7991" s="39"/>
      <c r="K7991" s="41"/>
      <c r="L7991" s="31" t="str">
        <f>IFERROR(__xludf.DUMMYFUNCTION("IF(OR(E7991="""",K7991=""""),"""",IFERROR(IF(K7991="""","""",query('tbl user'!$A$2:$D10975,""SELECT A WHERE D = '""&amp;K7991&amp;""'"")),""USER TIDAK DIKETAHUI""))"),"")</f>
        <v/>
      </c>
    </row>
    <row r="7992">
      <c r="A7992" s="21" t="str">
        <f t="shared" si="3"/>
        <v/>
      </c>
      <c r="B7992" s="38"/>
      <c r="C7992" s="23"/>
      <c r="D7992" s="23"/>
      <c r="E7992" s="24"/>
      <c r="F7992" s="25"/>
      <c r="G7992" s="25"/>
      <c r="H7992" s="27"/>
      <c r="I7992" s="28"/>
      <c r="J7992" s="39"/>
      <c r="K7992" s="41"/>
      <c r="L7992" s="31" t="str">
        <f>IFERROR(__xludf.DUMMYFUNCTION("IF(OR(E7992="""",K7992=""""),"""",IFERROR(IF(K7992="""","""",query('tbl user'!$A$2:$D10975,""SELECT A WHERE D = '""&amp;K7992&amp;""'"")),""USER TIDAK DIKETAHUI""))"),"")</f>
        <v/>
      </c>
    </row>
    <row r="7993">
      <c r="A7993" s="21" t="str">
        <f t="shared" si="3"/>
        <v/>
      </c>
      <c r="B7993" s="38"/>
      <c r="C7993" s="23"/>
      <c r="D7993" s="23"/>
      <c r="E7993" s="24"/>
      <c r="F7993" s="25"/>
      <c r="G7993" s="25"/>
      <c r="H7993" s="27"/>
      <c r="I7993" s="28"/>
      <c r="J7993" s="39"/>
      <c r="K7993" s="41"/>
      <c r="L7993" s="31" t="str">
        <f>IFERROR(__xludf.DUMMYFUNCTION("IF(OR(E7993="""",K7993=""""),"""",IFERROR(IF(K7993="""","""",query('tbl user'!$A$2:$D10975,""SELECT A WHERE D = '""&amp;K7993&amp;""'"")),""USER TIDAK DIKETAHUI""))"),"")</f>
        <v/>
      </c>
    </row>
    <row r="7994">
      <c r="A7994" s="21" t="str">
        <f t="shared" si="3"/>
        <v/>
      </c>
      <c r="B7994" s="38"/>
      <c r="C7994" s="23"/>
      <c r="D7994" s="23"/>
      <c r="E7994" s="24"/>
      <c r="F7994" s="25"/>
      <c r="G7994" s="25"/>
      <c r="H7994" s="27"/>
      <c r="I7994" s="28"/>
      <c r="J7994" s="39"/>
      <c r="K7994" s="41"/>
      <c r="L7994" s="31" t="str">
        <f>IFERROR(__xludf.DUMMYFUNCTION("IF(OR(E7994="""",K7994=""""),"""",IFERROR(IF(K7994="""","""",query('tbl user'!$A$2:$D10975,""SELECT A WHERE D = '""&amp;K7994&amp;""'"")),""USER TIDAK DIKETAHUI""))"),"")</f>
        <v/>
      </c>
    </row>
    <row r="7995">
      <c r="A7995" s="21" t="str">
        <f t="shared" si="3"/>
        <v/>
      </c>
      <c r="B7995" s="38"/>
      <c r="C7995" s="23"/>
      <c r="D7995" s="23"/>
      <c r="E7995" s="24"/>
      <c r="F7995" s="25"/>
      <c r="G7995" s="25"/>
      <c r="H7995" s="27"/>
      <c r="I7995" s="28"/>
      <c r="J7995" s="39"/>
      <c r="K7995" s="41"/>
      <c r="L7995" s="31" t="str">
        <f>IFERROR(__xludf.DUMMYFUNCTION("IF(OR(E7995="""",K7995=""""),"""",IFERROR(IF(K7995="""","""",query('tbl user'!$A$2:$D10975,""SELECT A WHERE D = '""&amp;K7995&amp;""'"")),""USER TIDAK DIKETAHUI""))"),"")</f>
        <v/>
      </c>
    </row>
    <row r="7996">
      <c r="A7996" s="21" t="str">
        <f t="shared" si="3"/>
        <v/>
      </c>
      <c r="B7996" s="38"/>
      <c r="C7996" s="23"/>
      <c r="D7996" s="23"/>
      <c r="E7996" s="24"/>
      <c r="F7996" s="25"/>
      <c r="G7996" s="25"/>
      <c r="H7996" s="27"/>
      <c r="I7996" s="28"/>
      <c r="J7996" s="39"/>
      <c r="K7996" s="41"/>
      <c r="L7996" s="31" t="str">
        <f>IFERROR(__xludf.DUMMYFUNCTION("IF(OR(E7996="""",K7996=""""),"""",IFERROR(IF(K7996="""","""",query('tbl user'!$A$2:$D10975,""SELECT A WHERE D = '""&amp;K7996&amp;""'"")),""USER TIDAK DIKETAHUI""))"),"")</f>
        <v/>
      </c>
    </row>
    <row r="7997">
      <c r="A7997" s="21" t="str">
        <f t="shared" si="3"/>
        <v/>
      </c>
      <c r="B7997" s="38"/>
      <c r="C7997" s="23"/>
      <c r="D7997" s="23"/>
      <c r="E7997" s="24"/>
      <c r="F7997" s="25"/>
      <c r="G7997" s="25"/>
      <c r="H7997" s="27"/>
      <c r="I7997" s="28"/>
      <c r="J7997" s="39"/>
      <c r="K7997" s="41"/>
      <c r="L7997" s="31" t="str">
        <f>IFERROR(__xludf.DUMMYFUNCTION("IF(OR(E7997="""",K7997=""""),"""",IFERROR(IF(K7997="""","""",query('tbl user'!$A$2:$D10975,""SELECT A WHERE D = '""&amp;K7997&amp;""'"")),""USER TIDAK DIKETAHUI""))"),"")</f>
        <v/>
      </c>
    </row>
    <row r="7998">
      <c r="A7998" s="21" t="str">
        <f t="shared" si="3"/>
        <v/>
      </c>
      <c r="B7998" s="38"/>
      <c r="C7998" s="23"/>
      <c r="D7998" s="23"/>
      <c r="E7998" s="24"/>
      <c r="F7998" s="25"/>
      <c r="G7998" s="25"/>
      <c r="H7998" s="27"/>
      <c r="I7998" s="28"/>
      <c r="J7998" s="39"/>
      <c r="K7998" s="41"/>
      <c r="L7998" s="31" t="str">
        <f>IFERROR(__xludf.DUMMYFUNCTION("IF(OR(E7998="""",K7998=""""),"""",IFERROR(IF(K7998="""","""",query('tbl user'!$A$2:$D10975,""SELECT A WHERE D = '""&amp;K7998&amp;""'"")),""USER TIDAK DIKETAHUI""))"),"")</f>
        <v/>
      </c>
    </row>
    <row r="7999">
      <c r="A7999" s="21" t="str">
        <f t="shared" si="3"/>
        <v/>
      </c>
      <c r="B7999" s="38"/>
      <c r="C7999" s="23"/>
      <c r="D7999" s="23"/>
      <c r="E7999" s="24"/>
      <c r="F7999" s="25"/>
      <c r="G7999" s="25"/>
      <c r="H7999" s="27"/>
      <c r="I7999" s="28"/>
      <c r="J7999" s="39"/>
      <c r="K7999" s="41"/>
      <c r="L7999" s="31" t="str">
        <f>IFERROR(__xludf.DUMMYFUNCTION("IF(OR(E7999="""",K7999=""""),"""",IFERROR(IF(K7999="""","""",query('tbl user'!$A$2:$D10975,""SELECT A WHERE D = '""&amp;K7999&amp;""'"")),""USER TIDAK DIKETAHUI""))"),"")</f>
        <v/>
      </c>
    </row>
    <row r="8000">
      <c r="A8000" s="21" t="str">
        <f t="shared" si="3"/>
        <v/>
      </c>
      <c r="B8000" s="38"/>
      <c r="C8000" s="23"/>
      <c r="D8000" s="23"/>
      <c r="E8000" s="24"/>
      <c r="F8000" s="25"/>
      <c r="G8000" s="25"/>
      <c r="H8000" s="27"/>
      <c r="I8000" s="28"/>
      <c r="J8000" s="39"/>
      <c r="K8000" s="41"/>
      <c r="L8000" s="31" t="str">
        <f>IFERROR(__xludf.DUMMYFUNCTION("IF(OR(E8000="""",K8000=""""),"""",IFERROR(IF(K8000="""","""",query('tbl user'!$A$2:$D10975,""SELECT A WHERE D = '""&amp;K8000&amp;""'"")),""USER TIDAK DIKETAHUI""))"),"")</f>
        <v/>
      </c>
    </row>
    <row r="8001">
      <c r="A8001" s="21" t="str">
        <f t="shared" si="3"/>
        <v/>
      </c>
      <c r="B8001" s="38"/>
      <c r="C8001" s="23"/>
      <c r="D8001" s="23"/>
      <c r="E8001" s="24"/>
      <c r="F8001" s="25"/>
      <c r="G8001" s="25"/>
      <c r="H8001" s="27"/>
      <c r="I8001" s="28"/>
      <c r="J8001" s="39"/>
      <c r="K8001" s="41"/>
      <c r="L8001" s="31" t="str">
        <f>IFERROR(__xludf.DUMMYFUNCTION("IF(OR(E8001="""",K8001=""""),"""",IFERROR(IF(K8001="""","""",query('tbl user'!$A$2:$D10975,""SELECT A WHERE D = '""&amp;K8001&amp;""'"")),""USER TIDAK DIKETAHUI""))"),"")</f>
        <v/>
      </c>
    </row>
    <row r="8002">
      <c r="A8002" s="21" t="str">
        <f t="shared" si="3"/>
        <v/>
      </c>
      <c r="B8002" s="38"/>
      <c r="C8002" s="23"/>
      <c r="D8002" s="23"/>
      <c r="E8002" s="24"/>
      <c r="F8002" s="25"/>
      <c r="G8002" s="25"/>
      <c r="H8002" s="27"/>
      <c r="I8002" s="28"/>
      <c r="J8002" s="39"/>
      <c r="K8002" s="41"/>
      <c r="L8002" s="31" t="str">
        <f>IFERROR(__xludf.DUMMYFUNCTION("IF(OR(E8002="""",K8002=""""),"""",IFERROR(IF(K8002="""","""",query('tbl user'!$A$2:$D10975,""SELECT A WHERE D = '""&amp;K8002&amp;""'"")),""USER TIDAK DIKETAHUI""))"),"")</f>
        <v/>
      </c>
    </row>
    <row r="8003">
      <c r="A8003" s="21" t="str">
        <f t="shared" si="3"/>
        <v/>
      </c>
      <c r="B8003" s="38"/>
      <c r="C8003" s="23"/>
      <c r="D8003" s="23"/>
      <c r="E8003" s="24"/>
      <c r="F8003" s="25"/>
      <c r="G8003" s="25"/>
      <c r="H8003" s="27"/>
      <c r="I8003" s="28"/>
      <c r="J8003" s="39"/>
      <c r="K8003" s="41"/>
      <c r="L8003" s="31" t="str">
        <f>IFERROR(__xludf.DUMMYFUNCTION("IF(OR(E8003="""",K8003=""""),"""",IFERROR(IF(K8003="""","""",query('tbl user'!$A$2:$D10975,""SELECT A WHERE D = '""&amp;K8003&amp;""'"")),""USER TIDAK DIKETAHUI""))"),"")</f>
        <v/>
      </c>
    </row>
    <row r="8004">
      <c r="A8004" s="21" t="str">
        <f t="shared" si="3"/>
        <v/>
      </c>
      <c r="B8004" s="38"/>
      <c r="C8004" s="23"/>
      <c r="D8004" s="23"/>
      <c r="E8004" s="24"/>
      <c r="F8004" s="25"/>
      <c r="G8004" s="25"/>
      <c r="H8004" s="27"/>
      <c r="I8004" s="28"/>
      <c r="J8004" s="39"/>
      <c r="K8004" s="41"/>
      <c r="L8004" s="31" t="str">
        <f>IFERROR(__xludf.DUMMYFUNCTION("IF(OR(E8004="""",K8004=""""),"""",IFERROR(IF(K8004="""","""",query('tbl user'!$A$2:$D10975,""SELECT A WHERE D = '""&amp;K8004&amp;""'"")),""USER TIDAK DIKETAHUI""))"),"")</f>
        <v/>
      </c>
    </row>
    <row r="8005">
      <c r="A8005" s="21" t="str">
        <f t="shared" si="3"/>
        <v/>
      </c>
      <c r="B8005" s="38"/>
      <c r="C8005" s="23"/>
      <c r="D8005" s="23"/>
      <c r="E8005" s="24"/>
      <c r="F8005" s="25"/>
      <c r="G8005" s="25"/>
      <c r="H8005" s="27"/>
      <c r="I8005" s="28"/>
      <c r="J8005" s="39"/>
      <c r="K8005" s="41"/>
      <c r="L8005" s="31" t="str">
        <f>IFERROR(__xludf.DUMMYFUNCTION("IF(OR(E8005="""",K8005=""""),"""",IFERROR(IF(K8005="""","""",query('tbl user'!$A$2:$D10975,""SELECT A WHERE D = '""&amp;K8005&amp;""'"")),""USER TIDAK DIKETAHUI""))"),"")</f>
        <v/>
      </c>
    </row>
    <row r="8006">
      <c r="A8006" s="21" t="str">
        <f t="shared" si="3"/>
        <v/>
      </c>
      <c r="B8006" s="38"/>
      <c r="C8006" s="23"/>
      <c r="D8006" s="23"/>
      <c r="E8006" s="24"/>
      <c r="F8006" s="25"/>
      <c r="G8006" s="25"/>
      <c r="H8006" s="27"/>
      <c r="I8006" s="28"/>
      <c r="J8006" s="39"/>
      <c r="K8006" s="41"/>
      <c r="L8006" s="31" t="str">
        <f>IFERROR(__xludf.DUMMYFUNCTION("IF(OR(E8006="""",K8006=""""),"""",IFERROR(IF(K8006="""","""",query('tbl user'!$A$2:$D10975,""SELECT A WHERE D = '""&amp;K8006&amp;""'"")),""USER TIDAK DIKETAHUI""))"),"")</f>
        <v/>
      </c>
    </row>
    <row r="8007">
      <c r="A8007" s="21" t="str">
        <f t="shared" si="3"/>
        <v/>
      </c>
      <c r="B8007" s="38"/>
      <c r="C8007" s="23"/>
      <c r="D8007" s="23"/>
      <c r="E8007" s="24"/>
      <c r="F8007" s="25"/>
      <c r="G8007" s="25"/>
      <c r="H8007" s="27"/>
      <c r="I8007" s="28"/>
      <c r="J8007" s="39"/>
      <c r="K8007" s="41"/>
      <c r="L8007" s="31" t="str">
        <f>IFERROR(__xludf.DUMMYFUNCTION("IF(OR(E8007="""",K8007=""""),"""",IFERROR(IF(K8007="""","""",query('tbl user'!$A$2:$D10975,""SELECT A WHERE D = '""&amp;K8007&amp;""'"")),""USER TIDAK DIKETAHUI""))"),"")</f>
        <v/>
      </c>
    </row>
    <row r="8008">
      <c r="A8008" s="21" t="str">
        <f t="shared" si="3"/>
        <v/>
      </c>
      <c r="B8008" s="38"/>
      <c r="C8008" s="23"/>
      <c r="D8008" s="23"/>
      <c r="E8008" s="24"/>
      <c r="F8008" s="25"/>
      <c r="G8008" s="25"/>
      <c r="H8008" s="27"/>
      <c r="I8008" s="28"/>
      <c r="J8008" s="39"/>
      <c r="K8008" s="41"/>
      <c r="L8008" s="31" t="str">
        <f>IFERROR(__xludf.DUMMYFUNCTION("IF(OR(E8008="""",K8008=""""),"""",IFERROR(IF(K8008="""","""",query('tbl user'!$A$2:$D10975,""SELECT A WHERE D = '""&amp;K8008&amp;""'"")),""USER TIDAK DIKETAHUI""))"),"")</f>
        <v/>
      </c>
    </row>
    <row r="8009">
      <c r="A8009" s="21" t="str">
        <f t="shared" si="3"/>
        <v/>
      </c>
      <c r="B8009" s="38"/>
      <c r="C8009" s="23"/>
      <c r="D8009" s="23"/>
      <c r="E8009" s="24"/>
      <c r="F8009" s="25"/>
      <c r="G8009" s="25"/>
      <c r="H8009" s="27"/>
      <c r="I8009" s="28"/>
      <c r="J8009" s="39"/>
      <c r="K8009" s="41"/>
      <c r="L8009" s="31" t="str">
        <f>IFERROR(__xludf.DUMMYFUNCTION("IF(OR(E8009="""",K8009=""""),"""",IFERROR(IF(K8009="""","""",query('tbl user'!$A$2:$D10975,""SELECT A WHERE D = '""&amp;K8009&amp;""'"")),""USER TIDAK DIKETAHUI""))"),"")</f>
        <v/>
      </c>
    </row>
    <row r="8010">
      <c r="A8010" s="21" t="str">
        <f t="shared" si="3"/>
        <v/>
      </c>
      <c r="B8010" s="38"/>
      <c r="C8010" s="23"/>
      <c r="D8010" s="23"/>
      <c r="E8010" s="24"/>
      <c r="F8010" s="25"/>
      <c r="G8010" s="25"/>
      <c r="H8010" s="27"/>
      <c r="I8010" s="28"/>
      <c r="J8010" s="39"/>
      <c r="K8010" s="41"/>
      <c r="L8010" s="31" t="str">
        <f>IFERROR(__xludf.DUMMYFUNCTION("IF(OR(E8010="""",K8010=""""),"""",IFERROR(IF(K8010="""","""",query('tbl user'!$A$2:$D10975,""SELECT A WHERE D = '""&amp;K8010&amp;""'"")),""USER TIDAK DIKETAHUI""))"),"")</f>
        <v/>
      </c>
    </row>
    <row r="8011">
      <c r="A8011" s="21" t="str">
        <f t="shared" si="3"/>
        <v/>
      </c>
      <c r="B8011" s="38"/>
      <c r="C8011" s="23"/>
      <c r="D8011" s="23"/>
      <c r="E8011" s="24"/>
      <c r="F8011" s="25"/>
      <c r="G8011" s="25"/>
      <c r="H8011" s="27"/>
      <c r="I8011" s="28"/>
      <c r="J8011" s="39"/>
      <c r="K8011" s="41"/>
      <c r="L8011" s="31" t="str">
        <f>IFERROR(__xludf.DUMMYFUNCTION("IF(OR(E8011="""",K8011=""""),"""",IFERROR(IF(K8011="""","""",query('tbl user'!$A$2:$D10975,""SELECT A WHERE D = '""&amp;K8011&amp;""'"")),""USER TIDAK DIKETAHUI""))"),"")</f>
        <v/>
      </c>
    </row>
    <row r="8012">
      <c r="A8012" s="21" t="str">
        <f t="shared" si="3"/>
        <v/>
      </c>
      <c r="B8012" s="38"/>
      <c r="C8012" s="23"/>
      <c r="D8012" s="23"/>
      <c r="E8012" s="24"/>
      <c r="F8012" s="25"/>
      <c r="G8012" s="25"/>
      <c r="H8012" s="27"/>
      <c r="I8012" s="28"/>
      <c r="J8012" s="39"/>
      <c r="K8012" s="41"/>
      <c r="L8012" s="31" t="str">
        <f>IFERROR(__xludf.DUMMYFUNCTION("IF(OR(E8012="""",K8012=""""),"""",IFERROR(IF(K8012="""","""",query('tbl user'!$A$2:$D10975,""SELECT A WHERE D = '""&amp;K8012&amp;""'"")),""USER TIDAK DIKETAHUI""))"),"")</f>
        <v/>
      </c>
    </row>
    <row r="8013">
      <c r="A8013" s="21" t="str">
        <f t="shared" si="3"/>
        <v/>
      </c>
      <c r="B8013" s="38"/>
      <c r="C8013" s="23"/>
      <c r="D8013" s="23"/>
      <c r="E8013" s="24"/>
      <c r="F8013" s="25"/>
      <c r="G8013" s="25"/>
      <c r="H8013" s="27"/>
      <c r="I8013" s="28"/>
      <c r="J8013" s="39"/>
      <c r="K8013" s="41"/>
      <c r="L8013" s="31" t="str">
        <f>IFERROR(__xludf.DUMMYFUNCTION("IF(OR(E8013="""",K8013=""""),"""",IFERROR(IF(K8013="""","""",query('tbl user'!$A$2:$D10975,""SELECT A WHERE D = '""&amp;K8013&amp;""'"")),""USER TIDAK DIKETAHUI""))"),"")</f>
        <v/>
      </c>
    </row>
    <row r="8014">
      <c r="A8014" s="21" t="str">
        <f t="shared" si="3"/>
        <v/>
      </c>
      <c r="B8014" s="38"/>
      <c r="C8014" s="23"/>
      <c r="D8014" s="23"/>
      <c r="E8014" s="24"/>
      <c r="F8014" s="25"/>
      <c r="G8014" s="25"/>
      <c r="H8014" s="27"/>
      <c r="I8014" s="28"/>
      <c r="J8014" s="39"/>
      <c r="K8014" s="41"/>
      <c r="L8014" s="31" t="str">
        <f>IFERROR(__xludf.DUMMYFUNCTION("IF(OR(E8014="""",K8014=""""),"""",IFERROR(IF(K8014="""","""",query('tbl user'!$A$2:$D10975,""SELECT A WHERE D = '""&amp;K8014&amp;""'"")),""USER TIDAK DIKETAHUI""))"),"")</f>
        <v/>
      </c>
    </row>
    <row r="8015">
      <c r="A8015" s="21" t="str">
        <f t="shared" si="3"/>
        <v/>
      </c>
      <c r="B8015" s="38"/>
      <c r="C8015" s="23"/>
      <c r="D8015" s="23"/>
      <c r="E8015" s="24"/>
      <c r="F8015" s="25"/>
      <c r="G8015" s="25"/>
      <c r="H8015" s="27"/>
      <c r="I8015" s="28"/>
      <c r="J8015" s="39"/>
      <c r="K8015" s="41"/>
      <c r="L8015" s="31" t="str">
        <f>IFERROR(__xludf.DUMMYFUNCTION("IF(OR(E8015="""",K8015=""""),"""",IFERROR(IF(K8015="""","""",query('tbl user'!$A$2:$D10975,""SELECT A WHERE D = '""&amp;K8015&amp;""'"")),""USER TIDAK DIKETAHUI""))"),"")</f>
        <v/>
      </c>
    </row>
    <row r="8016">
      <c r="A8016" s="21" t="str">
        <f t="shared" si="3"/>
        <v/>
      </c>
      <c r="B8016" s="38"/>
      <c r="C8016" s="23"/>
      <c r="D8016" s="23"/>
      <c r="E8016" s="24"/>
      <c r="F8016" s="25"/>
      <c r="G8016" s="25"/>
      <c r="H8016" s="27"/>
      <c r="I8016" s="28"/>
      <c r="J8016" s="39"/>
      <c r="K8016" s="41"/>
      <c r="L8016" s="31" t="str">
        <f>IFERROR(__xludf.DUMMYFUNCTION("IF(OR(E8016="""",K8016=""""),"""",IFERROR(IF(K8016="""","""",query('tbl user'!$A$2:$D10975,""SELECT A WHERE D = '""&amp;K8016&amp;""'"")),""USER TIDAK DIKETAHUI""))"),"")</f>
        <v/>
      </c>
    </row>
    <row r="8017">
      <c r="A8017" s="21" t="str">
        <f t="shared" si="3"/>
        <v/>
      </c>
      <c r="B8017" s="38"/>
      <c r="C8017" s="23"/>
      <c r="D8017" s="23"/>
      <c r="E8017" s="24"/>
      <c r="F8017" s="25"/>
      <c r="G8017" s="25"/>
      <c r="H8017" s="27"/>
      <c r="I8017" s="28"/>
      <c r="J8017" s="39"/>
      <c r="K8017" s="41"/>
      <c r="L8017" s="31" t="str">
        <f>IFERROR(__xludf.DUMMYFUNCTION("IF(OR(E8017="""",K8017=""""),"""",IFERROR(IF(K8017="""","""",query('tbl user'!$A$2:$D10975,""SELECT A WHERE D = '""&amp;K8017&amp;""'"")),""USER TIDAK DIKETAHUI""))"),"")</f>
        <v/>
      </c>
    </row>
    <row r="8018">
      <c r="A8018" s="21" t="str">
        <f t="shared" si="3"/>
        <v/>
      </c>
      <c r="B8018" s="38"/>
      <c r="C8018" s="23"/>
      <c r="D8018" s="23"/>
      <c r="E8018" s="24"/>
      <c r="F8018" s="25"/>
      <c r="G8018" s="25"/>
      <c r="H8018" s="27"/>
      <c r="I8018" s="28"/>
      <c r="J8018" s="39"/>
      <c r="K8018" s="41"/>
      <c r="L8018" s="31" t="str">
        <f>IFERROR(__xludf.DUMMYFUNCTION("IF(OR(E8018="""",K8018=""""),"""",IFERROR(IF(K8018="""","""",query('tbl user'!$A$2:$D10975,""SELECT A WHERE D = '""&amp;K8018&amp;""'"")),""USER TIDAK DIKETAHUI""))"),"")</f>
        <v/>
      </c>
    </row>
    <row r="8019">
      <c r="A8019" s="21" t="str">
        <f t="shared" si="3"/>
        <v/>
      </c>
      <c r="B8019" s="38"/>
      <c r="C8019" s="23"/>
      <c r="D8019" s="23"/>
      <c r="E8019" s="24"/>
      <c r="F8019" s="25"/>
      <c r="G8019" s="25"/>
      <c r="H8019" s="27"/>
      <c r="I8019" s="28"/>
      <c r="J8019" s="39"/>
      <c r="K8019" s="41"/>
      <c r="L8019" s="31" t="str">
        <f>IFERROR(__xludf.DUMMYFUNCTION("IF(OR(E8019="""",K8019=""""),"""",IFERROR(IF(K8019="""","""",query('tbl user'!$A$2:$D10975,""SELECT A WHERE D = '""&amp;K8019&amp;""'"")),""USER TIDAK DIKETAHUI""))"),"")</f>
        <v/>
      </c>
    </row>
    <row r="8020">
      <c r="A8020" s="21" t="str">
        <f t="shared" si="3"/>
        <v/>
      </c>
      <c r="B8020" s="38"/>
      <c r="C8020" s="23"/>
      <c r="D8020" s="23"/>
      <c r="E8020" s="24"/>
      <c r="F8020" s="25"/>
      <c r="G8020" s="25"/>
      <c r="H8020" s="27"/>
      <c r="I8020" s="28"/>
      <c r="J8020" s="39"/>
      <c r="K8020" s="41"/>
      <c r="L8020" s="31" t="str">
        <f>IFERROR(__xludf.DUMMYFUNCTION("IF(OR(E8020="""",K8020=""""),"""",IFERROR(IF(K8020="""","""",query('tbl user'!$A$2:$D10975,""SELECT A WHERE D = '""&amp;K8020&amp;""'"")),""USER TIDAK DIKETAHUI""))"),"")</f>
        <v/>
      </c>
    </row>
    <row r="8021">
      <c r="A8021" s="21" t="str">
        <f t="shared" si="3"/>
        <v/>
      </c>
      <c r="B8021" s="38"/>
      <c r="C8021" s="23"/>
      <c r="D8021" s="23"/>
      <c r="E8021" s="24"/>
      <c r="F8021" s="25"/>
      <c r="G8021" s="25"/>
      <c r="H8021" s="27"/>
      <c r="I8021" s="28"/>
      <c r="J8021" s="39"/>
      <c r="K8021" s="41"/>
      <c r="L8021" s="31" t="str">
        <f>IFERROR(__xludf.DUMMYFUNCTION("IF(OR(E8021="""",K8021=""""),"""",IFERROR(IF(K8021="""","""",query('tbl user'!$A$2:$D10975,""SELECT A WHERE D = '""&amp;K8021&amp;""'"")),""USER TIDAK DIKETAHUI""))"),"")</f>
        <v/>
      </c>
    </row>
    <row r="8022">
      <c r="A8022" s="21" t="str">
        <f t="shared" si="3"/>
        <v/>
      </c>
      <c r="B8022" s="38"/>
      <c r="C8022" s="23"/>
      <c r="D8022" s="23"/>
      <c r="E8022" s="24"/>
      <c r="F8022" s="25"/>
      <c r="G8022" s="25"/>
      <c r="H8022" s="27"/>
      <c r="I8022" s="28"/>
      <c r="J8022" s="39"/>
      <c r="K8022" s="41"/>
      <c r="L8022" s="31" t="str">
        <f>IFERROR(__xludf.DUMMYFUNCTION("IF(OR(E8022="""",K8022=""""),"""",IFERROR(IF(K8022="""","""",query('tbl user'!$A$2:$D10975,""SELECT A WHERE D = '""&amp;K8022&amp;""'"")),""USER TIDAK DIKETAHUI""))"),"")</f>
        <v/>
      </c>
    </row>
    <row r="8023">
      <c r="A8023" s="21" t="str">
        <f t="shared" si="3"/>
        <v/>
      </c>
      <c r="B8023" s="38"/>
      <c r="C8023" s="23"/>
      <c r="D8023" s="23"/>
      <c r="E8023" s="24"/>
      <c r="F8023" s="25"/>
      <c r="G8023" s="25"/>
      <c r="H8023" s="27"/>
      <c r="I8023" s="28"/>
      <c r="J8023" s="39"/>
      <c r="K8023" s="41"/>
      <c r="L8023" s="31" t="str">
        <f>IFERROR(__xludf.DUMMYFUNCTION("IF(OR(E8023="""",K8023=""""),"""",IFERROR(IF(K8023="""","""",query('tbl user'!$A$2:$D10975,""SELECT A WHERE D = '""&amp;K8023&amp;""'"")),""USER TIDAK DIKETAHUI""))"),"")</f>
        <v/>
      </c>
    </row>
    <row r="8024">
      <c r="A8024" s="21" t="str">
        <f t="shared" si="3"/>
        <v/>
      </c>
      <c r="B8024" s="38"/>
      <c r="C8024" s="23"/>
      <c r="D8024" s="23"/>
      <c r="E8024" s="24"/>
      <c r="F8024" s="25"/>
      <c r="G8024" s="25"/>
      <c r="H8024" s="27"/>
      <c r="I8024" s="28"/>
      <c r="J8024" s="39"/>
      <c r="K8024" s="41"/>
      <c r="L8024" s="31" t="str">
        <f>IFERROR(__xludf.DUMMYFUNCTION("IF(OR(E8024="""",K8024=""""),"""",IFERROR(IF(K8024="""","""",query('tbl user'!$A$2:$D10975,""SELECT A WHERE D = '""&amp;K8024&amp;""'"")),""USER TIDAK DIKETAHUI""))"),"")</f>
        <v/>
      </c>
    </row>
    <row r="8025">
      <c r="A8025" s="21" t="str">
        <f t="shared" si="3"/>
        <v/>
      </c>
      <c r="B8025" s="38"/>
      <c r="C8025" s="23"/>
      <c r="D8025" s="23"/>
      <c r="E8025" s="24"/>
      <c r="F8025" s="25"/>
      <c r="G8025" s="25"/>
      <c r="H8025" s="27"/>
      <c r="I8025" s="28"/>
      <c r="J8025" s="39"/>
      <c r="K8025" s="41"/>
      <c r="L8025" s="31" t="str">
        <f>IFERROR(__xludf.DUMMYFUNCTION("IF(OR(E8025="""",K8025=""""),"""",IFERROR(IF(K8025="""","""",query('tbl user'!$A$2:$D10975,""SELECT A WHERE D = '""&amp;K8025&amp;""'"")),""USER TIDAK DIKETAHUI""))"),"")</f>
        <v/>
      </c>
    </row>
    <row r="8026">
      <c r="A8026" s="21" t="str">
        <f t="shared" si="3"/>
        <v/>
      </c>
      <c r="B8026" s="38"/>
      <c r="C8026" s="23"/>
      <c r="D8026" s="23"/>
      <c r="E8026" s="24"/>
      <c r="F8026" s="25"/>
      <c r="G8026" s="25"/>
      <c r="H8026" s="27"/>
      <c r="I8026" s="28"/>
      <c r="J8026" s="39"/>
      <c r="K8026" s="41"/>
      <c r="L8026" s="31" t="str">
        <f>IFERROR(__xludf.DUMMYFUNCTION("IF(OR(E8026="""",K8026=""""),"""",IFERROR(IF(K8026="""","""",query('tbl user'!$A$2:$D10975,""SELECT A WHERE D = '""&amp;K8026&amp;""'"")),""USER TIDAK DIKETAHUI""))"),"")</f>
        <v/>
      </c>
    </row>
    <row r="8027">
      <c r="A8027" s="21" t="str">
        <f t="shared" si="3"/>
        <v/>
      </c>
      <c r="B8027" s="38"/>
      <c r="C8027" s="23"/>
      <c r="D8027" s="23"/>
      <c r="E8027" s="24"/>
      <c r="F8027" s="25"/>
      <c r="G8027" s="25"/>
      <c r="H8027" s="27"/>
      <c r="I8027" s="28"/>
      <c r="J8027" s="39"/>
      <c r="K8027" s="41"/>
      <c r="L8027" s="31" t="str">
        <f>IFERROR(__xludf.DUMMYFUNCTION("IF(OR(E8027="""",K8027=""""),"""",IFERROR(IF(K8027="""","""",query('tbl user'!$A$2:$D10975,""SELECT A WHERE D = '""&amp;K8027&amp;""'"")),""USER TIDAK DIKETAHUI""))"),"")</f>
        <v/>
      </c>
    </row>
    <row r="8028">
      <c r="A8028" s="21" t="str">
        <f t="shared" si="3"/>
        <v/>
      </c>
      <c r="B8028" s="38"/>
      <c r="C8028" s="23"/>
      <c r="D8028" s="23"/>
      <c r="E8028" s="24"/>
      <c r="F8028" s="25"/>
      <c r="G8028" s="25"/>
      <c r="H8028" s="27"/>
      <c r="I8028" s="28"/>
      <c r="J8028" s="39"/>
      <c r="K8028" s="41"/>
      <c r="L8028" s="31" t="str">
        <f>IFERROR(__xludf.DUMMYFUNCTION("IF(OR(E8028="""",K8028=""""),"""",IFERROR(IF(K8028="""","""",query('tbl user'!$A$2:$D10975,""SELECT A WHERE D = '""&amp;K8028&amp;""'"")),""USER TIDAK DIKETAHUI""))"),"")</f>
        <v/>
      </c>
    </row>
    <row r="8029">
      <c r="A8029" s="21" t="str">
        <f t="shared" si="3"/>
        <v/>
      </c>
      <c r="B8029" s="38"/>
      <c r="C8029" s="23"/>
      <c r="D8029" s="23"/>
      <c r="E8029" s="24"/>
      <c r="F8029" s="25"/>
      <c r="G8029" s="25"/>
      <c r="H8029" s="27"/>
      <c r="I8029" s="28"/>
      <c r="J8029" s="39"/>
      <c r="K8029" s="41"/>
      <c r="L8029" s="31" t="str">
        <f>IFERROR(__xludf.DUMMYFUNCTION("IF(OR(E8029="""",K8029=""""),"""",IFERROR(IF(K8029="""","""",query('tbl user'!$A$2:$D10975,""SELECT A WHERE D = '""&amp;K8029&amp;""'"")),""USER TIDAK DIKETAHUI""))"),"")</f>
        <v/>
      </c>
    </row>
    <row r="8030">
      <c r="A8030" s="21" t="str">
        <f t="shared" si="3"/>
        <v/>
      </c>
      <c r="B8030" s="38"/>
      <c r="C8030" s="23"/>
      <c r="D8030" s="23"/>
      <c r="E8030" s="24"/>
      <c r="F8030" s="25"/>
      <c r="G8030" s="25"/>
      <c r="H8030" s="27"/>
      <c r="I8030" s="28"/>
      <c r="J8030" s="39"/>
      <c r="K8030" s="41"/>
      <c r="L8030" s="31" t="str">
        <f>IFERROR(__xludf.DUMMYFUNCTION("IF(OR(E8030="""",K8030=""""),"""",IFERROR(IF(K8030="""","""",query('tbl user'!$A$2:$D10975,""SELECT A WHERE D = '""&amp;K8030&amp;""'"")),""USER TIDAK DIKETAHUI""))"),"")</f>
        <v/>
      </c>
    </row>
    <row r="8031">
      <c r="A8031" s="21" t="str">
        <f t="shared" si="3"/>
        <v/>
      </c>
      <c r="B8031" s="38"/>
      <c r="C8031" s="23"/>
      <c r="D8031" s="23"/>
      <c r="E8031" s="24"/>
      <c r="F8031" s="25"/>
      <c r="G8031" s="25"/>
      <c r="H8031" s="27"/>
      <c r="I8031" s="28"/>
      <c r="J8031" s="39"/>
      <c r="K8031" s="41"/>
      <c r="L8031" s="31" t="str">
        <f>IFERROR(__xludf.DUMMYFUNCTION("IF(OR(E8031="""",K8031=""""),"""",IFERROR(IF(K8031="""","""",query('tbl user'!$A$2:$D10975,""SELECT A WHERE D = '""&amp;K8031&amp;""'"")),""USER TIDAK DIKETAHUI""))"),"")</f>
        <v/>
      </c>
    </row>
    <row r="8032">
      <c r="A8032" s="21" t="str">
        <f t="shared" si="3"/>
        <v/>
      </c>
      <c r="B8032" s="38"/>
      <c r="C8032" s="23"/>
      <c r="D8032" s="23"/>
      <c r="E8032" s="24"/>
      <c r="F8032" s="25"/>
      <c r="G8032" s="25"/>
      <c r="H8032" s="27"/>
      <c r="I8032" s="28"/>
      <c r="J8032" s="39"/>
      <c r="K8032" s="41"/>
      <c r="L8032" s="31" t="str">
        <f>IFERROR(__xludf.DUMMYFUNCTION("IF(OR(E8032="""",K8032=""""),"""",IFERROR(IF(K8032="""","""",query('tbl user'!$A$2:$D10975,""SELECT A WHERE D = '""&amp;K8032&amp;""'"")),""USER TIDAK DIKETAHUI""))"),"")</f>
        <v/>
      </c>
    </row>
    <row r="8033">
      <c r="A8033" s="21" t="str">
        <f t="shared" si="3"/>
        <v/>
      </c>
      <c r="B8033" s="38"/>
      <c r="C8033" s="23"/>
      <c r="D8033" s="23"/>
      <c r="E8033" s="24"/>
      <c r="F8033" s="25"/>
      <c r="G8033" s="25"/>
      <c r="H8033" s="27"/>
      <c r="I8033" s="28"/>
      <c r="J8033" s="39"/>
      <c r="K8033" s="41"/>
      <c r="L8033" s="31" t="str">
        <f>IFERROR(__xludf.DUMMYFUNCTION("IF(OR(E8033="""",K8033=""""),"""",IFERROR(IF(K8033="""","""",query('tbl user'!$A$2:$D10975,""SELECT A WHERE D = '""&amp;K8033&amp;""'"")),""USER TIDAK DIKETAHUI""))"),"")</f>
        <v/>
      </c>
    </row>
    <row r="8034">
      <c r="A8034" s="21" t="str">
        <f t="shared" si="3"/>
        <v/>
      </c>
      <c r="B8034" s="38"/>
      <c r="C8034" s="23"/>
      <c r="D8034" s="23"/>
      <c r="E8034" s="24"/>
      <c r="F8034" s="25"/>
      <c r="G8034" s="25"/>
      <c r="H8034" s="27"/>
      <c r="I8034" s="28"/>
      <c r="J8034" s="39"/>
      <c r="K8034" s="41"/>
      <c r="L8034" s="31" t="str">
        <f>IFERROR(__xludf.DUMMYFUNCTION("IF(OR(E8034="""",K8034=""""),"""",IFERROR(IF(K8034="""","""",query('tbl user'!$A$2:$D10975,""SELECT A WHERE D = '""&amp;K8034&amp;""'"")),""USER TIDAK DIKETAHUI""))"),"")</f>
        <v/>
      </c>
    </row>
    <row r="8035">
      <c r="A8035" s="21" t="str">
        <f t="shared" si="3"/>
        <v/>
      </c>
      <c r="B8035" s="38"/>
      <c r="C8035" s="23"/>
      <c r="D8035" s="23"/>
      <c r="E8035" s="24"/>
      <c r="F8035" s="25"/>
      <c r="G8035" s="25"/>
      <c r="H8035" s="27"/>
      <c r="I8035" s="28"/>
      <c r="J8035" s="39"/>
      <c r="K8035" s="41"/>
      <c r="L8035" s="31" t="str">
        <f>IFERROR(__xludf.DUMMYFUNCTION("IF(OR(E8035="""",K8035=""""),"""",IFERROR(IF(K8035="""","""",query('tbl user'!$A$2:$D10975,""SELECT A WHERE D = '""&amp;K8035&amp;""'"")),""USER TIDAK DIKETAHUI""))"),"")</f>
        <v/>
      </c>
    </row>
    <row r="8036">
      <c r="A8036" s="21" t="str">
        <f t="shared" si="3"/>
        <v/>
      </c>
      <c r="B8036" s="38"/>
      <c r="C8036" s="23"/>
      <c r="D8036" s="23"/>
      <c r="E8036" s="24"/>
      <c r="F8036" s="25"/>
      <c r="G8036" s="25"/>
      <c r="H8036" s="27"/>
      <c r="I8036" s="28"/>
      <c r="J8036" s="39"/>
      <c r="K8036" s="41"/>
      <c r="L8036" s="31" t="str">
        <f>IFERROR(__xludf.DUMMYFUNCTION("IF(OR(E8036="""",K8036=""""),"""",IFERROR(IF(K8036="""","""",query('tbl user'!$A$2:$D10975,""SELECT A WHERE D = '""&amp;K8036&amp;""'"")),""USER TIDAK DIKETAHUI""))"),"")</f>
        <v/>
      </c>
    </row>
    <row r="8037">
      <c r="A8037" s="21" t="str">
        <f t="shared" si="3"/>
        <v/>
      </c>
      <c r="B8037" s="38"/>
      <c r="C8037" s="23"/>
      <c r="D8037" s="23"/>
      <c r="E8037" s="24"/>
      <c r="F8037" s="25"/>
      <c r="G8037" s="25"/>
      <c r="H8037" s="27"/>
      <c r="I8037" s="28"/>
      <c r="J8037" s="39"/>
      <c r="K8037" s="41"/>
      <c r="L8037" s="31" t="str">
        <f>IFERROR(__xludf.DUMMYFUNCTION("IF(OR(E8037="""",K8037=""""),"""",IFERROR(IF(K8037="""","""",query('tbl user'!$A$2:$D10975,""SELECT A WHERE D = '""&amp;K8037&amp;""'"")),""USER TIDAK DIKETAHUI""))"),"")</f>
        <v/>
      </c>
    </row>
    <row r="8038">
      <c r="A8038" s="21" t="str">
        <f t="shared" si="3"/>
        <v/>
      </c>
      <c r="B8038" s="38"/>
      <c r="C8038" s="23"/>
      <c r="D8038" s="23"/>
      <c r="E8038" s="24"/>
      <c r="F8038" s="25"/>
      <c r="G8038" s="25"/>
      <c r="H8038" s="27"/>
      <c r="I8038" s="28"/>
      <c r="J8038" s="39"/>
      <c r="K8038" s="41"/>
      <c r="L8038" s="31" t="str">
        <f>IFERROR(__xludf.DUMMYFUNCTION("IF(OR(E8038="""",K8038=""""),"""",IFERROR(IF(K8038="""","""",query('tbl user'!$A$2:$D10975,""SELECT A WHERE D = '""&amp;K8038&amp;""'"")),""USER TIDAK DIKETAHUI""))"),"")</f>
        <v/>
      </c>
    </row>
    <row r="8039">
      <c r="A8039" s="21" t="str">
        <f t="shared" si="3"/>
        <v/>
      </c>
      <c r="B8039" s="38"/>
      <c r="C8039" s="23"/>
      <c r="D8039" s="23"/>
      <c r="E8039" s="24"/>
      <c r="F8039" s="25"/>
      <c r="G8039" s="25"/>
      <c r="H8039" s="27"/>
      <c r="I8039" s="28"/>
      <c r="J8039" s="39"/>
      <c r="K8039" s="41"/>
      <c r="L8039" s="31" t="str">
        <f>IFERROR(__xludf.DUMMYFUNCTION("IF(OR(E8039="""",K8039=""""),"""",IFERROR(IF(K8039="""","""",query('tbl user'!$A$2:$D10975,""SELECT A WHERE D = '""&amp;K8039&amp;""'"")),""USER TIDAK DIKETAHUI""))"),"")</f>
        <v/>
      </c>
    </row>
    <row r="8040">
      <c r="A8040" s="21" t="str">
        <f t="shared" si="3"/>
        <v/>
      </c>
      <c r="B8040" s="38"/>
      <c r="C8040" s="23"/>
      <c r="D8040" s="23"/>
      <c r="E8040" s="24"/>
      <c r="F8040" s="25"/>
      <c r="G8040" s="25"/>
      <c r="H8040" s="27"/>
      <c r="I8040" s="28"/>
      <c r="J8040" s="39"/>
      <c r="K8040" s="41"/>
      <c r="L8040" s="31" t="str">
        <f>IFERROR(__xludf.DUMMYFUNCTION("IF(OR(E8040="""",K8040=""""),"""",IFERROR(IF(K8040="""","""",query('tbl user'!$A$2:$D10975,""SELECT A WHERE D = '""&amp;K8040&amp;""'"")),""USER TIDAK DIKETAHUI""))"),"")</f>
        <v/>
      </c>
    </row>
    <row r="8041">
      <c r="A8041" s="21" t="str">
        <f t="shared" si="3"/>
        <v/>
      </c>
      <c r="B8041" s="38"/>
      <c r="C8041" s="23"/>
      <c r="D8041" s="23"/>
      <c r="E8041" s="24"/>
      <c r="F8041" s="25"/>
      <c r="G8041" s="25"/>
      <c r="H8041" s="27"/>
      <c r="I8041" s="28"/>
      <c r="J8041" s="39"/>
      <c r="K8041" s="41"/>
      <c r="L8041" s="31" t="str">
        <f>IFERROR(__xludf.DUMMYFUNCTION("IF(OR(E8041="""",K8041=""""),"""",IFERROR(IF(K8041="""","""",query('tbl user'!$A$2:$D10975,""SELECT A WHERE D = '""&amp;K8041&amp;""'"")),""USER TIDAK DIKETAHUI""))"),"")</f>
        <v/>
      </c>
    </row>
    <row r="8042">
      <c r="A8042" s="21" t="str">
        <f t="shared" si="3"/>
        <v/>
      </c>
      <c r="B8042" s="38"/>
      <c r="C8042" s="23"/>
      <c r="D8042" s="23"/>
      <c r="E8042" s="24"/>
      <c r="F8042" s="25"/>
      <c r="G8042" s="25"/>
      <c r="H8042" s="27"/>
      <c r="I8042" s="28"/>
      <c r="J8042" s="39"/>
      <c r="K8042" s="41"/>
      <c r="L8042" s="31" t="str">
        <f>IFERROR(__xludf.DUMMYFUNCTION("IF(OR(E8042="""",K8042=""""),"""",IFERROR(IF(K8042="""","""",query('tbl user'!$A$2:$D10975,""SELECT A WHERE D = '""&amp;K8042&amp;""'"")),""USER TIDAK DIKETAHUI""))"),"")</f>
        <v/>
      </c>
    </row>
    <row r="8043">
      <c r="A8043" s="21" t="str">
        <f t="shared" si="3"/>
        <v/>
      </c>
      <c r="B8043" s="38"/>
      <c r="C8043" s="23"/>
      <c r="D8043" s="23"/>
      <c r="E8043" s="24"/>
      <c r="F8043" s="25"/>
      <c r="G8043" s="25"/>
      <c r="H8043" s="27"/>
      <c r="I8043" s="28"/>
      <c r="J8043" s="39"/>
      <c r="K8043" s="41"/>
      <c r="L8043" s="31" t="str">
        <f>IFERROR(__xludf.DUMMYFUNCTION("IF(OR(E8043="""",K8043=""""),"""",IFERROR(IF(K8043="""","""",query('tbl user'!$A$2:$D10975,""SELECT A WHERE D = '""&amp;K8043&amp;""'"")),""USER TIDAK DIKETAHUI""))"),"")</f>
        <v/>
      </c>
    </row>
    <row r="8044">
      <c r="A8044" s="21" t="str">
        <f t="shared" si="3"/>
        <v/>
      </c>
      <c r="B8044" s="38"/>
      <c r="C8044" s="23"/>
      <c r="D8044" s="23"/>
      <c r="E8044" s="24"/>
      <c r="F8044" s="25"/>
      <c r="G8044" s="25"/>
      <c r="H8044" s="27"/>
      <c r="I8044" s="28"/>
      <c r="J8044" s="39"/>
      <c r="K8044" s="41"/>
      <c r="L8044" s="31" t="str">
        <f>IFERROR(__xludf.DUMMYFUNCTION("IF(OR(E8044="""",K8044=""""),"""",IFERROR(IF(K8044="""","""",query('tbl user'!$A$2:$D10975,""SELECT A WHERE D = '""&amp;K8044&amp;""'"")),""USER TIDAK DIKETAHUI""))"),"")</f>
        <v/>
      </c>
    </row>
    <row r="8045">
      <c r="A8045" s="21" t="str">
        <f t="shared" si="3"/>
        <v/>
      </c>
      <c r="B8045" s="38"/>
      <c r="C8045" s="23"/>
      <c r="D8045" s="23"/>
      <c r="E8045" s="24"/>
      <c r="F8045" s="25"/>
      <c r="G8045" s="25"/>
      <c r="H8045" s="27"/>
      <c r="I8045" s="28"/>
      <c r="J8045" s="39"/>
      <c r="K8045" s="41"/>
      <c r="L8045" s="31" t="str">
        <f>IFERROR(__xludf.DUMMYFUNCTION("IF(OR(E8045="""",K8045=""""),"""",IFERROR(IF(K8045="""","""",query('tbl user'!$A$2:$D10975,""SELECT A WHERE D = '""&amp;K8045&amp;""'"")),""USER TIDAK DIKETAHUI""))"),"")</f>
        <v/>
      </c>
    </row>
    <row r="8046">
      <c r="A8046" s="21" t="str">
        <f t="shared" si="3"/>
        <v/>
      </c>
      <c r="B8046" s="38"/>
      <c r="C8046" s="23"/>
      <c r="D8046" s="23"/>
      <c r="E8046" s="24"/>
      <c r="F8046" s="25"/>
      <c r="G8046" s="25"/>
      <c r="H8046" s="27"/>
      <c r="I8046" s="28"/>
      <c r="J8046" s="39"/>
      <c r="K8046" s="41"/>
      <c r="L8046" s="31" t="str">
        <f>IFERROR(__xludf.DUMMYFUNCTION("IF(OR(E8046="""",K8046=""""),"""",IFERROR(IF(K8046="""","""",query('tbl user'!$A$2:$D10975,""SELECT A WHERE D = '""&amp;K8046&amp;""'"")),""USER TIDAK DIKETAHUI""))"),"")</f>
        <v/>
      </c>
    </row>
    <row r="8047">
      <c r="A8047" s="21" t="str">
        <f t="shared" si="3"/>
        <v/>
      </c>
      <c r="B8047" s="38"/>
      <c r="C8047" s="23"/>
      <c r="D8047" s="23"/>
      <c r="E8047" s="24"/>
      <c r="F8047" s="25"/>
      <c r="G8047" s="25"/>
      <c r="H8047" s="27"/>
      <c r="I8047" s="28"/>
      <c r="J8047" s="39"/>
      <c r="K8047" s="41"/>
      <c r="L8047" s="31" t="str">
        <f>IFERROR(__xludf.DUMMYFUNCTION("IF(OR(E8047="""",K8047=""""),"""",IFERROR(IF(K8047="""","""",query('tbl user'!$A$2:$D10975,""SELECT A WHERE D = '""&amp;K8047&amp;""'"")),""USER TIDAK DIKETAHUI""))"),"")</f>
        <v/>
      </c>
    </row>
    <row r="8048">
      <c r="A8048" s="21" t="str">
        <f t="shared" si="3"/>
        <v/>
      </c>
      <c r="B8048" s="38"/>
      <c r="C8048" s="23"/>
      <c r="D8048" s="23"/>
      <c r="E8048" s="24"/>
      <c r="F8048" s="25"/>
      <c r="G8048" s="25"/>
      <c r="H8048" s="27"/>
      <c r="I8048" s="28"/>
      <c r="J8048" s="39"/>
      <c r="K8048" s="41"/>
      <c r="L8048" s="31" t="str">
        <f>IFERROR(__xludf.DUMMYFUNCTION("IF(OR(E8048="""",K8048=""""),"""",IFERROR(IF(K8048="""","""",query('tbl user'!$A$2:$D10975,""SELECT A WHERE D = '""&amp;K8048&amp;""'"")),""USER TIDAK DIKETAHUI""))"),"")</f>
        <v/>
      </c>
    </row>
    <row r="8049">
      <c r="A8049" s="21" t="str">
        <f t="shared" si="3"/>
        <v/>
      </c>
      <c r="B8049" s="38"/>
      <c r="C8049" s="23"/>
      <c r="D8049" s="23"/>
      <c r="E8049" s="24"/>
      <c r="F8049" s="25"/>
      <c r="G8049" s="25"/>
      <c r="H8049" s="27"/>
      <c r="I8049" s="28"/>
      <c r="J8049" s="39"/>
      <c r="K8049" s="41"/>
      <c r="L8049" s="31" t="str">
        <f>IFERROR(__xludf.DUMMYFUNCTION("IF(OR(E8049="""",K8049=""""),"""",IFERROR(IF(K8049="""","""",query('tbl user'!$A$2:$D10975,""SELECT A WHERE D = '""&amp;K8049&amp;""'"")),""USER TIDAK DIKETAHUI""))"),"")</f>
        <v/>
      </c>
    </row>
    <row r="8050">
      <c r="A8050" s="21" t="str">
        <f t="shared" si="3"/>
        <v/>
      </c>
      <c r="B8050" s="38"/>
      <c r="C8050" s="23"/>
      <c r="D8050" s="23"/>
      <c r="E8050" s="24"/>
      <c r="F8050" s="25"/>
      <c r="G8050" s="25"/>
      <c r="H8050" s="27"/>
      <c r="I8050" s="28"/>
      <c r="J8050" s="39"/>
      <c r="K8050" s="41"/>
      <c r="L8050" s="31" t="str">
        <f>IFERROR(__xludf.DUMMYFUNCTION("IF(OR(E8050="""",K8050=""""),"""",IFERROR(IF(K8050="""","""",query('tbl user'!$A$2:$D10975,""SELECT A WHERE D = '""&amp;K8050&amp;""'"")),""USER TIDAK DIKETAHUI""))"),"")</f>
        <v/>
      </c>
    </row>
    <row r="8051">
      <c r="A8051" s="21" t="str">
        <f t="shared" si="3"/>
        <v/>
      </c>
      <c r="B8051" s="38"/>
      <c r="C8051" s="23"/>
      <c r="D8051" s="23"/>
      <c r="E8051" s="24"/>
      <c r="F8051" s="25"/>
      <c r="G8051" s="25"/>
      <c r="H8051" s="27"/>
      <c r="I8051" s="28"/>
      <c r="J8051" s="39"/>
      <c r="K8051" s="41"/>
      <c r="L8051" s="31" t="str">
        <f>IFERROR(__xludf.DUMMYFUNCTION("IF(OR(E8051="""",K8051=""""),"""",IFERROR(IF(K8051="""","""",query('tbl user'!$A$2:$D10975,""SELECT A WHERE D = '""&amp;K8051&amp;""'"")),""USER TIDAK DIKETAHUI""))"),"")</f>
        <v/>
      </c>
    </row>
    <row r="8052">
      <c r="A8052" s="21" t="str">
        <f t="shared" si="3"/>
        <v/>
      </c>
      <c r="B8052" s="38"/>
      <c r="C8052" s="23"/>
      <c r="D8052" s="23"/>
      <c r="E8052" s="24"/>
      <c r="F8052" s="25"/>
      <c r="G8052" s="25"/>
      <c r="H8052" s="27"/>
      <c r="I8052" s="28"/>
      <c r="J8052" s="39"/>
      <c r="K8052" s="41"/>
      <c r="L8052" s="31" t="str">
        <f>IFERROR(__xludf.DUMMYFUNCTION("IF(OR(E8052="""",K8052=""""),"""",IFERROR(IF(K8052="""","""",query('tbl user'!$A$2:$D10975,""SELECT A WHERE D = '""&amp;K8052&amp;""'"")),""USER TIDAK DIKETAHUI""))"),"")</f>
        <v/>
      </c>
    </row>
    <row r="8053">
      <c r="A8053" s="21" t="str">
        <f t="shared" si="3"/>
        <v/>
      </c>
      <c r="B8053" s="38"/>
      <c r="C8053" s="23"/>
      <c r="D8053" s="23"/>
      <c r="E8053" s="24"/>
      <c r="F8053" s="25"/>
      <c r="G8053" s="25"/>
      <c r="H8053" s="27"/>
      <c r="I8053" s="28"/>
      <c r="J8053" s="39"/>
      <c r="K8053" s="41"/>
      <c r="L8053" s="31" t="str">
        <f>IFERROR(__xludf.DUMMYFUNCTION("IF(OR(E8053="""",K8053=""""),"""",IFERROR(IF(K8053="""","""",query('tbl user'!$A$2:$D10975,""SELECT A WHERE D = '""&amp;K8053&amp;""'"")),""USER TIDAK DIKETAHUI""))"),"")</f>
        <v/>
      </c>
    </row>
    <row r="8054">
      <c r="A8054" s="21" t="str">
        <f t="shared" si="3"/>
        <v/>
      </c>
      <c r="B8054" s="38"/>
      <c r="C8054" s="23"/>
      <c r="D8054" s="23"/>
      <c r="E8054" s="24"/>
      <c r="F8054" s="25"/>
      <c r="G8054" s="25"/>
      <c r="H8054" s="27"/>
      <c r="I8054" s="28"/>
      <c r="J8054" s="39"/>
      <c r="K8054" s="41"/>
      <c r="L8054" s="31" t="str">
        <f>IFERROR(__xludf.DUMMYFUNCTION("IF(OR(E8054="""",K8054=""""),"""",IFERROR(IF(K8054="""","""",query('tbl user'!$A$2:$D10975,""SELECT A WHERE D = '""&amp;K8054&amp;""'"")),""USER TIDAK DIKETAHUI""))"),"")</f>
        <v/>
      </c>
    </row>
    <row r="8055">
      <c r="A8055" s="21" t="str">
        <f t="shared" si="3"/>
        <v/>
      </c>
      <c r="B8055" s="38"/>
      <c r="C8055" s="23"/>
      <c r="D8055" s="23"/>
      <c r="E8055" s="24"/>
      <c r="F8055" s="25"/>
      <c r="G8055" s="25"/>
      <c r="H8055" s="27"/>
      <c r="I8055" s="28"/>
      <c r="J8055" s="39"/>
      <c r="K8055" s="41"/>
      <c r="L8055" s="31" t="str">
        <f>IFERROR(__xludf.DUMMYFUNCTION("IF(OR(E8055="""",K8055=""""),"""",IFERROR(IF(K8055="""","""",query('tbl user'!$A$2:$D10975,""SELECT A WHERE D = '""&amp;K8055&amp;""'"")),""USER TIDAK DIKETAHUI""))"),"")</f>
        <v/>
      </c>
    </row>
    <row r="8056">
      <c r="A8056" s="21" t="str">
        <f t="shared" si="3"/>
        <v/>
      </c>
      <c r="B8056" s="38"/>
      <c r="C8056" s="23"/>
      <c r="D8056" s="23"/>
      <c r="E8056" s="24"/>
      <c r="F8056" s="25"/>
      <c r="G8056" s="25"/>
      <c r="H8056" s="27"/>
      <c r="I8056" s="28"/>
      <c r="J8056" s="39"/>
      <c r="K8056" s="41"/>
      <c r="L8056" s="31" t="str">
        <f>IFERROR(__xludf.DUMMYFUNCTION("IF(OR(E8056="""",K8056=""""),"""",IFERROR(IF(K8056="""","""",query('tbl user'!$A$2:$D10975,""SELECT A WHERE D = '""&amp;K8056&amp;""'"")),""USER TIDAK DIKETAHUI""))"),"")</f>
        <v/>
      </c>
    </row>
    <row r="8057">
      <c r="A8057" s="21" t="str">
        <f t="shared" si="3"/>
        <v/>
      </c>
      <c r="B8057" s="38"/>
      <c r="C8057" s="23"/>
      <c r="D8057" s="23"/>
      <c r="E8057" s="24"/>
      <c r="F8057" s="25"/>
      <c r="G8057" s="25"/>
      <c r="H8057" s="27"/>
      <c r="I8057" s="28"/>
      <c r="J8057" s="39"/>
      <c r="K8057" s="41"/>
      <c r="L8057" s="31" t="str">
        <f>IFERROR(__xludf.DUMMYFUNCTION("IF(OR(E8057="""",K8057=""""),"""",IFERROR(IF(K8057="""","""",query('tbl user'!$A$2:$D10975,""SELECT A WHERE D = '""&amp;K8057&amp;""'"")),""USER TIDAK DIKETAHUI""))"),"")</f>
        <v/>
      </c>
    </row>
    <row r="8058">
      <c r="A8058" s="21" t="str">
        <f t="shared" si="3"/>
        <v/>
      </c>
      <c r="B8058" s="38"/>
      <c r="C8058" s="23"/>
      <c r="D8058" s="23"/>
      <c r="E8058" s="24"/>
      <c r="F8058" s="25"/>
      <c r="G8058" s="25"/>
      <c r="H8058" s="27"/>
      <c r="I8058" s="28"/>
      <c r="J8058" s="39"/>
      <c r="K8058" s="41"/>
      <c r="L8058" s="31" t="str">
        <f>IFERROR(__xludf.DUMMYFUNCTION("IF(OR(E8058="""",K8058=""""),"""",IFERROR(IF(K8058="""","""",query('tbl user'!$A$2:$D10975,""SELECT A WHERE D = '""&amp;K8058&amp;""'"")),""USER TIDAK DIKETAHUI""))"),"")</f>
        <v/>
      </c>
    </row>
    <row r="8059">
      <c r="A8059" s="21" t="str">
        <f t="shared" si="3"/>
        <v/>
      </c>
      <c r="B8059" s="38"/>
      <c r="C8059" s="23"/>
      <c r="D8059" s="23"/>
      <c r="E8059" s="24"/>
      <c r="F8059" s="25"/>
      <c r="G8059" s="25"/>
      <c r="H8059" s="27"/>
      <c r="I8059" s="28"/>
      <c r="J8059" s="39"/>
      <c r="K8059" s="41"/>
      <c r="L8059" s="31" t="str">
        <f>IFERROR(__xludf.DUMMYFUNCTION("IF(OR(E8059="""",K8059=""""),"""",IFERROR(IF(K8059="""","""",query('tbl user'!$A$2:$D10975,""SELECT A WHERE D = '""&amp;K8059&amp;""'"")),""USER TIDAK DIKETAHUI""))"),"")</f>
        <v/>
      </c>
    </row>
    <row r="8060">
      <c r="A8060" s="21" t="str">
        <f t="shared" si="3"/>
        <v/>
      </c>
      <c r="B8060" s="38"/>
      <c r="C8060" s="23"/>
      <c r="D8060" s="23"/>
      <c r="E8060" s="24"/>
      <c r="F8060" s="25"/>
      <c r="G8060" s="25"/>
      <c r="H8060" s="27"/>
      <c r="I8060" s="28"/>
      <c r="J8060" s="39"/>
      <c r="K8060" s="41"/>
      <c r="L8060" s="31" t="str">
        <f>IFERROR(__xludf.DUMMYFUNCTION("IF(OR(E8060="""",K8060=""""),"""",IFERROR(IF(K8060="""","""",query('tbl user'!$A$2:$D10975,""SELECT A WHERE D = '""&amp;K8060&amp;""'"")),""USER TIDAK DIKETAHUI""))"),"")</f>
        <v/>
      </c>
    </row>
    <row r="8061">
      <c r="A8061" s="21" t="str">
        <f t="shared" si="3"/>
        <v/>
      </c>
      <c r="B8061" s="38"/>
      <c r="C8061" s="23"/>
      <c r="D8061" s="23"/>
      <c r="E8061" s="24"/>
      <c r="F8061" s="25"/>
      <c r="G8061" s="25"/>
      <c r="H8061" s="27"/>
      <c r="I8061" s="28"/>
      <c r="J8061" s="39"/>
      <c r="K8061" s="41"/>
      <c r="L8061" s="31" t="str">
        <f>IFERROR(__xludf.DUMMYFUNCTION("IF(OR(E8061="""",K8061=""""),"""",IFERROR(IF(K8061="""","""",query('tbl user'!$A$2:$D10975,""SELECT A WHERE D = '""&amp;K8061&amp;""'"")),""USER TIDAK DIKETAHUI""))"),"")</f>
        <v/>
      </c>
    </row>
    <row r="8062">
      <c r="A8062" s="21" t="str">
        <f t="shared" si="3"/>
        <v/>
      </c>
      <c r="B8062" s="38"/>
      <c r="C8062" s="23"/>
      <c r="D8062" s="23"/>
      <c r="E8062" s="24"/>
      <c r="F8062" s="25"/>
      <c r="G8062" s="25"/>
      <c r="H8062" s="27"/>
      <c r="I8062" s="28"/>
      <c r="J8062" s="39"/>
      <c r="K8062" s="41"/>
      <c r="L8062" s="31" t="str">
        <f>IFERROR(__xludf.DUMMYFUNCTION("IF(OR(E8062="""",K8062=""""),"""",IFERROR(IF(K8062="""","""",query('tbl user'!$A$2:$D10975,""SELECT A WHERE D = '""&amp;K8062&amp;""'"")),""USER TIDAK DIKETAHUI""))"),"")</f>
        <v/>
      </c>
    </row>
    <row r="8063">
      <c r="A8063" s="21" t="str">
        <f t="shared" si="3"/>
        <v/>
      </c>
      <c r="B8063" s="38"/>
      <c r="C8063" s="23"/>
      <c r="D8063" s="23"/>
      <c r="E8063" s="24"/>
      <c r="F8063" s="25"/>
      <c r="G8063" s="25"/>
      <c r="H8063" s="27"/>
      <c r="I8063" s="28"/>
      <c r="J8063" s="39"/>
      <c r="K8063" s="41"/>
      <c r="L8063" s="31" t="str">
        <f>IFERROR(__xludf.DUMMYFUNCTION("IF(OR(E8063="""",K8063=""""),"""",IFERROR(IF(K8063="""","""",query('tbl user'!$A$2:$D10975,""SELECT A WHERE D = '""&amp;K8063&amp;""'"")),""USER TIDAK DIKETAHUI""))"),"")</f>
        <v/>
      </c>
    </row>
    <row r="8064">
      <c r="A8064" s="21" t="str">
        <f t="shared" si="3"/>
        <v/>
      </c>
      <c r="B8064" s="38"/>
      <c r="C8064" s="23"/>
      <c r="D8064" s="23"/>
      <c r="E8064" s="24"/>
      <c r="F8064" s="25"/>
      <c r="G8064" s="25"/>
      <c r="H8064" s="27"/>
      <c r="I8064" s="28"/>
      <c r="J8064" s="39"/>
      <c r="K8064" s="41"/>
      <c r="L8064" s="31" t="str">
        <f>IFERROR(__xludf.DUMMYFUNCTION("IF(OR(E8064="""",K8064=""""),"""",IFERROR(IF(K8064="""","""",query('tbl user'!$A$2:$D10975,""SELECT A WHERE D = '""&amp;K8064&amp;""'"")),""USER TIDAK DIKETAHUI""))"),"")</f>
        <v/>
      </c>
    </row>
    <row r="8065">
      <c r="A8065" s="21" t="str">
        <f t="shared" si="3"/>
        <v/>
      </c>
      <c r="B8065" s="38"/>
      <c r="C8065" s="23"/>
      <c r="D8065" s="23"/>
      <c r="E8065" s="24"/>
      <c r="F8065" s="25"/>
      <c r="G8065" s="25"/>
      <c r="H8065" s="27"/>
      <c r="I8065" s="28"/>
      <c r="J8065" s="39"/>
      <c r="K8065" s="41"/>
      <c r="L8065" s="31" t="str">
        <f>IFERROR(__xludf.DUMMYFUNCTION("IF(OR(E8065="""",K8065=""""),"""",IFERROR(IF(K8065="""","""",query('tbl user'!$A$2:$D10975,""SELECT A WHERE D = '""&amp;K8065&amp;""'"")),""USER TIDAK DIKETAHUI""))"),"")</f>
        <v/>
      </c>
    </row>
    <row r="8066">
      <c r="A8066" s="21" t="str">
        <f t="shared" si="3"/>
        <v/>
      </c>
      <c r="B8066" s="38"/>
      <c r="C8066" s="23"/>
      <c r="D8066" s="23"/>
      <c r="E8066" s="24"/>
      <c r="F8066" s="25"/>
      <c r="G8066" s="25"/>
      <c r="H8066" s="27"/>
      <c r="I8066" s="28"/>
      <c r="J8066" s="39"/>
      <c r="K8066" s="41"/>
      <c r="L8066" s="31" t="str">
        <f>IFERROR(__xludf.DUMMYFUNCTION("IF(OR(E8066="""",K8066=""""),"""",IFERROR(IF(K8066="""","""",query('tbl user'!$A$2:$D10975,""SELECT A WHERE D = '""&amp;K8066&amp;""'"")),""USER TIDAK DIKETAHUI""))"),"")</f>
        <v/>
      </c>
    </row>
    <row r="8067">
      <c r="A8067" s="21" t="str">
        <f t="shared" si="3"/>
        <v/>
      </c>
      <c r="B8067" s="38"/>
      <c r="C8067" s="23"/>
      <c r="D8067" s="23"/>
      <c r="E8067" s="24"/>
      <c r="F8067" s="25"/>
      <c r="G8067" s="25"/>
      <c r="H8067" s="27"/>
      <c r="I8067" s="28"/>
      <c r="J8067" s="39"/>
      <c r="K8067" s="41"/>
      <c r="L8067" s="31" t="str">
        <f>IFERROR(__xludf.DUMMYFUNCTION("IF(OR(E8067="""",K8067=""""),"""",IFERROR(IF(K8067="""","""",query('tbl user'!$A$2:$D10975,""SELECT A WHERE D = '""&amp;K8067&amp;""'"")),""USER TIDAK DIKETAHUI""))"),"")</f>
        <v/>
      </c>
    </row>
    <row r="8068">
      <c r="A8068" s="21" t="str">
        <f t="shared" si="3"/>
        <v/>
      </c>
      <c r="B8068" s="38"/>
      <c r="C8068" s="23"/>
      <c r="D8068" s="23"/>
      <c r="E8068" s="24"/>
      <c r="F8068" s="25"/>
      <c r="G8068" s="25"/>
      <c r="H8068" s="27"/>
      <c r="I8068" s="28"/>
      <c r="J8068" s="39"/>
      <c r="K8068" s="41"/>
      <c r="L8068" s="31" t="str">
        <f>IFERROR(__xludf.DUMMYFUNCTION("IF(OR(E8068="""",K8068=""""),"""",IFERROR(IF(K8068="""","""",query('tbl user'!$A$2:$D10975,""SELECT A WHERE D = '""&amp;K8068&amp;""'"")),""USER TIDAK DIKETAHUI""))"),"")</f>
        <v/>
      </c>
    </row>
    <row r="8069">
      <c r="A8069" s="21" t="str">
        <f t="shared" si="3"/>
        <v/>
      </c>
      <c r="B8069" s="38"/>
      <c r="C8069" s="23"/>
      <c r="D8069" s="23"/>
      <c r="E8069" s="24"/>
      <c r="F8069" s="25"/>
      <c r="G8069" s="25"/>
      <c r="H8069" s="27"/>
      <c r="I8069" s="28"/>
      <c r="J8069" s="39"/>
      <c r="K8069" s="41"/>
      <c r="L8069" s="31" t="str">
        <f>IFERROR(__xludf.DUMMYFUNCTION("IF(OR(E8069="""",K8069=""""),"""",IFERROR(IF(K8069="""","""",query('tbl user'!$A$2:$D10975,""SELECT A WHERE D = '""&amp;K8069&amp;""'"")),""USER TIDAK DIKETAHUI""))"),"")</f>
        <v/>
      </c>
    </row>
    <row r="8070">
      <c r="A8070" s="21" t="str">
        <f t="shared" si="3"/>
        <v/>
      </c>
      <c r="B8070" s="38"/>
      <c r="C8070" s="23"/>
      <c r="D8070" s="23"/>
      <c r="E8070" s="24"/>
      <c r="F8070" s="25"/>
      <c r="G8070" s="25"/>
      <c r="H8070" s="27"/>
      <c r="I8070" s="28"/>
      <c r="J8070" s="39"/>
      <c r="K8070" s="41"/>
      <c r="L8070" s="31" t="str">
        <f>IFERROR(__xludf.DUMMYFUNCTION("IF(OR(E8070="""",K8070=""""),"""",IFERROR(IF(K8070="""","""",query('tbl user'!$A$2:$D10975,""SELECT A WHERE D = '""&amp;K8070&amp;""'"")),""USER TIDAK DIKETAHUI""))"),"")</f>
        <v/>
      </c>
    </row>
    <row r="8071">
      <c r="A8071" s="21" t="str">
        <f t="shared" si="3"/>
        <v/>
      </c>
      <c r="B8071" s="38"/>
      <c r="C8071" s="23"/>
      <c r="D8071" s="23"/>
      <c r="E8071" s="24"/>
      <c r="F8071" s="25"/>
      <c r="G8071" s="25"/>
      <c r="H8071" s="27"/>
      <c r="I8071" s="28"/>
      <c r="J8071" s="39"/>
      <c r="K8071" s="41"/>
      <c r="L8071" s="31" t="str">
        <f>IFERROR(__xludf.DUMMYFUNCTION("IF(OR(E8071="""",K8071=""""),"""",IFERROR(IF(K8071="""","""",query('tbl user'!$A$2:$D10975,""SELECT A WHERE D = '""&amp;K8071&amp;""'"")),""USER TIDAK DIKETAHUI""))"),"")</f>
        <v/>
      </c>
    </row>
    <row r="8072">
      <c r="A8072" s="21" t="str">
        <f t="shared" si="3"/>
        <v/>
      </c>
      <c r="B8072" s="38"/>
      <c r="C8072" s="23"/>
      <c r="D8072" s="23"/>
      <c r="E8072" s="24"/>
      <c r="F8072" s="25"/>
      <c r="G8072" s="25"/>
      <c r="H8072" s="27"/>
      <c r="I8072" s="28"/>
      <c r="J8072" s="39"/>
      <c r="K8072" s="41"/>
      <c r="L8072" s="31" t="str">
        <f>IFERROR(__xludf.DUMMYFUNCTION("IF(OR(E8072="""",K8072=""""),"""",IFERROR(IF(K8072="""","""",query('tbl user'!$A$2:$D10975,""SELECT A WHERE D = '""&amp;K8072&amp;""'"")),""USER TIDAK DIKETAHUI""))"),"")</f>
        <v/>
      </c>
    </row>
    <row r="8073">
      <c r="A8073" s="21" t="str">
        <f t="shared" si="3"/>
        <v/>
      </c>
      <c r="B8073" s="38"/>
      <c r="C8073" s="23"/>
      <c r="D8073" s="23"/>
      <c r="E8073" s="24"/>
      <c r="F8073" s="25"/>
      <c r="G8073" s="25"/>
      <c r="H8073" s="27"/>
      <c r="I8073" s="28"/>
      <c r="J8073" s="39"/>
      <c r="K8073" s="41"/>
      <c r="L8073" s="31" t="str">
        <f>IFERROR(__xludf.DUMMYFUNCTION("IF(OR(E8073="""",K8073=""""),"""",IFERROR(IF(K8073="""","""",query('tbl user'!$A$2:$D10975,""SELECT A WHERE D = '""&amp;K8073&amp;""'"")),""USER TIDAK DIKETAHUI""))"),"")</f>
        <v/>
      </c>
    </row>
    <row r="8074">
      <c r="A8074" s="21" t="str">
        <f t="shared" si="3"/>
        <v/>
      </c>
      <c r="B8074" s="38"/>
      <c r="C8074" s="23"/>
      <c r="D8074" s="23"/>
      <c r="E8074" s="24"/>
      <c r="F8074" s="25"/>
      <c r="G8074" s="25"/>
      <c r="H8074" s="27"/>
      <c r="I8074" s="28"/>
      <c r="J8074" s="39"/>
      <c r="K8074" s="41"/>
      <c r="L8074" s="31" t="str">
        <f>IFERROR(__xludf.DUMMYFUNCTION("IF(OR(E8074="""",K8074=""""),"""",IFERROR(IF(K8074="""","""",query('tbl user'!$A$2:$D10975,""SELECT A WHERE D = '""&amp;K8074&amp;""'"")),""USER TIDAK DIKETAHUI""))"),"")</f>
        <v/>
      </c>
    </row>
    <row r="8075">
      <c r="A8075" s="21" t="str">
        <f t="shared" si="3"/>
        <v/>
      </c>
      <c r="B8075" s="38"/>
      <c r="C8075" s="23"/>
      <c r="D8075" s="23"/>
      <c r="E8075" s="24"/>
      <c r="F8075" s="25"/>
      <c r="G8075" s="25"/>
      <c r="H8075" s="27"/>
      <c r="I8075" s="28"/>
      <c r="J8075" s="39"/>
      <c r="K8075" s="41"/>
      <c r="L8075" s="31" t="str">
        <f>IFERROR(__xludf.DUMMYFUNCTION("IF(OR(E8075="""",K8075=""""),"""",IFERROR(IF(K8075="""","""",query('tbl user'!$A$2:$D10975,""SELECT A WHERE D = '""&amp;K8075&amp;""'"")),""USER TIDAK DIKETAHUI""))"),"")</f>
        <v/>
      </c>
    </row>
    <row r="8076">
      <c r="A8076" s="21" t="str">
        <f t="shared" si="3"/>
        <v/>
      </c>
      <c r="B8076" s="38"/>
      <c r="C8076" s="23"/>
      <c r="D8076" s="23"/>
      <c r="E8076" s="24"/>
      <c r="F8076" s="25"/>
      <c r="G8076" s="25"/>
      <c r="H8076" s="27"/>
      <c r="I8076" s="28"/>
      <c r="J8076" s="39"/>
      <c r="K8076" s="41"/>
      <c r="L8076" s="31" t="str">
        <f>IFERROR(__xludf.DUMMYFUNCTION("IF(OR(E8076="""",K8076=""""),"""",IFERROR(IF(K8076="""","""",query('tbl user'!$A$2:$D10975,""SELECT A WHERE D = '""&amp;K8076&amp;""'"")),""USER TIDAK DIKETAHUI""))"),"")</f>
        <v/>
      </c>
    </row>
    <row r="8077">
      <c r="A8077" s="21" t="str">
        <f t="shared" si="3"/>
        <v/>
      </c>
      <c r="B8077" s="38"/>
      <c r="C8077" s="23"/>
      <c r="D8077" s="23"/>
      <c r="E8077" s="24"/>
      <c r="F8077" s="25"/>
      <c r="G8077" s="25"/>
      <c r="H8077" s="27"/>
      <c r="I8077" s="28"/>
      <c r="J8077" s="39"/>
      <c r="K8077" s="41"/>
      <c r="L8077" s="31" t="str">
        <f>IFERROR(__xludf.DUMMYFUNCTION("IF(OR(E8077="""",K8077=""""),"""",IFERROR(IF(K8077="""","""",query('tbl user'!$A$2:$D10975,""SELECT A WHERE D = '""&amp;K8077&amp;""'"")),""USER TIDAK DIKETAHUI""))"),"")</f>
        <v/>
      </c>
    </row>
    <row r="8078">
      <c r="A8078" s="21" t="str">
        <f t="shared" si="3"/>
        <v/>
      </c>
      <c r="B8078" s="38"/>
      <c r="C8078" s="23"/>
      <c r="D8078" s="23"/>
      <c r="E8078" s="24"/>
      <c r="F8078" s="25"/>
      <c r="G8078" s="25"/>
      <c r="H8078" s="27"/>
      <c r="I8078" s="28"/>
      <c r="J8078" s="39"/>
      <c r="K8078" s="41"/>
      <c r="L8078" s="31" t="str">
        <f>IFERROR(__xludf.DUMMYFUNCTION("IF(OR(E8078="""",K8078=""""),"""",IFERROR(IF(K8078="""","""",query('tbl user'!$A$2:$D10975,""SELECT A WHERE D = '""&amp;K8078&amp;""'"")),""USER TIDAK DIKETAHUI""))"),"")</f>
        <v/>
      </c>
    </row>
    <row r="8079">
      <c r="A8079" s="21" t="str">
        <f t="shared" si="3"/>
        <v/>
      </c>
      <c r="B8079" s="38"/>
      <c r="C8079" s="23"/>
      <c r="D8079" s="23"/>
      <c r="E8079" s="24"/>
      <c r="F8079" s="25"/>
      <c r="G8079" s="25"/>
      <c r="H8079" s="27"/>
      <c r="I8079" s="28"/>
      <c r="J8079" s="39"/>
      <c r="K8079" s="41"/>
      <c r="L8079" s="31" t="str">
        <f>IFERROR(__xludf.DUMMYFUNCTION("IF(OR(E8079="""",K8079=""""),"""",IFERROR(IF(K8079="""","""",query('tbl user'!$A$2:$D10975,""SELECT A WHERE D = '""&amp;K8079&amp;""'"")),""USER TIDAK DIKETAHUI""))"),"")</f>
        <v/>
      </c>
    </row>
    <row r="8080">
      <c r="A8080" s="21" t="str">
        <f t="shared" si="3"/>
        <v/>
      </c>
      <c r="B8080" s="38"/>
      <c r="C8080" s="23"/>
      <c r="D8080" s="23"/>
      <c r="E8080" s="24"/>
      <c r="F8080" s="25"/>
      <c r="G8080" s="25"/>
      <c r="H8080" s="27"/>
      <c r="I8080" s="28"/>
      <c r="J8080" s="39"/>
      <c r="K8080" s="41"/>
      <c r="L8080" s="31" t="str">
        <f>IFERROR(__xludf.DUMMYFUNCTION("IF(OR(E8080="""",K8080=""""),"""",IFERROR(IF(K8080="""","""",query('tbl user'!$A$2:$D10975,""SELECT A WHERE D = '""&amp;K8080&amp;""'"")),""USER TIDAK DIKETAHUI""))"),"")</f>
        <v/>
      </c>
    </row>
    <row r="8081">
      <c r="A8081" s="21" t="str">
        <f t="shared" si="3"/>
        <v/>
      </c>
      <c r="B8081" s="38"/>
      <c r="C8081" s="23"/>
      <c r="D8081" s="23"/>
      <c r="E8081" s="24"/>
      <c r="F8081" s="25"/>
      <c r="G8081" s="25"/>
      <c r="H8081" s="27"/>
      <c r="I8081" s="28"/>
      <c r="J8081" s="39"/>
      <c r="K8081" s="41"/>
      <c r="L8081" s="31" t="str">
        <f>IFERROR(__xludf.DUMMYFUNCTION("IF(OR(E8081="""",K8081=""""),"""",IFERROR(IF(K8081="""","""",query('tbl user'!$A$2:$D10975,""SELECT A WHERE D = '""&amp;K8081&amp;""'"")),""USER TIDAK DIKETAHUI""))"),"")</f>
        <v/>
      </c>
    </row>
    <row r="8082">
      <c r="A8082" s="21" t="str">
        <f t="shared" si="3"/>
        <v/>
      </c>
      <c r="B8082" s="38"/>
      <c r="C8082" s="23"/>
      <c r="D8082" s="23"/>
      <c r="E8082" s="24"/>
      <c r="F8082" s="25"/>
      <c r="G8082" s="25"/>
      <c r="H8082" s="27"/>
      <c r="I8082" s="28"/>
      <c r="J8082" s="39"/>
      <c r="K8082" s="41"/>
      <c r="L8082" s="31" t="str">
        <f>IFERROR(__xludf.DUMMYFUNCTION("IF(OR(E8082="""",K8082=""""),"""",IFERROR(IF(K8082="""","""",query('tbl user'!$A$2:$D10975,""SELECT A WHERE D = '""&amp;K8082&amp;""'"")),""USER TIDAK DIKETAHUI""))"),"")</f>
        <v/>
      </c>
    </row>
    <row r="8083">
      <c r="A8083" s="21" t="str">
        <f t="shared" si="3"/>
        <v/>
      </c>
      <c r="B8083" s="38"/>
      <c r="C8083" s="23"/>
      <c r="D8083" s="23"/>
      <c r="E8083" s="24"/>
      <c r="F8083" s="25"/>
      <c r="G8083" s="25"/>
      <c r="H8083" s="27"/>
      <c r="I8083" s="28"/>
      <c r="J8083" s="39"/>
      <c r="K8083" s="41"/>
      <c r="L8083" s="31" t="str">
        <f>IFERROR(__xludf.DUMMYFUNCTION("IF(OR(E8083="""",K8083=""""),"""",IFERROR(IF(K8083="""","""",query('tbl user'!$A$2:$D10975,""SELECT A WHERE D = '""&amp;K8083&amp;""'"")),""USER TIDAK DIKETAHUI""))"),"")</f>
        <v/>
      </c>
    </row>
    <row r="8084">
      <c r="A8084" s="21" t="str">
        <f t="shared" si="3"/>
        <v/>
      </c>
      <c r="B8084" s="38"/>
      <c r="C8084" s="23"/>
      <c r="D8084" s="23"/>
      <c r="E8084" s="24"/>
      <c r="F8084" s="25"/>
      <c r="G8084" s="25"/>
      <c r="H8084" s="27"/>
      <c r="I8084" s="28"/>
      <c r="J8084" s="39"/>
      <c r="K8084" s="41"/>
      <c r="L8084" s="31" t="str">
        <f>IFERROR(__xludf.DUMMYFUNCTION("IF(OR(E8084="""",K8084=""""),"""",IFERROR(IF(K8084="""","""",query('tbl user'!$A$2:$D10975,""SELECT A WHERE D = '""&amp;K8084&amp;""'"")),""USER TIDAK DIKETAHUI""))"),"")</f>
        <v/>
      </c>
    </row>
    <row r="8085">
      <c r="A8085" s="21" t="str">
        <f t="shared" si="3"/>
        <v/>
      </c>
      <c r="B8085" s="38"/>
      <c r="C8085" s="23"/>
      <c r="D8085" s="23"/>
      <c r="E8085" s="24"/>
      <c r="F8085" s="25"/>
      <c r="G8085" s="25"/>
      <c r="H8085" s="27"/>
      <c r="I8085" s="28"/>
      <c r="J8085" s="39"/>
      <c r="K8085" s="41"/>
      <c r="L8085" s="31" t="str">
        <f>IFERROR(__xludf.DUMMYFUNCTION("IF(OR(E8085="""",K8085=""""),"""",IFERROR(IF(K8085="""","""",query('tbl user'!$A$2:$D10975,""SELECT A WHERE D = '""&amp;K8085&amp;""'"")),""USER TIDAK DIKETAHUI""))"),"")</f>
        <v/>
      </c>
    </row>
    <row r="8086">
      <c r="A8086" s="21" t="str">
        <f t="shared" si="3"/>
        <v/>
      </c>
      <c r="B8086" s="38"/>
      <c r="C8086" s="23"/>
      <c r="D8086" s="23"/>
      <c r="E8086" s="24"/>
      <c r="F8086" s="25"/>
      <c r="G8086" s="25"/>
      <c r="H8086" s="27"/>
      <c r="I8086" s="28"/>
      <c r="J8086" s="39"/>
      <c r="K8086" s="41"/>
      <c r="L8086" s="31" t="str">
        <f>IFERROR(__xludf.DUMMYFUNCTION("IF(OR(E8086="""",K8086=""""),"""",IFERROR(IF(K8086="""","""",query('tbl user'!$A$2:$D10975,""SELECT A WHERE D = '""&amp;K8086&amp;""'"")),""USER TIDAK DIKETAHUI""))"),"")</f>
        <v/>
      </c>
    </row>
    <row r="8087">
      <c r="A8087" s="21" t="str">
        <f t="shared" si="3"/>
        <v/>
      </c>
      <c r="B8087" s="38"/>
      <c r="C8087" s="23"/>
      <c r="D8087" s="23"/>
      <c r="E8087" s="24"/>
      <c r="F8087" s="25"/>
      <c r="G8087" s="25"/>
      <c r="H8087" s="27"/>
      <c r="I8087" s="28"/>
      <c r="J8087" s="39"/>
      <c r="K8087" s="41"/>
      <c r="L8087" s="31" t="str">
        <f>IFERROR(__xludf.DUMMYFUNCTION("IF(OR(E8087="""",K8087=""""),"""",IFERROR(IF(K8087="""","""",query('tbl user'!$A$2:$D10975,""SELECT A WHERE D = '""&amp;K8087&amp;""'"")),""USER TIDAK DIKETAHUI""))"),"")</f>
        <v/>
      </c>
    </row>
    <row r="8088">
      <c r="A8088" s="21" t="str">
        <f t="shared" si="3"/>
        <v/>
      </c>
      <c r="B8088" s="38"/>
      <c r="C8088" s="23"/>
      <c r="D8088" s="23"/>
      <c r="E8088" s="24"/>
      <c r="F8088" s="25"/>
      <c r="G8088" s="25"/>
      <c r="H8088" s="27"/>
      <c r="I8088" s="28"/>
      <c r="J8088" s="39"/>
      <c r="K8088" s="41"/>
      <c r="L8088" s="31" t="str">
        <f>IFERROR(__xludf.DUMMYFUNCTION("IF(OR(E8088="""",K8088=""""),"""",IFERROR(IF(K8088="""","""",query('tbl user'!$A$2:$D10975,""SELECT A WHERE D = '""&amp;K8088&amp;""'"")),""USER TIDAK DIKETAHUI""))"),"")</f>
        <v/>
      </c>
    </row>
    <row r="8089">
      <c r="A8089" s="21" t="str">
        <f t="shared" si="3"/>
        <v/>
      </c>
      <c r="B8089" s="38"/>
      <c r="C8089" s="23"/>
      <c r="D8089" s="23"/>
      <c r="E8089" s="24"/>
      <c r="F8089" s="25"/>
      <c r="G8089" s="25"/>
      <c r="H8089" s="27"/>
      <c r="I8089" s="28"/>
      <c r="J8089" s="39"/>
      <c r="K8089" s="41"/>
      <c r="L8089" s="31" t="str">
        <f>IFERROR(__xludf.DUMMYFUNCTION("IF(OR(E8089="""",K8089=""""),"""",IFERROR(IF(K8089="""","""",query('tbl user'!$A$2:$D10975,""SELECT A WHERE D = '""&amp;K8089&amp;""'"")),""USER TIDAK DIKETAHUI""))"),"")</f>
        <v/>
      </c>
    </row>
    <row r="8090">
      <c r="A8090" s="21" t="str">
        <f t="shared" si="3"/>
        <v/>
      </c>
      <c r="B8090" s="38"/>
      <c r="C8090" s="23"/>
      <c r="D8090" s="23"/>
      <c r="E8090" s="24"/>
      <c r="F8090" s="25"/>
      <c r="G8090" s="25"/>
      <c r="H8090" s="27"/>
      <c r="I8090" s="28"/>
      <c r="J8090" s="39"/>
      <c r="K8090" s="41"/>
      <c r="L8090" s="31" t="str">
        <f>IFERROR(__xludf.DUMMYFUNCTION("IF(OR(E8090="""",K8090=""""),"""",IFERROR(IF(K8090="""","""",query('tbl user'!$A$2:$D10975,""SELECT A WHERE D = '""&amp;K8090&amp;""'"")),""USER TIDAK DIKETAHUI""))"),"")</f>
        <v/>
      </c>
    </row>
    <row r="8091">
      <c r="A8091" s="21" t="str">
        <f t="shared" si="3"/>
        <v/>
      </c>
      <c r="B8091" s="38"/>
      <c r="C8091" s="23"/>
      <c r="D8091" s="23"/>
      <c r="E8091" s="24"/>
      <c r="F8091" s="25"/>
      <c r="G8091" s="25"/>
      <c r="H8091" s="27"/>
      <c r="I8091" s="28"/>
      <c r="J8091" s="39"/>
      <c r="K8091" s="41"/>
      <c r="L8091" s="31" t="str">
        <f>IFERROR(__xludf.DUMMYFUNCTION("IF(OR(E8091="""",K8091=""""),"""",IFERROR(IF(K8091="""","""",query('tbl user'!$A$2:$D10975,""SELECT A WHERE D = '""&amp;K8091&amp;""'"")),""USER TIDAK DIKETAHUI""))"),"")</f>
        <v/>
      </c>
    </row>
    <row r="8092">
      <c r="A8092" s="21" t="str">
        <f t="shared" si="3"/>
        <v/>
      </c>
      <c r="B8092" s="38"/>
      <c r="C8092" s="23"/>
      <c r="D8092" s="23"/>
      <c r="E8092" s="24"/>
      <c r="F8092" s="25"/>
      <c r="G8092" s="25"/>
      <c r="H8092" s="27"/>
      <c r="I8092" s="28"/>
      <c r="J8092" s="39"/>
      <c r="K8092" s="41"/>
      <c r="L8092" s="31" t="str">
        <f>IFERROR(__xludf.DUMMYFUNCTION("IF(OR(E8092="""",K8092=""""),"""",IFERROR(IF(K8092="""","""",query('tbl user'!$A$2:$D10975,""SELECT A WHERE D = '""&amp;K8092&amp;""'"")),""USER TIDAK DIKETAHUI""))"),"")</f>
        <v/>
      </c>
    </row>
    <row r="8093">
      <c r="A8093" s="21" t="str">
        <f t="shared" si="3"/>
        <v/>
      </c>
      <c r="B8093" s="38"/>
      <c r="C8093" s="23"/>
      <c r="D8093" s="23"/>
      <c r="E8093" s="24"/>
      <c r="F8093" s="25"/>
      <c r="G8093" s="25"/>
      <c r="H8093" s="27"/>
      <c r="I8093" s="28"/>
      <c r="J8093" s="39"/>
      <c r="K8093" s="41"/>
      <c r="L8093" s="31" t="str">
        <f>IFERROR(__xludf.DUMMYFUNCTION("IF(OR(E8093="""",K8093=""""),"""",IFERROR(IF(K8093="""","""",query('tbl user'!$A$2:$D10975,""SELECT A WHERE D = '""&amp;K8093&amp;""'"")),""USER TIDAK DIKETAHUI""))"),"")</f>
        <v/>
      </c>
    </row>
    <row r="8094">
      <c r="A8094" s="21" t="str">
        <f t="shared" si="3"/>
        <v/>
      </c>
      <c r="B8094" s="38"/>
      <c r="C8094" s="23"/>
      <c r="D8094" s="23"/>
      <c r="E8094" s="24"/>
      <c r="F8094" s="25"/>
      <c r="G8094" s="25"/>
      <c r="H8094" s="27"/>
      <c r="I8094" s="28"/>
      <c r="J8094" s="39"/>
      <c r="K8094" s="41"/>
      <c r="L8094" s="31" t="str">
        <f>IFERROR(__xludf.DUMMYFUNCTION("IF(OR(E8094="""",K8094=""""),"""",IFERROR(IF(K8094="""","""",query('tbl user'!$A$2:$D10975,""SELECT A WHERE D = '""&amp;K8094&amp;""'"")),""USER TIDAK DIKETAHUI""))"),"")</f>
        <v/>
      </c>
    </row>
    <row r="8095">
      <c r="A8095" s="21" t="str">
        <f t="shared" si="3"/>
        <v/>
      </c>
      <c r="B8095" s="38"/>
      <c r="C8095" s="23"/>
      <c r="D8095" s="23"/>
      <c r="E8095" s="24"/>
      <c r="F8095" s="25"/>
      <c r="G8095" s="25"/>
      <c r="H8095" s="27"/>
      <c r="I8095" s="28"/>
      <c r="J8095" s="39"/>
      <c r="K8095" s="41"/>
      <c r="L8095" s="31" t="str">
        <f>IFERROR(__xludf.DUMMYFUNCTION("IF(OR(E8095="""",K8095=""""),"""",IFERROR(IF(K8095="""","""",query('tbl user'!$A$2:$D10975,""SELECT A WHERE D = '""&amp;K8095&amp;""'"")),""USER TIDAK DIKETAHUI""))"),"")</f>
        <v/>
      </c>
    </row>
    <row r="8096">
      <c r="A8096" s="21" t="str">
        <f t="shared" si="3"/>
        <v/>
      </c>
      <c r="B8096" s="38"/>
      <c r="C8096" s="23"/>
      <c r="D8096" s="23"/>
      <c r="E8096" s="24"/>
      <c r="F8096" s="25"/>
      <c r="G8096" s="25"/>
      <c r="H8096" s="27"/>
      <c r="I8096" s="28"/>
      <c r="J8096" s="39"/>
      <c r="K8096" s="41"/>
      <c r="L8096" s="31" t="str">
        <f>IFERROR(__xludf.DUMMYFUNCTION("IF(OR(E8096="""",K8096=""""),"""",IFERROR(IF(K8096="""","""",query('tbl user'!$A$2:$D10975,""SELECT A WHERE D = '""&amp;K8096&amp;""'"")),""USER TIDAK DIKETAHUI""))"),"")</f>
        <v/>
      </c>
    </row>
    <row r="8097">
      <c r="A8097" s="21" t="str">
        <f t="shared" si="3"/>
        <v/>
      </c>
      <c r="B8097" s="38"/>
      <c r="C8097" s="23"/>
      <c r="D8097" s="23"/>
      <c r="E8097" s="24"/>
      <c r="F8097" s="25"/>
      <c r="G8097" s="25"/>
      <c r="H8097" s="27"/>
      <c r="I8097" s="28"/>
      <c r="J8097" s="39"/>
      <c r="K8097" s="41"/>
      <c r="L8097" s="31" t="str">
        <f>IFERROR(__xludf.DUMMYFUNCTION("IF(OR(E8097="""",K8097=""""),"""",IFERROR(IF(K8097="""","""",query('tbl user'!$A$2:$D10975,""SELECT A WHERE D = '""&amp;K8097&amp;""'"")),""USER TIDAK DIKETAHUI""))"),"")</f>
        <v/>
      </c>
    </row>
    <row r="8098">
      <c r="A8098" s="21" t="str">
        <f t="shared" si="3"/>
        <v/>
      </c>
      <c r="B8098" s="38"/>
      <c r="C8098" s="23"/>
      <c r="D8098" s="23"/>
      <c r="E8098" s="24"/>
      <c r="F8098" s="25"/>
      <c r="G8098" s="25"/>
      <c r="H8098" s="27"/>
      <c r="I8098" s="28"/>
      <c r="J8098" s="39"/>
      <c r="K8098" s="41"/>
      <c r="L8098" s="31" t="str">
        <f>IFERROR(__xludf.DUMMYFUNCTION("IF(OR(E8098="""",K8098=""""),"""",IFERROR(IF(K8098="""","""",query('tbl user'!$A$2:$D10975,""SELECT A WHERE D = '""&amp;K8098&amp;""'"")),""USER TIDAK DIKETAHUI""))"),"")</f>
        <v/>
      </c>
    </row>
    <row r="8099">
      <c r="A8099" s="21" t="str">
        <f t="shared" si="3"/>
        <v/>
      </c>
      <c r="B8099" s="38"/>
      <c r="C8099" s="23"/>
      <c r="D8099" s="23"/>
      <c r="E8099" s="24"/>
      <c r="F8099" s="25"/>
      <c r="G8099" s="25"/>
      <c r="H8099" s="27"/>
      <c r="I8099" s="28"/>
      <c r="J8099" s="39"/>
      <c r="K8099" s="41"/>
      <c r="L8099" s="31" t="str">
        <f>IFERROR(__xludf.DUMMYFUNCTION("IF(OR(E8099="""",K8099=""""),"""",IFERROR(IF(K8099="""","""",query('tbl user'!$A$2:$D10975,""SELECT A WHERE D = '""&amp;K8099&amp;""'"")),""USER TIDAK DIKETAHUI""))"),"")</f>
        <v/>
      </c>
    </row>
    <row r="8100">
      <c r="A8100" s="21" t="str">
        <f t="shared" si="3"/>
        <v/>
      </c>
      <c r="B8100" s="38"/>
      <c r="C8100" s="23"/>
      <c r="D8100" s="23"/>
      <c r="E8100" s="24"/>
      <c r="F8100" s="25"/>
      <c r="G8100" s="25"/>
      <c r="H8100" s="27"/>
      <c r="I8100" s="28"/>
      <c r="J8100" s="39"/>
      <c r="K8100" s="41"/>
      <c r="L8100" s="31" t="str">
        <f>IFERROR(__xludf.DUMMYFUNCTION("IF(OR(E8100="""",K8100=""""),"""",IFERROR(IF(K8100="""","""",query('tbl user'!$A$2:$D10975,""SELECT A WHERE D = '""&amp;K8100&amp;""'"")),""USER TIDAK DIKETAHUI""))"),"")</f>
        <v/>
      </c>
    </row>
    <row r="8101">
      <c r="A8101" s="21" t="str">
        <f t="shared" si="3"/>
        <v/>
      </c>
      <c r="B8101" s="38"/>
      <c r="C8101" s="23"/>
      <c r="D8101" s="23"/>
      <c r="E8101" s="24"/>
      <c r="F8101" s="25"/>
      <c r="G8101" s="25"/>
      <c r="H8101" s="27"/>
      <c r="I8101" s="28"/>
      <c r="J8101" s="39"/>
      <c r="K8101" s="41"/>
      <c r="L8101" s="31" t="str">
        <f>IFERROR(__xludf.DUMMYFUNCTION("IF(OR(E8101="""",K8101=""""),"""",IFERROR(IF(K8101="""","""",query('tbl user'!$A$2:$D10975,""SELECT A WHERE D = '""&amp;K8101&amp;""'"")),""USER TIDAK DIKETAHUI""))"),"")</f>
        <v/>
      </c>
    </row>
    <row r="8102">
      <c r="A8102" s="21" t="str">
        <f t="shared" si="3"/>
        <v/>
      </c>
      <c r="B8102" s="38"/>
      <c r="C8102" s="23"/>
      <c r="D8102" s="23"/>
      <c r="E8102" s="24"/>
      <c r="F8102" s="25"/>
      <c r="G8102" s="25"/>
      <c r="H8102" s="27"/>
      <c r="I8102" s="28"/>
      <c r="J8102" s="39"/>
      <c r="K8102" s="41"/>
      <c r="L8102" s="31" t="str">
        <f>IFERROR(__xludf.DUMMYFUNCTION("IF(OR(E8102="""",K8102=""""),"""",IFERROR(IF(K8102="""","""",query('tbl user'!$A$2:$D10975,""SELECT A WHERE D = '""&amp;K8102&amp;""'"")),""USER TIDAK DIKETAHUI""))"),"")</f>
        <v/>
      </c>
    </row>
    <row r="8103">
      <c r="A8103" s="21" t="str">
        <f t="shared" si="3"/>
        <v/>
      </c>
      <c r="B8103" s="38"/>
      <c r="C8103" s="23"/>
      <c r="D8103" s="23"/>
      <c r="E8103" s="24"/>
      <c r="F8103" s="25"/>
      <c r="G8103" s="25"/>
      <c r="H8103" s="27"/>
      <c r="I8103" s="28"/>
      <c r="J8103" s="39"/>
      <c r="K8103" s="41"/>
      <c r="L8103" s="31" t="str">
        <f>IFERROR(__xludf.DUMMYFUNCTION("IF(OR(E8103="""",K8103=""""),"""",IFERROR(IF(K8103="""","""",query('tbl user'!$A$2:$D10975,""SELECT A WHERE D = '""&amp;K8103&amp;""'"")),""USER TIDAK DIKETAHUI""))"),"")</f>
        <v/>
      </c>
    </row>
    <row r="8104">
      <c r="A8104" s="21" t="str">
        <f t="shared" si="3"/>
        <v/>
      </c>
      <c r="B8104" s="38"/>
      <c r="C8104" s="23"/>
      <c r="D8104" s="23"/>
      <c r="E8104" s="24"/>
      <c r="F8104" s="25"/>
      <c r="G8104" s="25"/>
      <c r="H8104" s="27"/>
      <c r="I8104" s="28"/>
      <c r="J8104" s="39"/>
      <c r="K8104" s="41"/>
      <c r="L8104" s="31" t="str">
        <f>IFERROR(__xludf.DUMMYFUNCTION("IF(OR(E8104="""",K8104=""""),"""",IFERROR(IF(K8104="""","""",query('tbl user'!$A$2:$D10975,""SELECT A WHERE D = '""&amp;K8104&amp;""'"")),""USER TIDAK DIKETAHUI""))"),"")</f>
        <v/>
      </c>
    </row>
    <row r="8105">
      <c r="A8105" s="21" t="str">
        <f t="shared" si="3"/>
        <v/>
      </c>
      <c r="B8105" s="38"/>
      <c r="C8105" s="23"/>
      <c r="D8105" s="23"/>
      <c r="E8105" s="24"/>
      <c r="F8105" s="25"/>
      <c r="G8105" s="25"/>
      <c r="H8105" s="27"/>
      <c r="I8105" s="28"/>
      <c r="J8105" s="39"/>
      <c r="K8105" s="41"/>
      <c r="L8105" s="31" t="str">
        <f>IFERROR(__xludf.DUMMYFUNCTION("IF(OR(E8105="""",K8105=""""),"""",IFERROR(IF(K8105="""","""",query('tbl user'!$A$2:$D10975,""SELECT A WHERE D = '""&amp;K8105&amp;""'"")),""USER TIDAK DIKETAHUI""))"),"")</f>
        <v/>
      </c>
    </row>
    <row r="8106">
      <c r="A8106" s="21" t="str">
        <f t="shared" si="3"/>
        <v/>
      </c>
      <c r="B8106" s="38"/>
      <c r="C8106" s="23"/>
      <c r="D8106" s="23"/>
      <c r="E8106" s="24"/>
      <c r="F8106" s="25"/>
      <c r="G8106" s="25"/>
      <c r="H8106" s="27"/>
      <c r="I8106" s="28"/>
      <c r="J8106" s="39"/>
      <c r="K8106" s="41"/>
      <c r="L8106" s="31" t="str">
        <f>IFERROR(__xludf.DUMMYFUNCTION("IF(OR(E8106="""",K8106=""""),"""",IFERROR(IF(K8106="""","""",query('tbl user'!$A$2:$D10975,""SELECT A WHERE D = '""&amp;K8106&amp;""'"")),""USER TIDAK DIKETAHUI""))"),"")</f>
        <v/>
      </c>
    </row>
    <row r="8107">
      <c r="A8107" s="21" t="str">
        <f t="shared" si="3"/>
        <v/>
      </c>
      <c r="B8107" s="38"/>
      <c r="C8107" s="23"/>
      <c r="D8107" s="23"/>
      <c r="E8107" s="24"/>
      <c r="F8107" s="25"/>
      <c r="G8107" s="25"/>
      <c r="H8107" s="27"/>
      <c r="I8107" s="28"/>
      <c r="J8107" s="39"/>
      <c r="K8107" s="41"/>
      <c r="L8107" s="31" t="str">
        <f>IFERROR(__xludf.DUMMYFUNCTION("IF(OR(E8107="""",K8107=""""),"""",IFERROR(IF(K8107="""","""",query('tbl user'!$A$2:$D10975,""SELECT A WHERE D = '""&amp;K8107&amp;""'"")),""USER TIDAK DIKETAHUI""))"),"")</f>
        <v/>
      </c>
    </row>
    <row r="8108">
      <c r="A8108" s="21" t="str">
        <f t="shared" si="3"/>
        <v/>
      </c>
      <c r="B8108" s="38"/>
      <c r="C8108" s="23"/>
      <c r="D8108" s="23"/>
      <c r="E8108" s="24"/>
      <c r="F8108" s="25"/>
      <c r="G8108" s="25"/>
      <c r="H8108" s="27"/>
      <c r="I8108" s="28"/>
      <c r="J8108" s="39"/>
      <c r="K8108" s="41"/>
      <c r="L8108" s="31" t="str">
        <f>IFERROR(__xludf.DUMMYFUNCTION("IF(OR(E8108="""",K8108=""""),"""",IFERROR(IF(K8108="""","""",query('tbl user'!$A$2:$D10975,""SELECT A WHERE D = '""&amp;K8108&amp;""'"")),""USER TIDAK DIKETAHUI""))"),"")</f>
        <v/>
      </c>
    </row>
    <row r="8109">
      <c r="A8109" s="21" t="str">
        <f t="shared" si="3"/>
        <v/>
      </c>
      <c r="B8109" s="38"/>
      <c r="C8109" s="23"/>
      <c r="D8109" s="23"/>
      <c r="E8109" s="24"/>
      <c r="F8109" s="25"/>
      <c r="G8109" s="25"/>
      <c r="H8109" s="27"/>
      <c r="I8109" s="28"/>
      <c r="J8109" s="39"/>
      <c r="K8109" s="41"/>
      <c r="L8109" s="31" t="str">
        <f>IFERROR(__xludf.DUMMYFUNCTION("IF(OR(E8109="""",K8109=""""),"""",IFERROR(IF(K8109="""","""",query('tbl user'!$A$2:$D10975,""SELECT A WHERE D = '""&amp;K8109&amp;""'"")),""USER TIDAK DIKETAHUI""))"),"")</f>
        <v/>
      </c>
    </row>
    <row r="8110">
      <c r="A8110" s="21" t="str">
        <f t="shared" si="3"/>
        <v/>
      </c>
      <c r="B8110" s="38"/>
      <c r="C8110" s="23"/>
      <c r="D8110" s="23"/>
      <c r="E8110" s="24"/>
      <c r="F8110" s="25"/>
      <c r="G8110" s="25"/>
      <c r="H8110" s="27"/>
      <c r="I8110" s="28"/>
      <c r="J8110" s="39"/>
      <c r="K8110" s="41"/>
      <c r="L8110" s="31" t="str">
        <f>IFERROR(__xludf.DUMMYFUNCTION("IF(OR(E8110="""",K8110=""""),"""",IFERROR(IF(K8110="""","""",query('tbl user'!$A$2:$D10975,""SELECT A WHERE D = '""&amp;K8110&amp;""'"")),""USER TIDAK DIKETAHUI""))"),"")</f>
        <v/>
      </c>
    </row>
    <row r="8111">
      <c r="A8111" s="21" t="str">
        <f t="shared" si="3"/>
        <v/>
      </c>
      <c r="B8111" s="38"/>
      <c r="C8111" s="23"/>
      <c r="D8111" s="23"/>
      <c r="E8111" s="24"/>
      <c r="F8111" s="25"/>
      <c r="G8111" s="25"/>
      <c r="H8111" s="27"/>
      <c r="I8111" s="28"/>
      <c r="J8111" s="39"/>
      <c r="K8111" s="41"/>
      <c r="L8111" s="31" t="str">
        <f>IFERROR(__xludf.DUMMYFUNCTION("IF(OR(E8111="""",K8111=""""),"""",IFERROR(IF(K8111="""","""",query('tbl user'!$A$2:$D10975,""SELECT A WHERE D = '""&amp;K8111&amp;""'"")),""USER TIDAK DIKETAHUI""))"),"")</f>
        <v/>
      </c>
    </row>
    <row r="8112">
      <c r="A8112" s="21" t="str">
        <f t="shared" si="3"/>
        <v/>
      </c>
      <c r="B8112" s="38"/>
      <c r="C8112" s="23"/>
      <c r="D8112" s="23"/>
      <c r="E8112" s="24"/>
      <c r="F8112" s="25"/>
      <c r="G8112" s="25"/>
      <c r="H8112" s="27"/>
      <c r="I8112" s="28"/>
      <c r="J8112" s="39"/>
      <c r="K8112" s="41"/>
      <c r="L8112" s="31" t="str">
        <f>IFERROR(__xludf.DUMMYFUNCTION("IF(OR(E8112="""",K8112=""""),"""",IFERROR(IF(K8112="""","""",query('tbl user'!$A$2:$D10975,""SELECT A WHERE D = '""&amp;K8112&amp;""'"")),""USER TIDAK DIKETAHUI""))"),"")</f>
        <v/>
      </c>
    </row>
    <row r="8113">
      <c r="A8113" s="21" t="str">
        <f t="shared" si="3"/>
        <v/>
      </c>
      <c r="B8113" s="38"/>
      <c r="C8113" s="23"/>
      <c r="D8113" s="23"/>
      <c r="E8113" s="24"/>
      <c r="F8113" s="25"/>
      <c r="G8113" s="25"/>
      <c r="H8113" s="27"/>
      <c r="I8113" s="28"/>
      <c r="J8113" s="39"/>
      <c r="K8113" s="41"/>
      <c r="L8113" s="31" t="str">
        <f>IFERROR(__xludf.DUMMYFUNCTION("IF(OR(E8113="""",K8113=""""),"""",IFERROR(IF(K8113="""","""",query('tbl user'!$A$2:$D10975,""SELECT A WHERE D = '""&amp;K8113&amp;""'"")),""USER TIDAK DIKETAHUI""))"),"")</f>
        <v/>
      </c>
    </row>
    <row r="8114">
      <c r="A8114" s="21" t="str">
        <f t="shared" si="3"/>
        <v/>
      </c>
      <c r="B8114" s="38"/>
      <c r="C8114" s="23"/>
      <c r="D8114" s="23"/>
      <c r="E8114" s="24"/>
      <c r="F8114" s="25"/>
      <c r="G8114" s="25"/>
      <c r="H8114" s="27"/>
      <c r="I8114" s="28"/>
      <c r="J8114" s="39"/>
      <c r="K8114" s="41"/>
      <c r="L8114" s="31" t="str">
        <f>IFERROR(__xludf.DUMMYFUNCTION("IF(OR(E8114="""",K8114=""""),"""",IFERROR(IF(K8114="""","""",query('tbl user'!$A$2:$D10975,""SELECT A WHERE D = '""&amp;K8114&amp;""'"")),""USER TIDAK DIKETAHUI""))"),"")</f>
        <v/>
      </c>
    </row>
    <row r="8115">
      <c r="A8115" s="21" t="str">
        <f t="shared" si="3"/>
        <v/>
      </c>
      <c r="B8115" s="38"/>
      <c r="C8115" s="23"/>
      <c r="D8115" s="23"/>
      <c r="E8115" s="24"/>
      <c r="F8115" s="25"/>
      <c r="G8115" s="25"/>
      <c r="H8115" s="27"/>
      <c r="I8115" s="28"/>
      <c r="J8115" s="39"/>
      <c r="K8115" s="41"/>
      <c r="L8115" s="31" t="str">
        <f>IFERROR(__xludf.DUMMYFUNCTION("IF(OR(E8115="""",K8115=""""),"""",IFERROR(IF(K8115="""","""",query('tbl user'!$A$2:$D10975,""SELECT A WHERE D = '""&amp;K8115&amp;""'"")),""USER TIDAK DIKETAHUI""))"),"")</f>
        <v/>
      </c>
    </row>
    <row r="8116">
      <c r="A8116" s="21" t="str">
        <f t="shared" si="3"/>
        <v/>
      </c>
      <c r="B8116" s="38"/>
      <c r="C8116" s="23"/>
      <c r="D8116" s="23"/>
      <c r="E8116" s="24"/>
      <c r="F8116" s="25"/>
      <c r="G8116" s="25"/>
      <c r="H8116" s="27"/>
      <c r="I8116" s="28"/>
      <c r="J8116" s="39"/>
      <c r="K8116" s="41"/>
      <c r="L8116" s="31" t="str">
        <f>IFERROR(__xludf.DUMMYFUNCTION("IF(OR(E8116="""",K8116=""""),"""",IFERROR(IF(K8116="""","""",query('tbl user'!$A$2:$D10975,""SELECT A WHERE D = '""&amp;K8116&amp;""'"")),""USER TIDAK DIKETAHUI""))"),"")</f>
        <v/>
      </c>
    </row>
    <row r="8117">
      <c r="A8117" s="21" t="str">
        <f t="shared" si="3"/>
        <v/>
      </c>
      <c r="B8117" s="38"/>
      <c r="C8117" s="23"/>
      <c r="D8117" s="23"/>
      <c r="E8117" s="24"/>
      <c r="F8117" s="25"/>
      <c r="G8117" s="25"/>
      <c r="H8117" s="27"/>
      <c r="I8117" s="28"/>
      <c r="J8117" s="39"/>
      <c r="K8117" s="41"/>
      <c r="L8117" s="31" t="str">
        <f>IFERROR(__xludf.DUMMYFUNCTION("IF(OR(E8117="""",K8117=""""),"""",IFERROR(IF(K8117="""","""",query('tbl user'!$A$2:$D10975,""SELECT A WHERE D = '""&amp;K8117&amp;""'"")),""USER TIDAK DIKETAHUI""))"),"")</f>
        <v/>
      </c>
    </row>
    <row r="8118">
      <c r="A8118" s="21" t="str">
        <f t="shared" si="3"/>
        <v/>
      </c>
      <c r="B8118" s="38"/>
      <c r="C8118" s="23"/>
      <c r="D8118" s="23"/>
      <c r="E8118" s="24"/>
      <c r="F8118" s="25"/>
      <c r="G8118" s="25"/>
      <c r="H8118" s="27"/>
      <c r="I8118" s="28"/>
      <c r="J8118" s="39"/>
      <c r="K8118" s="41"/>
      <c r="L8118" s="31" t="str">
        <f>IFERROR(__xludf.DUMMYFUNCTION("IF(OR(E8118="""",K8118=""""),"""",IFERROR(IF(K8118="""","""",query('tbl user'!$A$2:$D10975,""SELECT A WHERE D = '""&amp;K8118&amp;""'"")),""USER TIDAK DIKETAHUI""))"),"")</f>
        <v/>
      </c>
    </row>
    <row r="8119">
      <c r="A8119" s="21" t="str">
        <f t="shared" si="3"/>
        <v/>
      </c>
      <c r="B8119" s="38"/>
      <c r="C8119" s="23"/>
      <c r="D8119" s="23"/>
      <c r="E8119" s="24"/>
      <c r="F8119" s="25"/>
      <c r="G8119" s="25"/>
      <c r="H8119" s="27"/>
      <c r="I8119" s="28"/>
      <c r="J8119" s="39"/>
      <c r="K8119" s="41"/>
      <c r="L8119" s="31" t="str">
        <f>IFERROR(__xludf.DUMMYFUNCTION("IF(OR(E8119="""",K8119=""""),"""",IFERROR(IF(K8119="""","""",query('tbl user'!$A$2:$D10975,""SELECT A WHERE D = '""&amp;K8119&amp;""'"")),""USER TIDAK DIKETAHUI""))"),"")</f>
        <v/>
      </c>
    </row>
    <row r="8120">
      <c r="A8120" s="21" t="str">
        <f t="shared" si="3"/>
        <v/>
      </c>
      <c r="B8120" s="38"/>
      <c r="C8120" s="23"/>
      <c r="D8120" s="23"/>
      <c r="E8120" s="24"/>
      <c r="F8120" s="25"/>
      <c r="G8120" s="25"/>
      <c r="H8120" s="27"/>
      <c r="I8120" s="28"/>
      <c r="J8120" s="39"/>
      <c r="K8120" s="41"/>
      <c r="L8120" s="31" t="str">
        <f>IFERROR(__xludf.DUMMYFUNCTION("IF(OR(E8120="""",K8120=""""),"""",IFERROR(IF(K8120="""","""",query('tbl user'!$A$2:$D10975,""SELECT A WHERE D = '""&amp;K8120&amp;""'"")),""USER TIDAK DIKETAHUI""))"),"")</f>
        <v/>
      </c>
    </row>
    <row r="8121">
      <c r="A8121" s="21" t="str">
        <f t="shared" si="3"/>
        <v/>
      </c>
      <c r="B8121" s="38"/>
      <c r="C8121" s="23"/>
      <c r="D8121" s="23"/>
      <c r="E8121" s="24"/>
      <c r="F8121" s="25"/>
      <c r="G8121" s="25"/>
      <c r="H8121" s="27"/>
      <c r="I8121" s="28"/>
      <c r="J8121" s="39"/>
      <c r="K8121" s="41"/>
      <c r="L8121" s="31" t="str">
        <f>IFERROR(__xludf.DUMMYFUNCTION("IF(OR(E8121="""",K8121=""""),"""",IFERROR(IF(K8121="""","""",query('tbl user'!$A$2:$D10975,""SELECT A WHERE D = '""&amp;K8121&amp;""'"")),""USER TIDAK DIKETAHUI""))"),"")</f>
        <v/>
      </c>
    </row>
    <row r="8122">
      <c r="A8122" s="21" t="str">
        <f t="shared" si="3"/>
        <v/>
      </c>
      <c r="B8122" s="38"/>
      <c r="C8122" s="23"/>
      <c r="D8122" s="23"/>
      <c r="E8122" s="24"/>
      <c r="F8122" s="25"/>
      <c r="G8122" s="25"/>
      <c r="H8122" s="27"/>
      <c r="I8122" s="28"/>
      <c r="J8122" s="39"/>
      <c r="K8122" s="41"/>
      <c r="L8122" s="31" t="str">
        <f>IFERROR(__xludf.DUMMYFUNCTION("IF(OR(E8122="""",K8122=""""),"""",IFERROR(IF(K8122="""","""",query('tbl user'!$A$2:$D10975,""SELECT A WHERE D = '""&amp;K8122&amp;""'"")),""USER TIDAK DIKETAHUI""))"),"")</f>
        <v/>
      </c>
    </row>
    <row r="8123">
      <c r="A8123" s="21" t="str">
        <f t="shared" si="3"/>
        <v/>
      </c>
      <c r="B8123" s="38"/>
      <c r="C8123" s="23"/>
      <c r="D8123" s="23"/>
      <c r="E8123" s="24"/>
      <c r="F8123" s="25"/>
      <c r="G8123" s="25"/>
      <c r="H8123" s="27"/>
      <c r="I8123" s="28"/>
      <c r="J8123" s="39"/>
      <c r="K8123" s="41"/>
      <c r="L8123" s="31" t="str">
        <f>IFERROR(__xludf.DUMMYFUNCTION("IF(OR(E8123="""",K8123=""""),"""",IFERROR(IF(K8123="""","""",query('tbl user'!$A$2:$D10975,""SELECT A WHERE D = '""&amp;K8123&amp;""'"")),""USER TIDAK DIKETAHUI""))"),"")</f>
        <v/>
      </c>
    </row>
    <row r="8124">
      <c r="A8124" s="21" t="str">
        <f t="shared" si="3"/>
        <v/>
      </c>
      <c r="B8124" s="38"/>
      <c r="C8124" s="23"/>
      <c r="D8124" s="23"/>
      <c r="E8124" s="24"/>
      <c r="F8124" s="25"/>
      <c r="G8124" s="25"/>
      <c r="H8124" s="27"/>
      <c r="I8124" s="28"/>
      <c r="J8124" s="39"/>
      <c r="K8124" s="41"/>
      <c r="L8124" s="31" t="str">
        <f>IFERROR(__xludf.DUMMYFUNCTION("IF(OR(E8124="""",K8124=""""),"""",IFERROR(IF(K8124="""","""",query('tbl user'!$A$2:$D10975,""SELECT A WHERE D = '""&amp;K8124&amp;""'"")),""USER TIDAK DIKETAHUI""))"),"")</f>
        <v/>
      </c>
    </row>
    <row r="8125">
      <c r="A8125" s="21" t="str">
        <f t="shared" si="3"/>
        <v/>
      </c>
      <c r="B8125" s="38"/>
      <c r="C8125" s="23"/>
      <c r="D8125" s="23"/>
      <c r="E8125" s="24"/>
      <c r="F8125" s="25"/>
      <c r="G8125" s="25"/>
      <c r="H8125" s="27"/>
      <c r="I8125" s="28"/>
      <c r="J8125" s="39"/>
      <c r="K8125" s="41"/>
      <c r="L8125" s="31" t="str">
        <f>IFERROR(__xludf.DUMMYFUNCTION("IF(OR(E8125="""",K8125=""""),"""",IFERROR(IF(K8125="""","""",query('tbl user'!$A$2:$D10975,""SELECT A WHERE D = '""&amp;K8125&amp;""'"")),""USER TIDAK DIKETAHUI""))"),"")</f>
        <v/>
      </c>
    </row>
    <row r="8126">
      <c r="A8126" s="21" t="str">
        <f t="shared" si="3"/>
        <v/>
      </c>
      <c r="B8126" s="38"/>
      <c r="C8126" s="23"/>
      <c r="D8126" s="23"/>
      <c r="E8126" s="24"/>
      <c r="F8126" s="25"/>
      <c r="G8126" s="25"/>
      <c r="H8126" s="27"/>
      <c r="I8126" s="28"/>
      <c r="J8126" s="39"/>
      <c r="K8126" s="41"/>
      <c r="L8126" s="31" t="str">
        <f>IFERROR(__xludf.DUMMYFUNCTION("IF(OR(E8126="""",K8126=""""),"""",IFERROR(IF(K8126="""","""",query('tbl user'!$A$2:$D10975,""SELECT A WHERE D = '""&amp;K8126&amp;""'"")),""USER TIDAK DIKETAHUI""))"),"")</f>
        <v/>
      </c>
    </row>
    <row r="8127">
      <c r="A8127" s="21" t="str">
        <f t="shared" si="3"/>
        <v/>
      </c>
      <c r="B8127" s="38"/>
      <c r="C8127" s="23"/>
      <c r="D8127" s="23"/>
      <c r="E8127" s="24"/>
      <c r="F8127" s="25"/>
      <c r="G8127" s="25"/>
      <c r="H8127" s="27"/>
      <c r="I8127" s="28"/>
      <c r="J8127" s="39"/>
      <c r="K8127" s="41"/>
      <c r="L8127" s="31" t="str">
        <f>IFERROR(__xludf.DUMMYFUNCTION("IF(OR(E8127="""",K8127=""""),"""",IFERROR(IF(K8127="""","""",query('tbl user'!$A$2:$D10975,""SELECT A WHERE D = '""&amp;K8127&amp;""'"")),""USER TIDAK DIKETAHUI""))"),"")</f>
        <v/>
      </c>
    </row>
    <row r="8128">
      <c r="A8128" s="21" t="str">
        <f t="shared" si="3"/>
        <v/>
      </c>
      <c r="B8128" s="38"/>
      <c r="C8128" s="23"/>
      <c r="D8128" s="23"/>
      <c r="E8128" s="24"/>
      <c r="F8128" s="25"/>
      <c r="G8128" s="25"/>
      <c r="H8128" s="27"/>
      <c r="I8128" s="28"/>
      <c r="J8128" s="39"/>
      <c r="K8128" s="41"/>
      <c r="L8128" s="31" t="str">
        <f>IFERROR(__xludf.DUMMYFUNCTION("IF(OR(E8128="""",K8128=""""),"""",IFERROR(IF(K8128="""","""",query('tbl user'!$A$2:$D10975,""SELECT A WHERE D = '""&amp;K8128&amp;""'"")),""USER TIDAK DIKETAHUI""))"),"")</f>
        <v/>
      </c>
    </row>
    <row r="8129">
      <c r="A8129" s="21" t="str">
        <f t="shared" si="3"/>
        <v/>
      </c>
      <c r="B8129" s="38"/>
      <c r="C8129" s="23"/>
      <c r="D8129" s="23"/>
      <c r="E8129" s="24"/>
      <c r="F8129" s="25"/>
      <c r="G8129" s="25"/>
      <c r="H8129" s="27"/>
      <c r="I8129" s="28"/>
      <c r="J8129" s="39"/>
      <c r="K8129" s="41"/>
      <c r="L8129" s="31" t="str">
        <f>IFERROR(__xludf.DUMMYFUNCTION("IF(OR(E8129="""",K8129=""""),"""",IFERROR(IF(K8129="""","""",query('tbl user'!$A$2:$D10975,""SELECT A WHERE D = '""&amp;K8129&amp;""'"")),""USER TIDAK DIKETAHUI""))"),"")</f>
        <v/>
      </c>
    </row>
    <row r="8130">
      <c r="A8130" s="21" t="str">
        <f t="shared" si="3"/>
        <v/>
      </c>
      <c r="B8130" s="38"/>
      <c r="C8130" s="23"/>
      <c r="D8130" s="23"/>
      <c r="E8130" s="24"/>
      <c r="F8130" s="25"/>
      <c r="G8130" s="25"/>
      <c r="H8130" s="27"/>
      <c r="I8130" s="28"/>
      <c r="J8130" s="39"/>
      <c r="K8130" s="41"/>
      <c r="L8130" s="31" t="str">
        <f>IFERROR(__xludf.DUMMYFUNCTION("IF(OR(E8130="""",K8130=""""),"""",IFERROR(IF(K8130="""","""",query('tbl user'!$A$2:$D10975,""SELECT A WHERE D = '""&amp;K8130&amp;""'"")),""USER TIDAK DIKETAHUI""))"),"")</f>
        <v/>
      </c>
    </row>
    <row r="8131">
      <c r="A8131" s="21" t="str">
        <f t="shared" si="3"/>
        <v/>
      </c>
      <c r="B8131" s="38"/>
      <c r="C8131" s="23"/>
      <c r="D8131" s="23"/>
      <c r="E8131" s="24"/>
      <c r="F8131" s="25"/>
      <c r="G8131" s="25"/>
      <c r="H8131" s="27"/>
      <c r="I8131" s="28"/>
      <c r="J8131" s="39"/>
      <c r="K8131" s="41"/>
      <c r="L8131" s="31" t="str">
        <f>IFERROR(__xludf.DUMMYFUNCTION("IF(OR(E8131="""",K8131=""""),"""",IFERROR(IF(K8131="""","""",query('tbl user'!$A$2:$D10975,""SELECT A WHERE D = '""&amp;K8131&amp;""'"")),""USER TIDAK DIKETAHUI""))"),"")</f>
        <v/>
      </c>
    </row>
    <row r="8132">
      <c r="A8132" s="21" t="str">
        <f t="shared" si="3"/>
        <v/>
      </c>
      <c r="B8132" s="38"/>
      <c r="C8132" s="23"/>
      <c r="D8132" s="23"/>
      <c r="E8132" s="24"/>
      <c r="F8132" s="25"/>
      <c r="G8132" s="25"/>
      <c r="H8132" s="27"/>
      <c r="I8132" s="28"/>
      <c r="J8132" s="39"/>
      <c r="K8132" s="41"/>
      <c r="L8132" s="31" t="str">
        <f>IFERROR(__xludf.DUMMYFUNCTION("IF(OR(E8132="""",K8132=""""),"""",IFERROR(IF(K8132="""","""",query('tbl user'!$A$2:$D10975,""SELECT A WHERE D = '""&amp;K8132&amp;""'"")),""USER TIDAK DIKETAHUI""))"),"")</f>
        <v/>
      </c>
    </row>
    <row r="8133">
      <c r="A8133" s="21" t="str">
        <f t="shared" si="3"/>
        <v/>
      </c>
      <c r="B8133" s="38"/>
      <c r="C8133" s="23"/>
      <c r="D8133" s="23"/>
      <c r="E8133" s="24"/>
      <c r="F8133" s="25"/>
      <c r="G8133" s="25"/>
      <c r="H8133" s="27"/>
      <c r="I8133" s="28"/>
      <c r="J8133" s="39"/>
      <c r="K8133" s="41"/>
      <c r="L8133" s="31" t="str">
        <f>IFERROR(__xludf.DUMMYFUNCTION("IF(OR(E8133="""",K8133=""""),"""",IFERROR(IF(K8133="""","""",query('tbl user'!$A$2:$D10975,""SELECT A WHERE D = '""&amp;K8133&amp;""'"")),""USER TIDAK DIKETAHUI""))"),"")</f>
        <v/>
      </c>
    </row>
    <row r="8134">
      <c r="A8134" s="21" t="str">
        <f t="shared" si="3"/>
        <v/>
      </c>
      <c r="B8134" s="38"/>
      <c r="C8134" s="23"/>
      <c r="D8134" s="23"/>
      <c r="E8134" s="24"/>
      <c r="F8134" s="25"/>
      <c r="G8134" s="25"/>
      <c r="H8134" s="27"/>
      <c r="I8134" s="28"/>
      <c r="J8134" s="39"/>
      <c r="K8134" s="41"/>
      <c r="L8134" s="31" t="str">
        <f>IFERROR(__xludf.DUMMYFUNCTION("IF(OR(E8134="""",K8134=""""),"""",IFERROR(IF(K8134="""","""",query('tbl user'!$A$2:$D10975,""SELECT A WHERE D = '""&amp;K8134&amp;""'"")),""USER TIDAK DIKETAHUI""))"),"")</f>
        <v/>
      </c>
    </row>
    <row r="8135">
      <c r="A8135" s="21" t="str">
        <f t="shared" si="3"/>
        <v/>
      </c>
      <c r="B8135" s="38"/>
      <c r="C8135" s="23"/>
      <c r="D8135" s="23"/>
      <c r="E8135" s="24"/>
      <c r="F8135" s="25"/>
      <c r="G8135" s="25"/>
      <c r="H8135" s="27"/>
      <c r="I8135" s="28"/>
      <c r="J8135" s="39"/>
      <c r="K8135" s="41"/>
      <c r="L8135" s="31" t="str">
        <f>IFERROR(__xludf.DUMMYFUNCTION("IF(OR(E8135="""",K8135=""""),"""",IFERROR(IF(K8135="""","""",query('tbl user'!$A$2:$D10975,""SELECT A WHERE D = '""&amp;K8135&amp;""'"")),""USER TIDAK DIKETAHUI""))"),"")</f>
        <v/>
      </c>
    </row>
    <row r="8136">
      <c r="A8136" s="21" t="str">
        <f t="shared" si="3"/>
        <v/>
      </c>
      <c r="B8136" s="38"/>
      <c r="C8136" s="23"/>
      <c r="D8136" s="23"/>
      <c r="E8136" s="24"/>
      <c r="F8136" s="25"/>
      <c r="G8136" s="25"/>
      <c r="H8136" s="27"/>
      <c r="I8136" s="28"/>
      <c r="J8136" s="39"/>
      <c r="K8136" s="41"/>
      <c r="L8136" s="31" t="str">
        <f>IFERROR(__xludf.DUMMYFUNCTION("IF(OR(E8136="""",K8136=""""),"""",IFERROR(IF(K8136="""","""",query('tbl user'!$A$2:$D10975,""SELECT A WHERE D = '""&amp;K8136&amp;""'"")),""USER TIDAK DIKETAHUI""))"),"")</f>
        <v/>
      </c>
    </row>
    <row r="8137">
      <c r="A8137" s="21" t="str">
        <f t="shared" si="3"/>
        <v/>
      </c>
      <c r="B8137" s="38"/>
      <c r="C8137" s="23"/>
      <c r="D8137" s="23"/>
      <c r="E8137" s="24"/>
      <c r="F8137" s="25"/>
      <c r="G8137" s="25"/>
      <c r="H8137" s="27"/>
      <c r="I8137" s="28"/>
      <c r="J8137" s="39"/>
      <c r="K8137" s="41"/>
      <c r="L8137" s="31" t="str">
        <f>IFERROR(__xludf.DUMMYFUNCTION("IF(OR(E8137="""",K8137=""""),"""",IFERROR(IF(K8137="""","""",query('tbl user'!$A$2:$D10975,""SELECT A WHERE D = '""&amp;K8137&amp;""'"")),""USER TIDAK DIKETAHUI""))"),"")</f>
        <v/>
      </c>
    </row>
    <row r="8138">
      <c r="A8138" s="21" t="str">
        <f t="shared" si="3"/>
        <v/>
      </c>
      <c r="B8138" s="38"/>
      <c r="C8138" s="23"/>
      <c r="D8138" s="23"/>
      <c r="E8138" s="24"/>
      <c r="F8138" s="25"/>
      <c r="G8138" s="25"/>
      <c r="H8138" s="27"/>
      <c r="I8138" s="28"/>
      <c r="J8138" s="39"/>
      <c r="K8138" s="41"/>
      <c r="L8138" s="31" t="str">
        <f>IFERROR(__xludf.DUMMYFUNCTION("IF(OR(E8138="""",K8138=""""),"""",IFERROR(IF(K8138="""","""",query('tbl user'!$A$2:$D10975,""SELECT A WHERE D = '""&amp;K8138&amp;""'"")),""USER TIDAK DIKETAHUI""))"),"")</f>
        <v/>
      </c>
    </row>
    <row r="8139">
      <c r="A8139" s="21" t="str">
        <f t="shared" si="3"/>
        <v/>
      </c>
      <c r="B8139" s="38"/>
      <c r="C8139" s="23"/>
      <c r="D8139" s="23"/>
      <c r="E8139" s="24"/>
      <c r="F8139" s="25"/>
      <c r="G8139" s="25"/>
      <c r="H8139" s="27"/>
      <c r="I8139" s="28"/>
      <c r="J8139" s="39"/>
      <c r="K8139" s="41"/>
      <c r="L8139" s="31" t="str">
        <f>IFERROR(__xludf.DUMMYFUNCTION("IF(OR(E8139="""",K8139=""""),"""",IFERROR(IF(K8139="""","""",query('tbl user'!$A$2:$D10975,""SELECT A WHERE D = '""&amp;K8139&amp;""'"")),""USER TIDAK DIKETAHUI""))"),"")</f>
        <v/>
      </c>
    </row>
    <row r="8140">
      <c r="A8140" s="21" t="str">
        <f t="shared" si="3"/>
        <v/>
      </c>
      <c r="B8140" s="38"/>
      <c r="C8140" s="23"/>
      <c r="D8140" s="23"/>
      <c r="E8140" s="24"/>
      <c r="F8140" s="25"/>
      <c r="G8140" s="25"/>
      <c r="H8140" s="27"/>
      <c r="I8140" s="28"/>
      <c r="J8140" s="39"/>
      <c r="K8140" s="41"/>
      <c r="L8140" s="31" t="str">
        <f>IFERROR(__xludf.DUMMYFUNCTION("IF(OR(E8140="""",K8140=""""),"""",IFERROR(IF(K8140="""","""",query('tbl user'!$A$2:$D10975,""SELECT A WHERE D = '""&amp;K8140&amp;""'"")),""USER TIDAK DIKETAHUI""))"),"")</f>
        <v/>
      </c>
    </row>
    <row r="8141">
      <c r="A8141" s="21" t="str">
        <f t="shared" si="3"/>
        <v/>
      </c>
      <c r="B8141" s="38"/>
      <c r="C8141" s="23"/>
      <c r="D8141" s="23"/>
      <c r="E8141" s="24"/>
      <c r="F8141" s="25"/>
      <c r="G8141" s="25"/>
      <c r="H8141" s="27"/>
      <c r="I8141" s="28"/>
      <c r="J8141" s="39"/>
      <c r="K8141" s="41"/>
      <c r="L8141" s="31" t="str">
        <f>IFERROR(__xludf.DUMMYFUNCTION("IF(OR(E8141="""",K8141=""""),"""",IFERROR(IF(K8141="""","""",query('tbl user'!$A$2:$D10975,""SELECT A WHERE D = '""&amp;K8141&amp;""'"")),""USER TIDAK DIKETAHUI""))"),"")</f>
        <v/>
      </c>
    </row>
    <row r="8142">
      <c r="A8142" s="21" t="str">
        <f t="shared" si="3"/>
        <v/>
      </c>
      <c r="B8142" s="38"/>
      <c r="C8142" s="23"/>
      <c r="D8142" s="23"/>
      <c r="E8142" s="24"/>
      <c r="F8142" s="25"/>
      <c r="G8142" s="25"/>
      <c r="H8142" s="27"/>
      <c r="I8142" s="28"/>
      <c r="J8142" s="39"/>
      <c r="K8142" s="41"/>
      <c r="L8142" s="31" t="str">
        <f>IFERROR(__xludf.DUMMYFUNCTION("IF(OR(E8142="""",K8142=""""),"""",IFERROR(IF(K8142="""","""",query('tbl user'!$A$2:$D10975,""SELECT A WHERE D = '""&amp;K8142&amp;""'"")),""USER TIDAK DIKETAHUI""))"),"")</f>
        <v/>
      </c>
    </row>
    <row r="8143">
      <c r="A8143" s="21" t="str">
        <f t="shared" si="3"/>
        <v/>
      </c>
      <c r="B8143" s="38"/>
      <c r="C8143" s="23"/>
      <c r="D8143" s="23"/>
      <c r="E8143" s="24"/>
      <c r="F8143" s="25"/>
      <c r="G8143" s="25"/>
      <c r="H8143" s="27"/>
      <c r="I8143" s="28"/>
      <c r="J8143" s="39"/>
      <c r="K8143" s="41"/>
      <c r="L8143" s="31" t="str">
        <f>IFERROR(__xludf.DUMMYFUNCTION("IF(OR(E8143="""",K8143=""""),"""",IFERROR(IF(K8143="""","""",query('tbl user'!$A$2:$D10975,""SELECT A WHERE D = '""&amp;K8143&amp;""'"")),""USER TIDAK DIKETAHUI""))"),"")</f>
        <v/>
      </c>
    </row>
    <row r="8144">
      <c r="A8144" s="21" t="str">
        <f t="shared" si="3"/>
        <v/>
      </c>
      <c r="B8144" s="38"/>
      <c r="C8144" s="23"/>
      <c r="D8144" s="23"/>
      <c r="E8144" s="24"/>
      <c r="F8144" s="25"/>
      <c r="G8144" s="25"/>
      <c r="H8144" s="27"/>
      <c r="I8144" s="28"/>
      <c r="J8144" s="39"/>
      <c r="K8144" s="41"/>
      <c r="L8144" s="31" t="str">
        <f>IFERROR(__xludf.DUMMYFUNCTION("IF(OR(E8144="""",K8144=""""),"""",IFERROR(IF(K8144="""","""",query('tbl user'!$A$2:$D10975,""SELECT A WHERE D = '""&amp;K8144&amp;""'"")),""USER TIDAK DIKETAHUI""))"),"")</f>
        <v/>
      </c>
    </row>
    <row r="8145">
      <c r="A8145" s="21" t="str">
        <f t="shared" si="3"/>
        <v/>
      </c>
      <c r="B8145" s="38"/>
      <c r="C8145" s="23"/>
      <c r="D8145" s="23"/>
      <c r="E8145" s="24"/>
      <c r="F8145" s="25"/>
      <c r="G8145" s="25"/>
      <c r="H8145" s="27"/>
      <c r="I8145" s="28"/>
      <c r="J8145" s="39"/>
      <c r="K8145" s="41"/>
      <c r="L8145" s="31" t="str">
        <f>IFERROR(__xludf.DUMMYFUNCTION("IF(OR(E8145="""",K8145=""""),"""",IFERROR(IF(K8145="""","""",query('tbl user'!$A$2:$D10975,""SELECT A WHERE D = '""&amp;K8145&amp;""'"")),""USER TIDAK DIKETAHUI""))"),"")</f>
        <v/>
      </c>
    </row>
    <row r="8146">
      <c r="A8146" s="21" t="str">
        <f t="shared" si="3"/>
        <v/>
      </c>
      <c r="B8146" s="38"/>
      <c r="C8146" s="23"/>
      <c r="D8146" s="23"/>
      <c r="E8146" s="24"/>
      <c r="F8146" s="25"/>
      <c r="G8146" s="25"/>
      <c r="H8146" s="27"/>
      <c r="I8146" s="28"/>
      <c r="J8146" s="39"/>
      <c r="K8146" s="41"/>
      <c r="L8146" s="31" t="str">
        <f>IFERROR(__xludf.DUMMYFUNCTION("IF(OR(E8146="""",K8146=""""),"""",IFERROR(IF(K8146="""","""",query('tbl user'!$A$2:$D10975,""SELECT A WHERE D = '""&amp;K8146&amp;""'"")),""USER TIDAK DIKETAHUI""))"),"")</f>
        <v/>
      </c>
    </row>
    <row r="8147">
      <c r="A8147" s="21" t="str">
        <f t="shared" si="3"/>
        <v/>
      </c>
      <c r="B8147" s="38"/>
      <c r="C8147" s="23"/>
      <c r="D8147" s="23"/>
      <c r="E8147" s="24"/>
      <c r="F8147" s="25"/>
      <c r="G8147" s="25"/>
      <c r="H8147" s="27"/>
      <c r="I8147" s="28"/>
      <c r="J8147" s="39"/>
      <c r="K8147" s="41"/>
      <c r="L8147" s="31" t="str">
        <f>IFERROR(__xludf.DUMMYFUNCTION("IF(OR(E8147="""",K8147=""""),"""",IFERROR(IF(K8147="""","""",query('tbl user'!$A$2:$D10975,""SELECT A WHERE D = '""&amp;K8147&amp;""'"")),""USER TIDAK DIKETAHUI""))"),"")</f>
        <v/>
      </c>
    </row>
    <row r="8148">
      <c r="A8148" s="21" t="str">
        <f t="shared" si="3"/>
        <v/>
      </c>
      <c r="B8148" s="38"/>
      <c r="C8148" s="23"/>
      <c r="D8148" s="23"/>
      <c r="E8148" s="24"/>
      <c r="F8148" s="25"/>
      <c r="G8148" s="25"/>
      <c r="H8148" s="27"/>
      <c r="I8148" s="28"/>
      <c r="J8148" s="39"/>
      <c r="K8148" s="41"/>
      <c r="L8148" s="31" t="str">
        <f>IFERROR(__xludf.DUMMYFUNCTION("IF(OR(E8148="""",K8148=""""),"""",IFERROR(IF(K8148="""","""",query('tbl user'!$A$2:$D10975,""SELECT A WHERE D = '""&amp;K8148&amp;""'"")),""USER TIDAK DIKETAHUI""))"),"")</f>
        <v/>
      </c>
    </row>
    <row r="8149">
      <c r="A8149" s="21" t="str">
        <f t="shared" si="3"/>
        <v/>
      </c>
      <c r="B8149" s="38"/>
      <c r="C8149" s="23"/>
      <c r="D8149" s="23"/>
      <c r="E8149" s="24"/>
      <c r="F8149" s="25"/>
      <c r="G8149" s="25"/>
      <c r="H8149" s="27"/>
      <c r="I8149" s="28"/>
      <c r="J8149" s="39"/>
      <c r="K8149" s="41"/>
      <c r="L8149" s="31" t="str">
        <f>IFERROR(__xludf.DUMMYFUNCTION("IF(OR(E8149="""",K8149=""""),"""",IFERROR(IF(K8149="""","""",query('tbl user'!$A$2:$D10975,""SELECT A WHERE D = '""&amp;K8149&amp;""'"")),""USER TIDAK DIKETAHUI""))"),"")</f>
        <v/>
      </c>
    </row>
    <row r="8150">
      <c r="A8150" s="21" t="str">
        <f t="shared" si="3"/>
        <v/>
      </c>
      <c r="B8150" s="38"/>
      <c r="C8150" s="23"/>
      <c r="D8150" s="23"/>
      <c r="E8150" s="24"/>
      <c r="F8150" s="25"/>
      <c r="G8150" s="25"/>
      <c r="H8150" s="27"/>
      <c r="I8150" s="28"/>
      <c r="J8150" s="39"/>
      <c r="K8150" s="41"/>
      <c r="L8150" s="31" t="str">
        <f>IFERROR(__xludf.DUMMYFUNCTION("IF(OR(E8150="""",K8150=""""),"""",IFERROR(IF(K8150="""","""",query('tbl user'!$A$2:$D10975,""SELECT A WHERE D = '""&amp;K8150&amp;""'"")),""USER TIDAK DIKETAHUI""))"),"")</f>
        <v/>
      </c>
    </row>
    <row r="8151">
      <c r="A8151" s="21" t="str">
        <f t="shared" si="3"/>
        <v/>
      </c>
      <c r="B8151" s="38"/>
      <c r="C8151" s="23"/>
      <c r="D8151" s="23"/>
      <c r="E8151" s="24"/>
      <c r="F8151" s="25"/>
      <c r="G8151" s="25"/>
      <c r="H8151" s="27"/>
      <c r="I8151" s="28"/>
      <c r="J8151" s="39"/>
      <c r="K8151" s="41"/>
      <c r="L8151" s="31" t="str">
        <f>IFERROR(__xludf.DUMMYFUNCTION("IF(OR(E8151="""",K8151=""""),"""",IFERROR(IF(K8151="""","""",query('tbl user'!$A$2:$D10975,""SELECT A WHERE D = '""&amp;K8151&amp;""'"")),""USER TIDAK DIKETAHUI""))"),"")</f>
        <v/>
      </c>
    </row>
    <row r="8152">
      <c r="A8152" s="21" t="str">
        <f t="shared" si="3"/>
        <v/>
      </c>
      <c r="B8152" s="38"/>
      <c r="C8152" s="23"/>
      <c r="D8152" s="23"/>
      <c r="E8152" s="24"/>
      <c r="F8152" s="25"/>
      <c r="G8152" s="25"/>
      <c r="H8152" s="27"/>
      <c r="I8152" s="28"/>
      <c r="J8152" s="39"/>
      <c r="K8152" s="41"/>
      <c r="L8152" s="31" t="str">
        <f>IFERROR(__xludf.DUMMYFUNCTION("IF(OR(E8152="""",K8152=""""),"""",IFERROR(IF(K8152="""","""",query('tbl user'!$A$2:$D10975,""SELECT A WHERE D = '""&amp;K8152&amp;""'"")),""USER TIDAK DIKETAHUI""))"),"")</f>
        <v/>
      </c>
    </row>
    <row r="8153">
      <c r="A8153" s="21" t="str">
        <f t="shared" si="3"/>
        <v/>
      </c>
      <c r="B8153" s="38"/>
      <c r="C8153" s="23"/>
      <c r="D8153" s="23"/>
      <c r="E8153" s="24"/>
      <c r="F8153" s="25"/>
      <c r="G8153" s="25"/>
      <c r="H8153" s="27"/>
      <c r="I8153" s="28"/>
      <c r="J8153" s="39"/>
      <c r="K8153" s="41"/>
      <c r="L8153" s="31" t="str">
        <f>IFERROR(__xludf.DUMMYFUNCTION("IF(OR(E8153="""",K8153=""""),"""",IFERROR(IF(K8153="""","""",query('tbl user'!$A$2:$D10975,""SELECT A WHERE D = '""&amp;K8153&amp;""'"")),""USER TIDAK DIKETAHUI""))"),"")</f>
        <v/>
      </c>
    </row>
    <row r="8154">
      <c r="A8154" s="21" t="str">
        <f t="shared" si="3"/>
        <v/>
      </c>
      <c r="B8154" s="38"/>
      <c r="C8154" s="23"/>
      <c r="D8154" s="23"/>
      <c r="E8154" s="24"/>
      <c r="F8154" s="25"/>
      <c r="G8154" s="25"/>
      <c r="H8154" s="27"/>
      <c r="I8154" s="28"/>
      <c r="J8154" s="39"/>
      <c r="K8154" s="41"/>
      <c r="L8154" s="31" t="str">
        <f>IFERROR(__xludf.DUMMYFUNCTION("IF(OR(E8154="""",K8154=""""),"""",IFERROR(IF(K8154="""","""",query('tbl user'!$A$2:$D10975,""SELECT A WHERE D = '""&amp;K8154&amp;""'"")),""USER TIDAK DIKETAHUI""))"),"")</f>
        <v/>
      </c>
    </row>
    <row r="8155">
      <c r="A8155" s="21" t="str">
        <f t="shared" si="3"/>
        <v/>
      </c>
      <c r="B8155" s="38"/>
      <c r="C8155" s="23"/>
      <c r="D8155" s="23"/>
      <c r="E8155" s="24"/>
      <c r="F8155" s="25"/>
      <c r="G8155" s="25"/>
      <c r="H8155" s="27"/>
      <c r="I8155" s="28"/>
      <c r="J8155" s="39"/>
      <c r="K8155" s="41"/>
      <c r="L8155" s="31" t="str">
        <f>IFERROR(__xludf.DUMMYFUNCTION("IF(OR(E8155="""",K8155=""""),"""",IFERROR(IF(K8155="""","""",query('tbl user'!$A$2:$D10975,""SELECT A WHERE D = '""&amp;K8155&amp;""'"")),""USER TIDAK DIKETAHUI""))"),"")</f>
        <v/>
      </c>
    </row>
    <row r="8156">
      <c r="A8156" s="21" t="str">
        <f t="shared" si="3"/>
        <v/>
      </c>
      <c r="B8156" s="38"/>
      <c r="C8156" s="23"/>
      <c r="D8156" s="23"/>
      <c r="E8156" s="24"/>
      <c r="F8156" s="25"/>
      <c r="G8156" s="25"/>
      <c r="H8156" s="27"/>
      <c r="I8156" s="28"/>
      <c r="J8156" s="39"/>
      <c r="K8156" s="41"/>
      <c r="L8156" s="31" t="str">
        <f>IFERROR(__xludf.DUMMYFUNCTION("IF(OR(E8156="""",K8156=""""),"""",IFERROR(IF(K8156="""","""",query('tbl user'!$A$2:$D10975,""SELECT A WHERE D = '""&amp;K8156&amp;""'"")),""USER TIDAK DIKETAHUI""))"),"")</f>
        <v/>
      </c>
    </row>
    <row r="8157">
      <c r="A8157" s="21" t="str">
        <f t="shared" si="3"/>
        <v/>
      </c>
      <c r="B8157" s="38"/>
      <c r="C8157" s="23"/>
      <c r="D8157" s="23"/>
      <c r="E8157" s="24"/>
      <c r="F8157" s="25"/>
      <c r="G8157" s="25"/>
      <c r="H8157" s="27"/>
      <c r="I8157" s="28"/>
      <c r="J8157" s="39"/>
      <c r="K8157" s="41"/>
      <c r="L8157" s="31" t="str">
        <f>IFERROR(__xludf.DUMMYFUNCTION("IF(OR(E8157="""",K8157=""""),"""",IFERROR(IF(K8157="""","""",query('tbl user'!$A$2:$D10975,""SELECT A WHERE D = '""&amp;K8157&amp;""'"")),""USER TIDAK DIKETAHUI""))"),"")</f>
        <v/>
      </c>
    </row>
    <row r="8158">
      <c r="A8158" s="21" t="str">
        <f t="shared" si="3"/>
        <v/>
      </c>
      <c r="B8158" s="38"/>
      <c r="C8158" s="23"/>
      <c r="D8158" s="23"/>
      <c r="E8158" s="24"/>
      <c r="F8158" s="25"/>
      <c r="G8158" s="25"/>
      <c r="H8158" s="27"/>
      <c r="I8158" s="28"/>
      <c r="J8158" s="39"/>
      <c r="K8158" s="41"/>
      <c r="L8158" s="31" t="str">
        <f>IFERROR(__xludf.DUMMYFUNCTION("IF(OR(E8158="""",K8158=""""),"""",IFERROR(IF(K8158="""","""",query('tbl user'!$A$2:$D10975,""SELECT A WHERE D = '""&amp;K8158&amp;""'"")),""USER TIDAK DIKETAHUI""))"),"")</f>
        <v/>
      </c>
    </row>
    <row r="8159">
      <c r="A8159" s="21" t="str">
        <f t="shared" si="3"/>
        <v/>
      </c>
      <c r="B8159" s="38"/>
      <c r="C8159" s="23"/>
      <c r="D8159" s="23"/>
      <c r="E8159" s="24"/>
      <c r="F8159" s="25"/>
      <c r="G8159" s="25"/>
      <c r="H8159" s="27"/>
      <c r="I8159" s="28"/>
      <c r="J8159" s="39"/>
      <c r="K8159" s="41"/>
      <c r="L8159" s="31" t="str">
        <f>IFERROR(__xludf.DUMMYFUNCTION("IF(OR(E8159="""",K8159=""""),"""",IFERROR(IF(K8159="""","""",query('tbl user'!$A$2:$D10975,""SELECT A WHERE D = '""&amp;K8159&amp;""'"")),""USER TIDAK DIKETAHUI""))"),"")</f>
        <v/>
      </c>
    </row>
    <row r="8160">
      <c r="A8160" s="21" t="str">
        <f t="shared" si="3"/>
        <v/>
      </c>
      <c r="B8160" s="38"/>
      <c r="C8160" s="23"/>
      <c r="D8160" s="23"/>
      <c r="E8160" s="24"/>
      <c r="F8160" s="25"/>
      <c r="G8160" s="25"/>
      <c r="H8160" s="27"/>
      <c r="I8160" s="28"/>
      <c r="J8160" s="39"/>
      <c r="K8160" s="41"/>
      <c r="L8160" s="31" t="str">
        <f>IFERROR(__xludf.DUMMYFUNCTION("IF(OR(E8160="""",K8160=""""),"""",IFERROR(IF(K8160="""","""",query('tbl user'!$A$2:$D10975,""SELECT A WHERE D = '""&amp;K8160&amp;""'"")),""USER TIDAK DIKETAHUI""))"),"")</f>
        <v/>
      </c>
    </row>
    <row r="8161">
      <c r="A8161" s="21" t="str">
        <f t="shared" si="3"/>
        <v/>
      </c>
      <c r="B8161" s="38"/>
      <c r="C8161" s="23"/>
      <c r="D8161" s="23"/>
      <c r="E8161" s="24"/>
      <c r="F8161" s="25"/>
      <c r="G8161" s="25"/>
      <c r="H8161" s="27"/>
      <c r="I8161" s="28"/>
      <c r="J8161" s="39"/>
      <c r="K8161" s="41"/>
      <c r="L8161" s="31" t="str">
        <f>IFERROR(__xludf.DUMMYFUNCTION("IF(OR(E8161="""",K8161=""""),"""",IFERROR(IF(K8161="""","""",query('tbl user'!$A$2:$D10975,""SELECT A WHERE D = '""&amp;K8161&amp;""'"")),""USER TIDAK DIKETAHUI""))"),"")</f>
        <v/>
      </c>
    </row>
    <row r="8162">
      <c r="A8162" s="21" t="str">
        <f t="shared" si="3"/>
        <v/>
      </c>
      <c r="B8162" s="38"/>
      <c r="C8162" s="23"/>
      <c r="D8162" s="23"/>
      <c r="E8162" s="24"/>
      <c r="F8162" s="25"/>
      <c r="G8162" s="25"/>
      <c r="H8162" s="27"/>
      <c r="I8162" s="28"/>
      <c r="J8162" s="39"/>
      <c r="K8162" s="41"/>
      <c r="L8162" s="31" t="str">
        <f>IFERROR(__xludf.DUMMYFUNCTION("IF(OR(E8162="""",K8162=""""),"""",IFERROR(IF(K8162="""","""",query('tbl user'!$A$2:$D10975,""SELECT A WHERE D = '""&amp;K8162&amp;""'"")),""USER TIDAK DIKETAHUI""))"),"")</f>
        <v/>
      </c>
    </row>
    <row r="8163">
      <c r="A8163" s="21" t="str">
        <f t="shared" si="3"/>
        <v/>
      </c>
      <c r="B8163" s="38"/>
      <c r="C8163" s="23"/>
      <c r="D8163" s="23"/>
      <c r="E8163" s="24"/>
      <c r="F8163" s="25"/>
      <c r="G8163" s="25"/>
      <c r="H8163" s="27"/>
      <c r="I8163" s="28"/>
      <c r="J8163" s="39"/>
      <c r="K8163" s="41"/>
      <c r="L8163" s="31" t="str">
        <f>IFERROR(__xludf.DUMMYFUNCTION("IF(OR(E8163="""",K8163=""""),"""",IFERROR(IF(K8163="""","""",query('tbl user'!$A$2:$D10975,""SELECT A WHERE D = '""&amp;K8163&amp;""'"")),""USER TIDAK DIKETAHUI""))"),"")</f>
        <v/>
      </c>
    </row>
    <row r="8164">
      <c r="A8164" s="21" t="str">
        <f t="shared" si="3"/>
        <v/>
      </c>
      <c r="B8164" s="38"/>
      <c r="C8164" s="23"/>
      <c r="D8164" s="23"/>
      <c r="E8164" s="24"/>
      <c r="F8164" s="25"/>
      <c r="G8164" s="25"/>
      <c r="H8164" s="27"/>
      <c r="I8164" s="28"/>
      <c r="J8164" s="39"/>
      <c r="K8164" s="41"/>
      <c r="L8164" s="31" t="str">
        <f>IFERROR(__xludf.DUMMYFUNCTION("IF(OR(E8164="""",K8164=""""),"""",IFERROR(IF(K8164="""","""",query('tbl user'!$A$2:$D10975,""SELECT A WHERE D = '""&amp;K8164&amp;""'"")),""USER TIDAK DIKETAHUI""))"),"")</f>
        <v/>
      </c>
    </row>
    <row r="8165">
      <c r="A8165" s="21" t="str">
        <f t="shared" si="3"/>
        <v/>
      </c>
      <c r="B8165" s="38"/>
      <c r="C8165" s="23"/>
      <c r="D8165" s="23"/>
      <c r="E8165" s="24"/>
      <c r="F8165" s="25"/>
      <c r="G8165" s="25"/>
      <c r="H8165" s="27"/>
      <c r="I8165" s="28"/>
      <c r="J8165" s="39"/>
      <c r="K8165" s="41"/>
      <c r="L8165" s="31" t="str">
        <f>IFERROR(__xludf.DUMMYFUNCTION("IF(OR(E8165="""",K8165=""""),"""",IFERROR(IF(K8165="""","""",query('tbl user'!$A$2:$D10975,""SELECT A WHERE D = '""&amp;K8165&amp;""'"")),""USER TIDAK DIKETAHUI""))"),"")</f>
        <v/>
      </c>
    </row>
    <row r="8166">
      <c r="A8166" s="21" t="str">
        <f t="shared" si="3"/>
        <v/>
      </c>
      <c r="B8166" s="38"/>
      <c r="C8166" s="23"/>
      <c r="D8166" s="23"/>
      <c r="E8166" s="24"/>
      <c r="F8166" s="25"/>
      <c r="G8166" s="25"/>
      <c r="H8166" s="27"/>
      <c r="I8166" s="28"/>
      <c r="J8166" s="39"/>
      <c r="K8166" s="41"/>
      <c r="L8166" s="31" t="str">
        <f>IFERROR(__xludf.DUMMYFUNCTION("IF(OR(E8166="""",K8166=""""),"""",IFERROR(IF(K8166="""","""",query('tbl user'!$A$2:$D10975,""SELECT A WHERE D = '""&amp;K8166&amp;""'"")),""USER TIDAK DIKETAHUI""))"),"")</f>
        <v/>
      </c>
    </row>
    <row r="8167">
      <c r="A8167" s="21" t="str">
        <f t="shared" si="3"/>
        <v/>
      </c>
      <c r="B8167" s="38"/>
      <c r="C8167" s="23"/>
      <c r="D8167" s="23"/>
      <c r="E8167" s="24"/>
      <c r="F8167" s="25"/>
      <c r="G8167" s="25"/>
      <c r="H8167" s="27"/>
      <c r="I8167" s="28"/>
      <c r="J8167" s="39"/>
      <c r="K8167" s="41"/>
      <c r="L8167" s="31" t="str">
        <f>IFERROR(__xludf.DUMMYFUNCTION("IF(OR(E8167="""",K8167=""""),"""",IFERROR(IF(K8167="""","""",query('tbl user'!$A$2:$D10975,""SELECT A WHERE D = '""&amp;K8167&amp;""'"")),""USER TIDAK DIKETAHUI""))"),"")</f>
        <v/>
      </c>
    </row>
    <row r="8168">
      <c r="A8168" s="21" t="str">
        <f t="shared" si="3"/>
        <v/>
      </c>
      <c r="B8168" s="38"/>
      <c r="C8168" s="23"/>
      <c r="D8168" s="23"/>
      <c r="E8168" s="24"/>
      <c r="F8168" s="25"/>
      <c r="G8168" s="25"/>
      <c r="H8168" s="27"/>
      <c r="I8168" s="28"/>
      <c r="J8168" s="39"/>
      <c r="K8168" s="41"/>
      <c r="L8168" s="31" t="str">
        <f>IFERROR(__xludf.DUMMYFUNCTION("IF(OR(E8168="""",K8168=""""),"""",IFERROR(IF(K8168="""","""",query('tbl user'!$A$2:$D10975,""SELECT A WHERE D = '""&amp;K8168&amp;""'"")),""USER TIDAK DIKETAHUI""))"),"")</f>
        <v/>
      </c>
    </row>
    <row r="8169">
      <c r="A8169" s="21" t="str">
        <f t="shared" si="3"/>
        <v/>
      </c>
      <c r="B8169" s="38"/>
      <c r="C8169" s="23"/>
      <c r="D8169" s="23"/>
      <c r="E8169" s="24"/>
      <c r="F8169" s="25"/>
      <c r="G8169" s="25"/>
      <c r="H8169" s="27"/>
      <c r="I8169" s="28"/>
      <c r="J8169" s="39"/>
      <c r="K8169" s="41"/>
      <c r="L8169" s="31" t="str">
        <f>IFERROR(__xludf.DUMMYFUNCTION("IF(OR(E8169="""",K8169=""""),"""",IFERROR(IF(K8169="""","""",query('tbl user'!$A$2:$D10975,""SELECT A WHERE D = '""&amp;K8169&amp;""'"")),""USER TIDAK DIKETAHUI""))"),"")</f>
        <v/>
      </c>
    </row>
    <row r="8170">
      <c r="A8170" s="21" t="str">
        <f t="shared" si="3"/>
        <v/>
      </c>
      <c r="B8170" s="38"/>
      <c r="C8170" s="23"/>
      <c r="D8170" s="23"/>
      <c r="E8170" s="24"/>
      <c r="F8170" s="25"/>
      <c r="G8170" s="25"/>
      <c r="H8170" s="27"/>
      <c r="I8170" s="28"/>
      <c r="J8170" s="39"/>
      <c r="K8170" s="41"/>
      <c r="L8170" s="31" t="str">
        <f>IFERROR(__xludf.DUMMYFUNCTION("IF(OR(E8170="""",K8170=""""),"""",IFERROR(IF(K8170="""","""",query('tbl user'!$A$2:$D10975,""SELECT A WHERE D = '""&amp;K8170&amp;""'"")),""USER TIDAK DIKETAHUI""))"),"")</f>
        <v/>
      </c>
    </row>
    <row r="8171">
      <c r="A8171" s="21" t="str">
        <f t="shared" si="3"/>
        <v/>
      </c>
      <c r="B8171" s="38"/>
      <c r="C8171" s="23"/>
      <c r="D8171" s="23"/>
      <c r="E8171" s="24"/>
      <c r="F8171" s="25"/>
      <c r="G8171" s="25"/>
      <c r="H8171" s="27"/>
      <c r="I8171" s="28"/>
      <c r="J8171" s="39"/>
      <c r="K8171" s="41"/>
      <c r="L8171" s="31" t="str">
        <f>IFERROR(__xludf.DUMMYFUNCTION("IF(OR(E8171="""",K8171=""""),"""",IFERROR(IF(K8171="""","""",query('tbl user'!$A$2:$D10975,""SELECT A WHERE D = '""&amp;K8171&amp;""'"")),""USER TIDAK DIKETAHUI""))"),"")</f>
        <v/>
      </c>
    </row>
    <row r="8172">
      <c r="A8172" s="21" t="str">
        <f t="shared" si="3"/>
        <v/>
      </c>
      <c r="B8172" s="38"/>
      <c r="C8172" s="23"/>
      <c r="D8172" s="23"/>
      <c r="E8172" s="24"/>
      <c r="F8172" s="25"/>
      <c r="G8172" s="25"/>
      <c r="H8172" s="27"/>
      <c r="I8172" s="28"/>
      <c r="J8172" s="39"/>
      <c r="K8172" s="41"/>
      <c r="L8172" s="31" t="str">
        <f>IFERROR(__xludf.DUMMYFUNCTION("IF(OR(E8172="""",K8172=""""),"""",IFERROR(IF(K8172="""","""",query('tbl user'!$A$2:$D10975,""SELECT A WHERE D = '""&amp;K8172&amp;""'"")),""USER TIDAK DIKETAHUI""))"),"")</f>
        <v/>
      </c>
    </row>
    <row r="8173">
      <c r="A8173" s="21" t="str">
        <f t="shared" si="3"/>
        <v/>
      </c>
      <c r="B8173" s="38"/>
      <c r="C8173" s="23"/>
      <c r="D8173" s="23"/>
      <c r="E8173" s="24"/>
      <c r="F8173" s="25"/>
      <c r="G8173" s="25"/>
      <c r="H8173" s="27"/>
      <c r="I8173" s="28"/>
      <c r="J8173" s="39"/>
      <c r="K8173" s="41"/>
      <c r="L8173" s="31" t="str">
        <f>IFERROR(__xludf.DUMMYFUNCTION("IF(OR(E8173="""",K8173=""""),"""",IFERROR(IF(K8173="""","""",query('tbl user'!$A$2:$D10975,""SELECT A WHERE D = '""&amp;K8173&amp;""'"")),""USER TIDAK DIKETAHUI""))"),"")</f>
        <v/>
      </c>
    </row>
    <row r="8174">
      <c r="A8174" s="21" t="str">
        <f t="shared" si="3"/>
        <v/>
      </c>
      <c r="B8174" s="38"/>
      <c r="C8174" s="23"/>
      <c r="D8174" s="23"/>
      <c r="E8174" s="24"/>
      <c r="F8174" s="25"/>
      <c r="G8174" s="25"/>
      <c r="H8174" s="27"/>
      <c r="I8174" s="28"/>
      <c r="J8174" s="39"/>
      <c r="K8174" s="41"/>
      <c r="L8174" s="31" t="str">
        <f>IFERROR(__xludf.DUMMYFUNCTION("IF(OR(E8174="""",K8174=""""),"""",IFERROR(IF(K8174="""","""",query('tbl user'!$A$2:$D10975,""SELECT A WHERE D = '""&amp;K8174&amp;""'"")),""USER TIDAK DIKETAHUI""))"),"")</f>
        <v/>
      </c>
    </row>
    <row r="8175">
      <c r="A8175" s="21" t="str">
        <f t="shared" si="3"/>
        <v/>
      </c>
      <c r="B8175" s="38"/>
      <c r="C8175" s="23"/>
      <c r="D8175" s="23"/>
      <c r="E8175" s="24"/>
      <c r="F8175" s="25"/>
      <c r="G8175" s="25"/>
      <c r="H8175" s="27"/>
      <c r="I8175" s="28"/>
      <c r="J8175" s="39"/>
      <c r="K8175" s="41"/>
      <c r="L8175" s="31" t="str">
        <f>IFERROR(__xludf.DUMMYFUNCTION("IF(OR(E8175="""",K8175=""""),"""",IFERROR(IF(K8175="""","""",query('tbl user'!$A$2:$D10975,""SELECT A WHERE D = '""&amp;K8175&amp;""'"")),""USER TIDAK DIKETAHUI""))"),"")</f>
        <v/>
      </c>
    </row>
    <row r="8176">
      <c r="A8176" s="21" t="str">
        <f t="shared" si="3"/>
        <v/>
      </c>
      <c r="B8176" s="38"/>
      <c r="C8176" s="23"/>
      <c r="D8176" s="23"/>
      <c r="E8176" s="24"/>
      <c r="F8176" s="25"/>
      <c r="G8176" s="25"/>
      <c r="H8176" s="27"/>
      <c r="I8176" s="28"/>
      <c r="J8176" s="39"/>
      <c r="K8176" s="41"/>
      <c r="L8176" s="31" t="str">
        <f>IFERROR(__xludf.DUMMYFUNCTION("IF(OR(E8176="""",K8176=""""),"""",IFERROR(IF(K8176="""","""",query('tbl user'!$A$2:$D10975,""SELECT A WHERE D = '""&amp;K8176&amp;""'"")),""USER TIDAK DIKETAHUI""))"),"")</f>
        <v/>
      </c>
    </row>
    <row r="8177">
      <c r="A8177" s="21" t="str">
        <f t="shared" si="3"/>
        <v/>
      </c>
      <c r="B8177" s="38"/>
      <c r="C8177" s="23"/>
      <c r="D8177" s="23"/>
      <c r="E8177" s="24"/>
      <c r="F8177" s="25"/>
      <c r="G8177" s="25"/>
      <c r="H8177" s="27"/>
      <c r="I8177" s="28"/>
      <c r="J8177" s="39"/>
      <c r="K8177" s="41"/>
      <c r="L8177" s="31" t="str">
        <f>IFERROR(__xludf.DUMMYFUNCTION("IF(OR(E8177="""",K8177=""""),"""",IFERROR(IF(K8177="""","""",query('tbl user'!$A$2:$D10975,""SELECT A WHERE D = '""&amp;K8177&amp;""'"")),""USER TIDAK DIKETAHUI""))"),"")</f>
        <v/>
      </c>
    </row>
    <row r="8178">
      <c r="A8178" s="21" t="str">
        <f t="shared" si="3"/>
        <v/>
      </c>
      <c r="B8178" s="38"/>
      <c r="C8178" s="23"/>
      <c r="D8178" s="23"/>
      <c r="E8178" s="24"/>
      <c r="F8178" s="25"/>
      <c r="G8178" s="25"/>
      <c r="H8178" s="27"/>
      <c r="I8178" s="28"/>
      <c r="J8178" s="39"/>
      <c r="K8178" s="41"/>
      <c r="L8178" s="31" t="str">
        <f>IFERROR(__xludf.DUMMYFUNCTION("IF(OR(E8178="""",K8178=""""),"""",IFERROR(IF(K8178="""","""",query('tbl user'!$A$2:$D10975,""SELECT A WHERE D = '""&amp;K8178&amp;""'"")),""USER TIDAK DIKETAHUI""))"),"")</f>
        <v/>
      </c>
    </row>
    <row r="8179">
      <c r="A8179" s="21" t="str">
        <f t="shared" si="3"/>
        <v/>
      </c>
      <c r="B8179" s="38"/>
      <c r="C8179" s="23"/>
      <c r="D8179" s="23"/>
      <c r="E8179" s="24"/>
      <c r="F8179" s="25"/>
      <c r="G8179" s="25"/>
      <c r="H8179" s="27"/>
      <c r="I8179" s="28"/>
      <c r="J8179" s="39"/>
      <c r="K8179" s="41"/>
      <c r="L8179" s="31" t="str">
        <f>IFERROR(__xludf.DUMMYFUNCTION("IF(OR(E8179="""",K8179=""""),"""",IFERROR(IF(K8179="""","""",query('tbl user'!$A$2:$D10975,""SELECT A WHERE D = '""&amp;K8179&amp;""'"")),""USER TIDAK DIKETAHUI""))"),"")</f>
        <v/>
      </c>
    </row>
    <row r="8180">
      <c r="A8180" s="21" t="str">
        <f t="shared" si="3"/>
        <v/>
      </c>
      <c r="B8180" s="38"/>
      <c r="C8180" s="23"/>
      <c r="D8180" s="23"/>
      <c r="E8180" s="24"/>
      <c r="F8180" s="25"/>
      <c r="G8180" s="25"/>
      <c r="H8180" s="27"/>
      <c r="I8180" s="28"/>
      <c r="J8180" s="39"/>
      <c r="K8180" s="41"/>
      <c r="L8180" s="31" t="str">
        <f>IFERROR(__xludf.DUMMYFUNCTION("IF(OR(E8180="""",K8180=""""),"""",IFERROR(IF(K8180="""","""",query('tbl user'!$A$2:$D10975,""SELECT A WHERE D = '""&amp;K8180&amp;""'"")),""USER TIDAK DIKETAHUI""))"),"")</f>
        <v/>
      </c>
    </row>
    <row r="8181">
      <c r="A8181" s="21" t="str">
        <f t="shared" si="3"/>
        <v/>
      </c>
      <c r="B8181" s="38"/>
      <c r="C8181" s="23"/>
      <c r="D8181" s="23"/>
      <c r="E8181" s="24"/>
      <c r="F8181" s="25"/>
      <c r="G8181" s="25"/>
      <c r="H8181" s="27"/>
      <c r="I8181" s="28"/>
      <c r="J8181" s="39"/>
      <c r="K8181" s="41"/>
      <c r="L8181" s="31" t="str">
        <f>IFERROR(__xludf.DUMMYFUNCTION("IF(OR(E8181="""",K8181=""""),"""",IFERROR(IF(K8181="""","""",query('tbl user'!$A$2:$D10975,""SELECT A WHERE D = '""&amp;K8181&amp;""'"")),""USER TIDAK DIKETAHUI""))"),"")</f>
        <v/>
      </c>
    </row>
    <row r="8182">
      <c r="A8182" s="21" t="str">
        <f t="shared" si="3"/>
        <v/>
      </c>
      <c r="B8182" s="38"/>
      <c r="C8182" s="23"/>
      <c r="D8182" s="23"/>
      <c r="E8182" s="24"/>
      <c r="F8182" s="25"/>
      <c r="G8182" s="25"/>
      <c r="H8182" s="27"/>
      <c r="I8182" s="28"/>
      <c r="J8182" s="39"/>
      <c r="K8182" s="41"/>
      <c r="L8182" s="31" t="str">
        <f>IFERROR(__xludf.DUMMYFUNCTION("IF(OR(E8182="""",K8182=""""),"""",IFERROR(IF(K8182="""","""",query('tbl user'!$A$2:$D10975,""SELECT A WHERE D = '""&amp;K8182&amp;""'"")),""USER TIDAK DIKETAHUI""))"),"")</f>
        <v/>
      </c>
    </row>
    <row r="8183">
      <c r="A8183" s="21" t="str">
        <f t="shared" si="3"/>
        <v/>
      </c>
      <c r="B8183" s="38"/>
      <c r="C8183" s="23"/>
      <c r="D8183" s="23"/>
      <c r="E8183" s="24"/>
      <c r="F8183" s="25"/>
      <c r="G8183" s="25"/>
      <c r="H8183" s="27"/>
      <c r="I8183" s="28"/>
      <c r="J8183" s="39"/>
      <c r="K8183" s="41"/>
      <c r="L8183" s="31" t="str">
        <f>IFERROR(__xludf.DUMMYFUNCTION("IF(OR(E8183="""",K8183=""""),"""",IFERROR(IF(K8183="""","""",query('tbl user'!$A$2:$D10975,""SELECT A WHERE D = '""&amp;K8183&amp;""'"")),""USER TIDAK DIKETAHUI""))"),"")</f>
        <v/>
      </c>
    </row>
    <row r="8184">
      <c r="A8184" s="21" t="str">
        <f t="shared" si="3"/>
        <v/>
      </c>
      <c r="B8184" s="38"/>
      <c r="C8184" s="23"/>
      <c r="D8184" s="23"/>
      <c r="E8184" s="24"/>
      <c r="F8184" s="25"/>
      <c r="G8184" s="25"/>
      <c r="H8184" s="27"/>
      <c r="I8184" s="28"/>
      <c r="J8184" s="39"/>
      <c r="K8184" s="41"/>
      <c r="L8184" s="31" t="str">
        <f>IFERROR(__xludf.DUMMYFUNCTION("IF(OR(E8184="""",K8184=""""),"""",IFERROR(IF(K8184="""","""",query('tbl user'!$A$2:$D10975,""SELECT A WHERE D = '""&amp;K8184&amp;""'"")),""USER TIDAK DIKETAHUI""))"),"")</f>
        <v/>
      </c>
    </row>
    <row r="8185">
      <c r="A8185" s="21" t="str">
        <f t="shared" si="3"/>
        <v/>
      </c>
      <c r="B8185" s="38"/>
      <c r="C8185" s="23"/>
      <c r="D8185" s="23"/>
      <c r="E8185" s="24"/>
      <c r="F8185" s="25"/>
      <c r="G8185" s="25"/>
      <c r="H8185" s="27"/>
      <c r="I8185" s="28"/>
      <c r="J8185" s="39"/>
      <c r="K8185" s="41"/>
      <c r="L8185" s="31" t="str">
        <f>IFERROR(__xludf.DUMMYFUNCTION("IF(OR(E8185="""",K8185=""""),"""",IFERROR(IF(K8185="""","""",query('tbl user'!$A$2:$D10975,""SELECT A WHERE D = '""&amp;K8185&amp;""'"")),""USER TIDAK DIKETAHUI""))"),"")</f>
        <v/>
      </c>
    </row>
    <row r="8186">
      <c r="A8186" s="21" t="str">
        <f t="shared" si="3"/>
        <v/>
      </c>
      <c r="B8186" s="38"/>
      <c r="C8186" s="23"/>
      <c r="D8186" s="23"/>
      <c r="E8186" s="24"/>
      <c r="F8186" s="25"/>
      <c r="G8186" s="25"/>
      <c r="H8186" s="27"/>
      <c r="I8186" s="28"/>
      <c r="J8186" s="39"/>
      <c r="K8186" s="41"/>
      <c r="L8186" s="31" t="str">
        <f>IFERROR(__xludf.DUMMYFUNCTION("IF(OR(E8186="""",K8186=""""),"""",IFERROR(IF(K8186="""","""",query('tbl user'!$A$2:$D10975,""SELECT A WHERE D = '""&amp;K8186&amp;""'"")),""USER TIDAK DIKETAHUI""))"),"")</f>
        <v/>
      </c>
    </row>
    <row r="8187">
      <c r="A8187" s="21" t="str">
        <f t="shared" si="3"/>
        <v/>
      </c>
      <c r="B8187" s="38"/>
      <c r="C8187" s="23"/>
      <c r="D8187" s="23"/>
      <c r="E8187" s="24"/>
      <c r="F8187" s="25"/>
      <c r="G8187" s="25"/>
      <c r="H8187" s="27"/>
      <c r="I8187" s="28"/>
      <c r="J8187" s="39"/>
      <c r="K8187" s="41"/>
      <c r="L8187" s="31" t="str">
        <f>IFERROR(__xludf.DUMMYFUNCTION("IF(OR(E8187="""",K8187=""""),"""",IFERROR(IF(K8187="""","""",query('tbl user'!$A$2:$D10975,""SELECT A WHERE D = '""&amp;K8187&amp;""'"")),""USER TIDAK DIKETAHUI""))"),"")</f>
        <v/>
      </c>
    </row>
    <row r="8188">
      <c r="A8188" s="21" t="str">
        <f t="shared" si="3"/>
        <v/>
      </c>
      <c r="B8188" s="38"/>
      <c r="C8188" s="23"/>
      <c r="D8188" s="23"/>
      <c r="E8188" s="24"/>
      <c r="F8188" s="25"/>
      <c r="G8188" s="25"/>
      <c r="H8188" s="27"/>
      <c r="I8188" s="28"/>
      <c r="J8188" s="39"/>
      <c r="K8188" s="41"/>
      <c r="L8188" s="31" t="str">
        <f>IFERROR(__xludf.DUMMYFUNCTION("IF(OR(E8188="""",K8188=""""),"""",IFERROR(IF(K8188="""","""",query('tbl user'!$A$2:$D10975,""SELECT A WHERE D = '""&amp;K8188&amp;""'"")),""USER TIDAK DIKETAHUI""))"),"")</f>
        <v/>
      </c>
    </row>
    <row r="8189">
      <c r="A8189" s="21" t="str">
        <f t="shared" si="3"/>
        <v/>
      </c>
      <c r="B8189" s="38"/>
      <c r="C8189" s="23"/>
      <c r="D8189" s="23"/>
      <c r="E8189" s="24"/>
      <c r="F8189" s="25"/>
      <c r="G8189" s="25"/>
      <c r="H8189" s="27"/>
      <c r="I8189" s="28"/>
      <c r="J8189" s="39"/>
      <c r="K8189" s="41"/>
      <c r="L8189" s="31" t="str">
        <f>IFERROR(__xludf.DUMMYFUNCTION("IF(OR(E8189="""",K8189=""""),"""",IFERROR(IF(K8189="""","""",query('tbl user'!$A$2:$D10975,""SELECT A WHERE D = '""&amp;K8189&amp;""'"")),""USER TIDAK DIKETAHUI""))"),"")</f>
        <v/>
      </c>
    </row>
    <row r="8190">
      <c r="A8190" s="21" t="str">
        <f t="shared" si="3"/>
        <v/>
      </c>
      <c r="B8190" s="38"/>
      <c r="C8190" s="23"/>
      <c r="D8190" s="23"/>
      <c r="E8190" s="24"/>
      <c r="F8190" s="25"/>
      <c r="G8190" s="25"/>
      <c r="H8190" s="27"/>
      <c r="I8190" s="28"/>
      <c r="J8190" s="39"/>
      <c r="K8190" s="41"/>
      <c r="L8190" s="31" t="str">
        <f>IFERROR(__xludf.DUMMYFUNCTION("IF(OR(E8190="""",K8190=""""),"""",IFERROR(IF(K8190="""","""",query('tbl user'!$A$2:$D10975,""SELECT A WHERE D = '""&amp;K8190&amp;""'"")),""USER TIDAK DIKETAHUI""))"),"")</f>
        <v/>
      </c>
    </row>
    <row r="8191">
      <c r="A8191" s="21" t="str">
        <f t="shared" si="3"/>
        <v/>
      </c>
      <c r="B8191" s="38"/>
      <c r="C8191" s="23"/>
      <c r="D8191" s="23"/>
      <c r="E8191" s="24"/>
      <c r="F8191" s="25"/>
      <c r="G8191" s="25"/>
      <c r="H8191" s="27"/>
      <c r="I8191" s="28"/>
      <c r="J8191" s="39"/>
      <c r="K8191" s="41"/>
      <c r="L8191" s="31" t="str">
        <f>IFERROR(__xludf.DUMMYFUNCTION("IF(OR(E8191="""",K8191=""""),"""",IFERROR(IF(K8191="""","""",query('tbl user'!$A$2:$D10975,""SELECT A WHERE D = '""&amp;K8191&amp;""'"")),""USER TIDAK DIKETAHUI""))"),"")</f>
        <v/>
      </c>
    </row>
    <row r="8192">
      <c r="A8192" s="21" t="str">
        <f t="shared" si="3"/>
        <v/>
      </c>
      <c r="B8192" s="38"/>
      <c r="C8192" s="23"/>
      <c r="D8192" s="23"/>
      <c r="E8192" s="24"/>
      <c r="F8192" s="25"/>
      <c r="G8192" s="25"/>
      <c r="H8192" s="27"/>
      <c r="I8192" s="28"/>
      <c r="J8192" s="39"/>
      <c r="K8192" s="41"/>
      <c r="L8192" s="31" t="str">
        <f>IFERROR(__xludf.DUMMYFUNCTION("IF(OR(E8192="""",K8192=""""),"""",IFERROR(IF(K8192="""","""",query('tbl user'!$A$2:$D10975,""SELECT A WHERE D = '""&amp;K8192&amp;""'"")),""USER TIDAK DIKETAHUI""))"),"")</f>
        <v/>
      </c>
    </row>
    <row r="8193">
      <c r="A8193" s="21" t="str">
        <f t="shared" si="3"/>
        <v/>
      </c>
      <c r="B8193" s="38"/>
      <c r="C8193" s="23"/>
      <c r="D8193" s="23"/>
      <c r="E8193" s="24"/>
      <c r="F8193" s="25"/>
      <c r="G8193" s="25"/>
      <c r="H8193" s="27"/>
      <c r="I8193" s="28"/>
      <c r="J8193" s="39"/>
      <c r="K8193" s="41"/>
      <c r="L8193" s="31" t="str">
        <f>IFERROR(__xludf.DUMMYFUNCTION("IF(OR(E8193="""",K8193=""""),"""",IFERROR(IF(K8193="""","""",query('tbl user'!$A$2:$D10975,""SELECT A WHERE D = '""&amp;K8193&amp;""'"")),""USER TIDAK DIKETAHUI""))"),"")</f>
        <v/>
      </c>
    </row>
    <row r="8194">
      <c r="A8194" s="21" t="str">
        <f t="shared" si="3"/>
        <v/>
      </c>
      <c r="B8194" s="38"/>
      <c r="C8194" s="23"/>
      <c r="D8194" s="23"/>
      <c r="E8194" s="24"/>
      <c r="F8194" s="25"/>
      <c r="G8194" s="25"/>
      <c r="H8194" s="27"/>
      <c r="I8194" s="28"/>
      <c r="J8194" s="39"/>
      <c r="K8194" s="41"/>
      <c r="L8194" s="31" t="str">
        <f>IFERROR(__xludf.DUMMYFUNCTION("IF(OR(E8194="""",K8194=""""),"""",IFERROR(IF(K8194="""","""",query('tbl user'!$A$2:$D10975,""SELECT A WHERE D = '""&amp;K8194&amp;""'"")),""USER TIDAK DIKETAHUI""))"),"")</f>
        <v/>
      </c>
    </row>
    <row r="8195">
      <c r="A8195" s="21" t="str">
        <f t="shared" si="3"/>
        <v/>
      </c>
      <c r="B8195" s="38"/>
      <c r="C8195" s="23"/>
      <c r="D8195" s="23"/>
      <c r="E8195" s="24"/>
      <c r="F8195" s="25"/>
      <c r="G8195" s="25"/>
      <c r="H8195" s="27"/>
      <c r="I8195" s="28"/>
      <c r="J8195" s="39"/>
      <c r="K8195" s="41"/>
      <c r="L8195" s="31" t="str">
        <f>IFERROR(__xludf.DUMMYFUNCTION("IF(OR(E8195="""",K8195=""""),"""",IFERROR(IF(K8195="""","""",query('tbl user'!$A$2:$D10975,""SELECT A WHERE D = '""&amp;K8195&amp;""'"")),""USER TIDAK DIKETAHUI""))"),"")</f>
        <v/>
      </c>
    </row>
    <row r="8196">
      <c r="A8196" s="21" t="str">
        <f t="shared" si="3"/>
        <v/>
      </c>
      <c r="B8196" s="38"/>
      <c r="C8196" s="23"/>
      <c r="D8196" s="23"/>
      <c r="E8196" s="24"/>
      <c r="F8196" s="25"/>
      <c r="G8196" s="25"/>
      <c r="H8196" s="27"/>
      <c r="I8196" s="28"/>
      <c r="J8196" s="39"/>
      <c r="K8196" s="41"/>
      <c r="L8196" s="31" t="str">
        <f>IFERROR(__xludf.DUMMYFUNCTION("IF(OR(E8196="""",K8196=""""),"""",IFERROR(IF(K8196="""","""",query('tbl user'!$A$2:$D10975,""SELECT A WHERE D = '""&amp;K8196&amp;""'"")),""USER TIDAK DIKETAHUI""))"),"")</f>
        <v/>
      </c>
    </row>
    <row r="8197">
      <c r="A8197" s="21" t="str">
        <f t="shared" si="3"/>
        <v/>
      </c>
      <c r="B8197" s="38"/>
      <c r="C8197" s="23"/>
      <c r="D8197" s="23"/>
      <c r="E8197" s="24"/>
      <c r="F8197" s="25"/>
      <c r="G8197" s="25"/>
      <c r="H8197" s="27"/>
      <c r="I8197" s="28"/>
      <c r="J8197" s="39"/>
      <c r="K8197" s="41"/>
      <c r="L8197" s="31" t="str">
        <f>IFERROR(__xludf.DUMMYFUNCTION("IF(OR(E8197="""",K8197=""""),"""",IFERROR(IF(K8197="""","""",query('tbl user'!$A$2:$D10975,""SELECT A WHERE D = '""&amp;K8197&amp;""'"")),""USER TIDAK DIKETAHUI""))"),"")</f>
        <v/>
      </c>
    </row>
    <row r="8198">
      <c r="A8198" s="21" t="str">
        <f t="shared" si="3"/>
        <v/>
      </c>
      <c r="B8198" s="38"/>
      <c r="C8198" s="23"/>
      <c r="D8198" s="23"/>
      <c r="E8198" s="24"/>
      <c r="F8198" s="25"/>
      <c r="G8198" s="25"/>
      <c r="H8198" s="27"/>
      <c r="I8198" s="28"/>
      <c r="J8198" s="39"/>
      <c r="K8198" s="41"/>
      <c r="L8198" s="31" t="str">
        <f>IFERROR(__xludf.DUMMYFUNCTION("IF(OR(E8198="""",K8198=""""),"""",IFERROR(IF(K8198="""","""",query('tbl user'!$A$2:$D10975,""SELECT A WHERE D = '""&amp;K8198&amp;""'"")),""USER TIDAK DIKETAHUI""))"),"")</f>
        <v/>
      </c>
    </row>
    <row r="8199">
      <c r="A8199" s="21" t="str">
        <f t="shared" si="3"/>
        <v/>
      </c>
      <c r="B8199" s="38"/>
      <c r="C8199" s="23"/>
      <c r="D8199" s="23"/>
      <c r="E8199" s="24"/>
      <c r="F8199" s="25"/>
      <c r="G8199" s="25"/>
      <c r="H8199" s="27"/>
      <c r="I8199" s="28"/>
      <c r="J8199" s="39"/>
      <c r="K8199" s="41"/>
      <c r="L8199" s="31" t="str">
        <f>IFERROR(__xludf.DUMMYFUNCTION("IF(OR(E8199="""",K8199=""""),"""",IFERROR(IF(K8199="""","""",query('tbl user'!$A$2:$D10975,""SELECT A WHERE D = '""&amp;K8199&amp;""'"")),""USER TIDAK DIKETAHUI""))"),"")</f>
        <v/>
      </c>
    </row>
    <row r="8200">
      <c r="A8200" s="21" t="str">
        <f t="shared" si="3"/>
        <v/>
      </c>
      <c r="B8200" s="38"/>
      <c r="C8200" s="23"/>
      <c r="D8200" s="23"/>
      <c r="E8200" s="24"/>
      <c r="F8200" s="25"/>
      <c r="G8200" s="25"/>
      <c r="H8200" s="27"/>
      <c r="I8200" s="28"/>
      <c r="J8200" s="39"/>
      <c r="K8200" s="41"/>
      <c r="L8200" s="31" t="str">
        <f>IFERROR(__xludf.DUMMYFUNCTION("IF(OR(E8200="""",K8200=""""),"""",IFERROR(IF(K8200="""","""",query('tbl user'!$A$2:$D10975,""SELECT A WHERE D = '""&amp;K8200&amp;""'"")),""USER TIDAK DIKETAHUI""))"),"")</f>
        <v/>
      </c>
    </row>
    <row r="8201">
      <c r="A8201" s="21" t="str">
        <f t="shared" si="3"/>
        <v/>
      </c>
      <c r="B8201" s="38"/>
      <c r="C8201" s="23"/>
      <c r="D8201" s="23"/>
      <c r="E8201" s="24"/>
      <c r="F8201" s="25"/>
      <c r="G8201" s="25"/>
      <c r="H8201" s="27"/>
      <c r="I8201" s="28"/>
      <c r="J8201" s="39"/>
      <c r="K8201" s="41"/>
      <c r="L8201" s="31" t="str">
        <f>IFERROR(__xludf.DUMMYFUNCTION("IF(OR(E8201="""",K8201=""""),"""",IFERROR(IF(K8201="""","""",query('tbl user'!$A$2:$D10975,""SELECT A WHERE D = '""&amp;K8201&amp;""'"")),""USER TIDAK DIKETAHUI""))"),"")</f>
        <v/>
      </c>
    </row>
    <row r="8202">
      <c r="A8202" s="21" t="str">
        <f t="shared" si="3"/>
        <v/>
      </c>
      <c r="B8202" s="38"/>
      <c r="C8202" s="23"/>
      <c r="D8202" s="23"/>
      <c r="E8202" s="24"/>
      <c r="F8202" s="25"/>
      <c r="G8202" s="25"/>
      <c r="H8202" s="27"/>
      <c r="I8202" s="28"/>
      <c r="J8202" s="39"/>
      <c r="K8202" s="41"/>
      <c r="L8202" s="31" t="str">
        <f>IFERROR(__xludf.DUMMYFUNCTION("IF(OR(E8202="""",K8202=""""),"""",IFERROR(IF(K8202="""","""",query('tbl user'!$A$2:$D10975,""SELECT A WHERE D = '""&amp;K8202&amp;""'"")),""USER TIDAK DIKETAHUI""))"),"")</f>
        <v/>
      </c>
    </row>
    <row r="8203">
      <c r="A8203" s="21" t="str">
        <f t="shared" si="3"/>
        <v/>
      </c>
      <c r="B8203" s="38"/>
      <c r="C8203" s="23"/>
      <c r="D8203" s="23"/>
      <c r="E8203" s="24"/>
      <c r="F8203" s="25"/>
      <c r="G8203" s="25"/>
      <c r="H8203" s="27"/>
      <c r="I8203" s="28"/>
      <c r="J8203" s="39"/>
      <c r="K8203" s="41"/>
      <c r="L8203" s="31" t="str">
        <f>IFERROR(__xludf.DUMMYFUNCTION("IF(OR(E8203="""",K8203=""""),"""",IFERROR(IF(K8203="""","""",query('tbl user'!$A$2:$D10975,""SELECT A WHERE D = '""&amp;K8203&amp;""'"")),""USER TIDAK DIKETAHUI""))"),"")</f>
        <v/>
      </c>
    </row>
    <row r="8204">
      <c r="A8204" s="21" t="str">
        <f t="shared" si="3"/>
        <v/>
      </c>
      <c r="B8204" s="38"/>
      <c r="C8204" s="23"/>
      <c r="D8204" s="23"/>
      <c r="E8204" s="24"/>
      <c r="F8204" s="25"/>
      <c r="G8204" s="25"/>
      <c r="H8204" s="27"/>
      <c r="I8204" s="28"/>
      <c r="J8204" s="39"/>
      <c r="K8204" s="41"/>
      <c r="L8204" s="31" t="str">
        <f>IFERROR(__xludf.DUMMYFUNCTION("IF(OR(E8204="""",K8204=""""),"""",IFERROR(IF(K8204="""","""",query('tbl user'!$A$2:$D10975,""SELECT A WHERE D = '""&amp;K8204&amp;""'"")),""USER TIDAK DIKETAHUI""))"),"")</f>
        <v/>
      </c>
    </row>
    <row r="8205">
      <c r="A8205" s="21" t="str">
        <f t="shared" si="3"/>
        <v/>
      </c>
      <c r="B8205" s="38"/>
      <c r="C8205" s="23"/>
      <c r="D8205" s="23"/>
      <c r="E8205" s="24"/>
      <c r="F8205" s="25"/>
      <c r="G8205" s="25"/>
      <c r="H8205" s="27"/>
      <c r="I8205" s="28"/>
      <c r="J8205" s="39"/>
      <c r="K8205" s="41"/>
      <c r="L8205" s="31" t="str">
        <f>IFERROR(__xludf.DUMMYFUNCTION("IF(OR(E8205="""",K8205=""""),"""",IFERROR(IF(K8205="""","""",query('tbl user'!$A$2:$D10975,""SELECT A WHERE D = '""&amp;K8205&amp;""'"")),""USER TIDAK DIKETAHUI""))"),"")</f>
        <v/>
      </c>
    </row>
    <row r="8206">
      <c r="A8206" s="21" t="str">
        <f t="shared" si="3"/>
        <v/>
      </c>
      <c r="B8206" s="38"/>
      <c r="C8206" s="23"/>
      <c r="D8206" s="23"/>
      <c r="E8206" s="24"/>
      <c r="F8206" s="25"/>
      <c r="G8206" s="25"/>
      <c r="H8206" s="27"/>
      <c r="I8206" s="28"/>
      <c r="J8206" s="39"/>
      <c r="K8206" s="41"/>
      <c r="L8206" s="31" t="str">
        <f>IFERROR(__xludf.DUMMYFUNCTION("IF(OR(E8206="""",K8206=""""),"""",IFERROR(IF(K8206="""","""",query('tbl user'!$A$2:$D10975,""SELECT A WHERE D = '""&amp;K8206&amp;""'"")),""USER TIDAK DIKETAHUI""))"),"")</f>
        <v/>
      </c>
    </row>
    <row r="8207">
      <c r="A8207" s="21" t="str">
        <f t="shared" si="3"/>
        <v/>
      </c>
      <c r="B8207" s="38"/>
      <c r="C8207" s="23"/>
      <c r="D8207" s="23"/>
      <c r="E8207" s="24"/>
      <c r="F8207" s="25"/>
      <c r="G8207" s="25"/>
      <c r="H8207" s="27"/>
      <c r="I8207" s="28"/>
      <c r="J8207" s="39"/>
      <c r="K8207" s="41"/>
      <c r="L8207" s="31" t="str">
        <f>IFERROR(__xludf.DUMMYFUNCTION("IF(OR(E8207="""",K8207=""""),"""",IFERROR(IF(K8207="""","""",query('tbl user'!$A$2:$D10975,""SELECT A WHERE D = '""&amp;K8207&amp;""'"")),""USER TIDAK DIKETAHUI""))"),"")</f>
        <v/>
      </c>
    </row>
    <row r="8208">
      <c r="A8208" s="21" t="str">
        <f t="shared" si="3"/>
        <v/>
      </c>
      <c r="B8208" s="38"/>
      <c r="C8208" s="23"/>
      <c r="D8208" s="23"/>
      <c r="E8208" s="24"/>
      <c r="F8208" s="25"/>
      <c r="G8208" s="25"/>
      <c r="H8208" s="27"/>
      <c r="I8208" s="28"/>
      <c r="J8208" s="39"/>
      <c r="K8208" s="41"/>
      <c r="L8208" s="31" t="str">
        <f>IFERROR(__xludf.DUMMYFUNCTION("IF(OR(E8208="""",K8208=""""),"""",IFERROR(IF(K8208="""","""",query('tbl user'!$A$2:$D10975,""SELECT A WHERE D = '""&amp;K8208&amp;""'"")),""USER TIDAK DIKETAHUI""))"),"")</f>
        <v/>
      </c>
    </row>
    <row r="8209">
      <c r="A8209" s="21" t="str">
        <f t="shared" si="3"/>
        <v/>
      </c>
      <c r="B8209" s="38"/>
      <c r="C8209" s="23"/>
      <c r="D8209" s="23"/>
      <c r="E8209" s="24"/>
      <c r="F8209" s="25"/>
      <c r="G8209" s="25"/>
      <c r="H8209" s="27"/>
      <c r="I8209" s="28"/>
      <c r="J8209" s="39"/>
      <c r="K8209" s="41"/>
      <c r="L8209" s="31" t="str">
        <f>IFERROR(__xludf.DUMMYFUNCTION("IF(OR(E8209="""",K8209=""""),"""",IFERROR(IF(K8209="""","""",query('tbl user'!$A$2:$D10975,""SELECT A WHERE D = '""&amp;K8209&amp;""'"")),""USER TIDAK DIKETAHUI""))"),"")</f>
        <v/>
      </c>
    </row>
    <row r="8210">
      <c r="A8210" s="21" t="str">
        <f t="shared" si="3"/>
        <v/>
      </c>
      <c r="B8210" s="38"/>
      <c r="C8210" s="23"/>
      <c r="D8210" s="23"/>
      <c r="E8210" s="24"/>
      <c r="F8210" s="25"/>
      <c r="G8210" s="25"/>
      <c r="H8210" s="27"/>
      <c r="I8210" s="28"/>
      <c r="J8210" s="39"/>
      <c r="K8210" s="41"/>
      <c r="L8210" s="31" t="str">
        <f>IFERROR(__xludf.DUMMYFUNCTION("IF(OR(E8210="""",K8210=""""),"""",IFERROR(IF(K8210="""","""",query('tbl user'!$A$2:$D10975,""SELECT A WHERE D = '""&amp;K8210&amp;""'"")),""USER TIDAK DIKETAHUI""))"),"")</f>
        <v/>
      </c>
    </row>
    <row r="8211">
      <c r="A8211" s="21" t="str">
        <f t="shared" si="3"/>
        <v/>
      </c>
      <c r="B8211" s="38"/>
      <c r="C8211" s="23"/>
      <c r="D8211" s="23"/>
      <c r="E8211" s="24"/>
      <c r="F8211" s="25"/>
      <c r="G8211" s="25"/>
      <c r="H8211" s="27"/>
      <c r="I8211" s="28"/>
      <c r="J8211" s="39"/>
      <c r="K8211" s="41"/>
      <c r="L8211" s="31" t="str">
        <f>IFERROR(__xludf.DUMMYFUNCTION("IF(OR(E8211="""",K8211=""""),"""",IFERROR(IF(K8211="""","""",query('tbl user'!$A$2:$D10975,""SELECT A WHERE D = '""&amp;K8211&amp;""'"")),""USER TIDAK DIKETAHUI""))"),"")</f>
        <v/>
      </c>
    </row>
    <row r="8212">
      <c r="A8212" s="21" t="str">
        <f t="shared" si="3"/>
        <v/>
      </c>
      <c r="B8212" s="38"/>
      <c r="C8212" s="23"/>
      <c r="D8212" s="23"/>
      <c r="E8212" s="24"/>
      <c r="F8212" s="25"/>
      <c r="G8212" s="25"/>
      <c r="H8212" s="27"/>
      <c r="I8212" s="28"/>
      <c r="J8212" s="39"/>
      <c r="K8212" s="41"/>
      <c r="L8212" s="31" t="str">
        <f>IFERROR(__xludf.DUMMYFUNCTION("IF(OR(E8212="""",K8212=""""),"""",IFERROR(IF(K8212="""","""",query('tbl user'!$A$2:$D10975,""SELECT A WHERE D = '""&amp;K8212&amp;""'"")),""USER TIDAK DIKETAHUI""))"),"")</f>
        <v/>
      </c>
    </row>
    <row r="8213">
      <c r="A8213" s="21" t="str">
        <f t="shared" si="3"/>
        <v/>
      </c>
      <c r="B8213" s="38"/>
      <c r="C8213" s="23"/>
      <c r="D8213" s="23"/>
      <c r="E8213" s="24"/>
      <c r="F8213" s="25"/>
      <c r="G8213" s="25"/>
      <c r="H8213" s="27"/>
      <c r="I8213" s="28"/>
      <c r="J8213" s="39"/>
      <c r="K8213" s="41"/>
      <c r="L8213" s="31" t="str">
        <f>IFERROR(__xludf.DUMMYFUNCTION("IF(OR(E8213="""",K8213=""""),"""",IFERROR(IF(K8213="""","""",query('tbl user'!$A$2:$D10975,""SELECT A WHERE D = '""&amp;K8213&amp;""'"")),""USER TIDAK DIKETAHUI""))"),"")</f>
        <v/>
      </c>
    </row>
    <row r="8214">
      <c r="A8214" s="21" t="str">
        <f t="shared" si="3"/>
        <v/>
      </c>
      <c r="B8214" s="38"/>
      <c r="C8214" s="23"/>
      <c r="D8214" s="23"/>
      <c r="E8214" s="24"/>
      <c r="F8214" s="25"/>
      <c r="G8214" s="25"/>
      <c r="H8214" s="27"/>
      <c r="I8214" s="28"/>
      <c r="J8214" s="39"/>
      <c r="K8214" s="41"/>
      <c r="L8214" s="31" t="str">
        <f>IFERROR(__xludf.DUMMYFUNCTION("IF(OR(E8214="""",K8214=""""),"""",IFERROR(IF(K8214="""","""",query('tbl user'!$A$2:$D10975,""SELECT A WHERE D = '""&amp;K8214&amp;""'"")),""USER TIDAK DIKETAHUI""))"),"")</f>
        <v/>
      </c>
    </row>
    <row r="8215">
      <c r="A8215" s="21" t="str">
        <f t="shared" si="3"/>
        <v/>
      </c>
      <c r="B8215" s="38"/>
      <c r="C8215" s="23"/>
      <c r="D8215" s="23"/>
      <c r="E8215" s="24"/>
      <c r="F8215" s="25"/>
      <c r="G8215" s="25"/>
      <c r="H8215" s="27"/>
      <c r="I8215" s="28"/>
      <c r="J8215" s="39"/>
      <c r="K8215" s="41"/>
      <c r="L8215" s="31" t="str">
        <f>IFERROR(__xludf.DUMMYFUNCTION("IF(OR(E8215="""",K8215=""""),"""",IFERROR(IF(K8215="""","""",query('tbl user'!$A$2:$D10975,""SELECT A WHERE D = '""&amp;K8215&amp;""'"")),""USER TIDAK DIKETAHUI""))"),"")</f>
        <v/>
      </c>
    </row>
    <row r="8216">
      <c r="A8216" s="21" t="str">
        <f t="shared" si="3"/>
        <v/>
      </c>
      <c r="B8216" s="38"/>
      <c r="C8216" s="23"/>
      <c r="D8216" s="23"/>
      <c r="E8216" s="24"/>
      <c r="F8216" s="25"/>
      <c r="G8216" s="25"/>
      <c r="H8216" s="27"/>
      <c r="I8216" s="28"/>
      <c r="J8216" s="39"/>
      <c r="K8216" s="41"/>
      <c r="L8216" s="31" t="str">
        <f>IFERROR(__xludf.DUMMYFUNCTION("IF(OR(E8216="""",K8216=""""),"""",IFERROR(IF(K8216="""","""",query('tbl user'!$A$2:$D10975,""SELECT A WHERE D = '""&amp;K8216&amp;""'"")),""USER TIDAK DIKETAHUI""))"),"")</f>
        <v/>
      </c>
    </row>
    <row r="8217">
      <c r="A8217" s="21" t="str">
        <f t="shared" si="3"/>
        <v/>
      </c>
      <c r="B8217" s="38"/>
      <c r="C8217" s="23"/>
      <c r="D8217" s="23"/>
      <c r="E8217" s="24"/>
      <c r="F8217" s="25"/>
      <c r="G8217" s="25"/>
      <c r="H8217" s="27"/>
      <c r="I8217" s="28"/>
      <c r="J8217" s="39"/>
      <c r="K8217" s="41"/>
      <c r="L8217" s="31" t="str">
        <f>IFERROR(__xludf.DUMMYFUNCTION("IF(OR(E8217="""",K8217=""""),"""",IFERROR(IF(K8217="""","""",query('tbl user'!$A$2:$D10975,""SELECT A WHERE D = '""&amp;K8217&amp;""'"")),""USER TIDAK DIKETAHUI""))"),"")</f>
        <v/>
      </c>
    </row>
    <row r="8218">
      <c r="A8218" s="21" t="str">
        <f t="shared" si="3"/>
        <v/>
      </c>
      <c r="B8218" s="38"/>
      <c r="C8218" s="23"/>
      <c r="D8218" s="23"/>
      <c r="E8218" s="24"/>
      <c r="F8218" s="25"/>
      <c r="G8218" s="25"/>
      <c r="H8218" s="27"/>
      <c r="I8218" s="28"/>
      <c r="J8218" s="39"/>
      <c r="K8218" s="41"/>
      <c r="L8218" s="31" t="str">
        <f>IFERROR(__xludf.DUMMYFUNCTION("IF(OR(E8218="""",K8218=""""),"""",IFERROR(IF(K8218="""","""",query('tbl user'!$A$2:$D10975,""SELECT A WHERE D = '""&amp;K8218&amp;""'"")),""USER TIDAK DIKETAHUI""))"),"")</f>
        <v/>
      </c>
    </row>
    <row r="8219">
      <c r="A8219" s="21" t="str">
        <f t="shared" si="3"/>
        <v/>
      </c>
      <c r="B8219" s="38"/>
      <c r="C8219" s="23"/>
      <c r="D8219" s="23"/>
      <c r="E8219" s="24"/>
      <c r="F8219" s="25"/>
      <c r="G8219" s="25"/>
      <c r="H8219" s="27"/>
      <c r="I8219" s="28"/>
      <c r="J8219" s="39"/>
      <c r="K8219" s="41"/>
      <c r="L8219" s="31" t="str">
        <f>IFERROR(__xludf.DUMMYFUNCTION("IF(OR(E8219="""",K8219=""""),"""",IFERROR(IF(K8219="""","""",query('tbl user'!$A$2:$D10975,""SELECT A WHERE D = '""&amp;K8219&amp;""'"")),""USER TIDAK DIKETAHUI""))"),"")</f>
        <v/>
      </c>
    </row>
    <row r="8220">
      <c r="A8220" s="21" t="str">
        <f t="shared" si="3"/>
        <v/>
      </c>
      <c r="B8220" s="38"/>
      <c r="C8220" s="23"/>
      <c r="D8220" s="23"/>
      <c r="E8220" s="24"/>
      <c r="F8220" s="25"/>
      <c r="G8220" s="25"/>
      <c r="H8220" s="27"/>
      <c r="I8220" s="28"/>
      <c r="J8220" s="39"/>
      <c r="K8220" s="41"/>
      <c r="L8220" s="31" t="str">
        <f>IFERROR(__xludf.DUMMYFUNCTION("IF(OR(E8220="""",K8220=""""),"""",IFERROR(IF(K8220="""","""",query('tbl user'!$A$2:$D10975,""SELECT A WHERE D = '""&amp;K8220&amp;""'"")),""USER TIDAK DIKETAHUI""))"),"")</f>
        <v/>
      </c>
    </row>
    <row r="8221">
      <c r="A8221" s="21" t="str">
        <f t="shared" si="3"/>
        <v/>
      </c>
      <c r="B8221" s="38"/>
      <c r="C8221" s="23"/>
      <c r="D8221" s="23"/>
      <c r="E8221" s="24"/>
      <c r="F8221" s="25"/>
      <c r="G8221" s="25"/>
      <c r="H8221" s="27"/>
      <c r="I8221" s="28"/>
      <c r="J8221" s="39"/>
      <c r="K8221" s="41"/>
      <c r="L8221" s="31" t="str">
        <f>IFERROR(__xludf.DUMMYFUNCTION("IF(OR(E8221="""",K8221=""""),"""",IFERROR(IF(K8221="""","""",query('tbl user'!$A$2:$D10975,""SELECT A WHERE D = '""&amp;K8221&amp;""'"")),""USER TIDAK DIKETAHUI""))"),"")</f>
        <v/>
      </c>
    </row>
    <row r="8222">
      <c r="A8222" s="21" t="str">
        <f t="shared" si="3"/>
        <v/>
      </c>
      <c r="B8222" s="38"/>
      <c r="C8222" s="23"/>
      <c r="D8222" s="23"/>
      <c r="E8222" s="24"/>
      <c r="F8222" s="25"/>
      <c r="G8222" s="25"/>
      <c r="H8222" s="27"/>
      <c r="I8222" s="28"/>
      <c r="J8222" s="39"/>
      <c r="K8222" s="41"/>
      <c r="L8222" s="31" t="str">
        <f>IFERROR(__xludf.DUMMYFUNCTION("IF(OR(E8222="""",K8222=""""),"""",IFERROR(IF(K8222="""","""",query('tbl user'!$A$2:$D10975,""SELECT A WHERE D = '""&amp;K8222&amp;""'"")),""USER TIDAK DIKETAHUI""))"),"")</f>
        <v/>
      </c>
    </row>
    <row r="8223">
      <c r="A8223" s="21" t="str">
        <f t="shared" si="3"/>
        <v/>
      </c>
      <c r="B8223" s="38"/>
      <c r="C8223" s="23"/>
      <c r="D8223" s="23"/>
      <c r="E8223" s="24"/>
      <c r="F8223" s="25"/>
      <c r="G8223" s="25"/>
      <c r="H8223" s="27"/>
      <c r="I8223" s="28"/>
      <c r="J8223" s="39"/>
      <c r="K8223" s="41"/>
      <c r="L8223" s="31" t="str">
        <f>IFERROR(__xludf.DUMMYFUNCTION("IF(OR(E8223="""",K8223=""""),"""",IFERROR(IF(K8223="""","""",query('tbl user'!$A$2:$D10975,""SELECT A WHERE D = '""&amp;K8223&amp;""'"")),""USER TIDAK DIKETAHUI""))"),"")</f>
        <v/>
      </c>
    </row>
    <row r="8224">
      <c r="A8224" s="21" t="str">
        <f t="shared" si="3"/>
        <v/>
      </c>
      <c r="B8224" s="38"/>
      <c r="C8224" s="23"/>
      <c r="D8224" s="23"/>
      <c r="E8224" s="24"/>
      <c r="F8224" s="25"/>
      <c r="G8224" s="25"/>
      <c r="H8224" s="27"/>
      <c r="I8224" s="28"/>
      <c r="J8224" s="39"/>
      <c r="K8224" s="41"/>
      <c r="L8224" s="31" t="str">
        <f>IFERROR(__xludf.DUMMYFUNCTION("IF(OR(E8224="""",K8224=""""),"""",IFERROR(IF(K8224="""","""",query('tbl user'!$A$2:$D10975,""SELECT A WHERE D = '""&amp;K8224&amp;""'"")),""USER TIDAK DIKETAHUI""))"),"")</f>
        <v/>
      </c>
    </row>
    <row r="8225">
      <c r="A8225" s="21" t="str">
        <f t="shared" si="3"/>
        <v/>
      </c>
      <c r="B8225" s="38"/>
      <c r="C8225" s="23"/>
      <c r="D8225" s="23"/>
      <c r="E8225" s="24"/>
      <c r="F8225" s="25"/>
      <c r="G8225" s="25"/>
      <c r="H8225" s="27"/>
      <c r="I8225" s="28"/>
      <c r="J8225" s="39"/>
      <c r="K8225" s="41"/>
      <c r="L8225" s="31" t="str">
        <f>IFERROR(__xludf.DUMMYFUNCTION("IF(OR(E8225="""",K8225=""""),"""",IFERROR(IF(K8225="""","""",query('tbl user'!$A$2:$D10975,""SELECT A WHERE D = '""&amp;K8225&amp;""'"")),""USER TIDAK DIKETAHUI""))"),"")</f>
        <v/>
      </c>
    </row>
    <row r="8226">
      <c r="A8226" s="21" t="str">
        <f t="shared" si="3"/>
        <v/>
      </c>
      <c r="B8226" s="38"/>
      <c r="C8226" s="23"/>
      <c r="D8226" s="23"/>
      <c r="E8226" s="24"/>
      <c r="F8226" s="25"/>
      <c r="G8226" s="25"/>
      <c r="H8226" s="27"/>
      <c r="I8226" s="28"/>
      <c r="J8226" s="39"/>
      <c r="K8226" s="41"/>
      <c r="L8226" s="31" t="str">
        <f>IFERROR(__xludf.DUMMYFUNCTION("IF(OR(E8226="""",K8226=""""),"""",IFERROR(IF(K8226="""","""",query('tbl user'!$A$2:$D10975,""SELECT A WHERE D = '""&amp;K8226&amp;""'"")),""USER TIDAK DIKETAHUI""))"),"")</f>
        <v/>
      </c>
    </row>
    <row r="8227">
      <c r="A8227" s="21" t="str">
        <f t="shared" si="3"/>
        <v/>
      </c>
      <c r="B8227" s="38"/>
      <c r="C8227" s="23"/>
      <c r="D8227" s="23"/>
      <c r="E8227" s="24"/>
      <c r="F8227" s="25"/>
      <c r="G8227" s="25"/>
      <c r="H8227" s="27"/>
      <c r="I8227" s="28"/>
      <c r="J8227" s="39"/>
      <c r="K8227" s="41"/>
      <c r="L8227" s="31" t="str">
        <f>IFERROR(__xludf.DUMMYFUNCTION("IF(OR(E8227="""",K8227=""""),"""",IFERROR(IF(K8227="""","""",query('tbl user'!$A$2:$D10975,""SELECT A WHERE D = '""&amp;K8227&amp;""'"")),""USER TIDAK DIKETAHUI""))"),"")</f>
        <v/>
      </c>
    </row>
    <row r="8228">
      <c r="A8228" s="21" t="str">
        <f t="shared" si="3"/>
        <v/>
      </c>
      <c r="B8228" s="38"/>
      <c r="C8228" s="23"/>
      <c r="D8228" s="23"/>
      <c r="E8228" s="24"/>
      <c r="F8228" s="25"/>
      <c r="G8228" s="25"/>
      <c r="H8228" s="27"/>
      <c r="I8228" s="28"/>
      <c r="J8228" s="39"/>
      <c r="K8228" s="41"/>
      <c r="L8228" s="31" t="str">
        <f>IFERROR(__xludf.DUMMYFUNCTION("IF(OR(E8228="""",K8228=""""),"""",IFERROR(IF(K8228="""","""",query('tbl user'!$A$2:$D10975,""SELECT A WHERE D = '""&amp;K8228&amp;""'"")),""USER TIDAK DIKETAHUI""))"),"")</f>
        <v/>
      </c>
    </row>
    <row r="8229">
      <c r="A8229" s="21" t="str">
        <f t="shared" si="3"/>
        <v/>
      </c>
      <c r="B8229" s="38"/>
      <c r="C8229" s="23"/>
      <c r="D8229" s="23"/>
      <c r="E8229" s="24"/>
      <c r="F8229" s="25"/>
      <c r="G8229" s="25"/>
      <c r="H8229" s="27"/>
      <c r="I8229" s="28"/>
      <c r="J8229" s="39"/>
      <c r="K8229" s="41"/>
      <c r="L8229" s="31" t="str">
        <f>IFERROR(__xludf.DUMMYFUNCTION("IF(OR(E8229="""",K8229=""""),"""",IFERROR(IF(K8229="""","""",query('tbl user'!$A$2:$D10975,""SELECT A WHERE D = '""&amp;K8229&amp;""'"")),""USER TIDAK DIKETAHUI""))"),"")</f>
        <v/>
      </c>
    </row>
    <row r="8230">
      <c r="A8230" s="21" t="str">
        <f t="shared" si="3"/>
        <v/>
      </c>
      <c r="B8230" s="38"/>
      <c r="C8230" s="23"/>
      <c r="D8230" s="23"/>
      <c r="E8230" s="24"/>
      <c r="F8230" s="25"/>
      <c r="G8230" s="25"/>
      <c r="H8230" s="27"/>
      <c r="I8230" s="28"/>
      <c r="J8230" s="39"/>
      <c r="K8230" s="41"/>
      <c r="L8230" s="31" t="str">
        <f>IFERROR(__xludf.DUMMYFUNCTION("IF(OR(E8230="""",K8230=""""),"""",IFERROR(IF(K8230="""","""",query('tbl user'!$A$2:$D10975,""SELECT A WHERE D = '""&amp;K8230&amp;""'"")),""USER TIDAK DIKETAHUI""))"),"")</f>
        <v/>
      </c>
    </row>
    <row r="8231">
      <c r="A8231" s="21" t="str">
        <f t="shared" si="3"/>
        <v/>
      </c>
      <c r="B8231" s="38"/>
      <c r="C8231" s="23"/>
      <c r="D8231" s="23"/>
      <c r="E8231" s="24"/>
      <c r="F8231" s="25"/>
      <c r="G8231" s="25"/>
      <c r="H8231" s="27"/>
      <c r="I8231" s="28"/>
      <c r="J8231" s="39"/>
      <c r="K8231" s="41"/>
      <c r="L8231" s="31" t="str">
        <f>IFERROR(__xludf.DUMMYFUNCTION("IF(OR(E8231="""",K8231=""""),"""",IFERROR(IF(K8231="""","""",query('tbl user'!$A$2:$D10975,""SELECT A WHERE D = '""&amp;K8231&amp;""'"")),""USER TIDAK DIKETAHUI""))"),"")</f>
        <v/>
      </c>
    </row>
    <row r="8232">
      <c r="A8232" s="21" t="str">
        <f t="shared" si="3"/>
        <v/>
      </c>
      <c r="B8232" s="38"/>
      <c r="C8232" s="23"/>
      <c r="D8232" s="23"/>
      <c r="E8232" s="24"/>
      <c r="F8232" s="25"/>
      <c r="G8232" s="25"/>
      <c r="H8232" s="27"/>
      <c r="I8232" s="28"/>
      <c r="J8232" s="39"/>
      <c r="K8232" s="41"/>
      <c r="L8232" s="31" t="str">
        <f>IFERROR(__xludf.DUMMYFUNCTION("IF(OR(E8232="""",K8232=""""),"""",IFERROR(IF(K8232="""","""",query('tbl user'!$A$2:$D10975,""SELECT A WHERE D = '""&amp;K8232&amp;""'"")),""USER TIDAK DIKETAHUI""))"),"")</f>
        <v/>
      </c>
    </row>
    <row r="8233">
      <c r="A8233" s="21" t="str">
        <f t="shared" si="3"/>
        <v/>
      </c>
      <c r="B8233" s="38"/>
      <c r="C8233" s="23"/>
      <c r="D8233" s="23"/>
      <c r="E8233" s="24"/>
      <c r="F8233" s="25"/>
      <c r="G8233" s="25"/>
      <c r="H8233" s="27"/>
      <c r="I8233" s="28"/>
      <c r="J8233" s="39"/>
      <c r="K8233" s="41"/>
      <c r="L8233" s="31" t="str">
        <f>IFERROR(__xludf.DUMMYFUNCTION("IF(OR(E8233="""",K8233=""""),"""",IFERROR(IF(K8233="""","""",query('tbl user'!$A$2:$D10975,""SELECT A WHERE D = '""&amp;K8233&amp;""'"")),""USER TIDAK DIKETAHUI""))"),"")</f>
        <v/>
      </c>
    </row>
    <row r="8234">
      <c r="A8234" s="21" t="str">
        <f t="shared" si="3"/>
        <v/>
      </c>
      <c r="B8234" s="38"/>
      <c r="C8234" s="23"/>
      <c r="D8234" s="23"/>
      <c r="E8234" s="24"/>
      <c r="F8234" s="25"/>
      <c r="G8234" s="25"/>
      <c r="H8234" s="27"/>
      <c r="I8234" s="28"/>
      <c r="J8234" s="39"/>
      <c r="K8234" s="41"/>
      <c r="L8234" s="31" t="str">
        <f>IFERROR(__xludf.DUMMYFUNCTION("IF(OR(E8234="""",K8234=""""),"""",IFERROR(IF(K8234="""","""",query('tbl user'!$A$2:$D10975,""SELECT A WHERE D = '""&amp;K8234&amp;""'"")),""USER TIDAK DIKETAHUI""))"),"")</f>
        <v/>
      </c>
    </row>
    <row r="8235">
      <c r="A8235" s="21" t="str">
        <f t="shared" si="3"/>
        <v/>
      </c>
      <c r="B8235" s="38"/>
      <c r="C8235" s="23"/>
      <c r="D8235" s="23"/>
      <c r="E8235" s="24"/>
      <c r="F8235" s="25"/>
      <c r="G8235" s="25"/>
      <c r="H8235" s="27"/>
      <c r="I8235" s="28"/>
      <c r="J8235" s="39"/>
      <c r="K8235" s="41"/>
      <c r="L8235" s="31" t="str">
        <f>IFERROR(__xludf.DUMMYFUNCTION("IF(OR(E8235="""",K8235=""""),"""",IFERROR(IF(K8235="""","""",query('tbl user'!$A$2:$D10975,""SELECT A WHERE D = '""&amp;K8235&amp;""'"")),""USER TIDAK DIKETAHUI""))"),"")</f>
        <v/>
      </c>
    </row>
    <row r="8236">
      <c r="A8236" s="21" t="str">
        <f t="shared" si="3"/>
        <v/>
      </c>
      <c r="B8236" s="38"/>
      <c r="C8236" s="23"/>
      <c r="D8236" s="23"/>
      <c r="E8236" s="24"/>
      <c r="F8236" s="25"/>
      <c r="G8236" s="25"/>
      <c r="H8236" s="27"/>
      <c r="I8236" s="28"/>
      <c r="J8236" s="39"/>
      <c r="K8236" s="41"/>
      <c r="L8236" s="31" t="str">
        <f>IFERROR(__xludf.DUMMYFUNCTION("IF(OR(E8236="""",K8236=""""),"""",IFERROR(IF(K8236="""","""",query('tbl user'!$A$2:$D10975,""SELECT A WHERE D = '""&amp;K8236&amp;""'"")),""USER TIDAK DIKETAHUI""))"),"")</f>
        <v/>
      </c>
    </row>
    <row r="8237">
      <c r="A8237" s="21" t="str">
        <f t="shared" si="3"/>
        <v/>
      </c>
      <c r="B8237" s="38"/>
      <c r="C8237" s="23"/>
      <c r="D8237" s="23"/>
      <c r="E8237" s="24"/>
      <c r="F8237" s="25"/>
      <c r="G8237" s="25"/>
      <c r="H8237" s="27"/>
      <c r="I8237" s="28"/>
      <c r="J8237" s="39"/>
      <c r="K8237" s="41"/>
      <c r="L8237" s="31" t="str">
        <f>IFERROR(__xludf.DUMMYFUNCTION("IF(OR(E8237="""",K8237=""""),"""",IFERROR(IF(K8237="""","""",query('tbl user'!$A$2:$D10975,""SELECT A WHERE D = '""&amp;K8237&amp;""'"")),""USER TIDAK DIKETAHUI""))"),"")</f>
        <v/>
      </c>
    </row>
    <row r="8238">
      <c r="A8238" s="21" t="str">
        <f t="shared" si="3"/>
        <v/>
      </c>
      <c r="B8238" s="38"/>
      <c r="C8238" s="23"/>
      <c r="D8238" s="23"/>
      <c r="E8238" s="24"/>
      <c r="F8238" s="25"/>
      <c r="G8238" s="25"/>
      <c r="H8238" s="27"/>
      <c r="I8238" s="28"/>
      <c r="J8238" s="39"/>
      <c r="K8238" s="41"/>
      <c r="L8238" s="31" t="str">
        <f>IFERROR(__xludf.DUMMYFUNCTION("IF(OR(E8238="""",K8238=""""),"""",IFERROR(IF(K8238="""","""",query('tbl user'!$A$2:$D10975,""SELECT A WHERE D = '""&amp;K8238&amp;""'"")),""USER TIDAK DIKETAHUI""))"),"")</f>
        <v/>
      </c>
    </row>
    <row r="8239">
      <c r="A8239" s="21" t="str">
        <f t="shared" si="3"/>
        <v/>
      </c>
      <c r="B8239" s="38"/>
      <c r="C8239" s="23"/>
      <c r="D8239" s="23"/>
      <c r="E8239" s="24"/>
      <c r="F8239" s="25"/>
      <c r="G8239" s="25"/>
      <c r="H8239" s="27"/>
      <c r="I8239" s="28"/>
      <c r="J8239" s="39"/>
      <c r="K8239" s="41"/>
      <c r="L8239" s="31" t="str">
        <f>IFERROR(__xludf.DUMMYFUNCTION("IF(OR(E8239="""",K8239=""""),"""",IFERROR(IF(K8239="""","""",query('tbl user'!$A$2:$D10975,""SELECT A WHERE D = '""&amp;K8239&amp;""'"")),""USER TIDAK DIKETAHUI""))"),"")</f>
        <v/>
      </c>
    </row>
    <row r="8240">
      <c r="A8240" s="21" t="str">
        <f t="shared" si="3"/>
        <v/>
      </c>
      <c r="B8240" s="38"/>
      <c r="C8240" s="23"/>
      <c r="D8240" s="23"/>
      <c r="E8240" s="24"/>
      <c r="F8240" s="25"/>
      <c r="G8240" s="25"/>
      <c r="H8240" s="27"/>
      <c r="I8240" s="28"/>
      <c r="J8240" s="39"/>
      <c r="K8240" s="41"/>
      <c r="L8240" s="31" t="str">
        <f>IFERROR(__xludf.DUMMYFUNCTION("IF(OR(E8240="""",K8240=""""),"""",IFERROR(IF(K8240="""","""",query('tbl user'!$A$2:$D10975,""SELECT A WHERE D = '""&amp;K8240&amp;""'"")),""USER TIDAK DIKETAHUI""))"),"")</f>
        <v/>
      </c>
    </row>
    <row r="8241">
      <c r="A8241" s="21" t="str">
        <f t="shared" si="3"/>
        <v/>
      </c>
      <c r="B8241" s="38"/>
      <c r="C8241" s="23"/>
      <c r="D8241" s="23"/>
      <c r="E8241" s="24"/>
      <c r="F8241" s="25"/>
      <c r="G8241" s="25"/>
      <c r="H8241" s="27"/>
      <c r="I8241" s="28"/>
      <c r="J8241" s="39"/>
      <c r="K8241" s="41"/>
      <c r="L8241" s="31" t="str">
        <f>IFERROR(__xludf.DUMMYFUNCTION("IF(OR(E8241="""",K8241=""""),"""",IFERROR(IF(K8241="""","""",query('tbl user'!$A$2:$D10975,""SELECT A WHERE D = '""&amp;K8241&amp;""'"")),""USER TIDAK DIKETAHUI""))"),"")</f>
        <v/>
      </c>
    </row>
    <row r="8242">
      <c r="A8242" s="21" t="str">
        <f t="shared" si="3"/>
        <v/>
      </c>
      <c r="B8242" s="38"/>
      <c r="C8242" s="23"/>
      <c r="D8242" s="23"/>
      <c r="E8242" s="24"/>
      <c r="F8242" s="25"/>
      <c r="G8242" s="25"/>
      <c r="H8242" s="27"/>
      <c r="I8242" s="28"/>
      <c r="J8242" s="39"/>
      <c r="K8242" s="41"/>
      <c r="L8242" s="31" t="str">
        <f>IFERROR(__xludf.DUMMYFUNCTION("IF(OR(E8242="""",K8242=""""),"""",IFERROR(IF(K8242="""","""",query('tbl user'!$A$2:$D10975,""SELECT A WHERE D = '""&amp;K8242&amp;""'"")),""USER TIDAK DIKETAHUI""))"),"")</f>
        <v/>
      </c>
    </row>
    <row r="8243">
      <c r="A8243" s="21" t="str">
        <f t="shared" si="3"/>
        <v/>
      </c>
      <c r="B8243" s="38"/>
      <c r="C8243" s="23"/>
      <c r="D8243" s="23"/>
      <c r="E8243" s="24"/>
      <c r="F8243" s="25"/>
      <c r="G8243" s="25"/>
      <c r="H8243" s="27"/>
      <c r="I8243" s="28"/>
      <c r="J8243" s="39"/>
      <c r="K8243" s="41"/>
      <c r="L8243" s="31" t="str">
        <f>IFERROR(__xludf.DUMMYFUNCTION("IF(OR(E8243="""",K8243=""""),"""",IFERROR(IF(K8243="""","""",query('tbl user'!$A$2:$D10975,""SELECT A WHERE D = '""&amp;K8243&amp;""'"")),""USER TIDAK DIKETAHUI""))"),"")</f>
        <v/>
      </c>
    </row>
    <row r="8244">
      <c r="A8244" s="21" t="str">
        <f t="shared" si="3"/>
        <v/>
      </c>
      <c r="B8244" s="38"/>
      <c r="C8244" s="23"/>
      <c r="D8244" s="23"/>
      <c r="E8244" s="24"/>
      <c r="F8244" s="25"/>
      <c r="G8244" s="25"/>
      <c r="H8244" s="27"/>
      <c r="I8244" s="28"/>
      <c r="J8244" s="39"/>
      <c r="K8244" s="41"/>
      <c r="L8244" s="31" t="str">
        <f>IFERROR(__xludf.DUMMYFUNCTION("IF(OR(E8244="""",K8244=""""),"""",IFERROR(IF(K8244="""","""",query('tbl user'!$A$2:$D10975,""SELECT A WHERE D = '""&amp;K8244&amp;""'"")),""USER TIDAK DIKETAHUI""))"),"")</f>
        <v/>
      </c>
    </row>
    <row r="8245">
      <c r="A8245" s="21" t="str">
        <f t="shared" si="3"/>
        <v/>
      </c>
      <c r="B8245" s="38"/>
      <c r="C8245" s="23"/>
      <c r="D8245" s="23"/>
      <c r="E8245" s="24"/>
      <c r="F8245" s="25"/>
      <c r="G8245" s="25"/>
      <c r="H8245" s="27"/>
      <c r="I8245" s="28"/>
      <c r="J8245" s="39"/>
      <c r="K8245" s="41"/>
      <c r="L8245" s="31" t="str">
        <f>IFERROR(__xludf.DUMMYFUNCTION("IF(OR(E8245="""",K8245=""""),"""",IFERROR(IF(K8245="""","""",query('tbl user'!$A$2:$D10975,""SELECT A WHERE D = '""&amp;K8245&amp;""'"")),""USER TIDAK DIKETAHUI""))"),"")</f>
        <v/>
      </c>
    </row>
    <row r="8246">
      <c r="A8246" s="21" t="str">
        <f t="shared" si="3"/>
        <v/>
      </c>
      <c r="B8246" s="38"/>
      <c r="C8246" s="23"/>
      <c r="D8246" s="23"/>
      <c r="E8246" s="24"/>
      <c r="F8246" s="25"/>
      <c r="G8246" s="25"/>
      <c r="H8246" s="27"/>
      <c r="I8246" s="28"/>
      <c r="J8246" s="39"/>
      <c r="K8246" s="41"/>
      <c r="L8246" s="31" t="str">
        <f>IFERROR(__xludf.DUMMYFUNCTION("IF(OR(E8246="""",K8246=""""),"""",IFERROR(IF(K8246="""","""",query('tbl user'!$A$2:$D10975,""SELECT A WHERE D = '""&amp;K8246&amp;""'"")),""USER TIDAK DIKETAHUI""))"),"")</f>
        <v/>
      </c>
    </row>
    <row r="8247">
      <c r="A8247" s="21" t="str">
        <f t="shared" si="3"/>
        <v/>
      </c>
      <c r="B8247" s="38"/>
      <c r="C8247" s="23"/>
      <c r="D8247" s="23"/>
      <c r="E8247" s="24"/>
      <c r="F8247" s="25"/>
      <c r="G8247" s="25"/>
      <c r="H8247" s="27"/>
      <c r="I8247" s="28"/>
      <c r="J8247" s="39"/>
      <c r="K8247" s="41"/>
      <c r="L8247" s="31" t="str">
        <f>IFERROR(__xludf.DUMMYFUNCTION("IF(OR(E8247="""",K8247=""""),"""",IFERROR(IF(K8247="""","""",query('tbl user'!$A$2:$D10975,""SELECT A WHERE D = '""&amp;K8247&amp;""'"")),""USER TIDAK DIKETAHUI""))"),"")</f>
        <v/>
      </c>
    </row>
    <row r="8248">
      <c r="A8248" s="21" t="str">
        <f t="shared" si="3"/>
        <v/>
      </c>
      <c r="B8248" s="38"/>
      <c r="C8248" s="23"/>
      <c r="D8248" s="23"/>
      <c r="E8248" s="24"/>
      <c r="F8248" s="25"/>
      <c r="G8248" s="25"/>
      <c r="H8248" s="27"/>
      <c r="I8248" s="28"/>
      <c r="J8248" s="39"/>
      <c r="K8248" s="41"/>
      <c r="L8248" s="31" t="str">
        <f>IFERROR(__xludf.DUMMYFUNCTION("IF(OR(E8248="""",K8248=""""),"""",IFERROR(IF(K8248="""","""",query('tbl user'!$A$2:$D10975,""SELECT A WHERE D = '""&amp;K8248&amp;""'"")),""USER TIDAK DIKETAHUI""))"),"")</f>
        <v/>
      </c>
    </row>
    <row r="8249">
      <c r="A8249" s="21" t="str">
        <f t="shared" si="3"/>
        <v/>
      </c>
      <c r="B8249" s="38"/>
      <c r="C8249" s="23"/>
      <c r="D8249" s="23"/>
      <c r="E8249" s="24"/>
      <c r="F8249" s="25"/>
      <c r="G8249" s="25"/>
      <c r="H8249" s="27"/>
      <c r="I8249" s="28"/>
      <c r="J8249" s="39"/>
      <c r="K8249" s="41"/>
      <c r="L8249" s="31" t="str">
        <f>IFERROR(__xludf.DUMMYFUNCTION("IF(OR(E8249="""",K8249=""""),"""",IFERROR(IF(K8249="""","""",query('tbl user'!$A$2:$D10975,""SELECT A WHERE D = '""&amp;K8249&amp;""'"")),""USER TIDAK DIKETAHUI""))"),"")</f>
        <v/>
      </c>
    </row>
    <row r="8250">
      <c r="A8250" s="21" t="str">
        <f t="shared" si="3"/>
        <v/>
      </c>
      <c r="B8250" s="38"/>
      <c r="C8250" s="23"/>
      <c r="D8250" s="23"/>
      <c r="E8250" s="24"/>
      <c r="F8250" s="25"/>
      <c r="G8250" s="25"/>
      <c r="H8250" s="27"/>
      <c r="I8250" s="28"/>
      <c r="J8250" s="39"/>
      <c r="K8250" s="41"/>
      <c r="L8250" s="31" t="str">
        <f>IFERROR(__xludf.DUMMYFUNCTION("IF(OR(E8250="""",K8250=""""),"""",IFERROR(IF(K8250="""","""",query('tbl user'!$A$2:$D10975,""SELECT A WHERE D = '""&amp;K8250&amp;""'"")),""USER TIDAK DIKETAHUI""))"),"")</f>
        <v/>
      </c>
    </row>
    <row r="8251">
      <c r="A8251" s="21" t="str">
        <f t="shared" si="3"/>
        <v/>
      </c>
      <c r="B8251" s="38"/>
      <c r="C8251" s="23"/>
      <c r="D8251" s="23"/>
      <c r="E8251" s="24"/>
      <c r="F8251" s="25"/>
      <c r="G8251" s="25"/>
      <c r="H8251" s="27"/>
      <c r="I8251" s="28"/>
      <c r="J8251" s="39"/>
      <c r="K8251" s="41"/>
      <c r="L8251" s="31" t="str">
        <f>IFERROR(__xludf.DUMMYFUNCTION("IF(OR(E8251="""",K8251=""""),"""",IFERROR(IF(K8251="""","""",query('tbl user'!$A$2:$D10975,""SELECT A WHERE D = '""&amp;K8251&amp;""'"")),""USER TIDAK DIKETAHUI""))"),"")</f>
        <v/>
      </c>
    </row>
    <row r="8252">
      <c r="A8252" s="21" t="str">
        <f t="shared" si="3"/>
        <v/>
      </c>
      <c r="B8252" s="38"/>
      <c r="C8252" s="23"/>
      <c r="D8252" s="23"/>
      <c r="E8252" s="24"/>
      <c r="F8252" s="25"/>
      <c r="G8252" s="25"/>
      <c r="H8252" s="27"/>
      <c r="I8252" s="28"/>
      <c r="J8252" s="39"/>
      <c r="K8252" s="41"/>
      <c r="L8252" s="31" t="str">
        <f>IFERROR(__xludf.DUMMYFUNCTION("IF(OR(E8252="""",K8252=""""),"""",IFERROR(IF(K8252="""","""",query('tbl user'!$A$2:$D10975,""SELECT A WHERE D = '""&amp;K8252&amp;""'"")),""USER TIDAK DIKETAHUI""))"),"")</f>
        <v/>
      </c>
    </row>
    <row r="8253">
      <c r="A8253" s="21" t="str">
        <f t="shared" si="3"/>
        <v/>
      </c>
      <c r="B8253" s="38"/>
      <c r="C8253" s="23"/>
      <c r="D8253" s="23"/>
      <c r="E8253" s="24"/>
      <c r="F8253" s="25"/>
      <c r="G8253" s="25"/>
      <c r="H8253" s="27"/>
      <c r="I8253" s="28"/>
      <c r="J8253" s="39"/>
      <c r="K8253" s="41"/>
      <c r="L8253" s="31" t="str">
        <f>IFERROR(__xludf.DUMMYFUNCTION("IF(OR(E8253="""",K8253=""""),"""",IFERROR(IF(K8253="""","""",query('tbl user'!$A$2:$D10975,""SELECT A WHERE D = '""&amp;K8253&amp;""'"")),""USER TIDAK DIKETAHUI""))"),"")</f>
        <v/>
      </c>
    </row>
    <row r="8254">
      <c r="A8254" s="21" t="str">
        <f t="shared" si="3"/>
        <v/>
      </c>
      <c r="B8254" s="38"/>
      <c r="C8254" s="23"/>
      <c r="D8254" s="23"/>
      <c r="E8254" s="24"/>
      <c r="F8254" s="25"/>
      <c r="G8254" s="25"/>
      <c r="H8254" s="27"/>
      <c r="I8254" s="28"/>
      <c r="J8254" s="39"/>
      <c r="K8254" s="41"/>
      <c r="L8254" s="31" t="str">
        <f>IFERROR(__xludf.DUMMYFUNCTION("IF(OR(E8254="""",K8254=""""),"""",IFERROR(IF(K8254="""","""",query('tbl user'!$A$2:$D10975,""SELECT A WHERE D = '""&amp;K8254&amp;""'"")),""USER TIDAK DIKETAHUI""))"),"")</f>
        <v/>
      </c>
    </row>
    <row r="8255">
      <c r="A8255" s="21" t="str">
        <f t="shared" si="3"/>
        <v/>
      </c>
      <c r="B8255" s="38"/>
      <c r="C8255" s="23"/>
      <c r="D8255" s="23"/>
      <c r="E8255" s="24"/>
      <c r="F8255" s="25"/>
      <c r="G8255" s="25"/>
      <c r="H8255" s="27"/>
      <c r="I8255" s="28"/>
      <c r="J8255" s="39"/>
      <c r="K8255" s="41"/>
      <c r="L8255" s="31" t="str">
        <f>IFERROR(__xludf.DUMMYFUNCTION("IF(OR(E8255="""",K8255=""""),"""",IFERROR(IF(K8255="""","""",query('tbl user'!$A$2:$D10975,""SELECT A WHERE D = '""&amp;K8255&amp;""'"")),""USER TIDAK DIKETAHUI""))"),"")</f>
        <v/>
      </c>
    </row>
    <row r="8256">
      <c r="A8256" s="21" t="str">
        <f t="shared" si="3"/>
        <v/>
      </c>
      <c r="B8256" s="38"/>
      <c r="C8256" s="23"/>
      <c r="D8256" s="23"/>
      <c r="E8256" s="24"/>
      <c r="F8256" s="25"/>
      <c r="G8256" s="25"/>
      <c r="H8256" s="27"/>
      <c r="I8256" s="28"/>
      <c r="J8256" s="39"/>
      <c r="K8256" s="41"/>
      <c r="L8256" s="31" t="str">
        <f>IFERROR(__xludf.DUMMYFUNCTION("IF(OR(E8256="""",K8256=""""),"""",IFERROR(IF(K8256="""","""",query('tbl user'!$A$2:$D10975,""SELECT A WHERE D = '""&amp;K8256&amp;""'"")),""USER TIDAK DIKETAHUI""))"),"")</f>
        <v/>
      </c>
    </row>
    <row r="8257">
      <c r="A8257" s="21" t="str">
        <f t="shared" si="3"/>
        <v/>
      </c>
      <c r="B8257" s="38"/>
      <c r="C8257" s="23"/>
      <c r="D8257" s="23"/>
      <c r="E8257" s="24"/>
      <c r="F8257" s="25"/>
      <c r="G8257" s="25"/>
      <c r="H8257" s="27"/>
      <c r="I8257" s="28"/>
      <c r="J8257" s="39"/>
      <c r="K8257" s="41"/>
      <c r="L8257" s="31" t="str">
        <f>IFERROR(__xludf.DUMMYFUNCTION("IF(OR(E8257="""",K8257=""""),"""",IFERROR(IF(K8257="""","""",query('tbl user'!$A$2:$D10975,""SELECT A WHERE D = '""&amp;K8257&amp;""'"")),""USER TIDAK DIKETAHUI""))"),"")</f>
        <v/>
      </c>
    </row>
    <row r="8258">
      <c r="A8258" s="21" t="str">
        <f t="shared" si="3"/>
        <v/>
      </c>
      <c r="B8258" s="38"/>
      <c r="C8258" s="23"/>
      <c r="D8258" s="23"/>
      <c r="E8258" s="24"/>
      <c r="F8258" s="25"/>
      <c r="G8258" s="25"/>
      <c r="H8258" s="27"/>
      <c r="I8258" s="28"/>
      <c r="J8258" s="39"/>
      <c r="K8258" s="41"/>
      <c r="L8258" s="31" t="str">
        <f>IFERROR(__xludf.DUMMYFUNCTION("IF(OR(E8258="""",K8258=""""),"""",IFERROR(IF(K8258="""","""",query('tbl user'!$A$2:$D10975,""SELECT A WHERE D = '""&amp;K8258&amp;""'"")),""USER TIDAK DIKETAHUI""))"),"")</f>
        <v/>
      </c>
    </row>
    <row r="8259">
      <c r="A8259" s="21" t="str">
        <f t="shared" si="3"/>
        <v/>
      </c>
      <c r="B8259" s="38"/>
      <c r="C8259" s="23"/>
      <c r="D8259" s="23"/>
      <c r="E8259" s="24"/>
      <c r="F8259" s="25"/>
      <c r="G8259" s="25"/>
      <c r="H8259" s="27"/>
      <c r="I8259" s="28"/>
      <c r="J8259" s="39"/>
      <c r="K8259" s="41"/>
      <c r="L8259" s="31" t="str">
        <f>IFERROR(__xludf.DUMMYFUNCTION("IF(OR(E8259="""",K8259=""""),"""",IFERROR(IF(K8259="""","""",query('tbl user'!$A$2:$D10975,""SELECT A WHERE D = '""&amp;K8259&amp;""'"")),""USER TIDAK DIKETAHUI""))"),"")</f>
        <v/>
      </c>
    </row>
    <row r="8260">
      <c r="A8260" s="21" t="str">
        <f t="shared" si="3"/>
        <v/>
      </c>
      <c r="B8260" s="38"/>
      <c r="C8260" s="23"/>
      <c r="D8260" s="23"/>
      <c r="E8260" s="24"/>
      <c r="F8260" s="25"/>
      <c r="G8260" s="25"/>
      <c r="H8260" s="27"/>
      <c r="I8260" s="28"/>
      <c r="J8260" s="39"/>
      <c r="K8260" s="41"/>
      <c r="L8260" s="31" t="str">
        <f>IFERROR(__xludf.DUMMYFUNCTION("IF(OR(E8260="""",K8260=""""),"""",IFERROR(IF(K8260="""","""",query('tbl user'!$A$2:$D10975,""SELECT A WHERE D = '""&amp;K8260&amp;""'"")),""USER TIDAK DIKETAHUI""))"),"")</f>
        <v/>
      </c>
    </row>
    <row r="8261">
      <c r="A8261" s="21" t="str">
        <f t="shared" si="3"/>
        <v/>
      </c>
      <c r="B8261" s="38"/>
      <c r="C8261" s="23"/>
      <c r="D8261" s="23"/>
      <c r="E8261" s="24"/>
      <c r="F8261" s="25"/>
      <c r="G8261" s="25"/>
      <c r="H8261" s="27"/>
      <c r="I8261" s="28"/>
      <c r="J8261" s="39"/>
      <c r="K8261" s="41"/>
      <c r="L8261" s="31" t="str">
        <f>IFERROR(__xludf.DUMMYFUNCTION("IF(OR(E8261="""",K8261=""""),"""",IFERROR(IF(K8261="""","""",query('tbl user'!$A$2:$D10975,""SELECT A WHERE D = '""&amp;K8261&amp;""'"")),""USER TIDAK DIKETAHUI""))"),"")</f>
        <v/>
      </c>
    </row>
    <row r="8262">
      <c r="A8262" s="21" t="str">
        <f t="shared" si="3"/>
        <v/>
      </c>
      <c r="B8262" s="38"/>
      <c r="C8262" s="23"/>
      <c r="D8262" s="23"/>
      <c r="E8262" s="24"/>
      <c r="F8262" s="25"/>
      <c r="G8262" s="25"/>
      <c r="H8262" s="27"/>
      <c r="I8262" s="28"/>
      <c r="J8262" s="39"/>
      <c r="K8262" s="41"/>
      <c r="L8262" s="31" t="str">
        <f>IFERROR(__xludf.DUMMYFUNCTION("IF(OR(E8262="""",K8262=""""),"""",IFERROR(IF(K8262="""","""",query('tbl user'!$A$2:$D10975,""SELECT A WHERE D = '""&amp;K8262&amp;""'"")),""USER TIDAK DIKETAHUI""))"),"")</f>
        <v/>
      </c>
    </row>
    <row r="8263">
      <c r="A8263" s="21" t="str">
        <f t="shared" si="3"/>
        <v/>
      </c>
      <c r="B8263" s="38"/>
      <c r="C8263" s="23"/>
      <c r="D8263" s="23"/>
      <c r="E8263" s="24"/>
      <c r="F8263" s="25"/>
      <c r="G8263" s="25"/>
      <c r="H8263" s="27"/>
      <c r="I8263" s="28"/>
      <c r="J8263" s="39"/>
      <c r="K8263" s="41"/>
      <c r="L8263" s="31" t="str">
        <f>IFERROR(__xludf.DUMMYFUNCTION("IF(OR(E8263="""",K8263=""""),"""",IFERROR(IF(K8263="""","""",query('tbl user'!$A$2:$D10975,""SELECT A WHERE D = '""&amp;K8263&amp;""'"")),""USER TIDAK DIKETAHUI""))"),"")</f>
        <v/>
      </c>
    </row>
    <row r="8264">
      <c r="A8264" s="21" t="str">
        <f t="shared" si="3"/>
        <v/>
      </c>
      <c r="B8264" s="38"/>
      <c r="C8264" s="23"/>
      <c r="D8264" s="23"/>
      <c r="E8264" s="24"/>
      <c r="F8264" s="25"/>
      <c r="G8264" s="25"/>
      <c r="H8264" s="27"/>
      <c r="I8264" s="28"/>
      <c r="J8264" s="39"/>
      <c r="K8264" s="41"/>
      <c r="L8264" s="31" t="str">
        <f>IFERROR(__xludf.DUMMYFUNCTION("IF(OR(E8264="""",K8264=""""),"""",IFERROR(IF(K8264="""","""",query('tbl user'!$A$2:$D10975,""SELECT A WHERE D = '""&amp;K8264&amp;""'"")),""USER TIDAK DIKETAHUI""))"),"")</f>
        <v/>
      </c>
    </row>
    <row r="8265">
      <c r="A8265" s="21" t="str">
        <f t="shared" si="3"/>
        <v/>
      </c>
      <c r="B8265" s="38"/>
      <c r="C8265" s="23"/>
      <c r="D8265" s="23"/>
      <c r="E8265" s="24"/>
      <c r="F8265" s="25"/>
      <c r="G8265" s="25"/>
      <c r="H8265" s="27"/>
      <c r="I8265" s="28"/>
      <c r="J8265" s="39"/>
      <c r="K8265" s="41"/>
      <c r="L8265" s="31" t="str">
        <f>IFERROR(__xludf.DUMMYFUNCTION("IF(OR(E8265="""",K8265=""""),"""",IFERROR(IF(K8265="""","""",query('tbl user'!$A$2:$D10975,""SELECT A WHERE D = '""&amp;K8265&amp;""'"")),""USER TIDAK DIKETAHUI""))"),"")</f>
        <v/>
      </c>
    </row>
    <row r="8266">
      <c r="A8266" s="21" t="str">
        <f t="shared" si="3"/>
        <v/>
      </c>
      <c r="B8266" s="38"/>
      <c r="C8266" s="23"/>
      <c r="D8266" s="23"/>
      <c r="E8266" s="24"/>
      <c r="F8266" s="25"/>
      <c r="G8266" s="25"/>
      <c r="H8266" s="27"/>
      <c r="I8266" s="28"/>
      <c r="J8266" s="39"/>
      <c r="K8266" s="41"/>
      <c r="L8266" s="31" t="str">
        <f>IFERROR(__xludf.DUMMYFUNCTION("IF(OR(E8266="""",K8266=""""),"""",IFERROR(IF(K8266="""","""",query('tbl user'!$A$2:$D10975,""SELECT A WHERE D = '""&amp;K8266&amp;""'"")),""USER TIDAK DIKETAHUI""))"),"")</f>
        <v/>
      </c>
    </row>
    <row r="8267">
      <c r="A8267" s="21" t="str">
        <f t="shared" si="3"/>
        <v/>
      </c>
      <c r="B8267" s="38"/>
      <c r="C8267" s="23"/>
      <c r="D8267" s="23"/>
      <c r="E8267" s="24"/>
      <c r="F8267" s="25"/>
      <c r="G8267" s="25"/>
      <c r="H8267" s="27"/>
      <c r="I8267" s="28"/>
      <c r="J8267" s="39"/>
      <c r="K8267" s="41"/>
      <c r="L8267" s="31" t="str">
        <f>IFERROR(__xludf.DUMMYFUNCTION("IF(OR(E8267="""",K8267=""""),"""",IFERROR(IF(K8267="""","""",query('tbl user'!$A$2:$D10975,""SELECT A WHERE D = '""&amp;K8267&amp;""'"")),""USER TIDAK DIKETAHUI""))"),"")</f>
        <v/>
      </c>
    </row>
    <row r="8268">
      <c r="A8268" s="21" t="str">
        <f t="shared" si="3"/>
        <v/>
      </c>
      <c r="B8268" s="38"/>
      <c r="C8268" s="23"/>
      <c r="D8268" s="23"/>
      <c r="E8268" s="24"/>
      <c r="F8268" s="25"/>
      <c r="G8268" s="25"/>
      <c r="H8268" s="27"/>
      <c r="I8268" s="28"/>
      <c r="J8268" s="39"/>
      <c r="K8268" s="41"/>
      <c r="L8268" s="31" t="str">
        <f>IFERROR(__xludf.DUMMYFUNCTION("IF(OR(E8268="""",K8268=""""),"""",IFERROR(IF(K8268="""","""",query('tbl user'!$A$2:$D10975,""SELECT A WHERE D = '""&amp;K8268&amp;""'"")),""USER TIDAK DIKETAHUI""))"),"")</f>
        <v/>
      </c>
    </row>
    <row r="8269">
      <c r="A8269" s="21" t="str">
        <f t="shared" si="3"/>
        <v/>
      </c>
      <c r="B8269" s="38"/>
      <c r="C8269" s="23"/>
      <c r="D8269" s="23"/>
      <c r="E8269" s="24"/>
      <c r="F8269" s="25"/>
      <c r="G8269" s="25"/>
      <c r="H8269" s="27"/>
      <c r="I8269" s="28"/>
      <c r="J8269" s="39"/>
      <c r="K8269" s="41"/>
      <c r="L8269" s="31" t="str">
        <f>IFERROR(__xludf.DUMMYFUNCTION("IF(OR(E8269="""",K8269=""""),"""",IFERROR(IF(K8269="""","""",query('tbl user'!$A$2:$D10975,""SELECT A WHERE D = '""&amp;K8269&amp;""'"")),""USER TIDAK DIKETAHUI""))"),"")</f>
        <v/>
      </c>
    </row>
    <row r="8270">
      <c r="A8270" s="21" t="str">
        <f t="shared" si="3"/>
        <v/>
      </c>
      <c r="B8270" s="38"/>
      <c r="C8270" s="23"/>
      <c r="D8270" s="23"/>
      <c r="E8270" s="24"/>
      <c r="F8270" s="25"/>
      <c r="G8270" s="25"/>
      <c r="H8270" s="27"/>
      <c r="I8270" s="28"/>
      <c r="J8270" s="39"/>
      <c r="K8270" s="41"/>
      <c r="L8270" s="31" t="str">
        <f>IFERROR(__xludf.DUMMYFUNCTION("IF(OR(E8270="""",K8270=""""),"""",IFERROR(IF(K8270="""","""",query('tbl user'!$A$2:$D10975,""SELECT A WHERE D = '""&amp;K8270&amp;""'"")),""USER TIDAK DIKETAHUI""))"),"")</f>
        <v/>
      </c>
    </row>
    <row r="8271">
      <c r="A8271" s="21" t="str">
        <f t="shared" si="3"/>
        <v/>
      </c>
      <c r="B8271" s="38"/>
      <c r="C8271" s="23"/>
      <c r="D8271" s="23"/>
      <c r="E8271" s="24"/>
      <c r="F8271" s="25"/>
      <c r="G8271" s="25"/>
      <c r="H8271" s="27"/>
      <c r="I8271" s="28"/>
      <c r="J8271" s="39"/>
      <c r="K8271" s="41"/>
      <c r="L8271" s="31" t="str">
        <f>IFERROR(__xludf.DUMMYFUNCTION("IF(OR(E8271="""",K8271=""""),"""",IFERROR(IF(K8271="""","""",query('tbl user'!$A$2:$D10975,""SELECT A WHERE D = '""&amp;K8271&amp;""'"")),""USER TIDAK DIKETAHUI""))"),"")</f>
        <v/>
      </c>
    </row>
    <row r="8272">
      <c r="A8272" s="21" t="str">
        <f t="shared" si="3"/>
        <v/>
      </c>
      <c r="B8272" s="38"/>
      <c r="C8272" s="23"/>
      <c r="D8272" s="23"/>
      <c r="E8272" s="24"/>
      <c r="F8272" s="25"/>
      <c r="G8272" s="25"/>
      <c r="H8272" s="27"/>
      <c r="I8272" s="28"/>
      <c r="J8272" s="39"/>
      <c r="K8272" s="41"/>
      <c r="L8272" s="31" t="str">
        <f>IFERROR(__xludf.DUMMYFUNCTION("IF(OR(E8272="""",K8272=""""),"""",IFERROR(IF(K8272="""","""",query('tbl user'!$A$2:$D10975,""SELECT A WHERE D = '""&amp;K8272&amp;""'"")),""USER TIDAK DIKETAHUI""))"),"")</f>
        <v/>
      </c>
    </row>
    <row r="8273">
      <c r="A8273" s="21" t="str">
        <f t="shared" si="3"/>
        <v/>
      </c>
      <c r="B8273" s="38"/>
      <c r="C8273" s="23"/>
      <c r="D8273" s="23"/>
      <c r="E8273" s="24"/>
      <c r="F8273" s="25"/>
      <c r="G8273" s="25"/>
      <c r="H8273" s="27"/>
      <c r="I8273" s="28"/>
      <c r="J8273" s="39"/>
      <c r="K8273" s="41"/>
      <c r="L8273" s="31" t="str">
        <f>IFERROR(__xludf.DUMMYFUNCTION("IF(OR(E8273="""",K8273=""""),"""",IFERROR(IF(K8273="""","""",query('tbl user'!$A$2:$D10975,""SELECT A WHERE D = '""&amp;K8273&amp;""'"")),""USER TIDAK DIKETAHUI""))"),"")</f>
        <v/>
      </c>
    </row>
    <row r="8274">
      <c r="A8274" s="21" t="str">
        <f t="shared" si="3"/>
        <v/>
      </c>
      <c r="B8274" s="38"/>
      <c r="C8274" s="23"/>
      <c r="D8274" s="23"/>
      <c r="E8274" s="24"/>
      <c r="F8274" s="25"/>
      <c r="G8274" s="25"/>
      <c r="H8274" s="27"/>
      <c r="I8274" s="28"/>
      <c r="J8274" s="39"/>
      <c r="K8274" s="41"/>
      <c r="L8274" s="31" t="str">
        <f>IFERROR(__xludf.DUMMYFUNCTION("IF(OR(E8274="""",K8274=""""),"""",IFERROR(IF(K8274="""","""",query('tbl user'!$A$2:$D10975,""SELECT A WHERE D = '""&amp;K8274&amp;""'"")),""USER TIDAK DIKETAHUI""))"),"")</f>
        <v/>
      </c>
    </row>
    <row r="8275">
      <c r="A8275" s="21" t="str">
        <f t="shared" si="3"/>
        <v/>
      </c>
      <c r="B8275" s="38"/>
      <c r="C8275" s="23"/>
      <c r="D8275" s="23"/>
      <c r="E8275" s="24"/>
      <c r="F8275" s="25"/>
      <c r="G8275" s="25"/>
      <c r="H8275" s="27"/>
      <c r="I8275" s="28"/>
      <c r="J8275" s="39"/>
      <c r="K8275" s="41"/>
      <c r="L8275" s="31" t="str">
        <f>IFERROR(__xludf.DUMMYFUNCTION("IF(OR(E8275="""",K8275=""""),"""",IFERROR(IF(K8275="""","""",query('tbl user'!$A$2:$D10975,""SELECT A WHERE D = '""&amp;K8275&amp;""'"")),""USER TIDAK DIKETAHUI""))"),"")</f>
        <v/>
      </c>
    </row>
    <row r="8276">
      <c r="A8276" s="21" t="str">
        <f t="shared" si="3"/>
        <v/>
      </c>
      <c r="B8276" s="38"/>
      <c r="C8276" s="23"/>
      <c r="D8276" s="23"/>
      <c r="E8276" s="24"/>
      <c r="F8276" s="25"/>
      <c r="G8276" s="25"/>
      <c r="H8276" s="27"/>
      <c r="I8276" s="28"/>
      <c r="J8276" s="39"/>
      <c r="K8276" s="41"/>
      <c r="L8276" s="31" t="str">
        <f>IFERROR(__xludf.DUMMYFUNCTION("IF(OR(E8276="""",K8276=""""),"""",IFERROR(IF(K8276="""","""",query('tbl user'!$A$2:$D10975,""SELECT A WHERE D = '""&amp;K8276&amp;""'"")),""USER TIDAK DIKETAHUI""))"),"")</f>
        <v/>
      </c>
    </row>
    <row r="8277">
      <c r="A8277" s="21" t="str">
        <f t="shared" si="3"/>
        <v/>
      </c>
      <c r="B8277" s="38"/>
      <c r="C8277" s="23"/>
      <c r="D8277" s="23"/>
      <c r="E8277" s="24"/>
      <c r="F8277" s="25"/>
      <c r="G8277" s="25"/>
      <c r="H8277" s="27"/>
      <c r="I8277" s="28"/>
      <c r="J8277" s="39"/>
      <c r="K8277" s="41"/>
      <c r="L8277" s="31" t="str">
        <f>IFERROR(__xludf.DUMMYFUNCTION("IF(OR(E8277="""",K8277=""""),"""",IFERROR(IF(K8277="""","""",query('tbl user'!$A$2:$D10975,""SELECT A WHERE D = '""&amp;K8277&amp;""'"")),""USER TIDAK DIKETAHUI""))"),"")</f>
        <v/>
      </c>
    </row>
    <row r="8278">
      <c r="A8278" s="21" t="str">
        <f t="shared" si="3"/>
        <v/>
      </c>
      <c r="B8278" s="38"/>
      <c r="C8278" s="23"/>
      <c r="D8278" s="23"/>
      <c r="E8278" s="24"/>
      <c r="F8278" s="25"/>
      <c r="G8278" s="25"/>
      <c r="H8278" s="27"/>
      <c r="I8278" s="28"/>
      <c r="J8278" s="39"/>
      <c r="K8278" s="41"/>
      <c r="L8278" s="31" t="str">
        <f>IFERROR(__xludf.DUMMYFUNCTION("IF(OR(E8278="""",K8278=""""),"""",IFERROR(IF(K8278="""","""",query('tbl user'!$A$2:$D10975,""SELECT A WHERE D = '""&amp;K8278&amp;""'"")),""USER TIDAK DIKETAHUI""))"),"")</f>
        <v/>
      </c>
    </row>
    <row r="8279">
      <c r="A8279" s="21" t="str">
        <f t="shared" si="3"/>
        <v/>
      </c>
      <c r="B8279" s="38"/>
      <c r="C8279" s="23"/>
      <c r="D8279" s="23"/>
      <c r="E8279" s="24"/>
      <c r="F8279" s="25"/>
      <c r="G8279" s="25"/>
      <c r="H8279" s="27"/>
      <c r="I8279" s="28"/>
      <c r="J8279" s="39"/>
      <c r="K8279" s="41"/>
      <c r="L8279" s="31" t="str">
        <f>IFERROR(__xludf.DUMMYFUNCTION("IF(OR(E8279="""",K8279=""""),"""",IFERROR(IF(K8279="""","""",query('tbl user'!$A$2:$D10975,""SELECT A WHERE D = '""&amp;K8279&amp;""'"")),""USER TIDAK DIKETAHUI""))"),"")</f>
        <v/>
      </c>
    </row>
    <row r="8280">
      <c r="A8280" s="21" t="str">
        <f t="shared" si="3"/>
        <v/>
      </c>
      <c r="B8280" s="38"/>
      <c r="C8280" s="23"/>
      <c r="D8280" s="23"/>
      <c r="E8280" s="24"/>
      <c r="F8280" s="25"/>
      <c r="G8280" s="25"/>
      <c r="H8280" s="27"/>
      <c r="I8280" s="28"/>
      <c r="J8280" s="39"/>
      <c r="K8280" s="41"/>
      <c r="L8280" s="31" t="str">
        <f>IFERROR(__xludf.DUMMYFUNCTION("IF(OR(E8280="""",K8280=""""),"""",IFERROR(IF(K8280="""","""",query('tbl user'!$A$2:$D10975,""SELECT A WHERE D = '""&amp;K8280&amp;""'"")),""USER TIDAK DIKETAHUI""))"),"")</f>
        <v/>
      </c>
    </row>
    <row r="8281">
      <c r="A8281" s="21" t="str">
        <f t="shared" si="3"/>
        <v/>
      </c>
      <c r="B8281" s="38"/>
      <c r="C8281" s="23"/>
      <c r="D8281" s="23"/>
      <c r="E8281" s="24"/>
      <c r="F8281" s="25"/>
      <c r="G8281" s="25"/>
      <c r="H8281" s="27"/>
      <c r="I8281" s="28"/>
      <c r="J8281" s="39"/>
      <c r="K8281" s="41"/>
      <c r="L8281" s="31" t="str">
        <f>IFERROR(__xludf.DUMMYFUNCTION("IF(OR(E8281="""",K8281=""""),"""",IFERROR(IF(K8281="""","""",query('tbl user'!$A$2:$D10975,""SELECT A WHERE D = '""&amp;K8281&amp;""'"")),""USER TIDAK DIKETAHUI""))"),"")</f>
        <v/>
      </c>
    </row>
    <row r="8282">
      <c r="A8282" s="21" t="str">
        <f t="shared" si="3"/>
        <v/>
      </c>
      <c r="B8282" s="38"/>
      <c r="C8282" s="23"/>
      <c r="D8282" s="23"/>
      <c r="E8282" s="24"/>
      <c r="F8282" s="25"/>
      <c r="G8282" s="25"/>
      <c r="H8282" s="27"/>
      <c r="I8282" s="28"/>
      <c r="J8282" s="39"/>
      <c r="K8282" s="41"/>
      <c r="L8282" s="31" t="str">
        <f>IFERROR(__xludf.DUMMYFUNCTION("IF(OR(E8282="""",K8282=""""),"""",IFERROR(IF(K8282="""","""",query('tbl user'!$A$2:$D10975,""SELECT A WHERE D = '""&amp;K8282&amp;""'"")),""USER TIDAK DIKETAHUI""))"),"")</f>
        <v/>
      </c>
    </row>
    <row r="8283">
      <c r="A8283" s="21" t="str">
        <f t="shared" si="3"/>
        <v/>
      </c>
      <c r="B8283" s="38"/>
      <c r="C8283" s="23"/>
      <c r="D8283" s="23"/>
      <c r="E8283" s="24"/>
      <c r="F8283" s="25"/>
      <c r="G8283" s="25"/>
      <c r="H8283" s="27"/>
      <c r="I8283" s="28"/>
      <c r="J8283" s="39"/>
      <c r="K8283" s="41"/>
      <c r="L8283" s="31" t="str">
        <f>IFERROR(__xludf.DUMMYFUNCTION("IF(OR(E8283="""",K8283=""""),"""",IFERROR(IF(K8283="""","""",query('tbl user'!$A$2:$D10975,""SELECT A WHERE D = '""&amp;K8283&amp;""'"")),""USER TIDAK DIKETAHUI""))"),"")</f>
        <v/>
      </c>
    </row>
    <row r="8284">
      <c r="A8284" s="21" t="str">
        <f t="shared" si="3"/>
        <v/>
      </c>
      <c r="B8284" s="38"/>
      <c r="C8284" s="23"/>
      <c r="D8284" s="23"/>
      <c r="E8284" s="24"/>
      <c r="F8284" s="25"/>
      <c r="G8284" s="25"/>
      <c r="H8284" s="27"/>
      <c r="I8284" s="28"/>
      <c r="J8284" s="39"/>
      <c r="K8284" s="41"/>
      <c r="L8284" s="31" t="str">
        <f>IFERROR(__xludf.DUMMYFUNCTION("IF(OR(E8284="""",K8284=""""),"""",IFERROR(IF(K8284="""","""",query('tbl user'!$A$2:$D10975,""SELECT A WHERE D = '""&amp;K8284&amp;""'"")),""USER TIDAK DIKETAHUI""))"),"")</f>
        <v/>
      </c>
    </row>
    <row r="8285">
      <c r="A8285" s="21" t="str">
        <f t="shared" si="3"/>
        <v/>
      </c>
      <c r="B8285" s="38"/>
      <c r="C8285" s="23"/>
      <c r="D8285" s="23"/>
      <c r="E8285" s="24"/>
      <c r="F8285" s="25"/>
      <c r="G8285" s="25"/>
      <c r="H8285" s="27"/>
      <c r="I8285" s="28"/>
      <c r="J8285" s="39"/>
      <c r="K8285" s="41"/>
      <c r="L8285" s="31" t="str">
        <f>IFERROR(__xludf.DUMMYFUNCTION("IF(OR(E8285="""",K8285=""""),"""",IFERROR(IF(K8285="""","""",query('tbl user'!$A$2:$D10975,""SELECT A WHERE D = '""&amp;K8285&amp;""'"")),""USER TIDAK DIKETAHUI""))"),"")</f>
        <v/>
      </c>
    </row>
    <row r="8286">
      <c r="A8286" s="21" t="str">
        <f t="shared" si="3"/>
        <v/>
      </c>
      <c r="B8286" s="38"/>
      <c r="C8286" s="23"/>
      <c r="D8286" s="23"/>
      <c r="E8286" s="24"/>
      <c r="F8286" s="25"/>
      <c r="G8286" s="25"/>
      <c r="H8286" s="27"/>
      <c r="I8286" s="28"/>
      <c r="J8286" s="39"/>
      <c r="K8286" s="41"/>
      <c r="L8286" s="31" t="str">
        <f>IFERROR(__xludf.DUMMYFUNCTION("IF(OR(E8286="""",K8286=""""),"""",IFERROR(IF(K8286="""","""",query('tbl user'!$A$2:$D10975,""SELECT A WHERE D = '""&amp;K8286&amp;""'"")),""USER TIDAK DIKETAHUI""))"),"")</f>
        <v/>
      </c>
    </row>
    <row r="8287">
      <c r="A8287" s="21" t="str">
        <f t="shared" si="3"/>
        <v/>
      </c>
      <c r="B8287" s="38"/>
      <c r="C8287" s="23"/>
      <c r="D8287" s="23"/>
      <c r="E8287" s="24"/>
      <c r="F8287" s="25"/>
      <c r="G8287" s="25"/>
      <c r="H8287" s="27"/>
      <c r="I8287" s="28"/>
      <c r="J8287" s="39"/>
      <c r="K8287" s="41"/>
      <c r="L8287" s="31" t="str">
        <f>IFERROR(__xludf.DUMMYFUNCTION("IF(OR(E8287="""",K8287=""""),"""",IFERROR(IF(K8287="""","""",query('tbl user'!$A$2:$D10975,""SELECT A WHERE D = '""&amp;K8287&amp;""'"")),""USER TIDAK DIKETAHUI""))"),"")</f>
        <v/>
      </c>
    </row>
    <row r="8288">
      <c r="A8288" s="21" t="str">
        <f t="shared" si="3"/>
        <v/>
      </c>
      <c r="B8288" s="38"/>
      <c r="C8288" s="23"/>
      <c r="D8288" s="23"/>
      <c r="E8288" s="24"/>
      <c r="F8288" s="25"/>
      <c r="G8288" s="25"/>
      <c r="H8288" s="27"/>
      <c r="I8288" s="28"/>
      <c r="J8288" s="39"/>
      <c r="K8288" s="41"/>
      <c r="L8288" s="31" t="str">
        <f>IFERROR(__xludf.DUMMYFUNCTION("IF(OR(E8288="""",K8288=""""),"""",IFERROR(IF(K8288="""","""",query('tbl user'!$A$2:$D10975,""SELECT A WHERE D = '""&amp;K8288&amp;""'"")),""USER TIDAK DIKETAHUI""))"),"")</f>
        <v/>
      </c>
    </row>
    <row r="8289">
      <c r="A8289" s="21" t="str">
        <f t="shared" si="3"/>
        <v/>
      </c>
      <c r="B8289" s="38"/>
      <c r="C8289" s="23"/>
      <c r="D8289" s="23"/>
      <c r="E8289" s="24"/>
      <c r="F8289" s="25"/>
      <c r="G8289" s="25"/>
      <c r="H8289" s="27"/>
      <c r="I8289" s="28"/>
      <c r="J8289" s="39"/>
      <c r="K8289" s="41"/>
      <c r="L8289" s="31" t="str">
        <f>IFERROR(__xludf.DUMMYFUNCTION("IF(OR(E8289="""",K8289=""""),"""",IFERROR(IF(K8289="""","""",query('tbl user'!$A$2:$D10975,""SELECT A WHERE D = '""&amp;K8289&amp;""'"")),""USER TIDAK DIKETAHUI""))"),"")</f>
        <v/>
      </c>
    </row>
    <row r="8290">
      <c r="A8290" s="21" t="str">
        <f t="shared" si="3"/>
        <v/>
      </c>
      <c r="B8290" s="38"/>
      <c r="C8290" s="23"/>
      <c r="D8290" s="23"/>
      <c r="E8290" s="24"/>
      <c r="F8290" s="25"/>
      <c r="G8290" s="25"/>
      <c r="H8290" s="27"/>
      <c r="I8290" s="28"/>
      <c r="J8290" s="39"/>
      <c r="K8290" s="41"/>
      <c r="L8290" s="31" t="str">
        <f>IFERROR(__xludf.DUMMYFUNCTION("IF(OR(E8290="""",K8290=""""),"""",IFERROR(IF(K8290="""","""",query('tbl user'!$A$2:$D10975,""SELECT A WHERE D = '""&amp;K8290&amp;""'"")),""USER TIDAK DIKETAHUI""))"),"")</f>
        <v/>
      </c>
    </row>
    <row r="8291">
      <c r="A8291" s="21" t="str">
        <f t="shared" si="3"/>
        <v/>
      </c>
      <c r="B8291" s="38"/>
      <c r="C8291" s="23"/>
      <c r="D8291" s="23"/>
      <c r="E8291" s="24"/>
      <c r="F8291" s="25"/>
      <c r="G8291" s="25"/>
      <c r="H8291" s="27"/>
      <c r="I8291" s="28"/>
      <c r="J8291" s="39"/>
      <c r="K8291" s="41"/>
      <c r="L8291" s="31" t="str">
        <f>IFERROR(__xludf.DUMMYFUNCTION("IF(OR(E8291="""",K8291=""""),"""",IFERROR(IF(K8291="""","""",query('tbl user'!$A$2:$D10975,""SELECT A WHERE D = '""&amp;K8291&amp;""'"")),""USER TIDAK DIKETAHUI""))"),"")</f>
        <v/>
      </c>
    </row>
    <row r="8292">
      <c r="A8292" s="21" t="str">
        <f t="shared" si="3"/>
        <v/>
      </c>
      <c r="B8292" s="38"/>
      <c r="C8292" s="23"/>
      <c r="D8292" s="23"/>
      <c r="E8292" s="24"/>
      <c r="F8292" s="25"/>
      <c r="G8292" s="25"/>
      <c r="H8292" s="27"/>
      <c r="I8292" s="28"/>
      <c r="J8292" s="39"/>
      <c r="K8292" s="41"/>
      <c r="L8292" s="31" t="str">
        <f>IFERROR(__xludf.DUMMYFUNCTION("IF(OR(E8292="""",K8292=""""),"""",IFERROR(IF(K8292="""","""",query('tbl user'!$A$2:$D10975,""SELECT A WHERE D = '""&amp;K8292&amp;""'"")),""USER TIDAK DIKETAHUI""))"),"")</f>
        <v/>
      </c>
    </row>
    <row r="8293">
      <c r="A8293" s="21" t="str">
        <f t="shared" si="3"/>
        <v/>
      </c>
      <c r="B8293" s="38"/>
      <c r="C8293" s="23"/>
      <c r="D8293" s="23"/>
      <c r="E8293" s="24"/>
      <c r="F8293" s="25"/>
      <c r="G8293" s="25"/>
      <c r="H8293" s="27"/>
      <c r="I8293" s="28"/>
      <c r="J8293" s="39"/>
      <c r="K8293" s="41"/>
      <c r="L8293" s="31" t="str">
        <f>IFERROR(__xludf.DUMMYFUNCTION("IF(OR(E8293="""",K8293=""""),"""",IFERROR(IF(K8293="""","""",query('tbl user'!$A$2:$D10975,""SELECT A WHERE D = '""&amp;K8293&amp;""'"")),""USER TIDAK DIKETAHUI""))"),"")</f>
        <v/>
      </c>
    </row>
    <row r="8294">
      <c r="A8294" s="21" t="str">
        <f t="shared" si="3"/>
        <v/>
      </c>
      <c r="B8294" s="38"/>
      <c r="C8294" s="23"/>
      <c r="D8294" s="23"/>
      <c r="E8294" s="24"/>
      <c r="F8294" s="25"/>
      <c r="G8294" s="25"/>
      <c r="H8294" s="27"/>
      <c r="I8294" s="28"/>
      <c r="J8294" s="39"/>
      <c r="K8294" s="41"/>
      <c r="L8294" s="31" t="str">
        <f>IFERROR(__xludf.DUMMYFUNCTION("IF(OR(E8294="""",K8294=""""),"""",IFERROR(IF(K8294="""","""",query('tbl user'!$A$2:$D10975,""SELECT A WHERE D = '""&amp;K8294&amp;""'"")),""USER TIDAK DIKETAHUI""))"),"")</f>
        <v/>
      </c>
    </row>
    <row r="8295">
      <c r="A8295" s="21" t="str">
        <f t="shared" si="3"/>
        <v/>
      </c>
      <c r="B8295" s="38"/>
      <c r="C8295" s="23"/>
      <c r="D8295" s="23"/>
      <c r="E8295" s="24"/>
      <c r="F8295" s="25"/>
      <c r="G8295" s="25"/>
      <c r="H8295" s="27"/>
      <c r="I8295" s="28"/>
      <c r="J8295" s="39"/>
      <c r="K8295" s="41"/>
      <c r="L8295" s="31" t="str">
        <f>IFERROR(__xludf.DUMMYFUNCTION("IF(OR(E8295="""",K8295=""""),"""",IFERROR(IF(K8295="""","""",query('tbl user'!$A$2:$D10975,""SELECT A WHERE D = '""&amp;K8295&amp;""'"")),""USER TIDAK DIKETAHUI""))"),"")</f>
        <v/>
      </c>
    </row>
    <row r="8296">
      <c r="A8296" s="21" t="str">
        <f t="shared" si="3"/>
        <v/>
      </c>
      <c r="B8296" s="38"/>
      <c r="C8296" s="23"/>
      <c r="D8296" s="23"/>
      <c r="E8296" s="24"/>
      <c r="F8296" s="25"/>
      <c r="G8296" s="25"/>
      <c r="H8296" s="27"/>
      <c r="I8296" s="28"/>
      <c r="J8296" s="39"/>
      <c r="K8296" s="41"/>
      <c r="L8296" s="31" t="str">
        <f>IFERROR(__xludf.DUMMYFUNCTION("IF(OR(E8296="""",K8296=""""),"""",IFERROR(IF(K8296="""","""",query('tbl user'!$A$2:$D10975,""SELECT A WHERE D = '""&amp;K8296&amp;""'"")),""USER TIDAK DIKETAHUI""))"),"")</f>
        <v/>
      </c>
    </row>
    <row r="8297">
      <c r="A8297" s="21" t="str">
        <f t="shared" si="3"/>
        <v/>
      </c>
      <c r="B8297" s="38"/>
      <c r="C8297" s="23"/>
      <c r="D8297" s="23"/>
      <c r="E8297" s="24"/>
      <c r="F8297" s="25"/>
      <c r="G8297" s="25"/>
      <c r="H8297" s="27"/>
      <c r="I8297" s="28"/>
      <c r="J8297" s="39"/>
      <c r="K8297" s="41"/>
      <c r="L8297" s="31" t="str">
        <f>IFERROR(__xludf.DUMMYFUNCTION("IF(OR(E8297="""",K8297=""""),"""",IFERROR(IF(K8297="""","""",query('tbl user'!$A$2:$D10975,""SELECT A WHERE D = '""&amp;K8297&amp;""'"")),""USER TIDAK DIKETAHUI""))"),"")</f>
        <v/>
      </c>
    </row>
    <row r="8298">
      <c r="A8298" s="21" t="str">
        <f t="shared" si="3"/>
        <v/>
      </c>
      <c r="B8298" s="38"/>
      <c r="C8298" s="23"/>
      <c r="D8298" s="23"/>
      <c r="E8298" s="24"/>
      <c r="F8298" s="25"/>
      <c r="G8298" s="25"/>
      <c r="H8298" s="27"/>
      <c r="I8298" s="28"/>
      <c r="J8298" s="39"/>
      <c r="K8298" s="41"/>
      <c r="L8298" s="31" t="str">
        <f>IFERROR(__xludf.DUMMYFUNCTION("IF(OR(E8298="""",K8298=""""),"""",IFERROR(IF(K8298="""","""",query('tbl user'!$A$2:$D10975,""SELECT A WHERE D = '""&amp;K8298&amp;""'"")),""USER TIDAK DIKETAHUI""))"),"")</f>
        <v/>
      </c>
    </row>
    <row r="8299">
      <c r="A8299" s="21" t="str">
        <f t="shared" si="3"/>
        <v/>
      </c>
      <c r="B8299" s="38"/>
      <c r="C8299" s="23"/>
      <c r="D8299" s="23"/>
      <c r="E8299" s="24"/>
      <c r="F8299" s="25"/>
      <c r="G8299" s="25"/>
      <c r="H8299" s="27"/>
      <c r="I8299" s="28"/>
      <c r="J8299" s="39"/>
      <c r="K8299" s="41"/>
      <c r="L8299" s="31" t="str">
        <f>IFERROR(__xludf.DUMMYFUNCTION("IF(OR(E8299="""",K8299=""""),"""",IFERROR(IF(K8299="""","""",query('tbl user'!$A$2:$D10975,""SELECT A WHERE D = '""&amp;K8299&amp;""'"")),""USER TIDAK DIKETAHUI""))"),"")</f>
        <v/>
      </c>
    </row>
    <row r="8300">
      <c r="A8300" s="21" t="str">
        <f t="shared" si="3"/>
        <v/>
      </c>
      <c r="B8300" s="38"/>
      <c r="C8300" s="23"/>
      <c r="D8300" s="23"/>
      <c r="E8300" s="24"/>
      <c r="F8300" s="25"/>
      <c r="G8300" s="25"/>
      <c r="H8300" s="27"/>
      <c r="I8300" s="28"/>
      <c r="J8300" s="39"/>
      <c r="K8300" s="41"/>
      <c r="L8300" s="31" t="str">
        <f>IFERROR(__xludf.DUMMYFUNCTION("IF(OR(E8300="""",K8300=""""),"""",IFERROR(IF(K8300="""","""",query('tbl user'!$A$2:$D10975,""SELECT A WHERE D = '""&amp;K8300&amp;""'"")),""USER TIDAK DIKETAHUI""))"),"")</f>
        <v/>
      </c>
    </row>
    <row r="8301">
      <c r="A8301" s="21" t="str">
        <f t="shared" si="3"/>
        <v/>
      </c>
      <c r="B8301" s="38"/>
      <c r="C8301" s="23"/>
      <c r="D8301" s="23"/>
      <c r="E8301" s="24"/>
      <c r="F8301" s="25"/>
      <c r="G8301" s="25"/>
      <c r="H8301" s="27"/>
      <c r="I8301" s="28"/>
      <c r="J8301" s="39"/>
      <c r="K8301" s="41"/>
      <c r="L8301" s="31" t="str">
        <f>IFERROR(__xludf.DUMMYFUNCTION("IF(OR(E8301="""",K8301=""""),"""",IFERROR(IF(K8301="""","""",query('tbl user'!$A$2:$D10975,""SELECT A WHERE D = '""&amp;K8301&amp;""'"")),""USER TIDAK DIKETAHUI""))"),"")</f>
        <v/>
      </c>
    </row>
    <row r="8302">
      <c r="A8302" s="21" t="str">
        <f t="shared" si="3"/>
        <v/>
      </c>
      <c r="B8302" s="38"/>
      <c r="C8302" s="23"/>
      <c r="D8302" s="23"/>
      <c r="E8302" s="24"/>
      <c r="F8302" s="25"/>
      <c r="G8302" s="25"/>
      <c r="H8302" s="27"/>
      <c r="I8302" s="28"/>
      <c r="J8302" s="39"/>
      <c r="K8302" s="41"/>
      <c r="L8302" s="31" t="str">
        <f>IFERROR(__xludf.DUMMYFUNCTION("IF(OR(E8302="""",K8302=""""),"""",IFERROR(IF(K8302="""","""",query('tbl user'!$A$2:$D10975,""SELECT A WHERE D = '""&amp;K8302&amp;""'"")),""USER TIDAK DIKETAHUI""))"),"")</f>
        <v/>
      </c>
    </row>
    <row r="8303">
      <c r="A8303" s="21" t="str">
        <f t="shared" si="3"/>
        <v/>
      </c>
      <c r="B8303" s="38"/>
      <c r="C8303" s="23"/>
      <c r="D8303" s="23"/>
      <c r="E8303" s="24"/>
      <c r="F8303" s="25"/>
      <c r="G8303" s="25"/>
      <c r="H8303" s="27"/>
      <c r="I8303" s="28"/>
      <c r="J8303" s="39"/>
      <c r="K8303" s="41"/>
      <c r="L8303" s="31" t="str">
        <f>IFERROR(__xludf.DUMMYFUNCTION("IF(OR(E8303="""",K8303=""""),"""",IFERROR(IF(K8303="""","""",query('tbl user'!$A$2:$D10975,""SELECT A WHERE D = '""&amp;K8303&amp;""'"")),""USER TIDAK DIKETAHUI""))"),"")</f>
        <v/>
      </c>
    </row>
    <row r="8304">
      <c r="A8304" s="21" t="str">
        <f t="shared" si="3"/>
        <v/>
      </c>
      <c r="B8304" s="38"/>
      <c r="C8304" s="23"/>
      <c r="D8304" s="23"/>
      <c r="E8304" s="24"/>
      <c r="F8304" s="25"/>
      <c r="G8304" s="25"/>
      <c r="H8304" s="27"/>
      <c r="I8304" s="28"/>
      <c r="J8304" s="39"/>
      <c r="K8304" s="41"/>
      <c r="L8304" s="31" t="str">
        <f>IFERROR(__xludf.DUMMYFUNCTION("IF(OR(E8304="""",K8304=""""),"""",IFERROR(IF(K8304="""","""",query('tbl user'!$A$2:$D10975,""SELECT A WHERE D = '""&amp;K8304&amp;""'"")),""USER TIDAK DIKETAHUI""))"),"")</f>
        <v/>
      </c>
    </row>
    <row r="8305">
      <c r="A8305" s="21" t="str">
        <f t="shared" si="3"/>
        <v/>
      </c>
      <c r="B8305" s="38"/>
      <c r="C8305" s="23"/>
      <c r="D8305" s="23"/>
      <c r="E8305" s="24"/>
      <c r="F8305" s="25"/>
      <c r="G8305" s="25"/>
      <c r="H8305" s="27"/>
      <c r="I8305" s="28"/>
      <c r="J8305" s="39"/>
      <c r="K8305" s="41"/>
      <c r="L8305" s="31" t="str">
        <f>IFERROR(__xludf.DUMMYFUNCTION("IF(OR(E8305="""",K8305=""""),"""",IFERROR(IF(K8305="""","""",query('tbl user'!$A$2:$D10975,""SELECT A WHERE D = '""&amp;K8305&amp;""'"")),""USER TIDAK DIKETAHUI""))"),"")</f>
        <v/>
      </c>
    </row>
    <row r="8306">
      <c r="A8306" s="21" t="str">
        <f t="shared" si="3"/>
        <v/>
      </c>
      <c r="B8306" s="38"/>
      <c r="C8306" s="23"/>
      <c r="D8306" s="23"/>
      <c r="E8306" s="24"/>
      <c r="F8306" s="25"/>
      <c r="G8306" s="25"/>
      <c r="H8306" s="27"/>
      <c r="I8306" s="28"/>
      <c r="J8306" s="39"/>
      <c r="K8306" s="41"/>
      <c r="L8306" s="31" t="str">
        <f>IFERROR(__xludf.DUMMYFUNCTION("IF(OR(E8306="""",K8306=""""),"""",IFERROR(IF(K8306="""","""",query('tbl user'!$A$2:$D10975,""SELECT A WHERE D = '""&amp;K8306&amp;""'"")),""USER TIDAK DIKETAHUI""))"),"")</f>
        <v/>
      </c>
    </row>
    <row r="8307">
      <c r="A8307" s="21" t="str">
        <f t="shared" si="3"/>
        <v/>
      </c>
      <c r="B8307" s="38"/>
      <c r="C8307" s="23"/>
      <c r="D8307" s="23"/>
      <c r="E8307" s="24"/>
      <c r="F8307" s="25"/>
      <c r="G8307" s="25"/>
      <c r="H8307" s="27"/>
      <c r="I8307" s="28"/>
      <c r="J8307" s="39"/>
      <c r="K8307" s="41"/>
      <c r="L8307" s="31" t="str">
        <f>IFERROR(__xludf.DUMMYFUNCTION("IF(OR(E8307="""",K8307=""""),"""",IFERROR(IF(K8307="""","""",query('tbl user'!$A$2:$D10975,""SELECT A WHERE D = '""&amp;K8307&amp;""'"")),""USER TIDAK DIKETAHUI""))"),"")</f>
        <v/>
      </c>
    </row>
    <row r="8308">
      <c r="A8308" s="21" t="str">
        <f t="shared" si="3"/>
        <v/>
      </c>
      <c r="B8308" s="38"/>
      <c r="C8308" s="23"/>
      <c r="D8308" s="23"/>
      <c r="E8308" s="24"/>
      <c r="F8308" s="25"/>
      <c r="G8308" s="25"/>
      <c r="H8308" s="27"/>
      <c r="I8308" s="28"/>
      <c r="J8308" s="39"/>
      <c r="K8308" s="41"/>
      <c r="L8308" s="31" t="str">
        <f>IFERROR(__xludf.DUMMYFUNCTION("IF(OR(E8308="""",K8308=""""),"""",IFERROR(IF(K8308="""","""",query('tbl user'!$A$2:$D10975,""SELECT A WHERE D = '""&amp;K8308&amp;""'"")),""USER TIDAK DIKETAHUI""))"),"")</f>
        <v/>
      </c>
    </row>
    <row r="8309">
      <c r="A8309" s="21" t="str">
        <f t="shared" si="3"/>
        <v/>
      </c>
      <c r="B8309" s="38"/>
      <c r="C8309" s="23"/>
      <c r="D8309" s="23"/>
      <c r="E8309" s="24"/>
      <c r="F8309" s="25"/>
      <c r="G8309" s="25"/>
      <c r="H8309" s="27"/>
      <c r="I8309" s="28"/>
      <c r="J8309" s="39"/>
      <c r="K8309" s="41"/>
      <c r="L8309" s="31" t="str">
        <f>IFERROR(__xludf.DUMMYFUNCTION("IF(OR(E8309="""",K8309=""""),"""",IFERROR(IF(K8309="""","""",query('tbl user'!$A$2:$D10975,""SELECT A WHERE D = '""&amp;K8309&amp;""'"")),""USER TIDAK DIKETAHUI""))"),"")</f>
        <v/>
      </c>
    </row>
    <row r="8310">
      <c r="A8310" s="21" t="str">
        <f t="shared" si="3"/>
        <v/>
      </c>
      <c r="B8310" s="38"/>
      <c r="C8310" s="23"/>
      <c r="D8310" s="23"/>
      <c r="E8310" s="24"/>
      <c r="F8310" s="25"/>
      <c r="G8310" s="25"/>
      <c r="H8310" s="27"/>
      <c r="I8310" s="28"/>
      <c r="J8310" s="39"/>
      <c r="K8310" s="41"/>
      <c r="L8310" s="31" t="str">
        <f>IFERROR(__xludf.DUMMYFUNCTION("IF(OR(E8310="""",K8310=""""),"""",IFERROR(IF(K8310="""","""",query('tbl user'!$A$2:$D10975,""SELECT A WHERE D = '""&amp;K8310&amp;""'"")),""USER TIDAK DIKETAHUI""))"),"")</f>
        <v/>
      </c>
    </row>
    <row r="8311">
      <c r="A8311" s="21" t="str">
        <f t="shared" si="3"/>
        <v/>
      </c>
      <c r="B8311" s="38"/>
      <c r="C8311" s="23"/>
      <c r="D8311" s="23"/>
      <c r="E8311" s="24"/>
      <c r="F8311" s="25"/>
      <c r="G8311" s="25"/>
      <c r="H8311" s="27"/>
      <c r="I8311" s="28"/>
      <c r="J8311" s="39"/>
      <c r="K8311" s="41"/>
      <c r="L8311" s="31" t="str">
        <f>IFERROR(__xludf.DUMMYFUNCTION("IF(OR(E8311="""",K8311=""""),"""",IFERROR(IF(K8311="""","""",query('tbl user'!$A$2:$D10975,""SELECT A WHERE D = '""&amp;K8311&amp;""'"")),""USER TIDAK DIKETAHUI""))"),"")</f>
        <v/>
      </c>
    </row>
    <row r="8312">
      <c r="A8312" s="21" t="str">
        <f t="shared" si="3"/>
        <v/>
      </c>
      <c r="B8312" s="38"/>
      <c r="C8312" s="23"/>
      <c r="D8312" s="23"/>
      <c r="E8312" s="24"/>
      <c r="F8312" s="25"/>
      <c r="G8312" s="25"/>
      <c r="H8312" s="27"/>
      <c r="I8312" s="28"/>
      <c r="J8312" s="39"/>
      <c r="K8312" s="41"/>
      <c r="L8312" s="31" t="str">
        <f>IFERROR(__xludf.DUMMYFUNCTION("IF(OR(E8312="""",K8312=""""),"""",IFERROR(IF(K8312="""","""",query('tbl user'!$A$2:$D10975,""SELECT A WHERE D = '""&amp;K8312&amp;""'"")),""USER TIDAK DIKETAHUI""))"),"")</f>
        <v/>
      </c>
    </row>
    <row r="8313">
      <c r="A8313" s="21" t="str">
        <f t="shared" si="3"/>
        <v/>
      </c>
      <c r="B8313" s="38"/>
      <c r="C8313" s="23"/>
      <c r="D8313" s="23"/>
      <c r="E8313" s="24"/>
      <c r="F8313" s="25"/>
      <c r="G8313" s="25"/>
      <c r="H8313" s="27"/>
      <c r="I8313" s="28"/>
      <c r="J8313" s="39"/>
      <c r="K8313" s="41"/>
      <c r="L8313" s="31" t="str">
        <f>IFERROR(__xludf.DUMMYFUNCTION("IF(OR(E8313="""",K8313=""""),"""",IFERROR(IF(K8313="""","""",query('tbl user'!$A$2:$D10975,""SELECT A WHERE D = '""&amp;K8313&amp;""'"")),""USER TIDAK DIKETAHUI""))"),"")</f>
        <v/>
      </c>
    </row>
    <row r="8314">
      <c r="A8314" s="21" t="str">
        <f t="shared" si="3"/>
        <v/>
      </c>
      <c r="B8314" s="38"/>
      <c r="C8314" s="23"/>
      <c r="D8314" s="23"/>
      <c r="E8314" s="24"/>
      <c r="F8314" s="25"/>
      <c r="G8314" s="25"/>
      <c r="H8314" s="27"/>
      <c r="I8314" s="28"/>
      <c r="J8314" s="39"/>
      <c r="K8314" s="41"/>
      <c r="L8314" s="31" t="str">
        <f>IFERROR(__xludf.DUMMYFUNCTION("IF(OR(E8314="""",K8314=""""),"""",IFERROR(IF(K8314="""","""",query('tbl user'!$A$2:$D10975,""SELECT A WHERE D = '""&amp;K8314&amp;""'"")),""USER TIDAK DIKETAHUI""))"),"")</f>
        <v/>
      </c>
    </row>
    <row r="8315">
      <c r="A8315" s="21" t="str">
        <f t="shared" si="3"/>
        <v/>
      </c>
      <c r="B8315" s="38"/>
      <c r="C8315" s="23"/>
      <c r="D8315" s="23"/>
      <c r="E8315" s="24"/>
      <c r="F8315" s="25"/>
      <c r="G8315" s="25"/>
      <c r="H8315" s="27"/>
      <c r="I8315" s="28"/>
      <c r="J8315" s="39"/>
      <c r="K8315" s="41"/>
      <c r="L8315" s="31" t="str">
        <f>IFERROR(__xludf.DUMMYFUNCTION("IF(OR(E8315="""",K8315=""""),"""",IFERROR(IF(K8315="""","""",query('tbl user'!$A$2:$D10975,""SELECT A WHERE D = '""&amp;K8315&amp;""'"")),""USER TIDAK DIKETAHUI""))"),"")</f>
        <v/>
      </c>
    </row>
    <row r="8316">
      <c r="A8316" s="21" t="str">
        <f t="shared" si="3"/>
        <v/>
      </c>
      <c r="B8316" s="38"/>
      <c r="C8316" s="23"/>
      <c r="D8316" s="23"/>
      <c r="E8316" s="24"/>
      <c r="F8316" s="25"/>
      <c r="G8316" s="25"/>
      <c r="H8316" s="27"/>
      <c r="I8316" s="28"/>
      <c r="J8316" s="39"/>
      <c r="K8316" s="41"/>
      <c r="L8316" s="31" t="str">
        <f>IFERROR(__xludf.DUMMYFUNCTION("IF(OR(E8316="""",K8316=""""),"""",IFERROR(IF(K8316="""","""",query('tbl user'!$A$2:$D10975,""SELECT A WHERE D = '""&amp;K8316&amp;""'"")),""USER TIDAK DIKETAHUI""))"),"")</f>
        <v/>
      </c>
    </row>
    <row r="8317">
      <c r="A8317" s="21" t="str">
        <f t="shared" si="3"/>
        <v/>
      </c>
      <c r="B8317" s="38"/>
      <c r="C8317" s="23"/>
      <c r="D8317" s="23"/>
      <c r="E8317" s="24"/>
      <c r="F8317" s="25"/>
      <c r="G8317" s="25"/>
      <c r="H8317" s="27"/>
      <c r="I8317" s="28"/>
      <c r="J8317" s="39"/>
      <c r="K8317" s="41"/>
      <c r="L8317" s="31" t="str">
        <f>IFERROR(__xludf.DUMMYFUNCTION("IF(OR(E8317="""",K8317=""""),"""",IFERROR(IF(K8317="""","""",query('tbl user'!$A$2:$D10975,""SELECT A WHERE D = '""&amp;K8317&amp;""'"")),""USER TIDAK DIKETAHUI""))"),"")</f>
        <v/>
      </c>
    </row>
    <row r="8318">
      <c r="A8318" s="21" t="str">
        <f t="shared" si="3"/>
        <v/>
      </c>
      <c r="B8318" s="38"/>
      <c r="C8318" s="23"/>
      <c r="D8318" s="23"/>
      <c r="E8318" s="24"/>
      <c r="F8318" s="25"/>
      <c r="G8318" s="25"/>
      <c r="H8318" s="27"/>
      <c r="I8318" s="28"/>
      <c r="J8318" s="39"/>
      <c r="K8318" s="41"/>
      <c r="L8318" s="31" t="str">
        <f>IFERROR(__xludf.DUMMYFUNCTION("IF(OR(E8318="""",K8318=""""),"""",IFERROR(IF(K8318="""","""",query('tbl user'!$A$2:$D10975,""SELECT A WHERE D = '""&amp;K8318&amp;""'"")),""USER TIDAK DIKETAHUI""))"),"")</f>
        <v/>
      </c>
    </row>
    <row r="8319">
      <c r="A8319" s="21" t="str">
        <f t="shared" si="3"/>
        <v/>
      </c>
      <c r="B8319" s="38"/>
      <c r="C8319" s="23"/>
      <c r="D8319" s="23"/>
      <c r="E8319" s="24"/>
      <c r="F8319" s="25"/>
      <c r="G8319" s="25"/>
      <c r="H8319" s="27"/>
      <c r="I8319" s="28"/>
      <c r="J8319" s="39"/>
      <c r="K8319" s="41"/>
      <c r="L8319" s="31" t="str">
        <f>IFERROR(__xludf.DUMMYFUNCTION("IF(OR(E8319="""",K8319=""""),"""",IFERROR(IF(K8319="""","""",query('tbl user'!$A$2:$D10975,""SELECT A WHERE D = '""&amp;K8319&amp;""'"")),""USER TIDAK DIKETAHUI""))"),"")</f>
        <v/>
      </c>
    </row>
    <row r="8320">
      <c r="A8320" s="21" t="str">
        <f t="shared" si="3"/>
        <v/>
      </c>
      <c r="B8320" s="38"/>
      <c r="C8320" s="23"/>
      <c r="D8320" s="23"/>
      <c r="E8320" s="24"/>
      <c r="F8320" s="25"/>
      <c r="G8320" s="25"/>
      <c r="H8320" s="27"/>
      <c r="I8320" s="28"/>
      <c r="J8320" s="39"/>
      <c r="K8320" s="41"/>
      <c r="L8320" s="31" t="str">
        <f>IFERROR(__xludf.DUMMYFUNCTION("IF(OR(E8320="""",K8320=""""),"""",IFERROR(IF(K8320="""","""",query('tbl user'!$A$2:$D10975,""SELECT A WHERE D = '""&amp;K8320&amp;""'"")),""USER TIDAK DIKETAHUI""))"),"")</f>
        <v/>
      </c>
    </row>
    <row r="8321">
      <c r="A8321" s="21" t="str">
        <f t="shared" si="3"/>
        <v/>
      </c>
      <c r="B8321" s="38"/>
      <c r="C8321" s="23"/>
      <c r="D8321" s="23"/>
      <c r="E8321" s="24"/>
      <c r="F8321" s="25"/>
      <c r="G8321" s="25"/>
      <c r="H8321" s="27"/>
      <c r="I8321" s="28"/>
      <c r="J8321" s="39"/>
      <c r="K8321" s="41"/>
      <c r="L8321" s="31" t="str">
        <f>IFERROR(__xludf.DUMMYFUNCTION("IF(OR(E8321="""",K8321=""""),"""",IFERROR(IF(K8321="""","""",query('tbl user'!$A$2:$D10975,""SELECT A WHERE D = '""&amp;K8321&amp;""'"")),""USER TIDAK DIKETAHUI""))"),"")</f>
        <v/>
      </c>
    </row>
    <row r="8322">
      <c r="A8322" s="21" t="str">
        <f t="shared" si="3"/>
        <v/>
      </c>
      <c r="B8322" s="38"/>
      <c r="C8322" s="23"/>
      <c r="D8322" s="23"/>
      <c r="E8322" s="24"/>
      <c r="F8322" s="25"/>
      <c r="G8322" s="25"/>
      <c r="H8322" s="27"/>
      <c r="I8322" s="28"/>
      <c r="J8322" s="39"/>
      <c r="K8322" s="41"/>
      <c r="L8322" s="31" t="str">
        <f>IFERROR(__xludf.DUMMYFUNCTION("IF(OR(E8322="""",K8322=""""),"""",IFERROR(IF(K8322="""","""",query('tbl user'!$A$2:$D10975,""SELECT A WHERE D = '""&amp;K8322&amp;""'"")),""USER TIDAK DIKETAHUI""))"),"")</f>
        <v/>
      </c>
    </row>
    <row r="8323">
      <c r="A8323" s="21" t="str">
        <f t="shared" si="3"/>
        <v/>
      </c>
      <c r="B8323" s="38"/>
      <c r="C8323" s="23"/>
      <c r="D8323" s="23"/>
      <c r="E8323" s="24"/>
      <c r="F8323" s="25"/>
      <c r="G8323" s="25"/>
      <c r="H8323" s="27"/>
      <c r="I8323" s="28"/>
      <c r="J8323" s="39"/>
      <c r="K8323" s="41"/>
      <c r="L8323" s="31" t="str">
        <f>IFERROR(__xludf.DUMMYFUNCTION("IF(OR(E8323="""",K8323=""""),"""",IFERROR(IF(K8323="""","""",query('tbl user'!$A$2:$D10975,""SELECT A WHERE D = '""&amp;K8323&amp;""'"")),""USER TIDAK DIKETAHUI""))"),"")</f>
        <v/>
      </c>
    </row>
    <row r="8324">
      <c r="A8324" s="21" t="str">
        <f t="shared" si="3"/>
        <v/>
      </c>
      <c r="B8324" s="38"/>
      <c r="C8324" s="23"/>
      <c r="D8324" s="23"/>
      <c r="E8324" s="24"/>
      <c r="F8324" s="25"/>
      <c r="G8324" s="25"/>
      <c r="H8324" s="27"/>
      <c r="I8324" s="28"/>
      <c r="J8324" s="39"/>
      <c r="K8324" s="41"/>
      <c r="L8324" s="31" t="str">
        <f>IFERROR(__xludf.DUMMYFUNCTION("IF(OR(E8324="""",K8324=""""),"""",IFERROR(IF(K8324="""","""",query('tbl user'!$A$2:$D10975,""SELECT A WHERE D = '""&amp;K8324&amp;""'"")),""USER TIDAK DIKETAHUI""))"),"")</f>
        <v/>
      </c>
    </row>
    <row r="8325">
      <c r="A8325" s="21" t="str">
        <f t="shared" si="3"/>
        <v/>
      </c>
      <c r="B8325" s="38"/>
      <c r="C8325" s="23"/>
      <c r="D8325" s="23"/>
      <c r="E8325" s="24"/>
      <c r="F8325" s="25"/>
      <c r="G8325" s="25"/>
      <c r="H8325" s="27"/>
      <c r="I8325" s="28"/>
      <c r="J8325" s="39"/>
      <c r="K8325" s="41"/>
      <c r="L8325" s="31" t="str">
        <f>IFERROR(__xludf.DUMMYFUNCTION("IF(OR(E8325="""",K8325=""""),"""",IFERROR(IF(K8325="""","""",query('tbl user'!$A$2:$D10975,""SELECT A WHERE D = '""&amp;K8325&amp;""'"")),""USER TIDAK DIKETAHUI""))"),"")</f>
        <v/>
      </c>
    </row>
    <row r="8326">
      <c r="A8326" s="21" t="str">
        <f t="shared" si="3"/>
        <v/>
      </c>
      <c r="B8326" s="38"/>
      <c r="C8326" s="23"/>
      <c r="D8326" s="23"/>
      <c r="E8326" s="24"/>
      <c r="F8326" s="25"/>
      <c r="G8326" s="25"/>
      <c r="H8326" s="27"/>
      <c r="I8326" s="28"/>
      <c r="J8326" s="39"/>
      <c r="K8326" s="41"/>
      <c r="L8326" s="31" t="str">
        <f>IFERROR(__xludf.DUMMYFUNCTION("IF(OR(E8326="""",K8326=""""),"""",IFERROR(IF(K8326="""","""",query('tbl user'!$A$2:$D10975,""SELECT A WHERE D = '""&amp;K8326&amp;""'"")),""USER TIDAK DIKETAHUI""))"),"")</f>
        <v/>
      </c>
    </row>
    <row r="8327">
      <c r="A8327" s="21" t="str">
        <f t="shared" si="3"/>
        <v/>
      </c>
      <c r="B8327" s="38"/>
      <c r="C8327" s="23"/>
      <c r="D8327" s="23"/>
      <c r="E8327" s="24"/>
      <c r="F8327" s="25"/>
      <c r="G8327" s="25"/>
      <c r="H8327" s="27"/>
      <c r="I8327" s="28"/>
      <c r="J8327" s="39"/>
      <c r="K8327" s="41"/>
      <c r="L8327" s="31" t="str">
        <f>IFERROR(__xludf.DUMMYFUNCTION("IF(OR(E8327="""",K8327=""""),"""",IFERROR(IF(K8327="""","""",query('tbl user'!$A$2:$D10975,""SELECT A WHERE D = '""&amp;K8327&amp;""'"")),""USER TIDAK DIKETAHUI""))"),"")</f>
        <v/>
      </c>
    </row>
    <row r="8328">
      <c r="A8328" s="21" t="str">
        <f t="shared" si="3"/>
        <v/>
      </c>
      <c r="B8328" s="38"/>
      <c r="C8328" s="23"/>
      <c r="D8328" s="23"/>
      <c r="E8328" s="24"/>
      <c r="F8328" s="25"/>
      <c r="G8328" s="25"/>
      <c r="H8328" s="27"/>
      <c r="I8328" s="28"/>
      <c r="J8328" s="39"/>
      <c r="K8328" s="41"/>
      <c r="L8328" s="31" t="str">
        <f>IFERROR(__xludf.DUMMYFUNCTION("IF(OR(E8328="""",K8328=""""),"""",IFERROR(IF(K8328="""","""",query('tbl user'!$A$2:$D10975,""SELECT A WHERE D = '""&amp;K8328&amp;""'"")),""USER TIDAK DIKETAHUI""))"),"")</f>
        <v/>
      </c>
    </row>
    <row r="8329">
      <c r="A8329" s="21" t="str">
        <f t="shared" si="3"/>
        <v/>
      </c>
      <c r="B8329" s="38"/>
      <c r="C8329" s="23"/>
      <c r="D8329" s="23"/>
      <c r="E8329" s="24"/>
      <c r="F8329" s="25"/>
      <c r="G8329" s="25"/>
      <c r="H8329" s="27"/>
      <c r="I8329" s="28"/>
      <c r="J8329" s="39"/>
      <c r="K8329" s="41"/>
      <c r="L8329" s="31" t="str">
        <f>IFERROR(__xludf.DUMMYFUNCTION("IF(OR(E8329="""",K8329=""""),"""",IFERROR(IF(K8329="""","""",query('tbl user'!$A$2:$D10975,""SELECT A WHERE D = '""&amp;K8329&amp;""'"")),""USER TIDAK DIKETAHUI""))"),"")</f>
        <v/>
      </c>
    </row>
    <row r="8330">
      <c r="A8330" s="21" t="str">
        <f t="shared" si="3"/>
        <v/>
      </c>
      <c r="B8330" s="38"/>
      <c r="C8330" s="23"/>
      <c r="D8330" s="23"/>
      <c r="E8330" s="24"/>
      <c r="F8330" s="25"/>
      <c r="G8330" s="25"/>
      <c r="H8330" s="27"/>
      <c r="I8330" s="28"/>
      <c r="J8330" s="39"/>
      <c r="K8330" s="41"/>
      <c r="L8330" s="31" t="str">
        <f>IFERROR(__xludf.DUMMYFUNCTION("IF(OR(E8330="""",K8330=""""),"""",IFERROR(IF(K8330="""","""",query('tbl user'!$A$2:$D10975,""SELECT A WHERE D = '""&amp;K8330&amp;""'"")),""USER TIDAK DIKETAHUI""))"),"")</f>
        <v/>
      </c>
    </row>
    <row r="8331">
      <c r="A8331" s="21" t="str">
        <f t="shared" si="3"/>
        <v/>
      </c>
      <c r="B8331" s="38"/>
      <c r="C8331" s="23"/>
      <c r="D8331" s="23"/>
      <c r="E8331" s="24"/>
      <c r="F8331" s="25"/>
      <c r="G8331" s="25"/>
      <c r="H8331" s="27"/>
      <c r="I8331" s="28"/>
      <c r="J8331" s="39"/>
      <c r="K8331" s="41"/>
      <c r="L8331" s="31" t="str">
        <f>IFERROR(__xludf.DUMMYFUNCTION("IF(OR(E8331="""",K8331=""""),"""",IFERROR(IF(K8331="""","""",query('tbl user'!$A$2:$D10975,""SELECT A WHERE D = '""&amp;K8331&amp;""'"")),""USER TIDAK DIKETAHUI""))"),"")</f>
        <v/>
      </c>
    </row>
    <row r="8332">
      <c r="A8332" s="21" t="str">
        <f t="shared" si="3"/>
        <v/>
      </c>
      <c r="B8332" s="38"/>
      <c r="C8332" s="23"/>
      <c r="D8332" s="23"/>
      <c r="E8332" s="24"/>
      <c r="F8332" s="25"/>
      <c r="G8332" s="25"/>
      <c r="H8332" s="27"/>
      <c r="I8332" s="28"/>
      <c r="J8332" s="39"/>
      <c r="K8332" s="41"/>
      <c r="L8332" s="31" t="str">
        <f>IFERROR(__xludf.DUMMYFUNCTION("IF(OR(E8332="""",K8332=""""),"""",IFERROR(IF(K8332="""","""",query('tbl user'!$A$2:$D10975,""SELECT A WHERE D = '""&amp;K8332&amp;""'"")),""USER TIDAK DIKETAHUI""))"),"")</f>
        <v/>
      </c>
    </row>
    <row r="8333">
      <c r="A8333" s="21" t="str">
        <f t="shared" si="3"/>
        <v/>
      </c>
      <c r="B8333" s="38"/>
      <c r="C8333" s="23"/>
      <c r="D8333" s="23"/>
      <c r="E8333" s="24"/>
      <c r="F8333" s="25"/>
      <c r="G8333" s="25"/>
      <c r="H8333" s="27"/>
      <c r="I8333" s="28"/>
      <c r="J8333" s="39"/>
      <c r="K8333" s="41"/>
      <c r="L8333" s="31" t="str">
        <f>IFERROR(__xludf.DUMMYFUNCTION("IF(OR(E8333="""",K8333=""""),"""",IFERROR(IF(K8333="""","""",query('tbl user'!$A$2:$D10975,""SELECT A WHERE D = '""&amp;K8333&amp;""'"")),""USER TIDAK DIKETAHUI""))"),"")</f>
        <v/>
      </c>
    </row>
    <row r="8334">
      <c r="A8334" s="21" t="str">
        <f t="shared" si="3"/>
        <v/>
      </c>
      <c r="B8334" s="38"/>
      <c r="C8334" s="23"/>
      <c r="D8334" s="23"/>
      <c r="E8334" s="24"/>
      <c r="F8334" s="25"/>
      <c r="G8334" s="25"/>
      <c r="H8334" s="27"/>
      <c r="I8334" s="28"/>
      <c r="J8334" s="39"/>
      <c r="K8334" s="41"/>
      <c r="L8334" s="31" t="str">
        <f>IFERROR(__xludf.DUMMYFUNCTION("IF(OR(E8334="""",K8334=""""),"""",IFERROR(IF(K8334="""","""",query('tbl user'!$A$2:$D10975,""SELECT A WHERE D = '""&amp;K8334&amp;""'"")),""USER TIDAK DIKETAHUI""))"),"")</f>
        <v/>
      </c>
    </row>
    <row r="8335">
      <c r="A8335" s="21" t="str">
        <f t="shared" si="3"/>
        <v/>
      </c>
      <c r="B8335" s="38"/>
      <c r="C8335" s="23"/>
      <c r="D8335" s="23"/>
      <c r="E8335" s="24"/>
      <c r="F8335" s="25"/>
      <c r="G8335" s="25"/>
      <c r="H8335" s="27"/>
      <c r="I8335" s="28"/>
      <c r="J8335" s="39"/>
      <c r="K8335" s="41"/>
      <c r="L8335" s="31" t="str">
        <f>IFERROR(__xludf.DUMMYFUNCTION("IF(OR(E8335="""",K8335=""""),"""",IFERROR(IF(K8335="""","""",query('tbl user'!$A$2:$D10975,""SELECT A WHERE D = '""&amp;K8335&amp;""'"")),""USER TIDAK DIKETAHUI""))"),"")</f>
        <v/>
      </c>
    </row>
    <row r="8336">
      <c r="A8336" s="21" t="str">
        <f t="shared" si="3"/>
        <v/>
      </c>
      <c r="B8336" s="38"/>
      <c r="C8336" s="23"/>
      <c r="D8336" s="23"/>
      <c r="E8336" s="24"/>
      <c r="F8336" s="25"/>
      <c r="G8336" s="25"/>
      <c r="H8336" s="27"/>
      <c r="I8336" s="28"/>
      <c r="J8336" s="39"/>
      <c r="K8336" s="41"/>
      <c r="L8336" s="31" t="str">
        <f>IFERROR(__xludf.DUMMYFUNCTION("IF(OR(E8336="""",K8336=""""),"""",IFERROR(IF(K8336="""","""",query('tbl user'!$A$2:$D10975,""SELECT A WHERE D = '""&amp;K8336&amp;""'"")),""USER TIDAK DIKETAHUI""))"),"")</f>
        <v/>
      </c>
    </row>
    <row r="8337">
      <c r="A8337" s="21" t="str">
        <f t="shared" si="3"/>
        <v/>
      </c>
      <c r="B8337" s="38"/>
      <c r="C8337" s="23"/>
      <c r="D8337" s="23"/>
      <c r="E8337" s="24"/>
      <c r="F8337" s="25"/>
      <c r="G8337" s="25"/>
      <c r="H8337" s="27"/>
      <c r="I8337" s="28"/>
      <c r="J8337" s="39"/>
      <c r="K8337" s="41"/>
      <c r="L8337" s="31" t="str">
        <f>IFERROR(__xludf.DUMMYFUNCTION("IF(OR(E8337="""",K8337=""""),"""",IFERROR(IF(K8337="""","""",query('tbl user'!$A$2:$D10975,""SELECT A WHERE D = '""&amp;K8337&amp;""'"")),""USER TIDAK DIKETAHUI""))"),"")</f>
        <v/>
      </c>
    </row>
    <row r="8338">
      <c r="A8338" s="21" t="str">
        <f t="shared" si="3"/>
        <v/>
      </c>
      <c r="B8338" s="38"/>
      <c r="C8338" s="23"/>
      <c r="D8338" s="23"/>
      <c r="E8338" s="24"/>
      <c r="F8338" s="25"/>
      <c r="G8338" s="25"/>
      <c r="H8338" s="27"/>
      <c r="I8338" s="28"/>
      <c r="J8338" s="39"/>
      <c r="K8338" s="41"/>
      <c r="L8338" s="31" t="str">
        <f>IFERROR(__xludf.DUMMYFUNCTION("IF(OR(E8338="""",K8338=""""),"""",IFERROR(IF(K8338="""","""",query('tbl user'!$A$2:$D10975,""SELECT A WHERE D = '""&amp;K8338&amp;""'"")),""USER TIDAK DIKETAHUI""))"),"")</f>
        <v/>
      </c>
    </row>
    <row r="8339">
      <c r="A8339" s="21" t="str">
        <f t="shared" si="3"/>
        <v/>
      </c>
      <c r="B8339" s="38"/>
      <c r="C8339" s="23"/>
      <c r="D8339" s="23"/>
      <c r="E8339" s="24"/>
      <c r="F8339" s="25"/>
      <c r="G8339" s="25"/>
      <c r="H8339" s="27"/>
      <c r="I8339" s="28"/>
      <c r="J8339" s="39"/>
      <c r="K8339" s="41"/>
      <c r="L8339" s="31" t="str">
        <f>IFERROR(__xludf.DUMMYFUNCTION("IF(OR(E8339="""",K8339=""""),"""",IFERROR(IF(K8339="""","""",query('tbl user'!$A$2:$D10975,""SELECT A WHERE D = '""&amp;K8339&amp;""'"")),""USER TIDAK DIKETAHUI""))"),"")</f>
        <v/>
      </c>
    </row>
    <row r="8340">
      <c r="A8340" s="21" t="str">
        <f t="shared" si="3"/>
        <v/>
      </c>
      <c r="B8340" s="38"/>
      <c r="C8340" s="23"/>
      <c r="D8340" s="23"/>
      <c r="E8340" s="24"/>
      <c r="F8340" s="25"/>
      <c r="G8340" s="25"/>
      <c r="H8340" s="27"/>
      <c r="I8340" s="28"/>
      <c r="J8340" s="39"/>
      <c r="K8340" s="41"/>
      <c r="L8340" s="31" t="str">
        <f>IFERROR(__xludf.DUMMYFUNCTION("IF(OR(E8340="""",K8340=""""),"""",IFERROR(IF(K8340="""","""",query('tbl user'!$A$2:$D10975,""SELECT A WHERE D = '""&amp;K8340&amp;""'"")),""USER TIDAK DIKETAHUI""))"),"")</f>
        <v/>
      </c>
    </row>
    <row r="8341">
      <c r="A8341" s="21" t="str">
        <f t="shared" si="3"/>
        <v/>
      </c>
      <c r="B8341" s="38"/>
      <c r="C8341" s="23"/>
      <c r="D8341" s="23"/>
      <c r="E8341" s="24"/>
      <c r="F8341" s="25"/>
      <c r="G8341" s="25"/>
      <c r="H8341" s="27"/>
      <c r="I8341" s="28"/>
      <c r="J8341" s="39"/>
      <c r="K8341" s="41"/>
      <c r="L8341" s="31" t="str">
        <f>IFERROR(__xludf.DUMMYFUNCTION("IF(OR(E8341="""",K8341=""""),"""",IFERROR(IF(K8341="""","""",query('tbl user'!$A$2:$D10975,""SELECT A WHERE D = '""&amp;K8341&amp;""'"")),""USER TIDAK DIKETAHUI""))"),"")</f>
        <v/>
      </c>
    </row>
    <row r="8342">
      <c r="A8342" s="21" t="str">
        <f t="shared" si="3"/>
        <v/>
      </c>
      <c r="B8342" s="38"/>
      <c r="C8342" s="23"/>
      <c r="D8342" s="23"/>
      <c r="E8342" s="24"/>
      <c r="F8342" s="25"/>
      <c r="G8342" s="25"/>
      <c r="H8342" s="27"/>
      <c r="I8342" s="28"/>
      <c r="J8342" s="39"/>
      <c r="K8342" s="41"/>
      <c r="L8342" s="31" t="str">
        <f>IFERROR(__xludf.DUMMYFUNCTION("IF(OR(E8342="""",K8342=""""),"""",IFERROR(IF(K8342="""","""",query('tbl user'!$A$2:$D10975,""SELECT A WHERE D = '""&amp;K8342&amp;""'"")),""USER TIDAK DIKETAHUI""))"),"")</f>
        <v/>
      </c>
    </row>
    <row r="8343">
      <c r="A8343" s="21" t="str">
        <f t="shared" si="3"/>
        <v/>
      </c>
      <c r="B8343" s="38"/>
      <c r="C8343" s="23"/>
      <c r="D8343" s="23"/>
      <c r="E8343" s="24"/>
      <c r="F8343" s="25"/>
      <c r="G8343" s="25"/>
      <c r="H8343" s="27"/>
      <c r="I8343" s="28"/>
      <c r="J8343" s="39"/>
      <c r="K8343" s="41"/>
      <c r="L8343" s="31" t="str">
        <f>IFERROR(__xludf.DUMMYFUNCTION("IF(OR(E8343="""",K8343=""""),"""",IFERROR(IF(K8343="""","""",query('tbl user'!$A$2:$D10975,""SELECT A WHERE D = '""&amp;K8343&amp;""'"")),""USER TIDAK DIKETAHUI""))"),"")</f>
        <v/>
      </c>
    </row>
    <row r="8344">
      <c r="A8344" s="21" t="str">
        <f t="shared" si="3"/>
        <v/>
      </c>
      <c r="B8344" s="38"/>
      <c r="C8344" s="23"/>
      <c r="D8344" s="23"/>
      <c r="E8344" s="24"/>
      <c r="F8344" s="25"/>
      <c r="G8344" s="25"/>
      <c r="H8344" s="27"/>
      <c r="I8344" s="28"/>
      <c r="J8344" s="39"/>
      <c r="K8344" s="41"/>
      <c r="L8344" s="31" t="str">
        <f>IFERROR(__xludf.DUMMYFUNCTION("IF(OR(E8344="""",K8344=""""),"""",IFERROR(IF(K8344="""","""",query('tbl user'!$A$2:$D10975,""SELECT A WHERE D = '""&amp;K8344&amp;""'"")),""USER TIDAK DIKETAHUI""))"),"")</f>
        <v/>
      </c>
    </row>
    <row r="8345">
      <c r="A8345" s="21" t="str">
        <f t="shared" si="3"/>
        <v/>
      </c>
      <c r="B8345" s="38"/>
      <c r="C8345" s="23"/>
      <c r="D8345" s="23"/>
      <c r="E8345" s="24"/>
      <c r="F8345" s="25"/>
      <c r="G8345" s="25"/>
      <c r="H8345" s="27"/>
      <c r="I8345" s="28"/>
      <c r="J8345" s="39"/>
      <c r="K8345" s="41"/>
      <c r="L8345" s="31" t="str">
        <f>IFERROR(__xludf.DUMMYFUNCTION("IF(OR(E8345="""",K8345=""""),"""",IFERROR(IF(K8345="""","""",query('tbl user'!$A$2:$D10975,""SELECT A WHERE D = '""&amp;K8345&amp;""'"")),""USER TIDAK DIKETAHUI""))"),"")</f>
        <v/>
      </c>
    </row>
    <row r="8346">
      <c r="A8346" s="21" t="str">
        <f t="shared" si="3"/>
        <v/>
      </c>
      <c r="B8346" s="38"/>
      <c r="C8346" s="23"/>
      <c r="D8346" s="23"/>
      <c r="E8346" s="24"/>
      <c r="F8346" s="25"/>
      <c r="G8346" s="25"/>
      <c r="H8346" s="27"/>
      <c r="I8346" s="28"/>
      <c r="J8346" s="39"/>
      <c r="K8346" s="41"/>
      <c r="L8346" s="31" t="str">
        <f>IFERROR(__xludf.DUMMYFUNCTION("IF(OR(E8346="""",K8346=""""),"""",IFERROR(IF(K8346="""","""",query('tbl user'!$A$2:$D10975,""SELECT A WHERE D = '""&amp;K8346&amp;""'"")),""USER TIDAK DIKETAHUI""))"),"")</f>
        <v/>
      </c>
    </row>
    <row r="8347">
      <c r="A8347" s="21" t="str">
        <f t="shared" si="3"/>
        <v/>
      </c>
      <c r="B8347" s="38"/>
      <c r="C8347" s="23"/>
      <c r="D8347" s="23"/>
      <c r="E8347" s="24"/>
      <c r="F8347" s="25"/>
      <c r="G8347" s="25"/>
      <c r="H8347" s="27"/>
      <c r="I8347" s="28"/>
      <c r="J8347" s="39"/>
      <c r="K8347" s="41"/>
      <c r="L8347" s="31" t="str">
        <f>IFERROR(__xludf.DUMMYFUNCTION("IF(OR(E8347="""",K8347=""""),"""",IFERROR(IF(K8347="""","""",query('tbl user'!$A$2:$D10975,""SELECT A WHERE D = '""&amp;K8347&amp;""'"")),""USER TIDAK DIKETAHUI""))"),"")</f>
        <v/>
      </c>
    </row>
    <row r="8348">
      <c r="A8348" s="21" t="str">
        <f t="shared" si="3"/>
        <v/>
      </c>
      <c r="B8348" s="38"/>
      <c r="C8348" s="23"/>
      <c r="D8348" s="23"/>
      <c r="E8348" s="24"/>
      <c r="F8348" s="25"/>
      <c r="G8348" s="25"/>
      <c r="H8348" s="27"/>
      <c r="I8348" s="28"/>
      <c r="J8348" s="39"/>
      <c r="K8348" s="41"/>
      <c r="L8348" s="31" t="str">
        <f>IFERROR(__xludf.DUMMYFUNCTION("IF(OR(E8348="""",K8348=""""),"""",IFERROR(IF(K8348="""","""",query('tbl user'!$A$2:$D10975,""SELECT A WHERE D = '""&amp;K8348&amp;""'"")),""USER TIDAK DIKETAHUI""))"),"")</f>
        <v/>
      </c>
    </row>
    <row r="8349">
      <c r="A8349" s="21" t="str">
        <f t="shared" si="3"/>
        <v/>
      </c>
      <c r="B8349" s="38"/>
      <c r="C8349" s="23"/>
      <c r="D8349" s="23"/>
      <c r="E8349" s="24"/>
      <c r="F8349" s="25"/>
      <c r="G8349" s="25"/>
      <c r="H8349" s="27"/>
      <c r="I8349" s="28"/>
      <c r="J8349" s="39"/>
      <c r="K8349" s="41"/>
      <c r="L8349" s="31" t="str">
        <f>IFERROR(__xludf.DUMMYFUNCTION("IF(OR(E8349="""",K8349=""""),"""",IFERROR(IF(K8349="""","""",query('tbl user'!$A$2:$D10975,""SELECT A WHERE D = '""&amp;K8349&amp;""'"")),""USER TIDAK DIKETAHUI""))"),"")</f>
        <v/>
      </c>
    </row>
    <row r="8350">
      <c r="A8350" s="21" t="str">
        <f t="shared" si="3"/>
        <v/>
      </c>
      <c r="B8350" s="38"/>
      <c r="C8350" s="23"/>
      <c r="D8350" s="23"/>
      <c r="E8350" s="24"/>
      <c r="F8350" s="25"/>
      <c r="G8350" s="25"/>
      <c r="H8350" s="27"/>
      <c r="I8350" s="28"/>
      <c r="J8350" s="39"/>
      <c r="K8350" s="41"/>
      <c r="L8350" s="31" t="str">
        <f>IFERROR(__xludf.DUMMYFUNCTION("IF(OR(E8350="""",K8350=""""),"""",IFERROR(IF(K8350="""","""",query('tbl user'!$A$2:$D10975,""SELECT A WHERE D = '""&amp;K8350&amp;""'"")),""USER TIDAK DIKETAHUI""))"),"")</f>
        <v/>
      </c>
    </row>
    <row r="8351">
      <c r="A8351" s="21" t="str">
        <f t="shared" si="3"/>
        <v/>
      </c>
      <c r="B8351" s="38"/>
      <c r="C8351" s="23"/>
      <c r="D8351" s="23"/>
      <c r="E8351" s="24"/>
      <c r="F8351" s="25"/>
      <c r="G8351" s="25"/>
      <c r="H8351" s="27"/>
      <c r="I8351" s="28"/>
      <c r="J8351" s="39"/>
      <c r="K8351" s="41"/>
      <c r="L8351" s="31" t="str">
        <f>IFERROR(__xludf.DUMMYFUNCTION("IF(OR(E8351="""",K8351=""""),"""",IFERROR(IF(K8351="""","""",query('tbl user'!$A$2:$D10975,""SELECT A WHERE D = '""&amp;K8351&amp;""'"")),""USER TIDAK DIKETAHUI""))"),"")</f>
        <v/>
      </c>
    </row>
    <row r="8352">
      <c r="A8352" s="21" t="str">
        <f t="shared" si="3"/>
        <v/>
      </c>
      <c r="B8352" s="38"/>
      <c r="C8352" s="23"/>
      <c r="D8352" s="23"/>
      <c r="E8352" s="24"/>
      <c r="F8352" s="25"/>
      <c r="G8352" s="25"/>
      <c r="H8352" s="27"/>
      <c r="I8352" s="28"/>
      <c r="J8352" s="39"/>
      <c r="K8352" s="41"/>
      <c r="L8352" s="31" t="str">
        <f>IFERROR(__xludf.DUMMYFUNCTION("IF(OR(E8352="""",K8352=""""),"""",IFERROR(IF(K8352="""","""",query('tbl user'!$A$2:$D10975,""SELECT A WHERE D = '""&amp;K8352&amp;""'"")),""USER TIDAK DIKETAHUI""))"),"")</f>
        <v/>
      </c>
    </row>
    <row r="8353">
      <c r="A8353" s="21" t="str">
        <f t="shared" si="3"/>
        <v/>
      </c>
      <c r="B8353" s="38"/>
      <c r="C8353" s="23"/>
      <c r="D8353" s="23"/>
      <c r="E8353" s="24"/>
      <c r="F8353" s="25"/>
      <c r="G8353" s="25"/>
      <c r="H8353" s="27"/>
      <c r="I8353" s="28"/>
      <c r="J8353" s="39"/>
      <c r="K8353" s="41"/>
      <c r="L8353" s="31" t="str">
        <f>IFERROR(__xludf.DUMMYFUNCTION("IF(OR(E8353="""",K8353=""""),"""",IFERROR(IF(K8353="""","""",query('tbl user'!$A$2:$D10975,""SELECT A WHERE D = '""&amp;K8353&amp;""'"")),""USER TIDAK DIKETAHUI""))"),"")</f>
        <v/>
      </c>
    </row>
    <row r="8354">
      <c r="A8354" s="21" t="str">
        <f t="shared" si="3"/>
        <v/>
      </c>
      <c r="B8354" s="38"/>
      <c r="C8354" s="23"/>
      <c r="D8354" s="23"/>
      <c r="E8354" s="24"/>
      <c r="F8354" s="25"/>
      <c r="G8354" s="25"/>
      <c r="H8354" s="27"/>
      <c r="I8354" s="28"/>
      <c r="J8354" s="39"/>
      <c r="K8354" s="41"/>
      <c r="L8354" s="31" t="str">
        <f>IFERROR(__xludf.DUMMYFUNCTION("IF(OR(E8354="""",K8354=""""),"""",IFERROR(IF(K8354="""","""",query('tbl user'!$A$2:$D10975,""SELECT A WHERE D = '""&amp;K8354&amp;""'"")),""USER TIDAK DIKETAHUI""))"),"")</f>
        <v/>
      </c>
    </row>
    <row r="8355">
      <c r="A8355" s="21" t="str">
        <f t="shared" si="3"/>
        <v/>
      </c>
      <c r="B8355" s="38"/>
      <c r="C8355" s="23"/>
      <c r="D8355" s="23"/>
      <c r="E8355" s="24"/>
      <c r="F8355" s="25"/>
      <c r="G8355" s="25"/>
      <c r="H8355" s="27"/>
      <c r="I8355" s="28"/>
      <c r="J8355" s="39"/>
      <c r="K8355" s="41"/>
      <c r="L8355" s="31" t="str">
        <f>IFERROR(__xludf.DUMMYFUNCTION("IF(OR(E8355="""",K8355=""""),"""",IFERROR(IF(K8355="""","""",query('tbl user'!$A$2:$D10975,""SELECT A WHERE D = '""&amp;K8355&amp;""'"")),""USER TIDAK DIKETAHUI""))"),"")</f>
        <v/>
      </c>
    </row>
    <row r="8356">
      <c r="A8356" s="21" t="str">
        <f t="shared" si="3"/>
        <v/>
      </c>
      <c r="B8356" s="38"/>
      <c r="C8356" s="23"/>
      <c r="D8356" s="23"/>
      <c r="E8356" s="24"/>
      <c r="F8356" s="25"/>
      <c r="G8356" s="25"/>
      <c r="H8356" s="27"/>
      <c r="I8356" s="28"/>
      <c r="J8356" s="39"/>
      <c r="K8356" s="41"/>
      <c r="L8356" s="31" t="str">
        <f>IFERROR(__xludf.DUMMYFUNCTION("IF(OR(E8356="""",K8356=""""),"""",IFERROR(IF(K8356="""","""",query('tbl user'!$A$2:$D10975,""SELECT A WHERE D = '""&amp;K8356&amp;""'"")),""USER TIDAK DIKETAHUI""))"),"")</f>
        <v/>
      </c>
    </row>
    <row r="8357">
      <c r="A8357" s="21" t="str">
        <f t="shared" si="3"/>
        <v/>
      </c>
      <c r="B8357" s="38"/>
      <c r="C8357" s="23"/>
      <c r="D8357" s="23"/>
      <c r="E8357" s="24"/>
      <c r="F8357" s="25"/>
      <c r="G8357" s="25"/>
      <c r="H8357" s="27"/>
      <c r="I8357" s="28"/>
      <c r="J8357" s="39"/>
      <c r="K8357" s="41"/>
      <c r="L8357" s="31" t="str">
        <f>IFERROR(__xludf.DUMMYFUNCTION("IF(OR(E8357="""",K8357=""""),"""",IFERROR(IF(K8357="""","""",query('tbl user'!$A$2:$D10975,""SELECT A WHERE D = '""&amp;K8357&amp;""'"")),""USER TIDAK DIKETAHUI""))"),"")</f>
        <v/>
      </c>
    </row>
    <row r="8358">
      <c r="A8358" s="21" t="str">
        <f t="shared" si="3"/>
        <v/>
      </c>
      <c r="B8358" s="38"/>
      <c r="C8358" s="23"/>
      <c r="D8358" s="23"/>
      <c r="E8358" s="24"/>
      <c r="F8358" s="25"/>
      <c r="G8358" s="25"/>
      <c r="H8358" s="27"/>
      <c r="I8358" s="28"/>
      <c r="J8358" s="39"/>
      <c r="K8358" s="41"/>
      <c r="L8358" s="31" t="str">
        <f>IFERROR(__xludf.DUMMYFUNCTION("IF(OR(E8358="""",K8358=""""),"""",IFERROR(IF(K8358="""","""",query('tbl user'!$A$2:$D10975,""SELECT A WHERE D = '""&amp;K8358&amp;""'"")),""USER TIDAK DIKETAHUI""))"),"")</f>
        <v/>
      </c>
    </row>
    <row r="8359">
      <c r="A8359" s="21" t="str">
        <f t="shared" si="3"/>
        <v/>
      </c>
      <c r="B8359" s="38"/>
      <c r="C8359" s="23"/>
      <c r="D8359" s="23"/>
      <c r="E8359" s="24"/>
      <c r="F8359" s="25"/>
      <c r="G8359" s="25"/>
      <c r="H8359" s="27"/>
      <c r="I8359" s="28"/>
      <c r="J8359" s="39"/>
      <c r="K8359" s="41"/>
      <c r="L8359" s="31" t="str">
        <f>IFERROR(__xludf.DUMMYFUNCTION("IF(OR(E8359="""",K8359=""""),"""",IFERROR(IF(K8359="""","""",query('tbl user'!$A$2:$D10975,""SELECT A WHERE D = '""&amp;K8359&amp;""'"")),""USER TIDAK DIKETAHUI""))"),"")</f>
        <v/>
      </c>
    </row>
    <row r="8360">
      <c r="A8360" s="21" t="str">
        <f t="shared" si="3"/>
        <v/>
      </c>
      <c r="B8360" s="38"/>
      <c r="C8360" s="23"/>
      <c r="D8360" s="23"/>
      <c r="E8360" s="24"/>
      <c r="F8360" s="25"/>
      <c r="G8360" s="25"/>
      <c r="H8360" s="27"/>
      <c r="I8360" s="28"/>
      <c r="J8360" s="39"/>
      <c r="K8360" s="41"/>
      <c r="L8360" s="31" t="str">
        <f>IFERROR(__xludf.DUMMYFUNCTION("IF(OR(E8360="""",K8360=""""),"""",IFERROR(IF(K8360="""","""",query('tbl user'!$A$2:$D10975,""SELECT A WHERE D = '""&amp;K8360&amp;""'"")),""USER TIDAK DIKETAHUI""))"),"")</f>
        <v/>
      </c>
    </row>
    <row r="8361">
      <c r="A8361" s="21" t="str">
        <f t="shared" si="3"/>
        <v/>
      </c>
      <c r="B8361" s="38"/>
      <c r="C8361" s="23"/>
      <c r="D8361" s="23"/>
      <c r="E8361" s="24"/>
      <c r="F8361" s="25"/>
      <c r="G8361" s="25"/>
      <c r="H8361" s="27"/>
      <c r="I8361" s="28"/>
      <c r="J8361" s="39"/>
      <c r="K8361" s="41"/>
      <c r="L8361" s="31" t="str">
        <f>IFERROR(__xludf.DUMMYFUNCTION("IF(OR(E8361="""",K8361=""""),"""",IFERROR(IF(K8361="""","""",query('tbl user'!$A$2:$D10975,""SELECT A WHERE D = '""&amp;K8361&amp;""'"")),""USER TIDAK DIKETAHUI""))"),"")</f>
        <v/>
      </c>
    </row>
    <row r="8362">
      <c r="A8362" s="21" t="str">
        <f t="shared" si="3"/>
        <v/>
      </c>
      <c r="B8362" s="38"/>
      <c r="C8362" s="23"/>
      <c r="D8362" s="23"/>
      <c r="E8362" s="24"/>
      <c r="F8362" s="25"/>
      <c r="G8362" s="25"/>
      <c r="H8362" s="27"/>
      <c r="I8362" s="28"/>
      <c r="J8362" s="39"/>
      <c r="K8362" s="41"/>
      <c r="L8362" s="31" t="str">
        <f>IFERROR(__xludf.DUMMYFUNCTION("IF(OR(E8362="""",K8362=""""),"""",IFERROR(IF(K8362="""","""",query('tbl user'!$A$2:$D10975,""SELECT A WHERE D = '""&amp;K8362&amp;""'"")),""USER TIDAK DIKETAHUI""))"),"")</f>
        <v/>
      </c>
    </row>
    <row r="8363">
      <c r="A8363" s="21" t="str">
        <f t="shared" si="3"/>
        <v/>
      </c>
      <c r="B8363" s="38"/>
      <c r="C8363" s="23"/>
      <c r="D8363" s="23"/>
      <c r="E8363" s="24"/>
      <c r="F8363" s="25"/>
      <c r="G8363" s="25"/>
      <c r="H8363" s="27"/>
      <c r="I8363" s="28"/>
      <c r="J8363" s="39"/>
      <c r="K8363" s="41"/>
      <c r="L8363" s="31" t="str">
        <f>IFERROR(__xludf.DUMMYFUNCTION("IF(OR(E8363="""",K8363=""""),"""",IFERROR(IF(K8363="""","""",query('tbl user'!$A$2:$D10975,""SELECT A WHERE D = '""&amp;K8363&amp;""'"")),""USER TIDAK DIKETAHUI""))"),"")</f>
        <v/>
      </c>
    </row>
    <row r="8364">
      <c r="A8364" s="21" t="str">
        <f t="shared" si="3"/>
        <v/>
      </c>
      <c r="B8364" s="38"/>
      <c r="C8364" s="23"/>
      <c r="D8364" s="23"/>
      <c r="E8364" s="24"/>
      <c r="F8364" s="25"/>
      <c r="G8364" s="25"/>
      <c r="H8364" s="27"/>
      <c r="I8364" s="28"/>
      <c r="J8364" s="39"/>
      <c r="K8364" s="41"/>
      <c r="L8364" s="31" t="str">
        <f>IFERROR(__xludf.DUMMYFUNCTION("IF(OR(E8364="""",K8364=""""),"""",IFERROR(IF(K8364="""","""",query('tbl user'!$A$2:$D10975,""SELECT A WHERE D = '""&amp;K8364&amp;""'"")),""USER TIDAK DIKETAHUI""))"),"")</f>
        <v/>
      </c>
    </row>
    <row r="8365">
      <c r="A8365" s="21" t="str">
        <f t="shared" si="3"/>
        <v/>
      </c>
      <c r="B8365" s="38"/>
      <c r="C8365" s="23"/>
      <c r="D8365" s="23"/>
      <c r="E8365" s="24"/>
      <c r="F8365" s="25"/>
      <c r="G8365" s="25"/>
      <c r="H8365" s="27"/>
      <c r="I8365" s="28"/>
      <c r="J8365" s="39"/>
      <c r="K8365" s="41"/>
      <c r="L8365" s="31" t="str">
        <f>IFERROR(__xludf.DUMMYFUNCTION("IF(OR(E8365="""",K8365=""""),"""",IFERROR(IF(K8365="""","""",query('tbl user'!$A$2:$D10975,""SELECT A WHERE D = '""&amp;K8365&amp;""'"")),""USER TIDAK DIKETAHUI""))"),"")</f>
        <v/>
      </c>
    </row>
    <row r="8366">
      <c r="A8366" s="21" t="str">
        <f t="shared" si="3"/>
        <v/>
      </c>
      <c r="B8366" s="38"/>
      <c r="C8366" s="23"/>
      <c r="D8366" s="23"/>
      <c r="E8366" s="24"/>
      <c r="F8366" s="25"/>
      <c r="G8366" s="25"/>
      <c r="H8366" s="27"/>
      <c r="I8366" s="28"/>
      <c r="J8366" s="39"/>
      <c r="K8366" s="41"/>
      <c r="L8366" s="31" t="str">
        <f>IFERROR(__xludf.DUMMYFUNCTION("IF(OR(E8366="""",K8366=""""),"""",IFERROR(IF(K8366="""","""",query('tbl user'!$A$2:$D10975,""SELECT A WHERE D = '""&amp;K8366&amp;""'"")),""USER TIDAK DIKETAHUI""))"),"")</f>
        <v/>
      </c>
    </row>
    <row r="8367">
      <c r="A8367" s="21" t="str">
        <f t="shared" si="3"/>
        <v/>
      </c>
      <c r="B8367" s="38"/>
      <c r="C8367" s="23"/>
      <c r="D8367" s="23"/>
      <c r="E8367" s="24"/>
      <c r="F8367" s="25"/>
      <c r="G8367" s="25"/>
      <c r="H8367" s="27"/>
      <c r="I8367" s="28"/>
      <c r="J8367" s="39"/>
      <c r="K8367" s="41"/>
      <c r="L8367" s="31" t="str">
        <f>IFERROR(__xludf.DUMMYFUNCTION("IF(OR(E8367="""",K8367=""""),"""",IFERROR(IF(K8367="""","""",query('tbl user'!$A$2:$D10975,""SELECT A WHERE D = '""&amp;K8367&amp;""'"")),""USER TIDAK DIKETAHUI""))"),"")</f>
        <v/>
      </c>
    </row>
    <row r="8368">
      <c r="A8368" s="21" t="str">
        <f t="shared" si="3"/>
        <v/>
      </c>
      <c r="B8368" s="38"/>
      <c r="C8368" s="23"/>
      <c r="D8368" s="23"/>
      <c r="E8368" s="24"/>
      <c r="F8368" s="25"/>
      <c r="G8368" s="25"/>
      <c r="H8368" s="27"/>
      <c r="I8368" s="28"/>
      <c r="J8368" s="39"/>
      <c r="K8368" s="41"/>
      <c r="L8368" s="31" t="str">
        <f>IFERROR(__xludf.DUMMYFUNCTION("IF(OR(E8368="""",K8368=""""),"""",IFERROR(IF(K8368="""","""",query('tbl user'!$A$2:$D10975,""SELECT A WHERE D = '""&amp;K8368&amp;""'"")),""USER TIDAK DIKETAHUI""))"),"")</f>
        <v/>
      </c>
    </row>
    <row r="8369">
      <c r="A8369" s="21" t="str">
        <f t="shared" si="3"/>
        <v/>
      </c>
      <c r="B8369" s="38"/>
      <c r="C8369" s="23"/>
      <c r="D8369" s="23"/>
      <c r="E8369" s="24"/>
      <c r="F8369" s="25"/>
      <c r="G8369" s="25"/>
      <c r="H8369" s="27"/>
      <c r="I8369" s="28"/>
      <c r="J8369" s="39"/>
      <c r="K8369" s="41"/>
      <c r="L8369" s="31" t="str">
        <f>IFERROR(__xludf.DUMMYFUNCTION("IF(OR(E8369="""",K8369=""""),"""",IFERROR(IF(K8369="""","""",query('tbl user'!$A$2:$D10975,""SELECT A WHERE D = '""&amp;K8369&amp;""'"")),""USER TIDAK DIKETAHUI""))"),"")</f>
        <v/>
      </c>
    </row>
    <row r="8370">
      <c r="A8370" s="21" t="str">
        <f t="shared" si="3"/>
        <v/>
      </c>
      <c r="B8370" s="38"/>
      <c r="C8370" s="23"/>
      <c r="D8370" s="23"/>
      <c r="E8370" s="24"/>
      <c r="F8370" s="25"/>
      <c r="G8370" s="25"/>
      <c r="H8370" s="27"/>
      <c r="I8370" s="28"/>
      <c r="J8370" s="39"/>
      <c r="K8370" s="41"/>
      <c r="L8370" s="31" t="str">
        <f>IFERROR(__xludf.DUMMYFUNCTION("IF(OR(E8370="""",K8370=""""),"""",IFERROR(IF(K8370="""","""",query('tbl user'!$A$2:$D10975,""SELECT A WHERE D = '""&amp;K8370&amp;""'"")),""USER TIDAK DIKETAHUI""))"),"")</f>
        <v/>
      </c>
    </row>
    <row r="8371">
      <c r="A8371" s="21" t="str">
        <f t="shared" si="3"/>
        <v/>
      </c>
      <c r="B8371" s="38"/>
      <c r="C8371" s="23"/>
      <c r="D8371" s="23"/>
      <c r="E8371" s="24"/>
      <c r="F8371" s="25"/>
      <c r="G8371" s="25"/>
      <c r="H8371" s="27"/>
      <c r="I8371" s="28"/>
      <c r="J8371" s="39"/>
      <c r="K8371" s="41"/>
      <c r="L8371" s="31" t="str">
        <f>IFERROR(__xludf.DUMMYFUNCTION("IF(OR(E8371="""",K8371=""""),"""",IFERROR(IF(K8371="""","""",query('tbl user'!$A$2:$D10975,""SELECT A WHERE D = '""&amp;K8371&amp;""'"")),""USER TIDAK DIKETAHUI""))"),"")</f>
        <v/>
      </c>
    </row>
    <row r="8372">
      <c r="A8372" s="21" t="str">
        <f t="shared" si="3"/>
        <v/>
      </c>
      <c r="B8372" s="38"/>
      <c r="C8372" s="23"/>
      <c r="D8372" s="23"/>
      <c r="E8372" s="24"/>
      <c r="F8372" s="25"/>
      <c r="G8372" s="25"/>
      <c r="H8372" s="27"/>
      <c r="I8372" s="28"/>
      <c r="J8372" s="39"/>
      <c r="K8372" s="41"/>
      <c r="L8372" s="31" t="str">
        <f>IFERROR(__xludf.DUMMYFUNCTION("IF(OR(E8372="""",K8372=""""),"""",IFERROR(IF(K8372="""","""",query('tbl user'!$A$2:$D10975,""SELECT A WHERE D = '""&amp;K8372&amp;""'"")),""USER TIDAK DIKETAHUI""))"),"")</f>
        <v/>
      </c>
    </row>
    <row r="8373">
      <c r="A8373" s="21" t="str">
        <f t="shared" si="3"/>
        <v/>
      </c>
      <c r="B8373" s="38"/>
      <c r="C8373" s="23"/>
      <c r="D8373" s="23"/>
      <c r="E8373" s="24"/>
      <c r="F8373" s="25"/>
      <c r="G8373" s="25"/>
      <c r="H8373" s="27"/>
      <c r="I8373" s="28"/>
      <c r="J8373" s="39"/>
      <c r="K8373" s="41"/>
      <c r="L8373" s="31" t="str">
        <f>IFERROR(__xludf.DUMMYFUNCTION("IF(OR(E8373="""",K8373=""""),"""",IFERROR(IF(K8373="""","""",query('tbl user'!$A$2:$D10975,""SELECT A WHERE D = '""&amp;K8373&amp;""'"")),""USER TIDAK DIKETAHUI""))"),"")</f>
        <v/>
      </c>
    </row>
    <row r="8374">
      <c r="A8374" s="21" t="str">
        <f t="shared" si="3"/>
        <v/>
      </c>
      <c r="B8374" s="38"/>
      <c r="C8374" s="23"/>
      <c r="D8374" s="23"/>
      <c r="E8374" s="24"/>
      <c r="F8374" s="25"/>
      <c r="G8374" s="25"/>
      <c r="H8374" s="27"/>
      <c r="I8374" s="28"/>
      <c r="J8374" s="39"/>
      <c r="K8374" s="41"/>
      <c r="L8374" s="31" t="str">
        <f>IFERROR(__xludf.DUMMYFUNCTION("IF(OR(E8374="""",K8374=""""),"""",IFERROR(IF(K8374="""","""",query('tbl user'!$A$2:$D10975,""SELECT A WHERE D = '""&amp;K8374&amp;""'"")),""USER TIDAK DIKETAHUI""))"),"")</f>
        <v/>
      </c>
    </row>
    <row r="8375">
      <c r="A8375" s="21" t="str">
        <f t="shared" si="3"/>
        <v/>
      </c>
      <c r="B8375" s="38"/>
      <c r="C8375" s="23"/>
      <c r="D8375" s="23"/>
      <c r="E8375" s="24"/>
      <c r="F8375" s="25"/>
      <c r="G8375" s="25"/>
      <c r="H8375" s="27"/>
      <c r="I8375" s="28"/>
      <c r="J8375" s="39"/>
      <c r="K8375" s="41"/>
      <c r="L8375" s="31" t="str">
        <f>IFERROR(__xludf.DUMMYFUNCTION("IF(OR(E8375="""",K8375=""""),"""",IFERROR(IF(K8375="""","""",query('tbl user'!$A$2:$D10975,""SELECT A WHERE D = '""&amp;K8375&amp;""'"")),""USER TIDAK DIKETAHUI""))"),"")</f>
        <v/>
      </c>
    </row>
    <row r="8376">
      <c r="A8376" s="21" t="str">
        <f t="shared" si="3"/>
        <v/>
      </c>
      <c r="B8376" s="38"/>
      <c r="C8376" s="23"/>
      <c r="D8376" s="23"/>
      <c r="E8376" s="24"/>
      <c r="F8376" s="25"/>
      <c r="G8376" s="25"/>
      <c r="H8376" s="27"/>
      <c r="I8376" s="28"/>
      <c r="J8376" s="39"/>
      <c r="K8376" s="41"/>
      <c r="L8376" s="31" t="str">
        <f>IFERROR(__xludf.DUMMYFUNCTION("IF(OR(E8376="""",K8376=""""),"""",IFERROR(IF(K8376="""","""",query('tbl user'!$A$2:$D10975,""SELECT A WHERE D = '""&amp;K8376&amp;""'"")),""USER TIDAK DIKETAHUI""))"),"")</f>
        <v/>
      </c>
    </row>
    <row r="8377">
      <c r="A8377" s="21" t="str">
        <f t="shared" si="3"/>
        <v/>
      </c>
      <c r="B8377" s="38"/>
      <c r="C8377" s="23"/>
      <c r="D8377" s="23"/>
      <c r="E8377" s="24"/>
      <c r="F8377" s="25"/>
      <c r="G8377" s="25"/>
      <c r="H8377" s="27"/>
      <c r="I8377" s="28"/>
      <c r="J8377" s="39"/>
      <c r="K8377" s="41"/>
      <c r="L8377" s="31" t="str">
        <f>IFERROR(__xludf.DUMMYFUNCTION("IF(OR(E8377="""",K8377=""""),"""",IFERROR(IF(K8377="""","""",query('tbl user'!$A$2:$D10975,""SELECT A WHERE D = '""&amp;K8377&amp;""'"")),""USER TIDAK DIKETAHUI""))"),"")</f>
        <v/>
      </c>
    </row>
    <row r="8378">
      <c r="A8378" s="21" t="str">
        <f t="shared" si="3"/>
        <v/>
      </c>
      <c r="B8378" s="38"/>
      <c r="C8378" s="23"/>
      <c r="D8378" s="23"/>
      <c r="E8378" s="24"/>
      <c r="F8378" s="25"/>
      <c r="G8378" s="25"/>
      <c r="H8378" s="27"/>
      <c r="I8378" s="28"/>
      <c r="J8378" s="39"/>
      <c r="K8378" s="41"/>
      <c r="L8378" s="31" t="str">
        <f>IFERROR(__xludf.DUMMYFUNCTION("IF(OR(E8378="""",K8378=""""),"""",IFERROR(IF(K8378="""","""",query('tbl user'!$A$2:$D10975,""SELECT A WHERE D = '""&amp;K8378&amp;""'"")),""USER TIDAK DIKETAHUI""))"),"")</f>
        <v/>
      </c>
    </row>
    <row r="8379">
      <c r="A8379" s="21" t="str">
        <f t="shared" si="3"/>
        <v/>
      </c>
      <c r="B8379" s="38"/>
      <c r="C8379" s="23"/>
      <c r="D8379" s="23"/>
      <c r="E8379" s="24"/>
      <c r="F8379" s="25"/>
      <c r="G8379" s="25"/>
      <c r="H8379" s="27"/>
      <c r="I8379" s="28"/>
      <c r="J8379" s="39"/>
      <c r="K8379" s="41"/>
      <c r="L8379" s="31" t="str">
        <f>IFERROR(__xludf.DUMMYFUNCTION("IF(OR(E8379="""",K8379=""""),"""",IFERROR(IF(K8379="""","""",query('tbl user'!$A$2:$D10975,""SELECT A WHERE D = '""&amp;K8379&amp;""'"")),""USER TIDAK DIKETAHUI""))"),"")</f>
        <v/>
      </c>
    </row>
    <row r="8380">
      <c r="A8380" s="21" t="str">
        <f t="shared" si="3"/>
        <v/>
      </c>
      <c r="B8380" s="38"/>
      <c r="C8380" s="23"/>
      <c r="D8380" s="23"/>
      <c r="E8380" s="24"/>
      <c r="F8380" s="25"/>
      <c r="G8380" s="25"/>
      <c r="H8380" s="27"/>
      <c r="I8380" s="28"/>
      <c r="J8380" s="39"/>
      <c r="K8380" s="41"/>
      <c r="L8380" s="31" t="str">
        <f>IFERROR(__xludf.DUMMYFUNCTION("IF(OR(E8380="""",K8380=""""),"""",IFERROR(IF(K8380="""","""",query('tbl user'!$A$2:$D10975,""SELECT A WHERE D = '""&amp;K8380&amp;""'"")),""USER TIDAK DIKETAHUI""))"),"")</f>
        <v/>
      </c>
    </row>
    <row r="8381">
      <c r="A8381" s="21" t="str">
        <f t="shared" si="3"/>
        <v/>
      </c>
      <c r="B8381" s="38"/>
      <c r="C8381" s="23"/>
      <c r="D8381" s="23"/>
      <c r="E8381" s="24"/>
      <c r="F8381" s="25"/>
      <c r="G8381" s="25"/>
      <c r="H8381" s="27"/>
      <c r="I8381" s="28"/>
      <c r="J8381" s="39"/>
      <c r="K8381" s="41"/>
      <c r="L8381" s="31" t="str">
        <f>IFERROR(__xludf.DUMMYFUNCTION("IF(OR(E8381="""",K8381=""""),"""",IFERROR(IF(K8381="""","""",query('tbl user'!$A$2:$D10975,""SELECT A WHERE D = '""&amp;K8381&amp;""'"")),""USER TIDAK DIKETAHUI""))"),"")</f>
        <v/>
      </c>
    </row>
    <row r="8382">
      <c r="A8382" s="21" t="str">
        <f t="shared" si="3"/>
        <v/>
      </c>
      <c r="B8382" s="38"/>
      <c r="C8382" s="23"/>
      <c r="D8382" s="23"/>
      <c r="E8382" s="24"/>
      <c r="F8382" s="25"/>
      <c r="G8382" s="25"/>
      <c r="H8382" s="27"/>
      <c r="I8382" s="28"/>
      <c r="J8382" s="39"/>
      <c r="K8382" s="41"/>
      <c r="L8382" s="31" t="str">
        <f>IFERROR(__xludf.DUMMYFUNCTION("IF(OR(E8382="""",K8382=""""),"""",IFERROR(IF(K8382="""","""",query('tbl user'!$A$2:$D10975,""SELECT A WHERE D = '""&amp;K8382&amp;""'"")),""USER TIDAK DIKETAHUI""))"),"")</f>
        <v/>
      </c>
    </row>
    <row r="8383">
      <c r="A8383" s="21" t="str">
        <f t="shared" si="3"/>
        <v/>
      </c>
      <c r="B8383" s="38"/>
      <c r="C8383" s="23"/>
      <c r="D8383" s="23"/>
      <c r="E8383" s="24"/>
      <c r="F8383" s="25"/>
      <c r="G8383" s="25"/>
      <c r="H8383" s="27"/>
      <c r="I8383" s="28"/>
      <c r="J8383" s="39"/>
      <c r="K8383" s="41"/>
      <c r="L8383" s="31" t="str">
        <f>IFERROR(__xludf.DUMMYFUNCTION("IF(OR(E8383="""",K8383=""""),"""",IFERROR(IF(K8383="""","""",query('tbl user'!$A$2:$D10975,""SELECT A WHERE D = '""&amp;K8383&amp;""'"")),""USER TIDAK DIKETAHUI""))"),"")</f>
        <v/>
      </c>
    </row>
    <row r="8384">
      <c r="A8384" s="21" t="str">
        <f t="shared" si="3"/>
        <v/>
      </c>
      <c r="B8384" s="38"/>
      <c r="C8384" s="23"/>
      <c r="D8384" s="23"/>
      <c r="E8384" s="24"/>
      <c r="F8384" s="25"/>
      <c r="G8384" s="25"/>
      <c r="H8384" s="27"/>
      <c r="I8384" s="28"/>
      <c r="J8384" s="39"/>
      <c r="K8384" s="41"/>
      <c r="L8384" s="31" t="str">
        <f>IFERROR(__xludf.DUMMYFUNCTION("IF(OR(E8384="""",K8384=""""),"""",IFERROR(IF(K8384="""","""",query('tbl user'!$A$2:$D10975,""SELECT A WHERE D = '""&amp;K8384&amp;""'"")),""USER TIDAK DIKETAHUI""))"),"")</f>
        <v/>
      </c>
    </row>
    <row r="8385">
      <c r="A8385" s="21" t="str">
        <f t="shared" si="3"/>
        <v/>
      </c>
      <c r="B8385" s="38"/>
      <c r="C8385" s="23"/>
      <c r="D8385" s="23"/>
      <c r="E8385" s="24"/>
      <c r="F8385" s="25"/>
      <c r="G8385" s="25"/>
      <c r="H8385" s="27"/>
      <c r="I8385" s="28"/>
      <c r="J8385" s="39"/>
      <c r="K8385" s="41"/>
      <c r="L8385" s="31" t="str">
        <f>IFERROR(__xludf.DUMMYFUNCTION("IF(OR(E8385="""",K8385=""""),"""",IFERROR(IF(K8385="""","""",query('tbl user'!$A$2:$D10975,""SELECT A WHERE D = '""&amp;K8385&amp;""'"")),""USER TIDAK DIKETAHUI""))"),"")</f>
        <v/>
      </c>
    </row>
    <row r="8386">
      <c r="A8386" s="21" t="str">
        <f t="shared" si="3"/>
        <v/>
      </c>
      <c r="B8386" s="38"/>
      <c r="C8386" s="23"/>
      <c r="D8386" s="23"/>
      <c r="E8386" s="24"/>
      <c r="F8386" s="25"/>
      <c r="G8386" s="25"/>
      <c r="H8386" s="27"/>
      <c r="I8386" s="28"/>
      <c r="J8386" s="39"/>
      <c r="K8386" s="41"/>
      <c r="L8386" s="31" t="str">
        <f>IFERROR(__xludf.DUMMYFUNCTION("IF(OR(E8386="""",K8386=""""),"""",IFERROR(IF(K8386="""","""",query('tbl user'!$A$2:$D10975,""SELECT A WHERE D = '""&amp;K8386&amp;""'"")),""USER TIDAK DIKETAHUI""))"),"")</f>
        <v/>
      </c>
    </row>
    <row r="8387">
      <c r="A8387" s="21" t="str">
        <f t="shared" si="3"/>
        <v/>
      </c>
      <c r="B8387" s="38"/>
      <c r="C8387" s="23"/>
      <c r="D8387" s="23"/>
      <c r="E8387" s="24"/>
      <c r="F8387" s="25"/>
      <c r="G8387" s="25"/>
      <c r="H8387" s="27"/>
      <c r="I8387" s="28"/>
      <c r="J8387" s="39"/>
      <c r="K8387" s="41"/>
      <c r="L8387" s="31" t="str">
        <f>IFERROR(__xludf.DUMMYFUNCTION("IF(OR(E8387="""",K8387=""""),"""",IFERROR(IF(K8387="""","""",query('tbl user'!$A$2:$D10975,""SELECT A WHERE D = '""&amp;K8387&amp;""'"")),""USER TIDAK DIKETAHUI""))"),"")</f>
        <v/>
      </c>
    </row>
    <row r="8388">
      <c r="A8388" s="21" t="str">
        <f t="shared" si="3"/>
        <v/>
      </c>
      <c r="B8388" s="38"/>
      <c r="C8388" s="23"/>
      <c r="D8388" s="23"/>
      <c r="E8388" s="24"/>
      <c r="F8388" s="25"/>
      <c r="G8388" s="25"/>
      <c r="H8388" s="27"/>
      <c r="I8388" s="28"/>
      <c r="J8388" s="39"/>
      <c r="K8388" s="41"/>
      <c r="L8388" s="31" t="str">
        <f>IFERROR(__xludf.DUMMYFUNCTION("IF(OR(E8388="""",K8388=""""),"""",IFERROR(IF(K8388="""","""",query('tbl user'!$A$2:$D10975,""SELECT A WHERE D = '""&amp;K8388&amp;""'"")),""USER TIDAK DIKETAHUI""))"),"")</f>
        <v/>
      </c>
    </row>
    <row r="8389">
      <c r="A8389" s="21" t="str">
        <f t="shared" si="3"/>
        <v/>
      </c>
      <c r="B8389" s="38"/>
      <c r="C8389" s="23"/>
      <c r="D8389" s="23"/>
      <c r="E8389" s="24"/>
      <c r="F8389" s="25"/>
      <c r="G8389" s="25"/>
      <c r="H8389" s="27"/>
      <c r="I8389" s="28"/>
      <c r="J8389" s="39"/>
      <c r="K8389" s="41"/>
      <c r="L8389" s="31" t="str">
        <f>IFERROR(__xludf.DUMMYFUNCTION("IF(OR(E8389="""",K8389=""""),"""",IFERROR(IF(K8389="""","""",query('tbl user'!$A$2:$D10975,""SELECT A WHERE D = '""&amp;K8389&amp;""'"")),""USER TIDAK DIKETAHUI""))"),"")</f>
        <v/>
      </c>
    </row>
    <row r="8390">
      <c r="A8390" s="21" t="str">
        <f t="shared" si="3"/>
        <v/>
      </c>
      <c r="B8390" s="38"/>
      <c r="C8390" s="23"/>
      <c r="D8390" s="23"/>
      <c r="E8390" s="24"/>
      <c r="F8390" s="25"/>
      <c r="G8390" s="25"/>
      <c r="H8390" s="27"/>
      <c r="I8390" s="28"/>
      <c r="J8390" s="39"/>
      <c r="K8390" s="41"/>
      <c r="L8390" s="31" t="str">
        <f>IFERROR(__xludf.DUMMYFUNCTION("IF(OR(E8390="""",K8390=""""),"""",IFERROR(IF(K8390="""","""",query('tbl user'!$A$2:$D10975,""SELECT A WHERE D = '""&amp;K8390&amp;""'"")),""USER TIDAK DIKETAHUI""))"),"")</f>
        <v/>
      </c>
    </row>
    <row r="8391">
      <c r="A8391" s="21" t="str">
        <f t="shared" si="3"/>
        <v/>
      </c>
      <c r="B8391" s="38"/>
      <c r="C8391" s="23"/>
      <c r="D8391" s="23"/>
      <c r="E8391" s="24"/>
      <c r="F8391" s="25"/>
      <c r="G8391" s="25"/>
      <c r="H8391" s="27"/>
      <c r="I8391" s="28"/>
      <c r="J8391" s="39"/>
      <c r="K8391" s="41"/>
      <c r="L8391" s="31" t="str">
        <f>IFERROR(__xludf.DUMMYFUNCTION("IF(OR(E8391="""",K8391=""""),"""",IFERROR(IF(K8391="""","""",query('tbl user'!$A$2:$D10975,""SELECT A WHERE D = '""&amp;K8391&amp;""'"")),""USER TIDAK DIKETAHUI""))"),"")</f>
        <v/>
      </c>
    </row>
    <row r="8392">
      <c r="A8392" s="21" t="str">
        <f t="shared" si="3"/>
        <v/>
      </c>
      <c r="B8392" s="38"/>
      <c r="C8392" s="23"/>
      <c r="D8392" s="23"/>
      <c r="E8392" s="24"/>
      <c r="F8392" s="25"/>
      <c r="G8392" s="25"/>
      <c r="H8392" s="27"/>
      <c r="I8392" s="28"/>
      <c r="J8392" s="39"/>
      <c r="K8392" s="41"/>
      <c r="L8392" s="31" t="str">
        <f>IFERROR(__xludf.DUMMYFUNCTION("IF(OR(E8392="""",K8392=""""),"""",IFERROR(IF(K8392="""","""",query('tbl user'!$A$2:$D10975,""SELECT A WHERE D = '""&amp;K8392&amp;""'"")),""USER TIDAK DIKETAHUI""))"),"")</f>
        <v/>
      </c>
    </row>
    <row r="8393">
      <c r="A8393" s="21" t="str">
        <f t="shared" si="3"/>
        <v/>
      </c>
      <c r="B8393" s="38"/>
      <c r="C8393" s="23"/>
      <c r="D8393" s="23"/>
      <c r="E8393" s="24"/>
      <c r="F8393" s="25"/>
      <c r="G8393" s="25"/>
      <c r="H8393" s="27"/>
      <c r="I8393" s="28"/>
      <c r="J8393" s="39"/>
      <c r="K8393" s="41"/>
      <c r="L8393" s="31" t="str">
        <f>IFERROR(__xludf.DUMMYFUNCTION("IF(OR(E8393="""",K8393=""""),"""",IFERROR(IF(K8393="""","""",query('tbl user'!$A$2:$D10975,""SELECT A WHERE D = '""&amp;K8393&amp;""'"")),""USER TIDAK DIKETAHUI""))"),"")</f>
        <v/>
      </c>
    </row>
    <row r="8394">
      <c r="A8394" s="21" t="str">
        <f t="shared" si="3"/>
        <v/>
      </c>
      <c r="B8394" s="38"/>
      <c r="C8394" s="23"/>
      <c r="D8394" s="23"/>
      <c r="E8394" s="24"/>
      <c r="F8394" s="25"/>
      <c r="G8394" s="25"/>
      <c r="H8394" s="27"/>
      <c r="I8394" s="28"/>
      <c r="J8394" s="39"/>
      <c r="K8394" s="41"/>
      <c r="L8394" s="31" t="str">
        <f>IFERROR(__xludf.DUMMYFUNCTION("IF(OR(E8394="""",K8394=""""),"""",IFERROR(IF(K8394="""","""",query('tbl user'!$A$2:$D10975,""SELECT A WHERE D = '""&amp;K8394&amp;""'"")),""USER TIDAK DIKETAHUI""))"),"")</f>
        <v/>
      </c>
    </row>
    <row r="8395">
      <c r="A8395" s="21" t="str">
        <f t="shared" si="3"/>
        <v/>
      </c>
      <c r="B8395" s="38"/>
      <c r="C8395" s="23"/>
      <c r="D8395" s="23"/>
      <c r="E8395" s="24"/>
      <c r="F8395" s="25"/>
      <c r="G8395" s="25"/>
      <c r="H8395" s="27"/>
      <c r="I8395" s="28"/>
      <c r="J8395" s="39"/>
      <c r="K8395" s="41"/>
      <c r="L8395" s="31" t="str">
        <f>IFERROR(__xludf.DUMMYFUNCTION("IF(OR(E8395="""",K8395=""""),"""",IFERROR(IF(K8395="""","""",query('tbl user'!$A$2:$D10975,""SELECT A WHERE D = '""&amp;K8395&amp;""'"")),""USER TIDAK DIKETAHUI""))"),"")</f>
        <v/>
      </c>
    </row>
    <row r="8396">
      <c r="A8396" s="21" t="str">
        <f t="shared" si="3"/>
        <v/>
      </c>
      <c r="B8396" s="38"/>
      <c r="C8396" s="23"/>
      <c r="D8396" s="23"/>
      <c r="E8396" s="24"/>
      <c r="F8396" s="25"/>
      <c r="G8396" s="25"/>
      <c r="H8396" s="27"/>
      <c r="I8396" s="28"/>
      <c r="J8396" s="39"/>
      <c r="K8396" s="41"/>
      <c r="L8396" s="31" t="str">
        <f>IFERROR(__xludf.DUMMYFUNCTION("IF(OR(E8396="""",K8396=""""),"""",IFERROR(IF(K8396="""","""",query('tbl user'!$A$2:$D10975,""SELECT A WHERE D = '""&amp;K8396&amp;""'"")),""USER TIDAK DIKETAHUI""))"),"")</f>
        <v/>
      </c>
    </row>
    <row r="8397">
      <c r="A8397" s="21" t="str">
        <f t="shared" si="3"/>
        <v/>
      </c>
      <c r="B8397" s="38"/>
      <c r="C8397" s="23"/>
      <c r="D8397" s="23"/>
      <c r="E8397" s="24"/>
      <c r="F8397" s="25"/>
      <c r="G8397" s="25"/>
      <c r="H8397" s="27"/>
      <c r="I8397" s="28"/>
      <c r="J8397" s="39"/>
      <c r="K8397" s="41"/>
      <c r="L8397" s="31" t="str">
        <f>IFERROR(__xludf.DUMMYFUNCTION("IF(OR(E8397="""",K8397=""""),"""",IFERROR(IF(K8397="""","""",query('tbl user'!$A$2:$D10975,""SELECT A WHERE D = '""&amp;K8397&amp;""'"")),""USER TIDAK DIKETAHUI""))"),"")</f>
        <v/>
      </c>
    </row>
    <row r="8398">
      <c r="A8398" s="21" t="str">
        <f t="shared" si="3"/>
        <v/>
      </c>
      <c r="B8398" s="38"/>
      <c r="C8398" s="23"/>
      <c r="D8398" s="23"/>
      <c r="E8398" s="24"/>
      <c r="F8398" s="25"/>
      <c r="G8398" s="25"/>
      <c r="H8398" s="27"/>
      <c r="I8398" s="28"/>
      <c r="J8398" s="39"/>
      <c r="K8398" s="41"/>
      <c r="L8398" s="31" t="str">
        <f>IFERROR(__xludf.DUMMYFUNCTION("IF(OR(E8398="""",K8398=""""),"""",IFERROR(IF(K8398="""","""",query('tbl user'!$A$2:$D10975,""SELECT A WHERE D = '""&amp;K8398&amp;""'"")),""USER TIDAK DIKETAHUI""))"),"")</f>
        <v/>
      </c>
    </row>
    <row r="8399">
      <c r="A8399" s="21" t="str">
        <f t="shared" si="3"/>
        <v/>
      </c>
      <c r="B8399" s="38"/>
      <c r="C8399" s="23"/>
      <c r="D8399" s="23"/>
      <c r="E8399" s="24"/>
      <c r="F8399" s="25"/>
      <c r="G8399" s="25"/>
      <c r="H8399" s="27"/>
      <c r="I8399" s="28"/>
      <c r="J8399" s="39"/>
      <c r="K8399" s="41"/>
      <c r="L8399" s="31" t="str">
        <f>IFERROR(__xludf.DUMMYFUNCTION("IF(OR(E8399="""",K8399=""""),"""",IFERROR(IF(K8399="""","""",query('tbl user'!$A$2:$D10975,""SELECT A WHERE D = '""&amp;K8399&amp;""'"")),""USER TIDAK DIKETAHUI""))"),"")</f>
        <v/>
      </c>
    </row>
    <row r="8400">
      <c r="A8400" s="21" t="str">
        <f t="shared" si="3"/>
        <v/>
      </c>
      <c r="B8400" s="38"/>
      <c r="C8400" s="23"/>
      <c r="D8400" s="23"/>
      <c r="E8400" s="24"/>
      <c r="F8400" s="25"/>
      <c r="G8400" s="25"/>
      <c r="H8400" s="27"/>
      <c r="I8400" s="28"/>
      <c r="J8400" s="39"/>
      <c r="K8400" s="41"/>
      <c r="L8400" s="31" t="str">
        <f>IFERROR(__xludf.DUMMYFUNCTION("IF(OR(E8400="""",K8400=""""),"""",IFERROR(IF(K8400="""","""",query('tbl user'!$A$2:$D10975,""SELECT A WHERE D = '""&amp;K8400&amp;""'"")),""USER TIDAK DIKETAHUI""))"),"")</f>
        <v/>
      </c>
    </row>
    <row r="8401">
      <c r="A8401" s="21" t="str">
        <f t="shared" si="3"/>
        <v/>
      </c>
      <c r="B8401" s="38"/>
      <c r="C8401" s="23"/>
      <c r="D8401" s="23"/>
      <c r="E8401" s="24"/>
      <c r="F8401" s="25"/>
      <c r="G8401" s="25"/>
      <c r="H8401" s="27"/>
      <c r="I8401" s="28"/>
      <c r="J8401" s="39"/>
      <c r="K8401" s="41"/>
      <c r="L8401" s="31" t="str">
        <f>IFERROR(__xludf.DUMMYFUNCTION("IF(OR(E8401="""",K8401=""""),"""",IFERROR(IF(K8401="""","""",query('tbl user'!$A$2:$D10975,""SELECT A WHERE D = '""&amp;K8401&amp;""'"")),""USER TIDAK DIKETAHUI""))"),"")</f>
        <v/>
      </c>
    </row>
    <row r="8402">
      <c r="A8402" s="21" t="str">
        <f t="shared" si="3"/>
        <v/>
      </c>
      <c r="B8402" s="38"/>
      <c r="C8402" s="23"/>
      <c r="D8402" s="23"/>
      <c r="E8402" s="24"/>
      <c r="F8402" s="25"/>
      <c r="G8402" s="25"/>
      <c r="H8402" s="27"/>
      <c r="I8402" s="28"/>
      <c r="J8402" s="39"/>
      <c r="K8402" s="41"/>
      <c r="L8402" s="31" t="str">
        <f>IFERROR(__xludf.DUMMYFUNCTION("IF(OR(E8402="""",K8402=""""),"""",IFERROR(IF(K8402="""","""",query('tbl user'!$A$2:$D10975,""SELECT A WHERE D = '""&amp;K8402&amp;""'"")),""USER TIDAK DIKETAHUI""))"),"")</f>
        <v/>
      </c>
    </row>
    <row r="8403">
      <c r="A8403" s="21" t="str">
        <f t="shared" si="3"/>
        <v/>
      </c>
      <c r="B8403" s="38"/>
      <c r="C8403" s="23"/>
      <c r="D8403" s="23"/>
      <c r="E8403" s="24"/>
      <c r="F8403" s="25"/>
      <c r="G8403" s="25"/>
      <c r="H8403" s="27"/>
      <c r="I8403" s="28"/>
      <c r="J8403" s="39"/>
      <c r="K8403" s="41"/>
      <c r="L8403" s="31" t="str">
        <f>IFERROR(__xludf.DUMMYFUNCTION("IF(OR(E8403="""",K8403=""""),"""",IFERROR(IF(K8403="""","""",query('tbl user'!$A$2:$D10975,""SELECT A WHERE D = '""&amp;K8403&amp;""'"")),""USER TIDAK DIKETAHUI""))"),"")</f>
        <v/>
      </c>
    </row>
    <row r="8404">
      <c r="A8404" s="21" t="str">
        <f t="shared" si="3"/>
        <v/>
      </c>
      <c r="B8404" s="38"/>
      <c r="C8404" s="23"/>
      <c r="D8404" s="23"/>
      <c r="E8404" s="24"/>
      <c r="F8404" s="25"/>
      <c r="G8404" s="25"/>
      <c r="H8404" s="27"/>
      <c r="I8404" s="28"/>
      <c r="J8404" s="39"/>
      <c r="K8404" s="41"/>
      <c r="L8404" s="31" t="str">
        <f>IFERROR(__xludf.DUMMYFUNCTION("IF(OR(E8404="""",K8404=""""),"""",IFERROR(IF(K8404="""","""",query('tbl user'!$A$2:$D10975,""SELECT A WHERE D = '""&amp;K8404&amp;""'"")),""USER TIDAK DIKETAHUI""))"),"")</f>
        <v/>
      </c>
    </row>
    <row r="8405">
      <c r="A8405" s="21" t="str">
        <f t="shared" si="3"/>
        <v/>
      </c>
      <c r="B8405" s="38"/>
      <c r="C8405" s="23"/>
      <c r="D8405" s="23"/>
      <c r="E8405" s="24"/>
      <c r="F8405" s="25"/>
      <c r="G8405" s="25"/>
      <c r="H8405" s="27"/>
      <c r="I8405" s="28"/>
      <c r="J8405" s="39"/>
      <c r="K8405" s="41"/>
      <c r="L8405" s="31" t="str">
        <f>IFERROR(__xludf.DUMMYFUNCTION("IF(OR(E8405="""",K8405=""""),"""",IFERROR(IF(K8405="""","""",query('tbl user'!$A$2:$D10975,""SELECT A WHERE D = '""&amp;K8405&amp;""'"")),""USER TIDAK DIKETAHUI""))"),"")</f>
        <v/>
      </c>
    </row>
    <row r="8406">
      <c r="A8406" s="21" t="str">
        <f t="shared" si="3"/>
        <v/>
      </c>
      <c r="B8406" s="38"/>
      <c r="C8406" s="23"/>
      <c r="D8406" s="23"/>
      <c r="E8406" s="24"/>
      <c r="F8406" s="25"/>
      <c r="G8406" s="25"/>
      <c r="H8406" s="27"/>
      <c r="I8406" s="28"/>
      <c r="J8406" s="39"/>
      <c r="K8406" s="41"/>
      <c r="L8406" s="31" t="str">
        <f>IFERROR(__xludf.DUMMYFUNCTION("IF(OR(E8406="""",K8406=""""),"""",IFERROR(IF(K8406="""","""",query('tbl user'!$A$2:$D10975,""SELECT A WHERE D = '""&amp;K8406&amp;""'"")),""USER TIDAK DIKETAHUI""))"),"")</f>
        <v/>
      </c>
    </row>
    <row r="8407">
      <c r="A8407" s="21" t="str">
        <f t="shared" si="3"/>
        <v/>
      </c>
      <c r="B8407" s="38"/>
      <c r="C8407" s="23"/>
      <c r="D8407" s="23"/>
      <c r="E8407" s="24"/>
      <c r="F8407" s="25"/>
      <c r="G8407" s="25"/>
      <c r="H8407" s="27"/>
      <c r="I8407" s="28"/>
      <c r="J8407" s="39"/>
      <c r="K8407" s="41"/>
      <c r="L8407" s="31" t="str">
        <f>IFERROR(__xludf.DUMMYFUNCTION("IF(OR(E8407="""",K8407=""""),"""",IFERROR(IF(K8407="""","""",query('tbl user'!$A$2:$D10975,""SELECT A WHERE D = '""&amp;K8407&amp;""'"")),""USER TIDAK DIKETAHUI""))"),"")</f>
        <v/>
      </c>
    </row>
    <row r="8408">
      <c r="A8408" s="21" t="str">
        <f t="shared" si="3"/>
        <v/>
      </c>
      <c r="B8408" s="38"/>
      <c r="C8408" s="23"/>
      <c r="D8408" s="23"/>
      <c r="E8408" s="24"/>
      <c r="F8408" s="25"/>
      <c r="G8408" s="25"/>
      <c r="H8408" s="27"/>
      <c r="I8408" s="28"/>
      <c r="J8408" s="39"/>
      <c r="K8408" s="41"/>
      <c r="L8408" s="31" t="str">
        <f>IFERROR(__xludf.DUMMYFUNCTION("IF(OR(E8408="""",K8408=""""),"""",IFERROR(IF(K8408="""","""",query('tbl user'!$A$2:$D10975,""SELECT A WHERE D = '""&amp;K8408&amp;""'"")),""USER TIDAK DIKETAHUI""))"),"")</f>
        <v/>
      </c>
    </row>
    <row r="8409">
      <c r="A8409" s="21" t="str">
        <f t="shared" si="3"/>
        <v/>
      </c>
      <c r="B8409" s="38"/>
      <c r="C8409" s="23"/>
      <c r="D8409" s="23"/>
      <c r="E8409" s="24"/>
      <c r="F8409" s="25"/>
      <c r="G8409" s="25"/>
      <c r="H8409" s="27"/>
      <c r="I8409" s="28"/>
      <c r="J8409" s="39"/>
      <c r="K8409" s="41"/>
      <c r="L8409" s="31" t="str">
        <f>IFERROR(__xludf.DUMMYFUNCTION("IF(OR(E8409="""",K8409=""""),"""",IFERROR(IF(K8409="""","""",query('tbl user'!$A$2:$D10975,""SELECT A WHERE D = '""&amp;K8409&amp;""'"")),""USER TIDAK DIKETAHUI""))"),"")</f>
        <v/>
      </c>
    </row>
    <row r="8410">
      <c r="A8410" s="21" t="str">
        <f t="shared" si="3"/>
        <v/>
      </c>
      <c r="B8410" s="38"/>
      <c r="C8410" s="23"/>
      <c r="D8410" s="23"/>
      <c r="E8410" s="24"/>
      <c r="F8410" s="25"/>
      <c r="G8410" s="25"/>
      <c r="H8410" s="27"/>
      <c r="I8410" s="28"/>
      <c r="J8410" s="39"/>
      <c r="K8410" s="41"/>
      <c r="L8410" s="31" t="str">
        <f>IFERROR(__xludf.DUMMYFUNCTION("IF(OR(E8410="""",K8410=""""),"""",IFERROR(IF(K8410="""","""",query('tbl user'!$A$2:$D10975,""SELECT A WHERE D = '""&amp;K8410&amp;""'"")),""USER TIDAK DIKETAHUI""))"),"")</f>
        <v/>
      </c>
    </row>
    <row r="8411">
      <c r="A8411" s="21" t="str">
        <f t="shared" si="3"/>
        <v/>
      </c>
      <c r="B8411" s="38"/>
      <c r="C8411" s="23"/>
      <c r="D8411" s="23"/>
      <c r="E8411" s="24"/>
      <c r="F8411" s="25"/>
      <c r="G8411" s="25"/>
      <c r="H8411" s="27"/>
      <c r="I8411" s="28"/>
      <c r="J8411" s="39"/>
      <c r="K8411" s="41"/>
      <c r="L8411" s="31" t="str">
        <f>IFERROR(__xludf.DUMMYFUNCTION("IF(OR(E8411="""",K8411=""""),"""",IFERROR(IF(K8411="""","""",query('tbl user'!$A$2:$D10975,""SELECT A WHERE D = '""&amp;K8411&amp;""'"")),""USER TIDAK DIKETAHUI""))"),"")</f>
        <v/>
      </c>
    </row>
    <row r="8412">
      <c r="A8412" s="21" t="str">
        <f t="shared" si="3"/>
        <v/>
      </c>
      <c r="B8412" s="38"/>
      <c r="C8412" s="23"/>
      <c r="D8412" s="23"/>
      <c r="E8412" s="24"/>
      <c r="F8412" s="25"/>
      <c r="G8412" s="25"/>
      <c r="H8412" s="27"/>
      <c r="I8412" s="28"/>
      <c r="J8412" s="39"/>
      <c r="K8412" s="41"/>
      <c r="L8412" s="31" t="str">
        <f>IFERROR(__xludf.DUMMYFUNCTION("IF(OR(E8412="""",K8412=""""),"""",IFERROR(IF(K8412="""","""",query('tbl user'!$A$2:$D10975,""SELECT A WHERE D = '""&amp;K8412&amp;""'"")),""USER TIDAK DIKETAHUI""))"),"")</f>
        <v/>
      </c>
    </row>
    <row r="8413">
      <c r="A8413" s="21" t="str">
        <f t="shared" si="3"/>
        <v/>
      </c>
      <c r="B8413" s="38"/>
      <c r="C8413" s="23"/>
      <c r="D8413" s="23"/>
      <c r="E8413" s="24"/>
      <c r="F8413" s="25"/>
      <c r="G8413" s="25"/>
      <c r="H8413" s="27"/>
      <c r="I8413" s="28"/>
      <c r="J8413" s="39"/>
      <c r="K8413" s="41"/>
      <c r="L8413" s="31" t="str">
        <f>IFERROR(__xludf.DUMMYFUNCTION("IF(OR(E8413="""",K8413=""""),"""",IFERROR(IF(K8413="""","""",query('tbl user'!$A$2:$D10975,""SELECT A WHERE D = '""&amp;K8413&amp;""'"")),""USER TIDAK DIKETAHUI""))"),"")</f>
        <v/>
      </c>
    </row>
    <row r="8414">
      <c r="A8414" s="21" t="str">
        <f t="shared" si="3"/>
        <v/>
      </c>
      <c r="B8414" s="38"/>
      <c r="C8414" s="23"/>
      <c r="D8414" s="23"/>
      <c r="E8414" s="24"/>
      <c r="F8414" s="25"/>
      <c r="G8414" s="25"/>
      <c r="H8414" s="27"/>
      <c r="I8414" s="28"/>
      <c r="J8414" s="39"/>
      <c r="K8414" s="41"/>
      <c r="L8414" s="31" t="str">
        <f>IFERROR(__xludf.DUMMYFUNCTION("IF(OR(E8414="""",K8414=""""),"""",IFERROR(IF(K8414="""","""",query('tbl user'!$A$2:$D10975,""SELECT A WHERE D = '""&amp;K8414&amp;""'"")),""USER TIDAK DIKETAHUI""))"),"")</f>
        <v/>
      </c>
    </row>
    <row r="8415">
      <c r="A8415" s="21" t="str">
        <f t="shared" si="3"/>
        <v/>
      </c>
      <c r="B8415" s="38"/>
      <c r="C8415" s="23"/>
      <c r="D8415" s="23"/>
      <c r="E8415" s="24"/>
      <c r="F8415" s="25"/>
      <c r="G8415" s="25"/>
      <c r="H8415" s="27"/>
      <c r="I8415" s="28"/>
      <c r="J8415" s="39"/>
      <c r="K8415" s="41"/>
      <c r="L8415" s="31" t="str">
        <f>IFERROR(__xludf.DUMMYFUNCTION("IF(OR(E8415="""",K8415=""""),"""",IFERROR(IF(K8415="""","""",query('tbl user'!$A$2:$D10975,""SELECT A WHERE D = '""&amp;K8415&amp;""'"")),""USER TIDAK DIKETAHUI""))"),"")</f>
        <v/>
      </c>
    </row>
    <row r="8416">
      <c r="A8416" s="21" t="str">
        <f t="shared" si="3"/>
        <v/>
      </c>
      <c r="B8416" s="38"/>
      <c r="C8416" s="23"/>
      <c r="D8416" s="23"/>
      <c r="E8416" s="24"/>
      <c r="F8416" s="25"/>
      <c r="G8416" s="25"/>
      <c r="H8416" s="27"/>
      <c r="I8416" s="28"/>
      <c r="J8416" s="39"/>
      <c r="K8416" s="41"/>
      <c r="L8416" s="31" t="str">
        <f>IFERROR(__xludf.DUMMYFUNCTION("IF(OR(E8416="""",K8416=""""),"""",IFERROR(IF(K8416="""","""",query('tbl user'!$A$2:$D10975,""SELECT A WHERE D = '""&amp;K8416&amp;""'"")),""USER TIDAK DIKETAHUI""))"),"")</f>
        <v/>
      </c>
    </row>
    <row r="8417">
      <c r="A8417" s="21" t="str">
        <f t="shared" si="3"/>
        <v/>
      </c>
      <c r="B8417" s="38"/>
      <c r="C8417" s="23"/>
      <c r="D8417" s="23"/>
      <c r="E8417" s="24"/>
      <c r="F8417" s="25"/>
      <c r="G8417" s="25"/>
      <c r="H8417" s="27"/>
      <c r="I8417" s="28"/>
      <c r="J8417" s="39"/>
      <c r="K8417" s="41"/>
      <c r="L8417" s="31" t="str">
        <f>IFERROR(__xludf.DUMMYFUNCTION("IF(OR(E8417="""",K8417=""""),"""",IFERROR(IF(K8417="""","""",query('tbl user'!$A$2:$D10975,""SELECT A WHERE D = '""&amp;K8417&amp;""'"")),""USER TIDAK DIKETAHUI""))"),"")</f>
        <v/>
      </c>
    </row>
    <row r="8418">
      <c r="A8418" s="21" t="str">
        <f t="shared" si="3"/>
        <v/>
      </c>
      <c r="B8418" s="38"/>
      <c r="C8418" s="23"/>
      <c r="D8418" s="23"/>
      <c r="E8418" s="24"/>
      <c r="F8418" s="25"/>
      <c r="G8418" s="25"/>
      <c r="H8418" s="27"/>
      <c r="I8418" s="28"/>
      <c r="J8418" s="39"/>
      <c r="K8418" s="41"/>
      <c r="L8418" s="31" t="str">
        <f>IFERROR(__xludf.DUMMYFUNCTION("IF(OR(E8418="""",K8418=""""),"""",IFERROR(IF(K8418="""","""",query('tbl user'!$A$2:$D10975,""SELECT A WHERE D = '""&amp;K8418&amp;""'"")),""USER TIDAK DIKETAHUI""))"),"")</f>
        <v/>
      </c>
    </row>
    <row r="8419">
      <c r="A8419" s="21" t="str">
        <f t="shared" si="3"/>
        <v/>
      </c>
      <c r="B8419" s="38"/>
      <c r="C8419" s="23"/>
      <c r="D8419" s="23"/>
      <c r="E8419" s="24"/>
      <c r="F8419" s="25"/>
      <c r="G8419" s="25"/>
      <c r="H8419" s="27"/>
      <c r="I8419" s="28"/>
      <c r="J8419" s="39"/>
      <c r="K8419" s="41"/>
      <c r="L8419" s="31" t="str">
        <f>IFERROR(__xludf.DUMMYFUNCTION("IF(OR(E8419="""",K8419=""""),"""",IFERROR(IF(K8419="""","""",query('tbl user'!$A$2:$D10975,""SELECT A WHERE D = '""&amp;K8419&amp;""'"")),""USER TIDAK DIKETAHUI""))"),"")</f>
        <v/>
      </c>
    </row>
    <row r="8420">
      <c r="A8420" s="21" t="str">
        <f t="shared" si="3"/>
        <v/>
      </c>
      <c r="B8420" s="38"/>
      <c r="C8420" s="23"/>
      <c r="D8420" s="23"/>
      <c r="E8420" s="24"/>
      <c r="F8420" s="25"/>
      <c r="G8420" s="25"/>
      <c r="H8420" s="27"/>
      <c r="I8420" s="28"/>
      <c r="J8420" s="39"/>
      <c r="K8420" s="41"/>
      <c r="L8420" s="31" t="str">
        <f>IFERROR(__xludf.DUMMYFUNCTION("IF(OR(E8420="""",K8420=""""),"""",IFERROR(IF(K8420="""","""",query('tbl user'!$A$2:$D10975,""SELECT A WHERE D = '""&amp;K8420&amp;""'"")),""USER TIDAK DIKETAHUI""))"),"")</f>
        <v/>
      </c>
    </row>
    <row r="8421">
      <c r="A8421" s="21" t="str">
        <f t="shared" si="3"/>
        <v/>
      </c>
      <c r="B8421" s="38"/>
      <c r="C8421" s="23"/>
      <c r="D8421" s="23"/>
      <c r="E8421" s="24"/>
      <c r="F8421" s="25"/>
      <c r="G8421" s="25"/>
      <c r="H8421" s="27"/>
      <c r="I8421" s="28"/>
      <c r="J8421" s="39"/>
      <c r="K8421" s="41"/>
      <c r="L8421" s="31" t="str">
        <f>IFERROR(__xludf.DUMMYFUNCTION("IF(OR(E8421="""",K8421=""""),"""",IFERROR(IF(K8421="""","""",query('tbl user'!$A$2:$D10975,""SELECT A WHERE D = '""&amp;K8421&amp;""'"")),""USER TIDAK DIKETAHUI""))"),"")</f>
        <v/>
      </c>
    </row>
    <row r="8422">
      <c r="A8422" s="21" t="str">
        <f t="shared" si="3"/>
        <v/>
      </c>
      <c r="B8422" s="38"/>
      <c r="C8422" s="23"/>
      <c r="D8422" s="23"/>
      <c r="E8422" s="24"/>
      <c r="F8422" s="25"/>
      <c r="G8422" s="25"/>
      <c r="H8422" s="27"/>
      <c r="I8422" s="28"/>
      <c r="J8422" s="39"/>
      <c r="K8422" s="41"/>
      <c r="L8422" s="31" t="str">
        <f>IFERROR(__xludf.DUMMYFUNCTION("IF(OR(E8422="""",K8422=""""),"""",IFERROR(IF(K8422="""","""",query('tbl user'!$A$2:$D10975,""SELECT A WHERE D = '""&amp;K8422&amp;""'"")),""USER TIDAK DIKETAHUI""))"),"")</f>
        <v/>
      </c>
    </row>
    <row r="8423">
      <c r="A8423" s="21" t="str">
        <f t="shared" si="3"/>
        <v/>
      </c>
      <c r="B8423" s="38"/>
      <c r="C8423" s="23"/>
      <c r="D8423" s="23"/>
      <c r="E8423" s="24"/>
      <c r="F8423" s="25"/>
      <c r="G8423" s="25"/>
      <c r="H8423" s="27"/>
      <c r="I8423" s="28"/>
      <c r="J8423" s="39"/>
      <c r="K8423" s="41"/>
      <c r="L8423" s="31" t="str">
        <f>IFERROR(__xludf.DUMMYFUNCTION("IF(OR(E8423="""",K8423=""""),"""",IFERROR(IF(K8423="""","""",query('tbl user'!$A$2:$D10975,""SELECT A WHERE D = '""&amp;K8423&amp;""'"")),""USER TIDAK DIKETAHUI""))"),"")</f>
        <v/>
      </c>
    </row>
    <row r="8424">
      <c r="A8424" s="21" t="str">
        <f t="shared" si="3"/>
        <v/>
      </c>
      <c r="B8424" s="38"/>
      <c r="C8424" s="23"/>
      <c r="D8424" s="23"/>
      <c r="E8424" s="24"/>
      <c r="F8424" s="25"/>
      <c r="G8424" s="25"/>
      <c r="H8424" s="27"/>
      <c r="I8424" s="28"/>
      <c r="J8424" s="39"/>
      <c r="K8424" s="41"/>
      <c r="L8424" s="31" t="str">
        <f>IFERROR(__xludf.DUMMYFUNCTION("IF(OR(E8424="""",K8424=""""),"""",IFERROR(IF(K8424="""","""",query('tbl user'!$A$2:$D10975,""SELECT A WHERE D = '""&amp;K8424&amp;""'"")),""USER TIDAK DIKETAHUI""))"),"")</f>
        <v/>
      </c>
    </row>
    <row r="8425">
      <c r="A8425" s="21" t="str">
        <f t="shared" si="3"/>
        <v/>
      </c>
      <c r="B8425" s="38"/>
      <c r="C8425" s="23"/>
      <c r="D8425" s="23"/>
      <c r="E8425" s="24"/>
      <c r="F8425" s="25"/>
      <c r="G8425" s="25"/>
      <c r="H8425" s="27"/>
      <c r="I8425" s="28"/>
      <c r="J8425" s="39"/>
      <c r="K8425" s="41"/>
      <c r="L8425" s="31" t="str">
        <f>IFERROR(__xludf.DUMMYFUNCTION("IF(OR(E8425="""",K8425=""""),"""",IFERROR(IF(K8425="""","""",query('tbl user'!$A$2:$D10975,""SELECT A WHERE D = '""&amp;K8425&amp;""'"")),""USER TIDAK DIKETAHUI""))"),"")</f>
        <v/>
      </c>
    </row>
    <row r="8426">
      <c r="A8426" s="21" t="str">
        <f t="shared" si="3"/>
        <v/>
      </c>
      <c r="B8426" s="38"/>
      <c r="C8426" s="23"/>
      <c r="D8426" s="23"/>
      <c r="E8426" s="24"/>
      <c r="F8426" s="25"/>
      <c r="G8426" s="25"/>
      <c r="H8426" s="27"/>
      <c r="I8426" s="28"/>
      <c r="J8426" s="39"/>
      <c r="K8426" s="41"/>
      <c r="L8426" s="31" t="str">
        <f>IFERROR(__xludf.DUMMYFUNCTION("IF(OR(E8426="""",K8426=""""),"""",IFERROR(IF(K8426="""","""",query('tbl user'!$A$2:$D10975,""SELECT A WHERE D = '""&amp;K8426&amp;""'"")),""USER TIDAK DIKETAHUI""))"),"")</f>
        <v/>
      </c>
    </row>
    <row r="8427">
      <c r="A8427" s="21" t="str">
        <f t="shared" si="3"/>
        <v/>
      </c>
      <c r="B8427" s="38"/>
      <c r="C8427" s="23"/>
      <c r="D8427" s="23"/>
      <c r="E8427" s="24"/>
      <c r="F8427" s="25"/>
      <c r="G8427" s="25"/>
      <c r="H8427" s="27"/>
      <c r="I8427" s="28"/>
      <c r="J8427" s="39"/>
      <c r="K8427" s="41"/>
      <c r="L8427" s="31" t="str">
        <f>IFERROR(__xludf.DUMMYFUNCTION("IF(OR(E8427="""",K8427=""""),"""",IFERROR(IF(K8427="""","""",query('tbl user'!$A$2:$D10975,""SELECT A WHERE D = '""&amp;K8427&amp;""'"")),""USER TIDAK DIKETAHUI""))"),"")</f>
        <v/>
      </c>
    </row>
    <row r="8428">
      <c r="A8428" s="21" t="str">
        <f t="shared" si="3"/>
        <v/>
      </c>
      <c r="B8428" s="38"/>
      <c r="C8428" s="23"/>
      <c r="D8428" s="23"/>
      <c r="E8428" s="24"/>
      <c r="F8428" s="25"/>
      <c r="G8428" s="25"/>
      <c r="H8428" s="27"/>
      <c r="I8428" s="28"/>
      <c r="J8428" s="39"/>
      <c r="K8428" s="41"/>
      <c r="L8428" s="31" t="str">
        <f>IFERROR(__xludf.DUMMYFUNCTION("IF(OR(E8428="""",K8428=""""),"""",IFERROR(IF(K8428="""","""",query('tbl user'!$A$2:$D10975,""SELECT A WHERE D = '""&amp;K8428&amp;""'"")),""USER TIDAK DIKETAHUI""))"),"")</f>
        <v/>
      </c>
    </row>
    <row r="8429">
      <c r="A8429" s="21" t="str">
        <f t="shared" si="3"/>
        <v/>
      </c>
      <c r="B8429" s="38"/>
      <c r="C8429" s="23"/>
      <c r="D8429" s="23"/>
      <c r="E8429" s="24"/>
      <c r="F8429" s="25"/>
      <c r="G8429" s="25"/>
      <c r="H8429" s="27"/>
      <c r="I8429" s="28"/>
      <c r="J8429" s="39"/>
      <c r="K8429" s="41"/>
      <c r="L8429" s="31" t="str">
        <f>IFERROR(__xludf.DUMMYFUNCTION("IF(OR(E8429="""",K8429=""""),"""",IFERROR(IF(K8429="""","""",query('tbl user'!$A$2:$D10975,""SELECT A WHERE D = '""&amp;K8429&amp;""'"")),""USER TIDAK DIKETAHUI""))"),"")</f>
        <v/>
      </c>
    </row>
    <row r="8430">
      <c r="A8430" s="21" t="str">
        <f t="shared" si="3"/>
        <v/>
      </c>
      <c r="B8430" s="38"/>
      <c r="C8430" s="23"/>
      <c r="D8430" s="23"/>
      <c r="E8430" s="24"/>
      <c r="F8430" s="25"/>
      <c r="G8430" s="25"/>
      <c r="H8430" s="27"/>
      <c r="I8430" s="28"/>
      <c r="J8430" s="39"/>
      <c r="K8430" s="41"/>
      <c r="L8430" s="31" t="str">
        <f>IFERROR(__xludf.DUMMYFUNCTION("IF(OR(E8430="""",K8430=""""),"""",IFERROR(IF(K8430="""","""",query('tbl user'!$A$2:$D10975,""SELECT A WHERE D = '""&amp;K8430&amp;""'"")),""USER TIDAK DIKETAHUI""))"),"")</f>
        <v/>
      </c>
    </row>
    <row r="8431">
      <c r="A8431" s="21" t="str">
        <f t="shared" si="3"/>
        <v/>
      </c>
      <c r="B8431" s="38"/>
      <c r="C8431" s="23"/>
      <c r="D8431" s="23"/>
      <c r="E8431" s="24"/>
      <c r="F8431" s="25"/>
      <c r="G8431" s="25"/>
      <c r="H8431" s="27"/>
      <c r="I8431" s="28"/>
      <c r="J8431" s="39"/>
      <c r="K8431" s="41"/>
      <c r="L8431" s="31" t="str">
        <f>IFERROR(__xludf.DUMMYFUNCTION("IF(OR(E8431="""",K8431=""""),"""",IFERROR(IF(K8431="""","""",query('tbl user'!$A$2:$D10975,""SELECT A WHERE D = '""&amp;K8431&amp;""'"")),""USER TIDAK DIKETAHUI""))"),"")</f>
        <v/>
      </c>
    </row>
    <row r="8432">
      <c r="A8432" s="21" t="str">
        <f t="shared" si="3"/>
        <v/>
      </c>
      <c r="B8432" s="38"/>
      <c r="C8432" s="23"/>
      <c r="D8432" s="23"/>
      <c r="E8432" s="24"/>
      <c r="F8432" s="25"/>
      <c r="G8432" s="25"/>
      <c r="H8432" s="27"/>
      <c r="I8432" s="28"/>
      <c r="J8432" s="39"/>
      <c r="K8432" s="41"/>
      <c r="L8432" s="31" t="str">
        <f>IFERROR(__xludf.DUMMYFUNCTION("IF(OR(E8432="""",K8432=""""),"""",IFERROR(IF(K8432="""","""",query('tbl user'!$A$2:$D10975,""SELECT A WHERE D = '""&amp;K8432&amp;""'"")),""USER TIDAK DIKETAHUI""))"),"")</f>
        <v/>
      </c>
    </row>
    <row r="8433">
      <c r="A8433" s="21" t="str">
        <f t="shared" si="3"/>
        <v/>
      </c>
      <c r="B8433" s="38"/>
      <c r="C8433" s="23"/>
      <c r="D8433" s="23"/>
      <c r="E8433" s="24"/>
      <c r="F8433" s="25"/>
      <c r="G8433" s="25"/>
      <c r="H8433" s="27"/>
      <c r="I8433" s="28"/>
      <c r="J8433" s="39"/>
      <c r="K8433" s="41"/>
      <c r="L8433" s="31" t="str">
        <f>IFERROR(__xludf.DUMMYFUNCTION("IF(OR(E8433="""",K8433=""""),"""",IFERROR(IF(K8433="""","""",query('tbl user'!$A$2:$D10975,""SELECT A WHERE D = '""&amp;K8433&amp;""'"")),""USER TIDAK DIKETAHUI""))"),"")</f>
        <v/>
      </c>
    </row>
    <row r="8434">
      <c r="A8434" s="21" t="str">
        <f t="shared" si="3"/>
        <v/>
      </c>
      <c r="B8434" s="38"/>
      <c r="C8434" s="23"/>
      <c r="D8434" s="23"/>
      <c r="E8434" s="24"/>
      <c r="F8434" s="25"/>
      <c r="G8434" s="25"/>
      <c r="H8434" s="27"/>
      <c r="I8434" s="28"/>
      <c r="J8434" s="39"/>
      <c r="K8434" s="41"/>
      <c r="L8434" s="31" t="str">
        <f>IFERROR(__xludf.DUMMYFUNCTION("IF(OR(E8434="""",K8434=""""),"""",IFERROR(IF(K8434="""","""",query('tbl user'!$A$2:$D10975,""SELECT A WHERE D = '""&amp;K8434&amp;""'"")),""USER TIDAK DIKETAHUI""))"),"")</f>
        <v/>
      </c>
    </row>
    <row r="8435">
      <c r="A8435" s="21" t="str">
        <f t="shared" si="3"/>
        <v/>
      </c>
      <c r="B8435" s="38"/>
      <c r="C8435" s="23"/>
      <c r="D8435" s="23"/>
      <c r="E8435" s="24"/>
      <c r="F8435" s="25"/>
      <c r="G8435" s="25"/>
      <c r="H8435" s="27"/>
      <c r="I8435" s="28"/>
      <c r="J8435" s="39"/>
      <c r="K8435" s="41"/>
      <c r="L8435" s="31" t="str">
        <f>IFERROR(__xludf.DUMMYFUNCTION("IF(OR(E8435="""",K8435=""""),"""",IFERROR(IF(K8435="""","""",query('tbl user'!$A$2:$D10975,""SELECT A WHERE D = '""&amp;K8435&amp;""'"")),""USER TIDAK DIKETAHUI""))"),"")</f>
        <v/>
      </c>
    </row>
    <row r="8436">
      <c r="A8436" s="21" t="str">
        <f t="shared" si="3"/>
        <v/>
      </c>
      <c r="B8436" s="38"/>
      <c r="C8436" s="23"/>
      <c r="D8436" s="23"/>
      <c r="E8436" s="24"/>
      <c r="F8436" s="25"/>
      <c r="G8436" s="25"/>
      <c r="H8436" s="27"/>
      <c r="I8436" s="28"/>
      <c r="J8436" s="39"/>
      <c r="K8436" s="41"/>
      <c r="L8436" s="31" t="str">
        <f>IFERROR(__xludf.DUMMYFUNCTION("IF(OR(E8436="""",K8436=""""),"""",IFERROR(IF(K8436="""","""",query('tbl user'!$A$2:$D10975,""SELECT A WHERE D = '""&amp;K8436&amp;""'"")),""USER TIDAK DIKETAHUI""))"),"")</f>
        <v/>
      </c>
    </row>
    <row r="8437">
      <c r="A8437" s="21" t="str">
        <f t="shared" si="3"/>
        <v/>
      </c>
      <c r="B8437" s="38"/>
      <c r="C8437" s="23"/>
      <c r="D8437" s="23"/>
      <c r="E8437" s="24"/>
      <c r="F8437" s="25"/>
      <c r="G8437" s="25"/>
      <c r="H8437" s="27"/>
      <c r="I8437" s="28"/>
      <c r="J8437" s="39"/>
      <c r="K8437" s="41"/>
      <c r="L8437" s="31" t="str">
        <f>IFERROR(__xludf.DUMMYFUNCTION("IF(OR(E8437="""",K8437=""""),"""",IFERROR(IF(K8437="""","""",query('tbl user'!$A$2:$D10975,""SELECT A WHERE D = '""&amp;K8437&amp;""'"")),""USER TIDAK DIKETAHUI""))"),"")</f>
        <v/>
      </c>
    </row>
    <row r="8438">
      <c r="A8438" s="21" t="str">
        <f t="shared" si="3"/>
        <v/>
      </c>
      <c r="B8438" s="38"/>
      <c r="C8438" s="23"/>
      <c r="D8438" s="23"/>
      <c r="E8438" s="24"/>
      <c r="F8438" s="25"/>
      <c r="G8438" s="25"/>
      <c r="H8438" s="27"/>
      <c r="I8438" s="28"/>
      <c r="J8438" s="39"/>
      <c r="K8438" s="41"/>
      <c r="L8438" s="31" t="str">
        <f>IFERROR(__xludf.DUMMYFUNCTION("IF(OR(E8438="""",K8438=""""),"""",IFERROR(IF(K8438="""","""",query('tbl user'!$A$2:$D10975,""SELECT A WHERE D = '""&amp;K8438&amp;""'"")),""USER TIDAK DIKETAHUI""))"),"")</f>
        <v/>
      </c>
    </row>
    <row r="8439">
      <c r="A8439" s="21" t="str">
        <f t="shared" si="3"/>
        <v/>
      </c>
      <c r="B8439" s="38"/>
      <c r="C8439" s="23"/>
      <c r="D8439" s="23"/>
      <c r="E8439" s="24"/>
      <c r="F8439" s="25"/>
      <c r="G8439" s="25"/>
      <c r="H8439" s="27"/>
      <c r="I8439" s="28"/>
      <c r="J8439" s="39"/>
      <c r="K8439" s="41"/>
      <c r="L8439" s="31" t="str">
        <f>IFERROR(__xludf.DUMMYFUNCTION("IF(OR(E8439="""",K8439=""""),"""",IFERROR(IF(K8439="""","""",query('tbl user'!$A$2:$D10975,""SELECT A WHERE D = '""&amp;K8439&amp;""'"")),""USER TIDAK DIKETAHUI""))"),"")</f>
        <v/>
      </c>
    </row>
    <row r="8440">
      <c r="A8440" s="21" t="str">
        <f t="shared" si="3"/>
        <v/>
      </c>
      <c r="B8440" s="38"/>
      <c r="C8440" s="23"/>
      <c r="D8440" s="23"/>
      <c r="E8440" s="24"/>
      <c r="F8440" s="25"/>
      <c r="G8440" s="25"/>
      <c r="H8440" s="27"/>
      <c r="I8440" s="28"/>
      <c r="J8440" s="39"/>
      <c r="K8440" s="41"/>
      <c r="L8440" s="31" t="str">
        <f>IFERROR(__xludf.DUMMYFUNCTION("IF(OR(E8440="""",K8440=""""),"""",IFERROR(IF(K8440="""","""",query('tbl user'!$A$2:$D10975,""SELECT A WHERE D = '""&amp;K8440&amp;""'"")),""USER TIDAK DIKETAHUI""))"),"")</f>
        <v/>
      </c>
    </row>
    <row r="8441">
      <c r="A8441" s="21" t="str">
        <f t="shared" si="3"/>
        <v/>
      </c>
      <c r="B8441" s="38"/>
      <c r="C8441" s="23"/>
      <c r="D8441" s="23"/>
      <c r="E8441" s="24"/>
      <c r="F8441" s="25"/>
      <c r="G8441" s="25"/>
      <c r="H8441" s="27"/>
      <c r="I8441" s="28"/>
      <c r="J8441" s="39"/>
      <c r="K8441" s="41"/>
      <c r="L8441" s="31" t="str">
        <f>IFERROR(__xludf.DUMMYFUNCTION("IF(OR(E8441="""",K8441=""""),"""",IFERROR(IF(K8441="""","""",query('tbl user'!$A$2:$D10975,""SELECT A WHERE D = '""&amp;K8441&amp;""'"")),""USER TIDAK DIKETAHUI""))"),"")</f>
        <v/>
      </c>
    </row>
    <row r="8442">
      <c r="A8442" s="21" t="str">
        <f t="shared" si="3"/>
        <v/>
      </c>
      <c r="B8442" s="38"/>
      <c r="C8442" s="23"/>
      <c r="D8442" s="23"/>
      <c r="E8442" s="24"/>
      <c r="F8442" s="25"/>
      <c r="G8442" s="25"/>
      <c r="H8442" s="27"/>
      <c r="I8442" s="28"/>
      <c r="J8442" s="39"/>
      <c r="K8442" s="41"/>
      <c r="L8442" s="31" t="str">
        <f>IFERROR(__xludf.DUMMYFUNCTION("IF(OR(E8442="""",K8442=""""),"""",IFERROR(IF(K8442="""","""",query('tbl user'!$A$2:$D10975,""SELECT A WHERE D = '""&amp;K8442&amp;""'"")),""USER TIDAK DIKETAHUI""))"),"")</f>
        <v/>
      </c>
    </row>
    <row r="8443">
      <c r="A8443" s="21" t="str">
        <f t="shared" si="3"/>
        <v/>
      </c>
      <c r="B8443" s="38"/>
      <c r="C8443" s="23"/>
      <c r="D8443" s="23"/>
      <c r="E8443" s="24"/>
      <c r="F8443" s="25"/>
      <c r="G8443" s="25"/>
      <c r="H8443" s="27"/>
      <c r="I8443" s="28"/>
      <c r="J8443" s="39"/>
      <c r="K8443" s="41"/>
      <c r="L8443" s="31" t="str">
        <f>IFERROR(__xludf.DUMMYFUNCTION("IF(OR(E8443="""",K8443=""""),"""",IFERROR(IF(K8443="""","""",query('tbl user'!$A$2:$D10975,""SELECT A WHERE D = '""&amp;K8443&amp;""'"")),""USER TIDAK DIKETAHUI""))"),"")</f>
        <v/>
      </c>
    </row>
    <row r="8444">
      <c r="A8444" s="21" t="str">
        <f t="shared" si="3"/>
        <v/>
      </c>
      <c r="B8444" s="38"/>
      <c r="C8444" s="23"/>
      <c r="D8444" s="23"/>
      <c r="E8444" s="24"/>
      <c r="F8444" s="25"/>
      <c r="G8444" s="25"/>
      <c r="H8444" s="27"/>
      <c r="I8444" s="28"/>
      <c r="J8444" s="39"/>
      <c r="K8444" s="41"/>
      <c r="L8444" s="31" t="str">
        <f>IFERROR(__xludf.DUMMYFUNCTION("IF(OR(E8444="""",K8444=""""),"""",IFERROR(IF(K8444="""","""",query('tbl user'!$A$2:$D10975,""SELECT A WHERE D = '""&amp;K8444&amp;""'"")),""USER TIDAK DIKETAHUI""))"),"")</f>
        <v/>
      </c>
    </row>
    <row r="8445">
      <c r="A8445" s="21" t="str">
        <f t="shared" si="3"/>
        <v/>
      </c>
      <c r="B8445" s="38"/>
      <c r="C8445" s="23"/>
      <c r="D8445" s="23"/>
      <c r="E8445" s="24"/>
      <c r="F8445" s="25"/>
      <c r="G8445" s="25"/>
      <c r="H8445" s="27"/>
      <c r="I8445" s="28"/>
      <c r="J8445" s="39"/>
      <c r="K8445" s="41"/>
      <c r="L8445" s="31" t="str">
        <f>IFERROR(__xludf.DUMMYFUNCTION("IF(OR(E8445="""",K8445=""""),"""",IFERROR(IF(K8445="""","""",query('tbl user'!$A$2:$D10975,""SELECT A WHERE D = '""&amp;K8445&amp;""'"")),""USER TIDAK DIKETAHUI""))"),"")</f>
        <v/>
      </c>
    </row>
    <row r="8446">
      <c r="A8446" s="21" t="str">
        <f t="shared" si="3"/>
        <v/>
      </c>
      <c r="B8446" s="38"/>
      <c r="C8446" s="23"/>
      <c r="D8446" s="23"/>
      <c r="E8446" s="24"/>
      <c r="F8446" s="25"/>
      <c r="G8446" s="25"/>
      <c r="H8446" s="27"/>
      <c r="I8446" s="28"/>
      <c r="J8446" s="39"/>
      <c r="K8446" s="41"/>
      <c r="L8446" s="31" t="str">
        <f>IFERROR(__xludf.DUMMYFUNCTION("IF(OR(E8446="""",K8446=""""),"""",IFERROR(IF(K8446="""","""",query('tbl user'!$A$2:$D10975,""SELECT A WHERE D = '""&amp;K8446&amp;""'"")),""USER TIDAK DIKETAHUI""))"),"")</f>
        <v/>
      </c>
    </row>
    <row r="8447">
      <c r="A8447" s="21" t="str">
        <f t="shared" si="3"/>
        <v/>
      </c>
      <c r="B8447" s="38"/>
      <c r="C8447" s="23"/>
      <c r="D8447" s="23"/>
      <c r="E8447" s="24"/>
      <c r="F8447" s="25"/>
      <c r="G8447" s="25"/>
      <c r="H8447" s="27"/>
      <c r="I8447" s="28"/>
      <c r="J8447" s="39"/>
      <c r="K8447" s="41"/>
      <c r="L8447" s="31" t="str">
        <f>IFERROR(__xludf.DUMMYFUNCTION("IF(OR(E8447="""",K8447=""""),"""",IFERROR(IF(K8447="""","""",query('tbl user'!$A$2:$D10975,""SELECT A WHERE D = '""&amp;K8447&amp;""'"")),""USER TIDAK DIKETAHUI""))"),"")</f>
        <v/>
      </c>
    </row>
    <row r="8448">
      <c r="A8448" s="21" t="str">
        <f t="shared" si="3"/>
        <v/>
      </c>
      <c r="B8448" s="38"/>
      <c r="C8448" s="23"/>
      <c r="D8448" s="23"/>
      <c r="E8448" s="24"/>
      <c r="F8448" s="25"/>
      <c r="G8448" s="25"/>
      <c r="H8448" s="27"/>
      <c r="I8448" s="28"/>
      <c r="J8448" s="39"/>
      <c r="K8448" s="41"/>
      <c r="L8448" s="31" t="str">
        <f>IFERROR(__xludf.DUMMYFUNCTION("IF(OR(E8448="""",K8448=""""),"""",IFERROR(IF(K8448="""","""",query('tbl user'!$A$2:$D10975,""SELECT A WHERE D = '""&amp;K8448&amp;""'"")),""USER TIDAK DIKETAHUI""))"),"")</f>
        <v/>
      </c>
    </row>
    <row r="8449">
      <c r="A8449" s="21" t="str">
        <f t="shared" si="3"/>
        <v/>
      </c>
      <c r="B8449" s="38"/>
      <c r="C8449" s="23"/>
      <c r="D8449" s="23"/>
      <c r="E8449" s="24"/>
      <c r="F8449" s="25"/>
      <c r="G8449" s="25"/>
      <c r="H8449" s="27"/>
      <c r="I8449" s="28"/>
      <c r="J8449" s="39"/>
      <c r="K8449" s="41"/>
      <c r="L8449" s="31" t="str">
        <f>IFERROR(__xludf.DUMMYFUNCTION("IF(OR(E8449="""",K8449=""""),"""",IFERROR(IF(K8449="""","""",query('tbl user'!$A$2:$D10975,""SELECT A WHERE D = '""&amp;K8449&amp;""'"")),""USER TIDAK DIKETAHUI""))"),"")</f>
        <v/>
      </c>
    </row>
    <row r="8450">
      <c r="A8450" s="21" t="str">
        <f t="shared" si="3"/>
        <v/>
      </c>
      <c r="B8450" s="38"/>
      <c r="C8450" s="23"/>
      <c r="D8450" s="23"/>
      <c r="E8450" s="24"/>
      <c r="F8450" s="25"/>
      <c r="G8450" s="25"/>
      <c r="H8450" s="27"/>
      <c r="I8450" s="28"/>
      <c r="J8450" s="39"/>
      <c r="K8450" s="41"/>
      <c r="L8450" s="31" t="str">
        <f>IFERROR(__xludf.DUMMYFUNCTION("IF(OR(E8450="""",K8450=""""),"""",IFERROR(IF(K8450="""","""",query('tbl user'!$A$2:$D10975,""SELECT A WHERE D = '""&amp;K8450&amp;""'"")),""USER TIDAK DIKETAHUI""))"),"")</f>
        <v/>
      </c>
    </row>
    <row r="8451">
      <c r="A8451" s="21" t="str">
        <f t="shared" si="3"/>
        <v/>
      </c>
      <c r="B8451" s="38"/>
      <c r="C8451" s="23"/>
      <c r="D8451" s="23"/>
      <c r="E8451" s="24"/>
      <c r="F8451" s="25"/>
      <c r="G8451" s="25"/>
      <c r="H8451" s="27"/>
      <c r="I8451" s="28"/>
      <c r="J8451" s="39"/>
      <c r="K8451" s="41"/>
      <c r="L8451" s="31" t="str">
        <f>IFERROR(__xludf.DUMMYFUNCTION("IF(OR(E8451="""",K8451=""""),"""",IFERROR(IF(K8451="""","""",query('tbl user'!$A$2:$D10975,""SELECT A WHERE D = '""&amp;K8451&amp;""'"")),""USER TIDAK DIKETAHUI""))"),"")</f>
        <v/>
      </c>
    </row>
    <row r="8452">
      <c r="A8452" s="21" t="str">
        <f t="shared" si="3"/>
        <v/>
      </c>
      <c r="B8452" s="38"/>
      <c r="C8452" s="23"/>
      <c r="D8452" s="23"/>
      <c r="E8452" s="24"/>
      <c r="F8452" s="25"/>
      <c r="G8452" s="25"/>
      <c r="H8452" s="27"/>
      <c r="I8452" s="28"/>
      <c r="J8452" s="39"/>
      <c r="K8452" s="41"/>
      <c r="L8452" s="31" t="str">
        <f>IFERROR(__xludf.DUMMYFUNCTION("IF(OR(E8452="""",K8452=""""),"""",IFERROR(IF(K8452="""","""",query('tbl user'!$A$2:$D10975,""SELECT A WHERE D = '""&amp;K8452&amp;""'"")),""USER TIDAK DIKETAHUI""))"),"")</f>
        <v/>
      </c>
    </row>
    <row r="8453">
      <c r="A8453" s="21" t="str">
        <f t="shared" si="3"/>
        <v/>
      </c>
      <c r="B8453" s="38"/>
      <c r="C8453" s="23"/>
      <c r="D8453" s="23"/>
      <c r="E8453" s="24"/>
      <c r="F8453" s="25"/>
      <c r="G8453" s="25"/>
      <c r="H8453" s="27"/>
      <c r="I8453" s="28"/>
      <c r="J8453" s="39"/>
      <c r="K8453" s="41"/>
      <c r="L8453" s="31" t="str">
        <f>IFERROR(__xludf.DUMMYFUNCTION("IF(OR(E8453="""",K8453=""""),"""",IFERROR(IF(K8453="""","""",query('tbl user'!$A$2:$D10975,""SELECT A WHERE D = '""&amp;K8453&amp;""'"")),""USER TIDAK DIKETAHUI""))"),"")</f>
        <v/>
      </c>
    </row>
    <row r="8454">
      <c r="A8454" s="21" t="str">
        <f t="shared" si="3"/>
        <v/>
      </c>
      <c r="B8454" s="38"/>
      <c r="C8454" s="23"/>
      <c r="D8454" s="23"/>
      <c r="E8454" s="24"/>
      <c r="F8454" s="25"/>
      <c r="G8454" s="25"/>
      <c r="H8454" s="27"/>
      <c r="I8454" s="28"/>
      <c r="J8454" s="39"/>
      <c r="K8454" s="41"/>
      <c r="L8454" s="31" t="str">
        <f>IFERROR(__xludf.DUMMYFUNCTION("IF(OR(E8454="""",K8454=""""),"""",IFERROR(IF(K8454="""","""",query('tbl user'!$A$2:$D10975,""SELECT A WHERE D = '""&amp;K8454&amp;""'"")),""USER TIDAK DIKETAHUI""))"),"")</f>
        <v/>
      </c>
    </row>
    <row r="8455">
      <c r="A8455" s="21" t="str">
        <f t="shared" si="3"/>
        <v/>
      </c>
      <c r="B8455" s="38"/>
      <c r="C8455" s="23"/>
      <c r="D8455" s="23"/>
      <c r="E8455" s="24"/>
      <c r="F8455" s="25"/>
      <c r="G8455" s="25"/>
      <c r="H8455" s="27"/>
      <c r="I8455" s="28"/>
      <c r="J8455" s="39"/>
      <c r="K8455" s="41"/>
      <c r="L8455" s="31" t="str">
        <f>IFERROR(__xludf.DUMMYFUNCTION("IF(OR(E8455="""",K8455=""""),"""",IFERROR(IF(K8455="""","""",query('tbl user'!$A$2:$D10975,""SELECT A WHERE D = '""&amp;K8455&amp;""'"")),""USER TIDAK DIKETAHUI""))"),"")</f>
        <v/>
      </c>
    </row>
    <row r="8456">
      <c r="A8456" s="21" t="str">
        <f t="shared" si="3"/>
        <v/>
      </c>
      <c r="B8456" s="38"/>
      <c r="C8456" s="23"/>
      <c r="D8456" s="23"/>
      <c r="E8456" s="24"/>
      <c r="F8456" s="25"/>
      <c r="G8456" s="25"/>
      <c r="H8456" s="27"/>
      <c r="I8456" s="28"/>
      <c r="J8456" s="39"/>
      <c r="K8456" s="41"/>
      <c r="L8456" s="31" t="str">
        <f>IFERROR(__xludf.DUMMYFUNCTION("IF(OR(E8456="""",K8456=""""),"""",IFERROR(IF(K8456="""","""",query('tbl user'!$A$2:$D10975,""SELECT A WHERE D = '""&amp;K8456&amp;""'"")),""USER TIDAK DIKETAHUI""))"),"")</f>
        <v/>
      </c>
    </row>
    <row r="8457">
      <c r="A8457" s="21" t="str">
        <f t="shared" si="3"/>
        <v/>
      </c>
      <c r="B8457" s="38"/>
      <c r="C8457" s="23"/>
      <c r="D8457" s="23"/>
      <c r="E8457" s="24"/>
      <c r="F8457" s="25"/>
      <c r="G8457" s="25"/>
      <c r="H8457" s="27"/>
      <c r="I8457" s="28"/>
      <c r="J8457" s="39"/>
      <c r="K8457" s="41"/>
      <c r="L8457" s="31" t="str">
        <f>IFERROR(__xludf.DUMMYFUNCTION("IF(OR(E8457="""",K8457=""""),"""",IFERROR(IF(K8457="""","""",query('tbl user'!$A$2:$D10975,""SELECT A WHERE D = '""&amp;K8457&amp;""'"")),""USER TIDAK DIKETAHUI""))"),"")</f>
        <v/>
      </c>
    </row>
    <row r="8458">
      <c r="A8458" s="21" t="str">
        <f t="shared" si="3"/>
        <v/>
      </c>
      <c r="B8458" s="38"/>
      <c r="C8458" s="23"/>
      <c r="D8458" s="23"/>
      <c r="E8458" s="24"/>
      <c r="F8458" s="25"/>
      <c r="G8458" s="25"/>
      <c r="H8458" s="27"/>
      <c r="I8458" s="28"/>
      <c r="J8458" s="39"/>
      <c r="K8458" s="41"/>
      <c r="L8458" s="31" t="str">
        <f>IFERROR(__xludf.DUMMYFUNCTION("IF(OR(E8458="""",K8458=""""),"""",IFERROR(IF(K8458="""","""",query('tbl user'!$A$2:$D10975,""SELECT A WHERE D = '""&amp;K8458&amp;""'"")),""USER TIDAK DIKETAHUI""))"),"")</f>
        <v/>
      </c>
    </row>
    <row r="8459">
      <c r="A8459" s="21" t="str">
        <f t="shared" si="3"/>
        <v/>
      </c>
      <c r="B8459" s="38"/>
      <c r="C8459" s="23"/>
      <c r="D8459" s="23"/>
      <c r="E8459" s="24"/>
      <c r="F8459" s="25"/>
      <c r="G8459" s="25"/>
      <c r="H8459" s="27"/>
      <c r="I8459" s="28"/>
      <c r="J8459" s="39"/>
      <c r="K8459" s="41"/>
      <c r="L8459" s="31" t="str">
        <f>IFERROR(__xludf.DUMMYFUNCTION("IF(OR(E8459="""",K8459=""""),"""",IFERROR(IF(K8459="""","""",query('tbl user'!$A$2:$D10975,""SELECT A WHERE D = '""&amp;K8459&amp;""'"")),""USER TIDAK DIKETAHUI""))"),"")</f>
        <v/>
      </c>
    </row>
    <row r="8460">
      <c r="A8460" s="21" t="str">
        <f t="shared" si="3"/>
        <v/>
      </c>
      <c r="B8460" s="38"/>
      <c r="C8460" s="23"/>
      <c r="D8460" s="23"/>
      <c r="E8460" s="24"/>
      <c r="F8460" s="25"/>
      <c r="G8460" s="25"/>
      <c r="H8460" s="27"/>
      <c r="I8460" s="28"/>
      <c r="J8460" s="39"/>
      <c r="K8460" s="41"/>
      <c r="L8460" s="31" t="str">
        <f>IFERROR(__xludf.DUMMYFUNCTION("IF(OR(E8460="""",K8460=""""),"""",IFERROR(IF(K8460="""","""",query('tbl user'!$A$2:$D10975,""SELECT A WHERE D = '""&amp;K8460&amp;""'"")),""USER TIDAK DIKETAHUI""))"),"")</f>
        <v/>
      </c>
    </row>
    <row r="8461">
      <c r="A8461" s="21" t="str">
        <f t="shared" si="3"/>
        <v/>
      </c>
      <c r="B8461" s="38"/>
      <c r="C8461" s="23"/>
      <c r="D8461" s="23"/>
      <c r="E8461" s="24"/>
      <c r="F8461" s="25"/>
      <c r="G8461" s="25"/>
      <c r="H8461" s="27"/>
      <c r="I8461" s="28"/>
      <c r="J8461" s="39"/>
      <c r="K8461" s="41"/>
      <c r="L8461" s="31" t="str">
        <f>IFERROR(__xludf.DUMMYFUNCTION("IF(OR(E8461="""",K8461=""""),"""",IFERROR(IF(K8461="""","""",query('tbl user'!$A$2:$D10975,""SELECT A WHERE D = '""&amp;K8461&amp;""'"")),""USER TIDAK DIKETAHUI""))"),"")</f>
        <v/>
      </c>
    </row>
    <row r="8462">
      <c r="A8462" s="21" t="str">
        <f t="shared" si="3"/>
        <v/>
      </c>
      <c r="B8462" s="38"/>
      <c r="C8462" s="23"/>
      <c r="D8462" s="23"/>
      <c r="E8462" s="24"/>
      <c r="F8462" s="25"/>
      <c r="G8462" s="25"/>
      <c r="H8462" s="27"/>
      <c r="I8462" s="28"/>
      <c r="J8462" s="39"/>
      <c r="K8462" s="41"/>
      <c r="L8462" s="31" t="str">
        <f>IFERROR(__xludf.DUMMYFUNCTION("IF(OR(E8462="""",K8462=""""),"""",IFERROR(IF(K8462="""","""",query('tbl user'!$A$2:$D10975,""SELECT A WHERE D = '""&amp;K8462&amp;""'"")),""USER TIDAK DIKETAHUI""))"),"")</f>
        <v/>
      </c>
    </row>
    <row r="8463">
      <c r="A8463" s="21" t="str">
        <f t="shared" si="3"/>
        <v/>
      </c>
      <c r="B8463" s="38"/>
      <c r="C8463" s="23"/>
      <c r="D8463" s="23"/>
      <c r="E8463" s="24"/>
      <c r="F8463" s="25"/>
      <c r="G8463" s="25"/>
      <c r="H8463" s="27"/>
      <c r="I8463" s="28"/>
      <c r="J8463" s="39"/>
      <c r="K8463" s="41"/>
      <c r="L8463" s="31" t="str">
        <f>IFERROR(__xludf.DUMMYFUNCTION("IF(OR(E8463="""",K8463=""""),"""",IFERROR(IF(K8463="""","""",query('tbl user'!$A$2:$D10975,""SELECT A WHERE D = '""&amp;K8463&amp;""'"")),""USER TIDAK DIKETAHUI""))"),"")</f>
        <v/>
      </c>
    </row>
    <row r="8464">
      <c r="A8464" s="21" t="str">
        <f t="shared" si="3"/>
        <v/>
      </c>
      <c r="B8464" s="38"/>
      <c r="C8464" s="23"/>
      <c r="D8464" s="23"/>
      <c r="E8464" s="24"/>
      <c r="F8464" s="25"/>
      <c r="G8464" s="25"/>
      <c r="H8464" s="27"/>
      <c r="I8464" s="28"/>
      <c r="J8464" s="39"/>
      <c r="K8464" s="41"/>
      <c r="L8464" s="31" t="str">
        <f>IFERROR(__xludf.DUMMYFUNCTION("IF(OR(E8464="""",K8464=""""),"""",IFERROR(IF(K8464="""","""",query('tbl user'!$A$2:$D10975,""SELECT A WHERE D = '""&amp;K8464&amp;""'"")),""USER TIDAK DIKETAHUI""))"),"")</f>
        <v/>
      </c>
    </row>
    <row r="8465">
      <c r="A8465" s="21" t="str">
        <f t="shared" si="3"/>
        <v/>
      </c>
      <c r="B8465" s="38"/>
      <c r="C8465" s="23"/>
      <c r="D8465" s="23"/>
      <c r="E8465" s="24"/>
      <c r="F8465" s="25"/>
      <c r="G8465" s="25"/>
      <c r="H8465" s="27"/>
      <c r="I8465" s="28"/>
      <c r="J8465" s="39"/>
      <c r="K8465" s="41"/>
      <c r="L8465" s="31" t="str">
        <f>IFERROR(__xludf.DUMMYFUNCTION("IF(OR(E8465="""",K8465=""""),"""",IFERROR(IF(K8465="""","""",query('tbl user'!$A$2:$D10975,""SELECT A WHERE D = '""&amp;K8465&amp;""'"")),""USER TIDAK DIKETAHUI""))"),"")</f>
        <v/>
      </c>
    </row>
    <row r="8466">
      <c r="A8466" s="21" t="str">
        <f t="shared" si="3"/>
        <v/>
      </c>
      <c r="B8466" s="38"/>
      <c r="C8466" s="23"/>
      <c r="D8466" s="23"/>
      <c r="E8466" s="24"/>
      <c r="F8466" s="25"/>
      <c r="G8466" s="25"/>
      <c r="H8466" s="27"/>
      <c r="I8466" s="28"/>
      <c r="J8466" s="39"/>
      <c r="K8466" s="41"/>
      <c r="L8466" s="31" t="str">
        <f>IFERROR(__xludf.DUMMYFUNCTION("IF(OR(E8466="""",K8466=""""),"""",IFERROR(IF(K8466="""","""",query('tbl user'!$A$2:$D10975,""SELECT A WHERE D = '""&amp;K8466&amp;""'"")),""USER TIDAK DIKETAHUI""))"),"")</f>
        <v/>
      </c>
    </row>
    <row r="8467">
      <c r="A8467" s="21" t="str">
        <f t="shared" si="3"/>
        <v/>
      </c>
      <c r="B8467" s="38"/>
      <c r="C8467" s="23"/>
      <c r="D8467" s="23"/>
      <c r="E8467" s="24"/>
      <c r="F8467" s="25"/>
      <c r="G8467" s="25"/>
      <c r="H8467" s="27"/>
      <c r="I8467" s="28"/>
      <c r="J8467" s="39"/>
      <c r="K8467" s="41"/>
      <c r="L8467" s="31" t="str">
        <f>IFERROR(__xludf.DUMMYFUNCTION("IF(OR(E8467="""",K8467=""""),"""",IFERROR(IF(K8467="""","""",query('tbl user'!$A$2:$D10975,""SELECT A WHERE D = '""&amp;K8467&amp;""'"")),""USER TIDAK DIKETAHUI""))"),"")</f>
        <v/>
      </c>
    </row>
    <row r="8468">
      <c r="A8468" s="21" t="str">
        <f t="shared" si="3"/>
        <v/>
      </c>
      <c r="B8468" s="38"/>
      <c r="C8468" s="23"/>
      <c r="D8468" s="23"/>
      <c r="E8468" s="24"/>
      <c r="F8468" s="25"/>
      <c r="G8468" s="25"/>
      <c r="H8468" s="27"/>
      <c r="I8468" s="28"/>
      <c r="J8468" s="39"/>
      <c r="K8468" s="41"/>
      <c r="L8468" s="31" t="str">
        <f>IFERROR(__xludf.DUMMYFUNCTION("IF(OR(E8468="""",K8468=""""),"""",IFERROR(IF(K8468="""","""",query('tbl user'!$A$2:$D10975,""SELECT A WHERE D = '""&amp;K8468&amp;""'"")),""USER TIDAK DIKETAHUI""))"),"")</f>
        <v/>
      </c>
    </row>
    <row r="8469">
      <c r="A8469" s="21" t="str">
        <f t="shared" si="3"/>
        <v/>
      </c>
      <c r="B8469" s="38"/>
      <c r="C8469" s="23"/>
      <c r="D8469" s="23"/>
      <c r="E8469" s="24"/>
      <c r="F8469" s="25"/>
      <c r="G8469" s="25"/>
      <c r="H8469" s="27"/>
      <c r="I8469" s="28"/>
      <c r="J8469" s="39"/>
      <c r="K8469" s="41"/>
      <c r="L8469" s="31" t="str">
        <f>IFERROR(__xludf.DUMMYFUNCTION("IF(OR(E8469="""",K8469=""""),"""",IFERROR(IF(K8469="""","""",query('tbl user'!$A$2:$D10975,""SELECT A WHERE D = '""&amp;K8469&amp;""'"")),""USER TIDAK DIKETAHUI""))"),"")</f>
        <v/>
      </c>
    </row>
    <row r="8470">
      <c r="A8470" s="21" t="str">
        <f t="shared" si="3"/>
        <v/>
      </c>
      <c r="B8470" s="38"/>
      <c r="C8470" s="23"/>
      <c r="D8470" s="23"/>
      <c r="E8470" s="24"/>
      <c r="F8470" s="25"/>
      <c r="G8470" s="25"/>
      <c r="H8470" s="27"/>
      <c r="I8470" s="28"/>
      <c r="J8470" s="39"/>
      <c r="K8470" s="41"/>
      <c r="L8470" s="31" t="str">
        <f>IFERROR(__xludf.DUMMYFUNCTION("IF(OR(E8470="""",K8470=""""),"""",IFERROR(IF(K8470="""","""",query('tbl user'!$A$2:$D10975,""SELECT A WHERE D = '""&amp;K8470&amp;""'"")),""USER TIDAK DIKETAHUI""))"),"")</f>
        <v/>
      </c>
    </row>
    <row r="8471">
      <c r="A8471" s="21" t="str">
        <f t="shared" si="3"/>
        <v/>
      </c>
      <c r="B8471" s="38"/>
      <c r="C8471" s="23"/>
      <c r="D8471" s="23"/>
      <c r="E8471" s="24"/>
      <c r="F8471" s="25"/>
      <c r="G8471" s="25"/>
      <c r="H8471" s="27"/>
      <c r="I8471" s="28"/>
      <c r="J8471" s="39"/>
      <c r="K8471" s="41"/>
      <c r="L8471" s="31" t="str">
        <f>IFERROR(__xludf.DUMMYFUNCTION("IF(OR(E8471="""",K8471=""""),"""",IFERROR(IF(K8471="""","""",query('tbl user'!$A$2:$D10975,""SELECT A WHERE D = '""&amp;K8471&amp;""'"")),""USER TIDAK DIKETAHUI""))"),"")</f>
        <v/>
      </c>
    </row>
    <row r="8472">
      <c r="A8472" s="21" t="str">
        <f t="shared" si="3"/>
        <v/>
      </c>
      <c r="B8472" s="38"/>
      <c r="C8472" s="23"/>
      <c r="D8472" s="23"/>
      <c r="E8472" s="24"/>
      <c r="F8472" s="25"/>
      <c r="G8472" s="25"/>
      <c r="H8472" s="27"/>
      <c r="I8472" s="28"/>
      <c r="J8472" s="39"/>
      <c r="K8472" s="41"/>
      <c r="L8472" s="31" t="str">
        <f>IFERROR(__xludf.DUMMYFUNCTION("IF(OR(E8472="""",K8472=""""),"""",IFERROR(IF(K8472="""","""",query('tbl user'!$A$2:$D10975,""SELECT A WHERE D = '""&amp;K8472&amp;""'"")),""USER TIDAK DIKETAHUI""))"),"")</f>
        <v/>
      </c>
    </row>
    <row r="8473">
      <c r="A8473" s="21" t="str">
        <f t="shared" si="3"/>
        <v/>
      </c>
      <c r="B8473" s="38"/>
      <c r="C8473" s="23"/>
      <c r="D8473" s="23"/>
      <c r="E8473" s="24"/>
      <c r="F8473" s="25"/>
      <c r="G8473" s="25"/>
      <c r="H8473" s="27"/>
      <c r="I8473" s="28"/>
      <c r="J8473" s="39"/>
      <c r="K8473" s="41"/>
      <c r="L8473" s="31" t="str">
        <f>IFERROR(__xludf.DUMMYFUNCTION("IF(OR(E8473="""",K8473=""""),"""",IFERROR(IF(K8473="""","""",query('tbl user'!$A$2:$D10975,""SELECT A WHERE D = '""&amp;K8473&amp;""'"")),""USER TIDAK DIKETAHUI""))"),"")</f>
        <v/>
      </c>
    </row>
    <row r="8474">
      <c r="A8474" s="21" t="str">
        <f t="shared" si="3"/>
        <v/>
      </c>
      <c r="B8474" s="38"/>
      <c r="C8474" s="23"/>
      <c r="D8474" s="23"/>
      <c r="E8474" s="24"/>
      <c r="F8474" s="25"/>
      <c r="G8474" s="25"/>
      <c r="H8474" s="27"/>
      <c r="I8474" s="28"/>
      <c r="J8474" s="39"/>
      <c r="K8474" s="41"/>
      <c r="L8474" s="31" t="str">
        <f>IFERROR(__xludf.DUMMYFUNCTION("IF(OR(E8474="""",K8474=""""),"""",IFERROR(IF(K8474="""","""",query('tbl user'!$A$2:$D10975,""SELECT A WHERE D = '""&amp;K8474&amp;""'"")),""USER TIDAK DIKETAHUI""))"),"")</f>
        <v/>
      </c>
    </row>
    <row r="8475">
      <c r="A8475" s="21" t="str">
        <f t="shared" si="3"/>
        <v/>
      </c>
      <c r="B8475" s="38"/>
      <c r="C8475" s="23"/>
      <c r="D8475" s="23"/>
      <c r="E8475" s="24"/>
      <c r="F8475" s="25"/>
      <c r="G8475" s="25"/>
      <c r="H8475" s="27"/>
      <c r="I8475" s="28"/>
      <c r="J8475" s="39"/>
      <c r="K8475" s="41"/>
      <c r="L8475" s="31" t="str">
        <f>IFERROR(__xludf.DUMMYFUNCTION("IF(OR(E8475="""",K8475=""""),"""",IFERROR(IF(K8475="""","""",query('tbl user'!$A$2:$D10975,""SELECT A WHERE D = '""&amp;K8475&amp;""'"")),""USER TIDAK DIKETAHUI""))"),"")</f>
        <v/>
      </c>
    </row>
    <row r="8476">
      <c r="A8476" s="21" t="str">
        <f t="shared" si="3"/>
        <v/>
      </c>
      <c r="B8476" s="38"/>
      <c r="C8476" s="23"/>
      <c r="D8476" s="23"/>
      <c r="E8476" s="24"/>
      <c r="F8476" s="25"/>
      <c r="G8476" s="25"/>
      <c r="H8476" s="27"/>
      <c r="I8476" s="28"/>
      <c r="J8476" s="39"/>
      <c r="K8476" s="41"/>
      <c r="L8476" s="31" t="str">
        <f>IFERROR(__xludf.DUMMYFUNCTION("IF(OR(E8476="""",K8476=""""),"""",IFERROR(IF(K8476="""","""",query('tbl user'!$A$2:$D10975,""SELECT A WHERE D = '""&amp;K8476&amp;""'"")),""USER TIDAK DIKETAHUI""))"),"")</f>
        <v/>
      </c>
    </row>
    <row r="8477">
      <c r="A8477" s="21" t="str">
        <f t="shared" si="3"/>
        <v/>
      </c>
      <c r="B8477" s="38"/>
      <c r="C8477" s="23"/>
      <c r="D8477" s="23"/>
      <c r="E8477" s="24"/>
      <c r="F8477" s="25"/>
      <c r="G8477" s="25"/>
      <c r="H8477" s="27"/>
      <c r="I8477" s="28"/>
      <c r="J8477" s="39"/>
      <c r="K8477" s="41"/>
      <c r="L8477" s="31" t="str">
        <f>IFERROR(__xludf.DUMMYFUNCTION("IF(OR(E8477="""",K8477=""""),"""",IFERROR(IF(K8477="""","""",query('tbl user'!$A$2:$D10975,""SELECT A WHERE D = '""&amp;K8477&amp;""'"")),""USER TIDAK DIKETAHUI""))"),"")</f>
        <v/>
      </c>
    </row>
    <row r="8478">
      <c r="A8478" s="21" t="str">
        <f t="shared" si="3"/>
        <v/>
      </c>
      <c r="B8478" s="38"/>
      <c r="C8478" s="23"/>
      <c r="D8478" s="23"/>
      <c r="E8478" s="24"/>
      <c r="F8478" s="25"/>
      <c r="G8478" s="25"/>
      <c r="H8478" s="27"/>
      <c r="I8478" s="28"/>
      <c r="J8478" s="39"/>
      <c r="K8478" s="41"/>
      <c r="L8478" s="31" t="str">
        <f>IFERROR(__xludf.DUMMYFUNCTION("IF(OR(E8478="""",K8478=""""),"""",IFERROR(IF(K8478="""","""",query('tbl user'!$A$2:$D10975,""SELECT A WHERE D = '""&amp;K8478&amp;""'"")),""USER TIDAK DIKETAHUI""))"),"")</f>
        <v/>
      </c>
    </row>
    <row r="8479">
      <c r="A8479" s="21" t="str">
        <f t="shared" si="3"/>
        <v/>
      </c>
      <c r="B8479" s="38"/>
      <c r="C8479" s="23"/>
      <c r="D8479" s="23"/>
      <c r="E8479" s="24"/>
      <c r="F8479" s="25"/>
      <c r="G8479" s="25"/>
      <c r="H8479" s="27"/>
      <c r="I8479" s="28"/>
      <c r="J8479" s="39"/>
      <c r="K8479" s="41"/>
      <c r="L8479" s="31" t="str">
        <f>IFERROR(__xludf.DUMMYFUNCTION("IF(OR(E8479="""",K8479=""""),"""",IFERROR(IF(K8479="""","""",query('tbl user'!$A$2:$D10975,""SELECT A WHERE D = '""&amp;K8479&amp;""'"")),""USER TIDAK DIKETAHUI""))"),"")</f>
        <v/>
      </c>
    </row>
    <row r="8480">
      <c r="A8480" s="21" t="str">
        <f t="shared" si="3"/>
        <v/>
      </c>
      <c r="B8480" s="38"/>
      <c r="C8480" s="23"/>
      <c r="D8480" s="23"/>
      <c r="E8480" s="24"/>
      <c r="F8480" s="25"/>
      <c r="G8480" s="25"/>
      <c r="H8480" s="27"/>
      <c r="I8480" s="28"/>
      <c r="J8480" s="39"/>
      <c r="K8480" s="41"/>
      <c r="L8480" s="31" t="str">
        <f>IFERROR(__xludf.DUMMYFUNCTION("IF(OR(E8480="""",K8480=""""),"""",IFERROR(IF(K8480="""","""",query('tbl user'!$A$2:$D10975,""SELECT A WHERE D = '""&amp;K8480&amp;""'"")),""USER TIDAK DIKETAHUI""))"),"")</f>
        <v/>
      </c>
    </row>
    <row r="8481">
      <c r="A8481" s="21" t="str">
        <f t="shared" si="3"/>
        <v/>
      </c>
      <c r="B8481" s="38"/>
      <c r="C8481" s="23"/>
      <c r="D8481" s="23"/>
      <c r="E8481" s="24"/>
      <c r="F8481" s="25"/>
      <c r="G8481" s="25"/>
      <c r="H8481" s="27"/>
      <c r="I8481" s="28"/>
      <c r="J8481" s="39"/>
      <c r="K8481" s="41"/>
      <c r="L8481" s="31" t="str">
        <f>IFERROR(__xludf.DUMMYFUNCTION("IF(OR(E8481="""",K8481=""""),"""",IFERROR(IF(K8481="""","""",query('tbl user'!$A$2:$D10975,""SELECT A WHERE D = '""&amp;K8481&amp;""'"")),""USER TIDAK DIKETAHUI""))"),"")</f>
        <v/>
      </c>
    </row>
    <row r="8482">
      <c r="A8482" s="21" t="str">
        <f t="shared" si="3"/>
        <v/>
      </c>
      <c r="B8482" s="38"/>
      <c r="C8482" s="23"/>
      <c r="D8482" s="23"/>
      <c r="E8482" s="24"/>
      <c r="F8482" s="25"/>
      <c r="G8482" s="25"/>
      <c r="H8482" s="27"/>
      <c r="I8482" s="28"/>
      <c r="J8482" s="39"/>
      <c r="K8482" s="41"/>
      <c r="L8482" s="31" t="str">
        <f>IFERROR(__xludf.DUMMYFUNCTION("IF(OR(E8482="""",K8482=""""),"""",IFERROR(IF(K8482="""","""",query('tbl user'!$A$2:$D10975,""SELECT A WHERE D = '""&amp;K8482&amp;""'"")),""USER TIDAK DIKETAHUI""))"),"")</f>
        <v/>
      </c>
    </row>
    <row r="8483">
      <c r="A8483" s="21" t="str">
        <f t="shared" si="3"/>
        <v/>
      </c>
      <c r="B8483" s="38"/>
      <c r="C8483" s="23"/>
      <c r="D8483" s="23"/>
      <c r="E8483" s="24"/>
      <c r="F8483" s="25"/>
      <c r="G8483" s="25"/>
      <c r="H8483" s="27"/>
      <c r="I8483" s="28"/>
      <c r="J8483" s="39"/>
      <c r="K8483" s="41"/>
      <c r="L8483" s="31" t="str">
        <f>IFERROR(__xludf.DUMMYFUNCTION("IF(OR(E8483="""",K8483=""""),"""",IFERROR(IF(K8483="""","""",query('tbl user'!$A$2:$D10975,""SELECT A WHERE D = '""&amp;K8483&amp;""'"")),""USER TIDAK DIKETAHUI""))"),"")</f>
        <v/>
      </c>
    </row>
    <row r="8484">
      <c r="A8484" s="21" t="str">
        <f t="shared" si="3"/>
        <v/>
      </c>
      <c r="B8484" s="38"/>
      <c r="C8484" s="23"/>
      <c r="D8484" s="23"/>
      <c r="E8484" s="24"/>
      <c r="F8484" s="25"/>
      <c r="G8484" s="25"/>
      <c r="H8484" s="27"/>
      <c r="I8484" s="28"/>
      <c r="J8484" s="39"/>
      <c r="K8484" s="41"/>
      <c r="L8484" s="31" t="str">
        <f>IFERROR(__xludf.DUMMYFUNCTION("IF(OR(E8484="""",K8484=""""),"""",IFERROR(IF(K8484="""","""",query('tbl user'!$A$2:$D10975,""SELECT A WHERE D = '""&amp;K8484&amp;""'"")),""USER TIDAK DIKETAHUI""))"),"")</f>
        <v/>
      </c>
    </row>
    <row r="8485">
      <c r="A8485" s="21" t="str">
        <f t="shared" si="3"/>
        <v/>
      </c>
      <c r="B8485" s="38"/>
      <c r="C8485" s="23"/>
      <c r="D8485" s="23"/>
      <c r="E8485" s="24"/>
      <c r="F8485" s="25"/>
      <c r="G8485" s="25"/>
      <c r="H8485" s="27"/>
      <c r="I8485" s="28"/>
      <c r="J8485" s="39"/>
      <c r="K8485" s="41"/>
      <c r="L8485" s="31" t="str">
        <f>IFERROR(__xludf.DUMMYFUNCTION("IF(OR(E8485="""",K8485=""""),"""",IFERROR(IF(K8485="""","""",query('tbl user'!$A$2:$D10975,""SELECT A WHERE D = '""&amp;K8485&amp;""'"")),""USER TIDAK DIKETAHUI""))"),"")</f>
        <v/>
      </c>
    </row>
    <row r="8486">
      <c r="A8486" s="21" t="str">
        <f t="shared" si="3"/>
        <v/>
      </c>
      <c r="B8486" s="38"/>
      <c r="C8486" s="23"/>
      <c r="D8486" s="23"/>
      <c r="E8486" s="24"/>
      <c r="F8486" s="25"/>
      <c r="G8486" s="25"/>
      <c r="H8486" s="27"/>
      <c r="I8486" s="28"/>
      <c r="J8486" s="39"/>
      <c r="K8486" s="41"/>
      <c r="L8486" s="31" t="str">
        <f>IFERROR(__xludf.DUMMYFUNCTION("IF(OR(E8486="""",K8486=""""),"""",IFERROR(IF(K8486="""","""",query('tbl user'!$A$2:$D10975,""SELECT A WHERE D = '""&amp;K8486&amp;""'"")),""USER TIDAK DIKETAHUI""))"),"")</f>
        <v/>
      </c>
    </row>
    <row r="8487">
      <c r="A8487" s="21" t="str">
        <f t="shared" si="3"/>
        <v/>
      </c>
      <c r="B8487" s="38"/>
      <c r="C8487" s="23"/>
      <c r="D8487" s="23"/>
      <c r="E8487" s="24"/>
      <c r="F8487" s="25"/>
      <c r="G8487" s="25"/>
      <c r="H8487" s="27"/>
      <c r="I8487" s="28"/>
      <c r="J8487" s="39"/>
      <c r="K8487" s="41"/>
      <c r="L8487" s="31" t="str">
        <f>IFERROR(__xludf.DUMMYFUNCTION("IF(OR(E8487="""",K8487=""""),"""",IFERROR(IF(K8487="""","""",query('tbl user'!$A$2:$D10975,""SELECT A WHERE D = '""&amp;K8487&amp;""'"")),""USER TIDAK DIKETAHUI""))"),"")</f>
        <v/>
      </c>
    </row>
    <row r="8488">
      <c r="A8488" s="21" t="str">
        <f t="shared" si="3"/>
        <v/>
      </c>
      <c r="B8488" s="38"/>
      <c r="C8488" s="23"/>
      <c r="D8488" s="23"/>
      <c r="E8488" s="24"/>
      <c r="F8488" s="25"/>
      <c r="G8488" s="25"/>
      <c r="H8488" s="27"/>
      <c r="I8488" s="28"/>
      <c r="J8488" s="39"/>
      <c r="K8488" s="41"/>
      <c r="L8488" s="31" t="str">
        <f>IFERROR(__xludf.DUMMYFUNCTION("IF(OR(E8488="""",K8488=""""),"""",IFERROR(IF(K8488="""","""",query('tbl user'!$A$2:$D10975,""SELECT A WHERE D = '""&amp;K8488&amp;""'"")),""USER TIDAK DIKETAHUI""))"),"")</f>
        <v/>
      </c>
    </row>
    <row r="8489">
      <c r="A8489" s="21" t="str">
        <f t="shared" si="3"/>
        <v/>
      </c>
      <c r="B8489" s="38"/>
      <c r="C8489" s="23"/>
      <c r="D8489" s="23"/>
      <c r="E8489" s="24"/>
      <c r="F8489" s="25"/>
      <c r="G8489" s="25"/>
      <c r="H8489" s="27"/>
      <c r="I8489" s="28"/>
      <c r="J8489" s="39"/>
      <c r="K8489" s="41"/>
      <c r="L8489" s="31" t="str">
        <f>IFERROR(__xludf.DUMMYFUNCTION("IF(OR(E8489="""",K8489=""""),"""",IFERROR(IF(K8489="""","""",query('tbl user'!$A$2:$D10975,""SELECT A WHERE D = '""&amp;K8489&amp;""'"")),""USER TIDAK DIKETAHUI""))"),"")</f>
        <v/>
      </c>
    </row>
    <row r="8490">
      <c r="A8490" s="21" t="str">
        <f t="shared" si="3"/>
        <v/>
      </c>
      <c r="B8490" s="38"/>
      <c r="C8490" s="23"/>
      <c r="D8490" s="23"/>
      <c r="E8490" s="24"/>
      <c r="F8490" s="25"/>
      <c r="G8490" s="25"/>
      <c r="H8490" s="27"/>
      <c r="I8490" s="28"/>
      <c r="J8490" s="39"/>
      <c r="K8490" s="41"/>
      <c r="L8490" s="31" t="str">
        <f>IFERROR(__xludf.DUMMYFUNCTION("IF(OR(E8490="""",K8490=""""),"""",IFERROR(IF(K8490="""","""",query('tbl user'!$A$2:$D10975,""SELECT A WHERE D = '""&amp;K8490&amp;""'"")),""USER TIDAK DIKETAHUI""))"),"")</f>
        <v/>
      </c>
    </row>
    <row r="8491">
      <c r="A8491" s="21" t="str">
        <f t="shared" si="3"/>
        <v/>
      </c>
      <c r="B8491" s="38"/>
      <c r="C8491" s="23"/>
      <c r="D8491" s="23"/>
      <c r="E8491" s="24"/>
      <c r="F8491" s="25"/>
      <c r="G8491" s="25"/>
      <c r="H8491" s="27"/>
      <c r="I8491" s="28"/>
      <c r="J8491" s="39"/>
      <c r="K8491" s="41"/>
      <c r="L8491" s="31" t="str">
        <f>IFERROR(__xludf.DUMMYFUNCTION("IF(OR(E8491="""",K8491=""""),"""",IFERROR(IF(K8491="""","""",query('tbl user'!$A$2:$D10975,""SELECT A WHERE D = '""&amp;K8491&amp;""'"")),""USER TIDAK DIKETAHUI""))"),"")</f>
        <v/>
      </c>
    </row>
    <row r="8492">
      <c r="A8492" s="21" t="str">
        <f t="shared" si="3"/>
        <v/>
      </c>
      <c r="B8492" s="38"/>
      <c r="C8492" s="23"/>
      <c r="D8492" s="23"/>
      <c r="E8492" s="24"/>
      <c r="F8492" s="25"/>
      <c r="G8492" s="25"/>
      <c r="H8492" s="27"/>
      <c r="I8492" s="28"/>
      <c r="J8492" s="39"/>
      <c r="K8492" s="41"/>
      <c r="L8492" s="31" t="str">
        <f>IFERROR(__xludf.DUMMYFUNCTION("IF(OR(E8492="""",K8492=""""),"""",IFERROR(IF(K8492="""","""",query('tbl user'!$A$2:$D10975,""SELECT A WHERE D = '""&amp;K8492&amp;""'"")),""USER TIDAK DIKETAHUI""))"),"")</f>
        <v/>
      </c>
    </row>
    <row r="8493">
      <c r="A8493" s="21" t="str">
        <f t="shared" si="3"/>
        <v/>
      </c>
      <c r="B8493" s="38"/>
      <c r="C8493" s="23"/>
      <c r="D8493" s="23"/>
      <c r="E8493" s="24"/>
      <c r="F8493" s="25"/>
      <c r="G8493" s="25"/>
      <c r="H8493" s="27"/>
      <c r="I8493" s="28"/>
      <c r="J8493" s="39"/>
      <c r="K8493" s="41"/>
      <c r="L8493" s="31" t="str">
        <f>IFERROR(__xludf.DUMMYFUNCTION("IF(OR(E8493="""",K8493=""""),"""",IFERROR(IF(K8493="""","""",query('tbl user'!$A$2:$D10975,""SELECT A WHERE D = '""&amp;K8493&amp;""'"")),""USER TIDAK DIKETAHUI""))"),"")</f>
        <v/>
      </c>
    </row>
    <row r="8494">
      <c r="A8494" s="21" t="str">
        <f t="shared" si="3"/>
        <v/>
      </c>
      <c r="B8494" s="38"/>
      <c r="C8494" s="23"/>
      <c r="D8494" s="23"/>
      <c r="E8494" s="24"/>
      <c r="F8494" s="25"/>
      <c r="G8494" s="25"/>
      <c r="H8494" s="27"/>
      <c r="I8494" s="28"/>
      <c r="J8494" s="39"/>
      <c r="K8494" s="41"/>
      <c r="L8494" s="31" t="str">
        <f>IFERROR(__xludf.DUMMYFUNCTION("IF(OR(E8494="""",K8494=""""),"""",IFERROR(IF(K8494="""","""",query('tbl user'!$A$2:$D10975,""SELECT A WHERE D = '""&amp;K8494&amp;""'"")),""USER TIDAK DIKETAHUI""))"),"")</f>
        <v/>
      </c>
    </row>
    <row r="8495">
      <c r="A8495" s="21" t="str">
        <f t="shared" si="3"/>
        <v/>
      </c>
      <c r="B8495" s="38"/>
      <c r="C8495" s="23"/>
      <c r="D8495" s="23"/>
      <c r="E8495" s="24"/>
      <c r="F8495" s="25"/>
      <c r="G8495" s="25"/>
      <c r="H8495" s="27"/>
      <c r="I8495" s="28"/>
      <c r="J8495" s="39"/>
      <c r="K8495" s="41"/>
      <c r="L8495" s="31" t="str">
        <f>IFERROR(__xludf.DUMMYFUNCTION("IF(OR(E8495="""",K8495=""""),"""",IFERROR(IF(K8495="""","""",query('tbl user'!$A$2:$D10975,""SELECT A WHERE D = '""&amp;K8495&amp;""'"")),""USER TIDAK DIKETAHUI""))"),"")</f>
        <v/>
      </c>
    </row>
    <row r="8496">
      <c r="A8496" s="21" t="str">
        <f t="shared" si="3"/>
        <v/>
      </c>
      <c r="B8496" s="38"/>
      <c r="C8496" s="23"/>
      <c r="D8496" s="23"/>
      <c r="E8496" s="24"/>
      <c r="F8496" s="25"/>
      <c r="G8496" s="25"/>
      <c r="H8496" s="27"/>
      <c r="I8496" s="28"/>
      <c r="J8496" s="39"/>
      <c r="K8496" s="41"/>
      <c r="L8496" s="31" t="str">
        <f>IFERROR(__xludf.DUMMYFUNCTION("IF(OR(E8496="""",K8496=""""),"""",IFERROR(IF(K8496="""","""",query('tbl user'!$A$2:$D10975,""SELECT A WHERE D = '""&amp;K8496&amp;""'"")),""USER TIDAK DIKETAHUI""))"),"")</f>
        <v/>
      </c>
    </row>
    <row r="8497">
      <c r="A8497" s="21" t="str">
        <f t="shared" si="3"/>
        <v/>
      </c>
      <c r="B8497" s="38"/>
      <c r="C8497" s="23"/>
      <c r="D8497" s="23"/>
      <c r="E8497" s="24"/>
      <c r="F8497" s="25"/>
      <c r="G8497" s="25"/>
      <c r="H8497" s="27"/>
      <c r="I8497" s="28"/>
      <c r="J8497" s="39"/>
      <c r="K8497" s="41"/>
      <c r="L8497" s="31" t="str">
        <f>IFERROR(__xludf.DUMMYFUNCTION("IF(OR(E8497="""",K8497=""""),"""",IFERROR(IF(K8497="""","""",query('tbl user'!$A$2:$D10975,""SELECT A WHERE D = '""&amp;K8497&amp;""'"")),""USER TIDAK DIKETAHUI""))"),"")</f>
        <v/>
      </c>
    </row>
    <row r="8498">
      <c r="A8498" s="21" t="str">
        <f t="shared" si="3"/>
        <v/>
      </c>
      <c r="B8498" s="38"/>
      <c r="C8498" s="23"/>
      <c r="D8498" s="23"/>
      <c r="E8498" s="24"/>
      <c r="F8498" s="25"/>
      <c r="G8498" s="25"/>
      <c r="H8498" s="27"/>
      <c r="I8498" s="28"/>
      <c r="J8498" s="39"/>
      <c r="K8498" s="41"/>
      <c r="L8498" s="31" t="str">
        <f>IFERROR(__xludf.DUMMYFUNCTION("IF(OR(E8498="""",K8498=""""),"""",IFERROR(IF(K8498="""","""",query('tbl user'!$A$2:$D10975,""SELECT A WHERE D = '""&amp;K8498&amp;""'"")),""USER TIDAK DIKETAHUI""))"),"")</f>
        <v/>
      </c>
    </row>
    <row r="8499">
      <c r="A8499" s="21" t="str">
        <f t="shared" si="3"/>
        <v/>
      </c>
      <c r="B8499" s="38"/>
      <c r="C8499" s="23"/>
      <c r="D8499" s="23"/>
      <c r="E8499" s="24"/>
      <c r="F8499" s="25"/>
      <c r="G8499" s="25"/>
      <c r="H8499" s="27"/>
      <c r="I8499" s="28"/>
      <c r="J8499" s="39"/>
      <c r="K8499" s="41"/>
      <c r="L8499" s="31" t="str">
        <f>IFERROR(__xludf.DUMMYFUNCTION("IF(OR(E8499="""",K8499=""""),"""",IFERROR(IF(K8499="""","""",query('tbl user'!$A$2:$D10975,""SELECT A WHERE D = '""&amp;K8499&amp;""'"")),""USER TIDAK DIKETAHUI""))"),"")</f>
        <v/>
      </c>
    </row>
    <row r="8500">
      <c r="A8500" s="21" t="str">
        <f t="shared" si="3"/>
        <v/>
      </c>
      <c r="B8500" s="38"/>
      <c r="C8500" s="23"/>
      <c r="D8500" s="23"/>
      <c r="E8500" s="24"/>
      <c r="F8500" s="25"/>
      <c r="G8500" s="25"/>
      <c r="H8500" s="27"/>
      <c r="I8500" s="28"/>
      <c r="J8500" s="39"/>
      <c r="K8500" s="41"/>
      <c r="L8500" s="31" t="str">
        <f>IFERROR(__xludf.DUMMYFUNCTION("IF(OR(E8500="""",K8500=""""),"""",IFERROR(IF(K8500="""","""",query('tbl user'!$A$2:$D10975,""SELECT A WHERE D = '""&amp;K8500&amp;""'"")),""USER TIDAK DIKETAHUI""))"),"")</f>
        <v/>
      </c>
    </row>
    <row r="8501">
      <c r="A8501" s="21" t="str">
        <f t="shared" si="3"/>
        <v/>
      </c>
      <c r="B8501" s="38"/>
      <c r="C8501" s="23"/>
      <c r="D8501" s="23"/>
      <c r="E8501" s="24"/>
      <c r="F8501" s="25"/>
      <c r="G8501" s="25"/>
      <c r="H8501" s="27"/>
      <c r="I8501" s="28"/>
      <c r="J8501" s="39"/>
      <c r="K8501" s="41"/>
      <c r="L8501" s="31" t="str">
        <f>IFERROR(__xludf.DUMMYFUNCTION("IF(OR(E8501="""",K8501=""""),"""",IFERROR(IF(K8501="""","""",query('tbl user'!$A$2:$D10975,""SELECT A WHERE D = '""&amp;K8501&amp;""'"")),""USER TIDAK DIKETAHUI""))"),"")</f>
        <v/>
      </c>
    </row>
    <row r="8502">
      <c r="A8502" s="21" t="str">
        <f t="shared" si="3"/>
        <v/>
      </c>
      <c r="B8502" s="38"/>
      <c r="C8502" s="23"/>
      <c r="D8502" s="23"/>
      <c r="E8502" s="24"/>
      <c r="F8502" s="25"/>
      <c r="G8502" s="25"/>
      <c r="H8502" s="27"/>
      <c r="I8502" s="28"/>
      <c r="J8502" s="39"/>
      <c r="K8502" s="41"/>
      <c r="L8502" s="31" t="str">
        <f>IFERROR(__xludf.DUMMYFUNCTION("IF(OR(E8502="""",K8502=""""),"""",IFERROR(IF(K8502="""","""",query('tbl user'!$A$2:$D10975,""SELECT A WHERE D = '""&amp;K8502&amp;""'"")),""USER TIDAK DIKETAHUI""))"),"")</f>
        <v/>
      </c>
    </row>
    <row r="8503">
      <c r="A8503" s="21" t="str">
        <f t="shared" si="3"/>
        <v/>
      </c>
      <c r="B8503" s="38"/>
      <c r="C8503" s="23"/>
      <c r="D8503" s="23"/>
      <c r="E8503" s="24"/>
      <c r="F8503" s="25"/>
      <c r="G8503" s="25"/>
      <c r="H8503" s="27"/>
      <c r="I8503" s="28"/>
      <c r="J8503" s="39"/>
      <c r="K8503" s="41"/>
      <c r="L8503" s="31" t="str">
        <f>IFERROR(__xludf.DUMMYFUNCTION("IF(OR(E8503="""",K8503=""""),"""",IFERROR(IF(K8503="""","""",query('tbl user'!$A$2:$D10975,""SELECT A WHERE D = '""&amp;K8503&amp;""'"")),""USER TIDAK DIKETAHUI""))"),"")</f>
        <v/>
      </c>
    </row>
    <row r="8504">
      <c r="A8504" s="21" t="str">
        <f t="shared" si="3"/>
        <v/>
      </c>
      <c r="B8504" s="38"/>
      <c r="C8504" s="23"/>
      <c r="D8504" s="23"/>
      <c r="E8504" s="24"/>
      <c r="F8504" s="25"/>
      <c r="G8504" s="25"/>
      <c r="H8504" s="27"/>
      <c r="I8504" s="28"/>
      <c r="J8504" s="39"/>
      <c r="K8504" s="41"/>
      <c r="L8504" s="31" t="str">
        <f>IFERROR(__xludf.DUMMYFUNCTION("IF(OR(E8504="""",K8504=""""),"""",IFERROR(IF(K8504="""","""",query('tbl user'!$A$2:$D10975,""SELECT A WHERE D = '""&amp;K8504&amp;""'"")),""USER TIDAK DIKETAHUI""))"),"")</f>
        <v/>
      </c>
    </row>
    <row r="8505">
      <c r="A8505" s="21" t="str">
        <f t="shared" si="3"/>
        <v/>
      </c>
      <c r="B8505" s="38"/>
      <c r="C8505" s="23"/>
      <c r="D8505" s="23"/>
      <c r="E8505" s="24"/>
      <c r="F8505" s="25"/>
      <c r="G8505" s="25"/>
      <c r="H8505" s="27"/>
      <c r="I8505" s="28"/>
      <c r="J8505" s="39"/>
      <c r="K8505" s="41"/>
      <c r="L8505" s="31" t="str">
        <f>IFERROR(__xludf.DUMMYFUNCTION("IF(OR(E8505="""",K8505=""""),"""",IFERROR(IF(K8505="""","""",query('tbl user'!$A$2:$D10975,""SELECT A WHERE D = '""&amp;K8505&amp;""'"")),""USER TIDAK DIKETAHUI""))"),"")</f>
        <v/>
      </c>
    </row>
    <row r="8506">
      <c r="A8506" s="21" t="str">
        <f t="shared" si="3"/>
        <v/>
      </c>
      <c r="B8506" s="38"/>
      <c r="C8506" s="23"/>
      <c r="D8506" s="23"/>
      <c r="E8506" s="24"/>
      <c r="F8506" s="25"/>
      <c r="G8506" s="25"/>
      <c r="H8506" s="27"/>
      <c r="I8506" s="28"/>
      <c r="J8506" s="39"/>
      <c r="K8506" s="41"/>
      <c r="L8506" s="31" t="str">
        <f>IFERROR(__xludf.DUMMYFUNCTION("IF(OR(E8506="""",K8506=""""),"""",IFERROR(IF(K8506="""","""",query('tbl user'!$A$2:$D10975,""SELECT A WHERE D = '""&amp;K8506&amp;""'"")),""USER TIDAK DIKETAHUI""))"),"")</f>
        <v/>
      </c>
    </row>
    <row r="8507">
      <c r="A8507" s="21" t="str">
        <f t="shared" si="3"/>
        <v/>
      </c>
      <c r="B8507" s="38"/>
      <c r="C8507" s="23"/>
      <c r="D8507" s="23"/>
      <c r="E8507" s="24"/>
      <c r="F8507" s="25"/>
      <c r="G8507" s="25"/>
      <c r="H8507" s="27"/>
      <c r="I8507" s="28"/>
      <c r="J8507" s="39"/>
      <c r="K8507" s="41"/>
      <c r="L8507" s="31" t="str">
        <f>IFERROR(__xludf.DUMMYFUNCTION("IF(OR(E8507="""",K8507=""""),"""",IFERROR(IF(K8507="""","""",query('tbl user'!$A$2:$D10975,""SELECT A WHERE D = '""&amp;K8507&amp;""'"")),""USER TIDAK DIKETAHUI""))"),"")</f>
        <v/>
      </c>
    </row>
    <row r="8508">
      <c r="A8508" s="21" t="str">
        <f t="shared" si="3"/>
        <v/>
      </c>
      <c r="B8508" s="38"/>
      <c r="C8508" s="23"/>
      <c r="D8508" s="23"/>
      <c r="E8508" s="24"/>
      <c r="F8508" s="25"/>
      <c r="G8508" s="25"/>
      <c r="H8508" s="27"/>
      <c r="I8508" s="28"/>
      <c r="J8508" s="39"/>
      <c r="K8508" s="41"/>
      <c r="L8508" s="31" t="str">
        <f>IFERROR(__xludf.DUMMYFUNCTION("IF(OR(E8508="""",K8508=""""),"""",IFERROR(IF(K8508="""","""",query('tbl user'!$A$2:$D10975,""SELECT A WHERE D = '""&amp;K8508&amp;""'"")),""USER TIDAK DIKETAHUI""))"),"")</f>
        <v/>
      </c>
    </row>
    <row r="8509">
      <c r="A8509" s="21" t="str">
        <f t="shared" si="3"/>
        <v/>
      </c>
      <c r="B8509" s="38"/>
      <c r="C8509" s="23"/>
      <c r="D8509" s="23"/>
      <c r="E8509" s="24"/>
      <c r="F8509" s="25"/>
      <c r="G8509" s="25"/>
      <c r="H8509" s="27"/>
      <c r="I8509" s="28"/>
      <c r="J8509" s="39"/>
      <c r="K8509" s="41"/>
      <c r="L8509" s="31" t="str">
        <f>IFERROR(__xludf.DUMMYFUNCTION("IF(OR(E8509="""",K8509=""""),"""",IFERROR(IF(K8509="""","""",query('tbl user'!$A$2:$D10975,""SELECT A WHERE D = '""&amp;K8509&amp;""'"")),""USER TIDAK DIKETAHUI""))"),"")</f>
        <v/>
      </c>
    </row>
    <row r="8510">
      <c r="A8510" s="21" t="str">
        <f t="shared" si="3"/>
        <v/>
      </c>
      <c r="B8510" s="38"/>
      <c r="C8510" s="23"/>
      <c r="D8510" s="23"/>
      <c r="E8510" s="24"/>
      <c r="F8510" s="25"/>
      <c r="G8510" s="25"/>
      <c r="H8510" s="27"/>
      <c r="I8510" s="28"/>
      <c r="J8510" s="39"/>
      <c r="K8510" s="41"/>
      <c r="L8510" s="31" t="str">
        <f>IFERROR(__xludf.DUMMYFUNCTION("IF(OR(E8510="""",K8510=""""),"""",IFERROR(IF(K8510="""","""",query('tbl user'!$A$2:$D10975,""SELECT A WHERE D = '""&amp;K8510&amp;""'"")),""USER TIDAK DIKETAHUI""))"),"")</f>
        <v/>
      </c>
    </row>
    <row r="8511">
      <c r="A8511" s="21" t="str">
        <f t="shared" si="3"/>
        <v/>
      </c>
      <c r="B8511" s="38"/>
      <c r="C8511" s="23"/>
      <c r="D8511" s="23"/>
      <c r="E8511" s="24"/>
      <c r="F8511" s="25"/>
      <c r="G8511" s="25"/>
      <c r="H8511" s="27"/>
      <c r="I8511" s="28"/>
      <c r="J8511" s="39"/>
      <c r="K8511" s="41"/>
      <c r="L8511" s="31" t="str">
        <f>IFERROR(__xludf.DUMMYFUNCTION("IF(OR(E8511="""",K8511=""""),"""",IFERROR(IF(K8511="""","""",query('tbl user'!$A$2:$D10975,""SELECT A WHERE D = '""&amp;K8511&amp;""'"")),""USER TIDAK DIKETAHUI""))"),"")</f>
        <v/>
      </c>
    </row>
    <row r="8512">
      <c r="A8512" s="21" t="str">
        <f t="shared" si="3"/>
        <v/>
      </c>
      <c r="B8512" s="38"/>
      <c r="C8512" s="23"/>
      <c r="D8512" s="23"/>
      <c r="E8512" s="24"/>
      <c r="F8512" s="25"/>
      <c r="G8512" s="25"/>
      <c r="H8512" s="27"/>
      <c r="I8512" s="28"/>
      <c r="J8512" s="39"/>
      <c r="K8512" s="41"/>
      <c r="L8512" s="31" t="str">
        <f>IFERROR(__xludf.DUMMYFUNCTION("IF(OR(E8512="""",K8512=""""),"""",IFERROR(IF(K8512="""","""",query('tbl user'!$A$2:$D10975,""SELECT A WHERE D = '""&amp;K8512&amp;""'"")),""USER TIDAK DIKETAHUI""))"),"")</f>
        <v/>
      </c>
    </row>
    <row r="8513">
      <c r="A8513" s="21" t="str">
        <f t="shared" si="3"/>
        <v/>
      </c>
      <c r="B8513" s="38"/>
      <c r="C8513" s="23"/>
      <c r="D8513" s="23"/>
      <c r="E8513" s="24"/>
      <c r="F8513" s="25"/>
      <c r="G8513" s="25"/>
      <c r="H8513" s="27"/>
      <c r="I8513" s="28"/>
      <c r="J8513" s="39"/>
      <c r="K8513" s="41"/>
      <c r="L8513" s="31" t="str">
        <f>IFERROR(__xludf.DUMMYFUNCTION("IF(OR(E8513="""",K8513=""""),"""",IFERROR(IF(K8513="""","""",query('tbl user'!$A$2:$D10975,""SELECT A WHERE D = '""&amp;K8513&amp;""'"")),""USER TIDAK DIKETAHUI""))"),"")</f>
        <v/>
      </c>
    </row>
    <row r="8514">
      <c r="A8514" s="21" t="str">
        <f t="shared" si="3"/>
        <v/>
      </c>
      <c r="B8514" s="38"/>
      <c r="C8514" s="23"/>
      <c r="D8514" s="23"/>
      <c r="E8514" s="24"/>
      <c r="F8514" s="25"/>
      <c r="G8514" s="25"/>
      <c r="H8514" s="27"/>
      <c r="I8514" s="28"/>
      <c r="J8514" s="39"/>
      <c r="K8514" s="41"/>
      <c r="L8514" s="31" t="str">
        <f>IFERROR(__xludf.DUMMYFUNCTION("IF(OR(E8514="""",K8514=""""),"""",IFERROR(IF(K8514="""","""",query('tbl user'!$A$2:$D10975,""SELECT A WHERE D = '""&amp;K8514&amp;""'"")),""USER TIDAK DIKETAHUI""))"),"")</f>
        <v/>
      </c>
    </row>
    <row r="8515">
      <c r="A8515" s="21" t="str">
        <f t="shared" si="3"/>
        <v/>
      </c>
      <c r="B8515" s="38"/>
      <c r="C8515" s="23"/>
      <c r="D8515" s="23"/>
      <c r="E8515" s="24"/>
      <c r="F8515" s="25"/>
      <c r="G8515" s="25"/>
      <c r="H8515" s="27"/>
      <c r="I8515" s="28"/>
      <c r="J8515" s="39"/>
      <c r="K8515" s="41"/>
      <c r="L8515" s="31" t="str">
        <f>IFERROR(__xludf.DUMMYFUNCTION("IF(OR(E8515="""",K8515=""""),"""",IFERROR(IF(K8515="""","""",query('tbl user'!$A$2:$D10975,""SELECT A WHERE D = '""&amp;K8515&amp;""'"")),""USER TIDAK DIKETAHUI""))"),"")</f>
        <v/>
      </c>
    </row>
    <row r="8516">
      <c r="A8516" s="21" t="str">
        <f t="shared" si="3"/>
        <v/>
      </c>
      <c r="B8516" s="38"/>
      <c r="C8516" s="23"/>
      <c r="D8516" s="23"/>
      <c r="E8516" s="24"/>
      <c r="F8516" s="25"/>
      <c r="G8516" s="25"/>
      <c r="H8516" s="27"/>
      <c r="I8516" s="28"/>
      <c r="J8516" s="39"/>
      <c r="K8516" s="41"/>
      <c r="L8516" s="31" t="str">
        <f>IFERROR(__xludf.DUMMYFUNCTION("IF(OR(E8516="""",K8516=""""),"""",IFERROR(IF(K8516="""","""",query('tbl user'!$A$2:$D10975,""SELECT A WHERE D = '""&amp;K8516&amp;""'"")),""USER TIDAK DIKETAHUI""))"),"")</f>
        <v/>
      </c>
    </row>
    <row r="8517">
      <c r="A8517" s="21" t="str">
        <f t="shared" si="3"/>
        <v/>
      </c>
      <c r="B8517" s="38"/>
      <c r="C8517" s="23"/>
      <c r="D8517" s="23"/>
      <c r="E8517" s="24"/>
      <c r="F8517" s="25"/>
      <c r="G8517" s="25"/>
      <c r="H8517" s="27"/>
      <c r="I8517" s="28"/>
      <c r="J8517" s="39"/>
      <c r="K8517" s="41"/>
      <c r="L8517" s="31" t="str">
        <f>IFERROR(__xludf.DUMMYFUNCTION("IF(OR(E8517="""",K8517=""""),"""",IFERROR(IF(K8517="""","""",query('tbl user'!$A$2:$D10975,""SELECT A WHERE D = '""&amp;K8517&amp;""'"")),""USER TIDAK DIKETAHUI""))"),"")</f>
        <v/>
      </c>
    </row>
    <row r="8518">
      <c r="A8518" s="21" t="str">
        <f t="shared" si="3"/>
        <v/>
      </c>
      <c r="B8518" s="38"/>
      <c r="C8518" s="23"/>
      <c r="D8518" s="23"/>
      <c r="E8518" s="24"/>
      <c r="F8518" s="25"/>
      <c r="G8518" s="25"/>
      <c r="H8518" s="27"/>
      <c r="I8518" s="28"/>
      <c r="J8518" s="39"/>
      <c r="K8518" s="41"/>
      <c r="L8518" s="31" t="str">
        <f>IFERROR(__xludf.DUMMYFUNCTION("IF(OR(E8518="""",K8518=""""),"""",IFERROR(IF(K8518="""","""",query('tbl user'!$A$2:$D10975,""SELECT A WHERE D = '""&amp;K8518&amp;""'"")),""USER TIDAK DIKETAHUI""))"),"")</f>
        <v/>
      </c>
    </row>
    <row r="8519">
      <c r="A8519" s="21" t="str">
        <f t="shared" si="3"/>
        <v/>
      </c>
      <c r="B8519" s="38"/>
      <c r="C8519" s="23"/>
      <c r="D8519" s="23"/>
      <c r="E8519" s="24"/>
      <c r="F8519" s="25"/>
      <c r="G8519" s="25"/>
      <c r="H8519" s="27"/>
      <c r="I8519" s="28"/>
      <c r="J8519" s="39"/>
      <c r="K8519" s="41"/>
      <c r="L8519" s="31" t="str">
        <f>IFERROR(__xludf.DUMMYFUNCTION("IF(OR(E8519="""",K8519=""""),"""",IFERROR(IF(K8519="""","""",query('tbl user'!$A$2:$D10975,""SELECT A WHERE D = '""&amp;K8519&amp;""'"")),""USER TIDAK DIKETAHUI""))"),"")</f>
        <v/>
      </c>
    </row>
    <row r="8520">
      <c r="A8520" s="21" t="str">
        <f t="shared" si="3"/>
        <v/>
      </c>
      <c r="B8520" s="38"/>
      <c r="C8520" s="23"/>
      <c r="D8520" s="23"/>
      <c r="E8520" s="24"/>
      <c r="F8520" s="25"/>
      <c r="G8520" s="25"/>
      <c r="H8520" s="27"/>
      <c r="I8520" s="28"/>
      <c r="J8520" s="39"/>
      <c r="K8520" s="41"/>
      <c r="L8520" s="31" t="str">
        <f>IFERROR(__xludf.DUMMYFUNCTION("IF(OR(E8520="""",K8520=""""),"""",IFERROR(IF(K8520="""","""",query('tbl user'!$A$2:$D10975,""SELECT A WHERE D = '""&amp;K8520&amp;""'"")),""USER TIDAK DIKETAHUI""))"),"")</f>
        <v/>
      </c>
    </row>
    <row r="8521">
      <c r="A8521" s="21" t="str">
        <f t="shared" si="3"/>
        <v/>
      </c>
      <c r="B8521" s="38"/>
      <c r="C8521" s="23"/>
      <c r="D8521" s="23"/>
      <c r="E8521" s="24"/>
      <c r="F8521" s="25"/>
      <c r="G8521" s="25"/>
      <c r="H8521" s="27"/>
      <c r="I8521" s="28"/>
      <c r="J8521" s="39"/>
      <c r="K8521" s="41"/>
      <c r="L8521" s="31" t="str">
        <f>IFERROR(__xludf.DUMMYFUNCTION("IF(OR(E8521="""",K8521=""""),"""",IFERROR(IF(K8521="""","""",query('tbl user'!$A$2:$D10975,""SELECT A WHERE D = '""&amp;K8521&amp;""'"")),""USER TIDAK DIKETAHUI""))"),"")</f>
        <v/>
      </c>
    </row>
    <row r="8522">
      <c r="A8522" s="21" t="str">
        <f t="shared" si="3"/>
        <v/>
      </c>
      <c r="B8522" s="38"/>
      <c r="C8522" s="23"/>
      <c r="D8522" s="23"/>
      <c r="E8522" s="24"/>
      <c r="F8522" s="25"/>
      <c r="G8522" s="25"/>
      <c r="H8522" s="27"/>
      <c r="I8522" s="28"/>
      <c r="J8522" s="39"/>
      <c r="K8522" s="41"/>
      <c r="L8522" s="31" t="str">
        <f>IFERROR(__xludf.DUMMYFUNCTION("IF(OR(E8522="""",K8522=""""),"""",IFERROR(IF(K8522="""","""",query('tbl user'!$A$2:$D10975,""SELECT A WHERE D = '""&amp;K8522&amp;""'"")),""USER TIDAK DIKETAHUI""))"),"")</f>
        <v/>
      </c>
    </row>
    <row r="8523">
      <c r="A8523" s="21" t="str">
        <f t="shared" si="3"/>
        <v/>
      </c>
      <c r="B8523" s="38"/>
      <c r="C8523" s="23"/>
      <c r="D8523" s="23"/>
      <c r="E8523" s="24"/>
      <c r="F8523" s="25"/>
      <c r="G8523" s="25"/>
      <c r="H8523" s="27"/>
      <c r="I8523" s="28"/>
      <c r="J8523" s="39"/>
      <c r="K8523" s="41"/>
      <c r="L8523" s="31" t="str">
        <f>IFERROR(__xludf.DUMMYFUNCTION("IF(OR(E8523="""",K8523=""""),"""",IFERROR(IF(K8523="""","""",query('tbl user'!$A$2:$D10975,""SELECT A WHERE D = '""&amp;K8523&amp;""'"")),""USER TIDAK DIKETAHUI""))"),"")</f>
        <v/>
      </c>
    </row>
    <row r="8524">
      <c r="A8524" s="21" t="str">
        <f t="shared" si="3"/>
        <v/>
      </c>
      <c r="B8524" s="38"/>
      <c r="C8524" s="23"/>
      <c r="D8524" s="23"/>
      <c r="E8524" s="24"/>
      <c r="F8524" s="25"/>
      <c r="G8524" s="25"/>
      <c r="H8524" s="27"/>
      <c r="I8524" s="28"/>
      <c r="J8524" s="39"/>
      <c r="K8524" s="41"/>
      <c r="L8524" s="31" t="str">
        <f>IFERROR(__xludf.DUMMYFUNCTION("IF(OR(E8524="""",K8524=""""),"""",IFERROR(IF(K8524="""","""",query('tbl user'!$A$2:$D10975,""SELECT A WHERE D = '""&amp;K8524&amp;""'"")),""USER TIDAK DIKETAHUI""))"),"")</f>
        <v/>
      </c>
    </row>
    <row r="8525">
      <c r="A8525" s="21" t="str">
        <f t="shared" si="3"/>
        <v/>
      </c>
      <c r="B8525" s="38"/>
      <c r="C8525" s="23"/>
      <c r="D8525" s="23"/>
      <c r="E8525" s="24"/>
      <c r="F8525" s="25"/>
      <c r="G8525" s="25"/>
      <c r="H8525" s="27"/>
      <c r="I8525" s="28"/>
      <c r="J8525" s="39"/>
      <c r="K8525" s="41"/>
      <c r="L8525" s="31" t="str">
        <f>IFERROR(__xludf.DUMMYFUNCTION("IF(OR(E8525="""",K8525=""""),"""",IFERROR(IF(K8525="""","""",query('tbl user'!$A$2:$D10975,""SELECT A WHERE D = '""&amp;K8525&amp;""'"")),""USER TIDAK DIKETAHUI""))"),"")</f>
        <v/>
      </c>
    </row>
    <row r="8526">
      <c r="A8526" s="21" t="str">
        <f t="shared" si="3"/>
        <v/>
      </c>
      <c r="B8526" s="38"/>
      <c r="C8526" s="23"/>
      <c r="D8526" s="23"/>
      <c r="E8526" s="24"/>
      <c r="F8526" s="25"/>
      <c r="G8526" s="25"/>
      <c r="H8526" s="27"/>
      <c r="I8526" s="28"/>
      <c r="J8526" s="39"/>
      <c r="K8526" s="41"/>
      <c r="L8526" s="31" t="str">
        <f>IFERROR(__xludf.DUMMYFUNCTION("IF(OR(E8526="""",K8526=""""),"""",IFERROR(IF(K8526="""","""",query('tbl user'!$A$2:$D10975,""SELECT A WHERE D = '""&amp;K8526&amp;""'"")),""USER TIDAK DIKETAHUI""))"),"")</f>
        <v/>
      </c>
    </row>
    <row r="8527">
      <c r="A8527" s="21" t="str">
        <f t="shared" si="3"/>
        <v/>
      </c>
      <c r="B8527" s="38"/>
      <c r="C8527" s="23"/>
      <c r="D8527" s="23"/>
      <c r="E8527" s="24"/>
      <c r="F8527" s="25"/>
      <c r="G8527" s="25"/>
      <c r="H8527" s="27"/>
      <c r="I8527" s="28"/>
      <c r="J8527" s="39"/>
      <c r="K8527" s="41"/>
      <c r="L8527" s="31" t="str">
        <f>IFERROR(__xludf.DUMMYFUNCTION("IF(OR(E8527="""",K8527=""""),"""",IFERROR(IF(K8527="""","""",query('tbl user'!$A$2:$D10975,""SELECT A WHERE D = '""&amp;K8527&amp;""'"")),""USER TIDAK DIKETAHUI""))"),"")</f>
        <v/>
      </c>
    </row>
    <row r="8528">
      <c r="A8528" s="21" t="str">
        <f t="shared" si="3"/>
        <v/>
      </c>
      <c r="B8528" s="38"/>
      <c r="C8528" s="23"/>
      <c r="D8528" s="23"/>
      <c r="E8528" s="24"/>
      <c r="F8528" s="25"/>
      <c r="G8528" s="25"/>
      <c r="H8528" s="27"/>
      <c r="I8528" s="28"/>
      <c r="J8528" s="39"/>
      <c r="K8528" s="41"/>
      <c r="L8528" s="31" t="str">
        <f>IFERROR(__xludf.DUMMYFUNCTION("IF(OR(E8528="""",K8528=""""),"""",IFERROR(IF(K8528="""","""",query('tbl user'!$A$2:$D10975,""SELECT A WHERE D = '""&amp;K8528&amp;""'"")),""USER TIDAK DIKETAHUI""))"),"")</f>
        <v/>
      </c>
    </row>
    <row r="8529">
      <c r="A8529" s="21" t="str">
        <f t="shared" si="3"/>
        <v/>
      </c>
      <c r="B8529" s="38"/>
      <c r="C8529" s="23"/>
      <c r="D8529" s="23"/>
      <c r="E8529" s="24"/>
      <c r="F8529" s="25"/>
      <c r="G8529" s="25"/>
      <c r="H8529" s="27"/>
      <c r="I8529" s="28"/>
      <c r="J8529" s="39"/>
      <c r="K8529" s="41"/>
      <c r="L8529" s="31" t="str">
        <f>IFERROR(__xludf.DUMMYFUNCTION("IF(OR(E8529="""",K8529=""""),"""",IFERROR(IF(K8529="""","""",query('tbl user'!$A$2:$D10975,""SELECT A WHERE D = '""&amp;K8529&amp;""'"")),""USER TIDAK DIKETAHUI""))"),"")</f>
        <v/>
      </c>
    </row>
    <row r="8530">
      <c r="A8530" s="21" t="str">
        <f t="shared" si="3"/>
        <v/>
      </c>
      <c r="B8530" s="38"/>
      <c r="C8530" s="23"/>
      <c r="D8530" s="23"/>
      <c r="E8530" s="24"/>
      <c r="F8530" s="25"/>
      <c r="G8530" s="25"/>
      <c r="H8530" s="27"/>
      <c r="I8530" s="28"/>
      <c r="J8530" s="39"/>
      <c r="K8530" s="41"/>
      <c r="L8530" s="31" t="str">
        <f>IFERROR(__xludf.DUMMYFUNCTION("IF(OR(E8530="""",K8530=""""),"""",IFERROR(IF(K8530="""","""",query('tbl user'!$A$2:$D10975,""SELECT A WHERE D = '""&amp;K8530&amp;""'"")),""USER TIDAK DIKETAHUI""))"),"")</f>
        <v/>
      </c>
    </row>
    <row r="8531">
      <c r="A8531" s="21" t="str">
        <f t="shared" si="3"/>
        <v/>
      </c>
      <c r="B8531" s="38"/>
      <c r="C8531" s="23"/>
      <c r="D8531" s="23"/>
      <c r="E8531" s="24"/>
      <c r="F8531" s="25"/>
      <c r="G8531" s="25"/>
      <c r="H8531" s="27"/>
      <c r="I8531" s="28"/>
      <c r="J8531" s="39"/>
      <c r="K8531" s="41"/>
      <c r="L8531" s="31" t="str">
        <f>IFERROR(__xludf.DUMMYFUNCTION("IF(OR(E8531="""",K8531=""""),"""",IFERROR(IF(K8531="""","""",query('tbl user'!$A$2:$D10975,""SELECT A WHERE D = '""&amp;K8531&amp;""'"")),""USER TIDAK DIKETAHUI""))"),"")</f>
        <v/>
      </c>
    </row>
    <row r="8532">
      <c r="A8532" s="21" t="str">
        <f t="shared" si="3"/>
        <v/>
      </c>
      <c r="B8532" s="38"/>
      <c r="C8532" s="23"/>
      <c r="D8532" s="23"/>
      <c r="E8532" s="24"/>
      <c r="F8532" s="25"/>
      <c r="G8532" s="25"/>
      <c r="H8532" s="27"/>
      <c r="I8532" s="28"/>
      <c r="J8532" s="39"/>
      <c r="K8532" s="41"/>
      <c r="L8532" s="31" t="str">
        <f>IFERROR(__xludf.DUMMYFUNCTION("IF(OR(E8532="""",K8532=""""),"""",IFERROR(IF(K8532="""","""",query('tbl user'!$A$2:$D10975,""SELECT A WHERE D = '""&amp;K8532&amp;""'"")),""USER TIDAK DIKETAHUI""))"),"")</f>
        <v/>
      </c>
    </row>
    <row r="8533">
      <c r="A8533" s="21" t="str">
        <f t="shared" si="3"/>
        <v/>
      </c>
      <c r="B8533" s="38"/>
      <c r="C8533" s="23"/>
      <c r="D8533" s="23"/>
      <c r="E8533" s="24"/>
      <c r="F8533" s="25"/>
      <c r="G8533" s="25"/>
      <c r="H8533" s="27"/>
      <c r="I8533" s="28"/>
      <c r="J8533" s="39"/>
      <c r="K8533" s="41"/>
      <c r="L8533" s="31" t="str">
        <f>IFERROR(__xludf.DUMMYFUNCTION("IF(OR(E8533="""",K8533=""""),"""",IFERROR(IF(K8533="""","""",query('tbl user'!$A$2:$D10975,""SELECT A WHERE D = '""&amp;K8533&amp;""'"")),""USER TIDAK DIKETAHUI""))"),"")</f>
        <v/>
      </c>
    </row>
    <row r="8534">
      <c r="A8534" s="21" t="str">
        <f t="shared" si="3"/>
        <v/>
      </c>
      <c r="B8534" s="38"/>
      <c r="C8534" s="23"/>
      <c r="D8534" s="23"/>
      <c r="E8534" s="24"/>
      <c r="F8534" s="25"/>
      <c r="G8534" s="25"/>
      <c r="H8534" s="27"/>
      <c r="I8534" s="28"/>
      <c r="J8534" s="39"/>
      <c r="K8534" s="41"/>
      <c r="L8534" s="31" t="str">
        <f>IFERROR(__xludf.DUMMYFUNCTION("IF(OR(E8534="""",K8534=""""),"""",IFERROR(IF(K8534="""","""",query('tbl user'!$A$2:$D10975,""SELECT A WHERE D = '""&amp;K8534&amp;""'"")),""USER TIDAK DIKETAHUI""))"),"")</f>
        <v/>
      </c>
    </row>
    <row r="8535">
      <c r="A8535" s="21" t="str">
        <f t="shared" si="3"/>
        <v/>
      </c>
      <c r="B8535" s="38"/>
      <c r="C8535" s="23"/>
      <c r="D8535" s="23"/>
      <c r="E8535" s="24"/>
      <c r="F8535" s="25"/>
      <c r="G8535" s="25"/>
      <c r="H8535" s="27"/>
      <c r="I8535" s="28"/>
      <c r="J8535" s="39"/>
      <c r="K8535" s="41"/>
      <c r="L8535" s="31" t="str">
        <f>IFERROR(__xludf.DUMMYFUNCTION("IF(OR(E8535="""",K8535=""""),"""",IFERROR(IF(K8535="""","""",query('tbl user'!$A$2:$D10975,""SELECT A WHERE D = '""&amp;K8535&amp;""'"")),""USER TIDAK DIKETAHUI""))"),"")</f>
        <v/>
      </c>
    </row>
    <row r="8536">
      <c r="A8536" s="21" t="str">
        <f t="shared" si="3"/>
        <v/>
      </c>
      <c r="B8536" s="38"/>
      <c r="C8536" s="23"/>
      <c r="D8536" s="23"/>
      <c r="E8536" s="24"/>
      <c r="F8536" s="25"/>
      <c r="G8536" s="25"/>
      <c r="H8536" s="27"/>
      <c r="I8536" s="28"/>
      <c r="J8536" s="39"/>
      <c r="K8536" s="41"/>
      <c r="L8536" s="31" t="str">
        <f>IFERROR(__xludf.DUMMYFUNCTION("IF(OR(E8536="""",K8536=""""),"""",IFERROR(IF(K8536="""","""",query('tbl user'!$A$2:$D10975,""SELECT A WHERE D = '""&amp;K8536&amp;""'"")),""USER TIDAK DIKETAHUI""))"),"")</f>
        <v/>
      </c>
    </row>
    <row r="8537">
      <c r="A8537" s="21" t="str">
        <f t="shared" si="3"/>
        <v/>
      </c>
      <c r="B8537" s="38"/>
      <c r="C8537" s="23"/>
      <c r="D8537" s="23"/>
      <c r="E8537" s="24"/>
      <c r="F8537" s="25"/>
      <c r="G8537" s="25"/>
      <c r="H8537" s="27"/>
      <c r="I8537" s="28"/>
      <c r="J8537" s="39"/>
      <c r="K8537" s="41"/>
      <c r="L8537" s="31" t="str">
        <f>IFERROR(__xludf.DUMMYFUNCTION("IF(OR(E8537="""",K8537=""""),"""",IFERROR(IF(K8537="""","""",query('tbl user'!$A$2:$D10975,""SELECT A WHERE D = '""&amp;K8537&amp;""'"")),""USER TIDAK DIKETAHUI""))"),"")</f>
        <v/>
      </c>
    </row>
    <row r="8538">
      <c r="A8538" s="21" t="str">
        <f t="shared" si="3"/>
        <v/>
      </c>
      <c r="B8538" s="38"/>
      <c r="C8538" s="23"/>
      <c r="D8538" s="23"/>
      <c r="E8538" s="24"/>
      <c r="F8538" s="25"/>
      <c r="G8538" s="25"/>
      <c r="H8538" s="27"/>
      <c r="I8538" s="28"/>
      <c r="J8538" s="39"/>
      <c r="K8538" s="41"/>
      <c r="L8538" s="31" t="str">
        <f>IFERROR(__xludf.DUMMYFUNCTION("IF(OR(E8538="""",K8538=""""),"""",IFERROR(IF(K8538="""","""",query('tbl user'!$A$2:$D10975,""SELECT A WHERE D = '""&amp;K8538&amp;""'"")),""USER TIDAK DIKETAHUI""))"),"")</f>
        <v/>
      </c>
    </row>
    <row r="8539">
      <c r="A8539" s="21" t="str">
        <f t="shared" si="3"/>
        <v/>
      </c>
      <c r="B8539" s="38"/>
      <c r="C8539" s="23"/>
      <c r="D8539" s="23"/>
      <c r="E8539" s="24"/>
      <c r="F8539" s="25"/>
      <c r="G8539" s="25"/>
      <c r="H8539" s="27"/>
      <c r="I8539" s="28"/>
      <c r="J8539" s="39"/>
      <c r="K8539" s="41"/>
      <c r="L8539" s="31" t="str">
        <f>IFERROR(__xludf.DUMMYFUNCTION("IF(OR(E8539="""",K8539=""""),"""",IFERROR(IF(K8539="""","""",query('tbl user'!$A$2:$D10975,""SELECT A WHERE D = '""&amp;K8539&amp;""'"")),""USER TIDAK DIKETAHUI""))"),"")</f>
        <v/>
      </c>
    </row>
    <row r="8540">
      <c r="A8540" s="21" t="str">
        <f t="shared" si="3"/>
        <v/>
      </c>
      <c r="B8540" s="38"/>
      <c r="C8540" s="23"/>
      <c r="D8540" s="23"/>
      <c r="E8540" s="24"/>
      <c r="F8540" s="25"/>
      <c r="G8540" s="25"/>
      <c r="H8540" s="27"/>
      <c r="I8540" s="28"/>
      <c r="J8540" s="39"/>
      <c r="K8540" s="41"/>
      <c r="L8540" s="31" t="str">
        <f>IFERROR(__xludf.DUMMYFUNCTION("IF(OR(E8540="""",K8540=""""),"""",IFERROR(IF(K8540="""","""",query('tbl user'!$A$2:$D10975,""SELECT A WHERE D = '""&amp;K8540&amp;""'"")),""USER TIDAK DIKETAHUI""))"),"")</f>
        <v/>
      </c>
    </row>
    <row r="8541">
      <c r="A8541" s="21" t="str">
        <f t="shared" si="3"/>
        <v/>
      </c>
      <c r="B8541" s="38"/>
      <c r="C8541" s="23"/>
      <c r="D8541" s="23"/>
      <c r="E8541" s="24"/>
      <c r="F8541" s="25"/>
      <c r="G8541" s="25"/>
      <c r="H8541" s="27"/>
      <c r="I8541" s="28"/>
      <c r="J8541" s="39"/>
      <c r="K8541" s="41"/>
      <c r="L8541" s="31" t="str">
        <f>IFERROR(__xludf.DUMMYFUNCTION("IF(OR(E8541="""",K8541=""""),"""",IFERROR(IF(K8541="""","""",query('tbl user'!$A$2:$D10975,""SELECT A WHERE D = '""&amp;K8541&amp;""'"")),""USER TIDAK DIKETAHUI""))"),"")</f>
        <v/>
      </c>
    </row>
    <row r="8542">
      <c r="A8542" s="21" t="str">
        <f t="shared" si="3"/>
        <v/>
      </c>
      <c r="B8542" s="38"/>
      <c r="C8542" s="23"/>
      <c r="D8542" s="23"/>
      <c r="E8542" s="24"/>
      <c r="F8542" s="25"/>
      <c r="G8542" s="25"/>
      <c r="H8542" s="27"/>
      <c r="I8542" s="28"/>
      <c r="J8542" s="39"/>
      <c r="K8542" s="41"/>
      <c r="L8542" s="31" t="str">
        <f>IFERROR(__xludf.DUMMYFUNCTION("IF(OR(E8542="""",K8542=""""),"""",IFERROR(IF(K8542="""","""",query('tbl user'!$A$2:$D10975,""SELECT A WHERE D = '""&amp;K8542&amp;""'"")),""USER TIDAK DIKETAHUI""))"),"")</f>
        <v/>
      </c>
    </row>
    <row r="8543">
      <c r="A8543" s="21" t="str">
        <f t="shared" si="3"/>
        <v/>
      </c>
      <c r="B8543" s="38"/>
      <c r="C8543" s="23"/>
      <c r="D8543" s="23"/>
      <c r="E8543" s="24"/>
      <c r="F8543" s="25"/>
      <c r="G8543" s="25"/>
      <c r="H8543" s="27"/>
      <c r="I8543" s="28"/>
      <c r="J8543" s="39"/>
      <c r="K8543" s="41"/>
      <c r="L8543" s="31" t="str">
        <f>IFERROR(__xludf.DUMMYFUNCTION("IF(OR(E8543="""",K8543=""""),"""",IFERROR(IF(K8543="""","""",query('tbl user'!$A$2:$D10975,""SELECT A WHERE D = '""&amp;K8543&amp;""'"")),""USER TIDAK DIKETAHUI""))"),"")</f>
        <v/>
      </c>
    </row>
    <row r="8544">
      <c r="A8544" s="21" t="str">
        <f t="shared" si="3"/>
        <v/>
      </c>
      <c r="B8544" s="38"/>
      <c r="C8544" s="23"/>
      <c r="D8544" s="23"/>
      <c r="E8544" s="24"/>
      <c r="F8544" s="25"/>
      <c r="G8544" s="25"/>
      <c r="H8544" s="27"/>
      <c r="I8544" s="28"/>
      <c r="J8544" s="39"/>
      <c r="K8544" s="41"/>
      <c r="L8544" s="31" t="str">
        <f>IFERROR(__xludf.DUMMYFUNCTION("IF(OR(E8544="""",K8544=""""),"""",IFERROR(IF(K8544="""","""",query('tbl user'!$A$2:$D10975,""SELECT A WHERE D = '""&amp;K8544&amp;""'"")),""USER TIDAK DIKETAHUI""))"),"")</f>
        <v/>
      </c>
    </row>
    <row r="8545">
      <c r="A8545" s="21" t="str">
        <f t="shared" si="3"/>
        <v/>
      </c>
      <c r="B8545" s="38"/>
      <c r="C8545" s="23"/>
      <c r="D8545" s="23"/>
      <c r="E8545" s="24"/>
      <c r="F8545" s="25"/>
      <c r="G8545" s="25"/>
      <c r="H8545" s="27"/>
      <c r="I8545" s="28"/>
      <c r="J8545" s="39"/>
      <c r="K8545" s="41"/>
      <c r="L8545" s="31" t="str">
        <f>IFERROR(__xludf.DUMMYFUNCTION("IF(OR(E8545="""",K8545=""""),"""",IFERROR(IF(K8545="""","""",query('tbl user'!$A$2:$D10975,""SELECT A WHERE D = '""&amp;K8545&amp;""'"")),""USER TIDAK DIKETAHUI""))"),"")</f>
        <v/>
      </c>
    </row>
    <row r="8546">
      <c r="A8546" s="21" t="str">
        <f t="shared" si="3"/>
        <v/>
      </c>
      <c r="B8546" s="38"/>
      <c r="C8546" s="23"/>
      <c r="D8546" s="23"/>
      <c r="E8546" s="24"/>
      <c r="F8546" s="25"/>
      <c r="G8546" s="25"/>
      <c r="H8546" s="27"/>
      <c r="I8546" s="28"/>
      <c r="J8546" s="39"/>
      <c r="K8546" s="41"/>
      <c r="L8546" s="31" t="str">
        <f>IFERROR(__xludf.DUMMYFUNCTION("IF(OR(E8546="""",K8546=""""),"""",IFERROR(IF(K8546="""","""",query('tbl user'!$A$2:$D10975,""SELECT A WHERE D = '""&amp;K8546&amp;""'"")),""USER TIDAK DIKETAHUI""))"),"")</f>
        <v/>
      </c>
    </row>
    <row r="8547">
      <c r="A8547" s="21" t="str">
        <f t="shared" si="3"/>
        <v/>
      </c>
      <c r="B8547" s="38"/>
      <c r="C8547" s="23"/>
      <c r="D8547" s="23"/>
      <c r="E8547" s="24"/>
      <c r="F8547" s="25"/>
      <c r="G8547" s="25"/>
      <c r="H8547" s="27"/>
      <c r="I8547" s="28"/>
      <c r="J8547" s="39"/>
      <c r="K8547" s="41"/>
      <c r="L8547" s="31" t="str">
        <f>IFERROR(__xludf.DUMMYFUNCTION("IF(OR(E8547="""",K8547=""""),"""",IFERROR(IF(K8547="""","""",query('tbl user'!$A$2:$D10975,""SELECT A WHERE D = '""&amp;K8547&amp;""'"")),""USER TIDAK DIKETAHUI""))"),"")</f>
        <v/>
      </c>
    </row>
    <row r="8548">
      <c r="A8548" s="21" t="str">
        <f t="shared" si="3"/>
        <v/>
      </c>
      <c r="B8548" s="38"/>
      <c r="C8548" s="23"/>
      <c r="D8548" s="23"/>
      <c r="E8548" s="24"/>
      <c r="F8548" s="25"/>
      <c r="G8548" s="25"/>
      <c r="H8548" s="27"/>
      <c r="I8548" s="28"/>
      <c r="J8548" s="39"/>
      <c r="K8548" s="41"/>
      <c r="L8548" s="31" t="str">
        <f>IFERROR(__xludf.DUMMYFUNCTION("IF(OR(E8548="""",K8548=""""),"""",IFERROR(IF(K8548="""","""",query('tbl user'!$A$2:$D10975,""SELECT A WHERE D = '""&amp;K8548&amp;""'"")),""USER TIDAK DIKETAHUI""))"),"")</f>
        <v/>
      </c>
    </row>
    <row r="8549">
      <c r="A8549" s="21" t="str">
        <f t="shared" si="3"/>
        <v/>
      </c>
      <c r="B8549" s="38"/>
      <c r="C8549" s="23"/>
      <c r="D8549" s="23"/>
      <c r="E8549" s="24"/>
      <c r="F8549" s="25"/>
      <c r="G8549" s="25"/>
      <c r="H8549" s="27"/>
      <c r="I8549" s="28"/>
      <c r="J8549" s="39"/>
      <c r="K8549" s="41"/>
      <c r="L8549" s="31" t="str">
        <f>IFERROR(__xludf.DUMMYFUNCTION("IF(OR(E8549="""",K8549=""""),"""",IFERROR(IF(K8549="""","""",query('tbl user'!$A$2:$D10975,""SELECT A WHERE D = '""&amp;K8549&amp;""'"")),""USER TIDAK DIKETAHUI""))"),"")</f>
        <v/>
      </c>
    </row>
    <row r="8550">
      <c r="A8550" s="21" t="str">
        <f t="shared" si="3"/>
        <v/>
      </c>
      <c r="B8550" s="38"/>
      <c r="C8550" s="23"/>
      <c r="D8550" s="23"/>
      <c r="E8550" s="24"/>
      <c r="F8550" s="25"/>
      <c r="G8550" s="25"/>
      <c r="H8550" s="27"/>
      <c r="I8550" s="28"/>
      <c r="J8550" s="39"/>
      <c r="K8550" s="41"/>
      <c r="L8550" s="31" t="str">
        <f>IFERROR(__xludf.DUMMYFUNCTION("IF(OR(E8550="""",K8550=""""),"""",IFERROR(IF(K8550="""","""",query('tbl user'!$A$2:$D10975,""SELECT A WHERE D = '""&amp;K8550&amp;""'"")),""USER TIDAK DIKETAHUI""))"),"")</f>
        <v/>
      </c>
    </row>
    <row r="8551">
      <c r="A8551" s="21" t="str">
        <f t="shared" si="3"/>
        <v/>
      </c>
      <c r="B8551" s="38"/>
      <c r="C8551" s="23"/>
      <c r="D8551" s="23"/>
      <c r="E8551" s="24"/>
      <c r="F8551" s="25"/>
      <c r="G8551" s="25"/>
      <c r="H8551" s="27"/>
      <c r="I8551" s="28"/>
      <c r="J8551" s="39"/>
      <c r="K8551" s="41"/>
      <c r="L8551" s="31" t="str">
        <f>IFERROR(__xludf.DUMMYFUNCTION("IF(OR(E8551="""",K8551=""""),"""",IFERROR(IF(K8551="""","""",query('tbl user'!$A$2:$D10975,""SELECT A WHERE D = '""&amp;K8551&amp;""'"")),""USER TIDAK DIKETAHUI""))"),"")</f>
        <v/>
      </c>
    </row>
    <row r="8552">
      <c r="A8552" s="21" t="str">
        <f t="shared" si="3"/>
        <v/>
      </c>
      <c r="B8552" s="38"/>
      <c r="C8552" s="23"/>
      <c r="D8552" s="23"/>
      <c r="E8552" s="24"/>
      <c r="F8552" s="25"/>
      <c r="G8552" s="25"/>
      <c r="H8552" s="27"/>
      <c r="I8552" s="28"/>
      <c r="J8552" s="39"/>
      <c r="K8552" s="41"/>
      <c r="L8552" s="31" t="str">
        <f>IFERROR(__xludf.DUMMYFUNCTION("IF(OR(E8552="""",K8552=""""),"""",IFERROR(IF(K8552="""","""",query('tbl user'!$A$2:$D10975,""SELECT A WHERE D = '""&amp;K8552&amp;""'"")),""USER TIDAK DIKETAHUI""))"),"")</f>
        <v/>
      </c>
    </row>
    <row r="8553">
      <c r="A8553" s="21" t="str">
        <f t="shared" si="3"/>
        <v/>
      </c>
      <c r="B8553" s="38"/>
      <c r="C8553" s="23"/>
      <c r="D8553" s="23"/>
      <c r="E8553" s="24"/>
      <c r="F8553" s="25"/>
      <c r="G8553" s="25"/>
      <c r="H8553" s="27"/>
      <c r="I8553" s="28"/>
      <c r="J8553" s="39"/>
      <c r="K8553" s="41"/>
      <c r="L8553" s="31" t="str">
        <f>IFERROR(__xludf.DUMMYFUNCTION("IF(OR(E8553="""",K8553=""""),"""",IFERROR(IF(K8553="""","""",query('tbl user'!$A$2:$D10975,""SELECT A WHERE D = '""&amp;K8553&amp;""'"")),""USER TIDAK DIKETAHUI""))"),"")</f>
        <v/>
      </c>
    </row>
    <row r="8554">
      <c r="A8554" s="21" t="str">
        <f t="shared" si="3"/>
        <v/>
      </c>
      <c r="B8554" s="38"/>
      <c r="C8554" s="23"/>
      <c r="D8554" s="23"/>
      <c r="E8554" s="24"/>
      <c r="F8554" s="25"/>
      <c r="G8554" s="25"/>
      <c r="H8554" s="27"/>
      <c r="I8554" s="28"/>
      <c r="J8554" s="39"/>
      <c r="K8554" s="41"/>
      <c r="L8554" s="31" t="str">
        <f>IFERROR(__xludf.DUMMYFUNCTION("IF(OR(E8554="""",K8554=""""),"""",IFERROR(IF(K8554="""","""",query('tbl user'!$A$2:$D10975,""SELECT A WHERE D = '""&amp;K8554&amp;""'"")),""USER TIDAK DIKETAHUI""))"),"")</f>
        <v/>
      </c>
    </row>
    <row r="8555">
      <c r="A8555" s="21" t="str">
        <f t="shared" si="3"/>
        <v/>
      </c>
      <c r="B8555" s="38"/>
      <c r="C8555" s="23"/>
      <c r="D8555" s="23"/>
      <c r="E8555" s="24"/>
      <c r="F8555" s="25"/>
      <c r="G8555" s="25"/>
      <c r="H8555" s="27"/>
      <c r="I8555" s="28"/>
      <c r="J8555" s="39"/>
      <c r="K8555" s="41"/>
      <c r="L8555" s="31" t="str">
        <f>IFERROR(__xludf.DUMMYFUNCTION("IF(OR(E8555="""",K8555=""""),"""",IFERROR(IF(K8555="""","""",query('tbl user'!$A$2:$D10975,""SELECT A WHERE D = '""&amp;K8555&amp;""'"")),""USER TIDAK DIKETAHUI""))"),"")</f>
        <v/>
      </c>
    </row>
    <row r="8556">
      <c r="A8556" s="21" t="str">
        <f t="shared" si="3"/>
        <v/>
      </c>
      <c r="B8556" s="38"/>
      <c r="C8556" s="23"/>
      <c r="D8556" s="23"/>
      <c r="E8556" s="24"/>
      <c r="F8556" s="25"/>
      <c r="G8556" s="25"/>
      <c r="H8556" s="27"/>
      <c r="I8556" s="28"/>
      <c r="J8556" s="39"/>
      <c r="K8556" s="41"/>
      <c r="L8556" s="31" t="str">
        <f>IFERROR(__xludf.DUMMYFUNCTION("IF(OR(E8556="""",K8556=""""),"""",IFERROR(IF(K8556="""","""",query('tbl user'!$A$2:$D10975,""SELECT A WHERE D = '""&amp;K8556&amp;""'"")),""USER TIDAK DIKETAHUI""))"),"")</f>
        <v/>
      </c>
    </row>
    <row r="8557">
      <c r="A8557" s="21" t="str">
        <f t="shared" si="3"/>
        <v/>
      </c>
      <c r="B8557" s="38"/>
      <c r="C8557" s="23"/>
      <c r="D8557" s="23"/>
      <c r="E8557" s="24"/>
      <c r="F8557" s="25"/>
      <c r="G8557" s="25"/>
      <c r="H8557" s="27"/>
      <c r="I8557" s="28"/>
      <c r="J8557" s="39"/>
      <c r="K8557" s="41"/>
      <c r="L8557" s="31" t="str">
        <f>IFERROR(__xludf.DUMMYFUNCTION("IF(OR(E8557="""",K8557=""""),"""",IFERROR(IF(K8557="""","""",query('tbl user'!$A$2:$D10975,""SELECT A WHERE D = '""&amp;K8557&amp;""'"")),""USER TIDAK DIKETAHUI""))"),"")</f>
        <v/>
      </c>
    </row>
    <row r="8558">
      <c r="A8558" s="21" t="str">
        <f t="shared" si="3"/>
        <v/>
      </c>
      <c r="B8558" s="38"/>
      <c r="C8558" s="23"/>
      <c r="D8558" s="23"/>
      <c r="E8558" s="24"/>
      <c r="F8558" s="25"/>
      <c r="G8558" s="25"/>
      <c r="H8558" s="27"/>
      <c r="I8558" s="28"/>
      <c r="J8558" s="39"/>
      <c r="K8558" s="41"/>
      <c r="L8558" s="31" t="str">
        <f>IFERROR(__xludf.DUMMYFUNCTION("IF(OR(E8558="""",K8558=""""),"""",IFERROR(IF(K8558="""","""",query('tbl user'!$A$2:$D10975,""SELECT A WHERE D = '""&amp;K8558&amp;""'"")),""USER TIDAK DIKETAHUI""))"),"")</f>
        <v/>
      </c>
    </row>
    <row r="8559">
      <c r="A8559" s="21" t="str">
        <f t="shared" si="3"/>
        <v/>
      </c>
      <c r="B8559" s="38"/>
      <c r="C8559" s="23"/>
      <c r="D8559" s="23"/>
      <c r="E8559" s="24"/>
      <c r="F8559" s="25"/>
      <c r="G8559" s="25"/>
      <c r="H8559" s="27"/>
      <c r="I8559" s="28"/>
      <c r="J8559" s="39"/>
      <c r="K8559" s="41"/>
      <c r="L8559" s="31" t="str">
        <f>IFERROR(__xludf.DUMMYFUNCTION("IF(OR(E8559="""",K8559=""""),"""",IFERROR(IF(K8559="""","""",query('tbl user'!$A$2:$D10975,""SELECT A WHERE D = '""&amp;K8559&amp;""'"")),""USER TIDAK DIKETAHUI""))"),"")</f>
        <v/>
      </c>
    </row>
    <row r="8560">
      <c r="A8560" s="21" t="str">
        <f t="shared" si="3"/>
        <v/>
      </c>
      <c r="B8560" s="38"/>
      <c r="C8560" s="23"/>
      <c r="D8560" s="23"/>
      <c r="E8560" s="24"/>
      <c r="F8560" s="25"/>
      <c r="G8560" s="25"/>
      <c r="H8560" s="27"/>
      <c r="I8560" s="28"/>
      <c r="J8560" s="39"/>
      <c r="K8560" s="41"/>
      <c r="L8560" s="31" t="str">
        <f>IFERROR(__xludf.DUMMYFUNCTION("IF(OR(E8560="""",K8560=""""),"""",IFERROR(IF(K8560="""","""",query('tbl user'!$A$2:$D10975,""SELECT A WHERE D = '""&amp;K8560&amp;""'"")),""USER TIDAK DIKETAHUI""))"),"")</f>
        <v/>
      </c>
    </row>
    <row r="8561">
      <c r="A8561" s="21" t="str">
        <f t="shared" si="3"/>
        <v/>
      </c>
      <c r="B8561" s="38"/>
      <c r="C8561" s="23"/>
      <c r="D8561" s="23"/>
      <c r="E8561" s="24"/>
      <c r="F8561" s="25"/>
      <c r="G8561" s="25"/>
      <c r="H8561" s="27"/>
      <c r="I8561" s="28"/>
      <c r="J8561" s="39"/>
      <c r="K8561" s="41"/>
      <c r="L8561" s="31" t="str">
        <f>IFERROR(__xludf.DUMMYFUNCTION("IF(OR(E8561="""",K8561=""""),"""",IFERROR(IF(K8561="""","""",query('tbl user'!$A$2:$D10975,""SELECT A WHERE D = '""&amp;K8561&amp;""'"")),""USER TIDAK DIKETAHUI""))"),"")</f>
        <v/>
      </c>
    </row>
    <row r="8562">
      <c r="A8562" s="21" t="str">
        <f t="shared" si="3"/>
        <v/>
      </c>
      <c r="B8562" s="38"/>
      <c r="C8562" s="23"/>
      <c r="D8562" s="23"/>
      <c r="E8562" s="24"/>
      <c r="F8562" s="25"/>
      <c r="G8562" s="25"/>
      <c r="H8562" s="27"/>
      <c r="I8562" s="28"/>
      <c r="J8562" s="39"/>
      <c r="K8562" s="41"/>
      <c r="L8562" s="31" t="str">
        <f>IFERROR(__xludf.DUMMYFUNCTION("IF(OR(E8562="""",K8562=""""),"""",IFERROR(IF(K8562="""","""",query('tbl user'!$A$2:$D10975,""SELECT A WHERE D = '""&amp;K8562&amp;""'"")),""USER TIDAK DIKETAHUI""))"),"")</f>
        <v/>
      </c>
    </row>
    <row r="8563">
      <c r="A8563" s="21" t="str">
        <f t="shared" si="3"/>
        <v/>
      </c>
      <c r="B8563" s="38"/>
      <c r="C8563" s="23"/>
      <c r="D8563" s="23"/>
      <c r="E8563" s="24"/>
      <c r="F8563" s="25"/>
      <c r="G8563" s="25"/>
      <c r="H8563" s="27"/>
      <c r="I8563" s="28"/>
      <c r="J8563" s="39"/>
      <c r="K8563" s="41"/>
      <c r="L8563" s="31" t="str">
        <f>IFERROR(__xludf.DUMMYFUNCTION("IF(OR(E8563="""",K8563=""""),"""",IFERROR(IF(K8563="""","""",query('tbl user'!$A$2:$D10975,""SELECT A WHERE D = '""&amp;K8563&amp;""'"")),""USER TIDAK DIKETAHUI""))"),"")</f>
        <v/>
      </c>
    </row>
    <row r="8564">
      <c r="A8564" s="21" t="str">
        <f t="shared" si="3"/>
        <v/>
      </c>
      <c r="B8564" s="38"/>
      <c r="C8564" s="23"/>
      <c r="D8564" s="23"/>
      <c r="E8564" s="24"/>
      <c r="F8564" s="25"/>
      <c r="G8564" s="25"/>
      <c r="H8564" s="27"/>
      <c r="I8564" s="28"/>
      <c r="J8564" s="39"/>
      <c r="K8564" s="41"/>
      <c r="L8564" s="31" t="str">
        <f>IFERROR(__xludf.DUMMYFUNCTION("IF(OR(E8564="""",K8564=""""),"""",IFERROR(IF(K8564="""","""",query('tbl user'!$A$2:$D10975,""SELECT A WHERE D = '""&amp;K8564&amp;""'"")),""USER TIDAK DIKETAHUI""))"),"")</f>
        <v/>
      </c>
    </row>
    <row r="8565">
      <c r="A8565" s="21" t="str">
        <f t="shared" si="3"/>
        <v/>
      </c>
      <c r="B8565" s="38"/>
      <c r="C8565" s="23"/>
      <c r="D8565" s="23"/>
      <c r="E8565" s="24"/>
      <c r="F8565" s="25"/>
      <c r="G8565" s="25"/>
      <c r="H8565" s="27"/>
      <c r="I8565" s="28"/>
      <c r="J8565" s="39"/>
      <c r="K8565" s="41"/>
      <c r="L8565" s="31" t="str">
        <f>IFERROR(__xludf.DUMMYFUNCTION("IF(OR(E8565="""",K8565=""""),"""",IFERROR(IF(K8565="""","""",query('tbl user'!$A$2:$D10975,""SELECT A WHERE D = '""&amp;K8565&amp;""'"")),""USER TIDAK DIKETAHUI""))"),"")</f>
        <v/>
      </c>
    </row>
    <row r="8566">
      <c r="A8566" s="21" t="str">
        <f t="shared" si="3"/>
        <v/>
      </c>
      <c r="B8566" s="38"/>
      <c r="C8566" s="23"/>
      <c r="D8566" s="23"/>
      <c r="E8566" s="24"/>
      <c r="F8566" s="25"/>
      <c r="G8566" s="25"/>
      <c r="H8566" s="27"/>
      <c r="I8566" s="28"/>
      <c r="J8566" s="39"/>
      <c r="K8566" s="41"/>
      <c r="L8566" s="31" t="str">
        <f>IFERROR(__xludf.DUMMYFUNCTION("IF(OR(E8566="""",K8566=""""),"""",IFERROR(IF(K8566="""","""",query('tbl user'!$A$2:$D10975,""SELECT A WHERE D = '""&amp;K8566&amp;""'"")),""USER TIDAK DIKETAHUI""))"),"")</f>
        <v/>
      </c>
    </row>
    <row r="8567">
      <c r="A8567" s="21" t="str">
        <f t="shared" si="3"/>
        <v/>
      </c>
      <c r="B8567" s="38"/>
      <c r="C8567" s="23"/>
      <c r="D8567" s="23"/>
      <c r="E8567" s="24"/>
      <c r="F8567" s="25"/>
      <c r="G8567" s="25"/>
      <c r="H8567" s="27"/>
      <c r="I8567" s="28"/>
      <c r="J8567" s="39"/>
      <c r="K8567" s="41"/>
      <c r="L8567" s="31" t="str">
        <f>IFERROR(__xludf.DUMMYFUNCTION("IF(OR(E8567="""",K8567=""""),"""",IFERROR(IF(K8567="""","""",query('tbl user'!$A$2:$D10975,""SELECT A WHERE D = '""&amp;K8567&amp;""'"")),""USER TIDAK DIKETAHUI""))"),"")</f>
        <v/>
      </c>
    </row>
    <row r="8568">
      <c r="A8568" s="21" t="str">
        <f t="shared" si="3"/>
        <v/>
      </c>
      <c r="B8568" s="38"/>
      <c r="C8568" s="23"/>
      <c r="D8568" s="23"/>
      <c r="E8568" s="24"/>
      <c r="F8568" s="25"/>
      <c r="G8568" s="25"/>
      <c r="H8568" s="27"/>
      <c r="I8568" s="28"/>
      <c r="J8568" s="39"/>
      <c r="K8568" s="41"/>
      <c r="L8568" s="31" t="str">
        <f>IFERROR(__xludf.DUMMYFUNCTION("IF(OR(E8568="""",K8568=""""),"""",IFERROR(IF(K8568="""","""",query('tbl user'!$A$2:$D10975,""SELECT A WHERE D = '""&amp;K8568&amp;""'"")),""USER TIDAK DIKETAHUI""))"),"")</f>
        <v/>
      </c>
    </row>
    <row r="8569">
      <c r="A8569" s="21" t="str">
        <f t="shared" si="3"/>
        <v/>
      </c>
      <c r="B8569" s="38"/>
      <c r="C8569" s="23"/>
      <c r="D8569" s="23"/>
      <c r="E8569" s="24"/>
      <c r="F8569" s="25"/>
      <c r="G8569" s="25"/>
      <c r="H8569" s="27"/>
      <c r="I8569" s="28"/>
      <c r="J8569" s="39"/>
      <c r="K8569" s="41"/>
      <c r="L8569" s="31" t="str">
        <f>IFERROR(__xludf.DUMMYFUNCTION("IF(OR(E8569="""",K8569=""""),"""",IFERROR(IF(K8569="""","""",query('tbl user'!$A$2:$D10975,""SELECT A WHERE D = '""&amp;K8569&amp;""'"")),""USER TIDAK DIKETAHUI""))"),"")</f>
        <v/>
      </c>
    </row>
    <row r="8570">
      <c r="A8570" s="21" t="str">
        <f t="shared" si="3"/>
        <v/>
      </c>
      <c r="B8570" s="38"/>
      <c r="C8570" s="23"/>
      <c r="D8570" s="23"/>
      <c r="E8570" s="24"/>
      <c r="F8570" s="25"/>
      <c r="G8570" s="25"/>
      <c r="H8570" s="27"/>
      <c r="I8570" s="28"/>
      <c r="J8570" s="39"/>
      <c r="K8570" s="41"/>
      <c r="L8570" s="31" t="str">
        <f>IFERROR(__xludf.DUMMYFUNCTION("IF(OR(E8570="""",K8570=""""),"""",IFERROR(IF(K8570="""","""",query('tbl user'!$A$2:$D10975,""SELECT A WHERE D = '""&amp;K8570&amp;""'"")),""USER TIDAK DIKETAHUI""))"),"")</f>
        <v/>
      </c>
    </row>
    <row r="8571">
      <c r="A8571" s="21" t="str">
        <f t="shared" si="3"/>
        <v/>
      </c>
      <c r="B8571" s="38"/>
      <c r="C8571" s="23"/>
      <c r="D8571" s="23"/>
      <c r="E8571" s="24"/>
      <c r="F8571" s="25"/>
      <c r="G8571" s="25"/>
      <c r="H8571" s="27"/>
      <c r="I8571" s="28"/>
      <c r="J8571" s="39"/>
      <c r="K8571" s="41"/>
      <c r="L8571" s="31" t="str">
        <f>IFERROR(__xludf.DUMMYFUNCTION("IF(OR(E8571="""",K8571=""""),"""",IFERROR(IF(K8571="""","""",query('tbl user'!$A$2:$D10975,""SELECT A WHERE D = '""&amp;K8571&amp;""'"")),""USER TIDAK DIKETAHUI""))"),"")</f>
        <v/>
      </c>
    </row>
    <row r="8572">
      <c r="A8572" s="21" t="str">
        <f t="shared" si="3"/>
        <v/>
      </c>
      <c r="B8572" s="38"/>
      <c r="C8572" s="23"/>
      <c r="D8572" s="23"/>
      <c r="E8572" s="24"/>
      <c r="F8572" s="25"/>
      <c r="G8572" s="25"/>
      <c r="H8572" s="27"/>
      <c r="I8572" s="28"/>
      <c r="J8572" s="39"/>
      <c r="K8572" s="41"/>
      <c r="L8572" s="31" t="str">
        <f>IFERROR(__xludf.DUMMYFUNCTION("IF(OR(E8572="""",K8572=""""),"""",IFERROR(IF(K8572="""","""",query('tbl user'!$A$2:$D10975,""SELECT A WHERE D = '""&amp;K8572&amp;""'"")),""USER TIDAK DIKETAHUI""))"),"")</f>
        <v/>
      </c>
    </row>
    <row r="8573">
      <c r="A8573" s="21" t="str">
        <f t="shared" si="3"/>
        <v/>
      </c>
      <c r="B8573" s="38"/>
      <c r="C8573" s="23"/>
      <c r="D8573" s="23"/>
      <c r="E8573" s="24"/>
      <c r="F8573" s="25"/>
      <c r="G8573" s="25"/>
      <c r="H8573" s="27"/>
      <c r="I8573" s="28"/>
      <c r="J8573" s="39"/>
      <c r="K8573" s="41"/>
      <c r="L8573" s="31" t="str">
        <f>IFERROR(__xludf.DUMMYFUNCTION("IF(OR(E8573="""",K8573=""""),"""",IFERROR(IF(K8573="""","""",query('tbl user'!$A$2:$D10975,""SELECT A WHERE D = '""&amp;K8573&amp;""'"")),""USER TIDAK DIKETAHUI""))"),"")</f>
        <v/>
      </c>
    </row>
    <row r="8574">
      <c r="A8574" s="21" t="str">
        <f t="shared" si="3"/>
        <v/>
      </c>
      <c r="B8574" s="38"/>
      <c r="C8574" s="23"/>
      <c r="D8574" s="23"/>
      <c r="E8574" s="24"/>
      <c r="F8574" s="25"/>
      <c r="G8574" s="25"/>
      <c r="H8574" s="27"/>
      <c r="I8574" s="28"/>
      <c r="J8574" s="39"/>
      <c r="K8574" s="41"/>
      <c r="L8574" s="31" t="str">
        <f>IFERROR(__xludf.DUMMYFUNCTION("IF(OR(E8574="""",K8574=""""),"""",IFERROR(IF(K8574="""","""",query('tbl user'!$A$2:$D10975,""SELECT A WHERE D = '""&amp;K8574&amp;""'"")),""USER TIDAK DIKETAHUI""))"),"")</f>
        <v/>
      </c>
    </row>
    <row r="8575">
      <c r="A8575" s="21" t="str">
        <f t="shared" si="3"/>
        <v/>
      </c>
      <c r="B8575" s="38"/>
      <c r="C8575" s="23"/>
      <c r="D8575" s="23"/>
      <c r="E8575" s="24"/>
      <c r="F8575" s="25"/>
      <c r="G8575" s="25"/>
      <c r="H8575" s="27"/>
      <c r="I8575" s="28"/>
      <c r="J8575" s="39"/>
      <c r="K8575" s="41"/>
      <c r="L8575" s="31" t="str">
        <f>IFERROR(__xludf.DUMMYFUNCTION("IF(OR(E8575="""",K8575=""""),"""",IFERROR(IF(K8575="""","""",query('tbl user'!$A$2:$D10975,""SELECT A WHERE D = '""&amp;K8575&amp;""'"")),""USER TIDAK DIKETAHUI""))"),"")</f>
        <v/>
      </c>
    </row>
    <row r="8576">
      <c r="A8576" s="21" t="str">
        <f t="shared" si="3"/>
        <v/>
      </c>
      <c r="B8576" s="38"/>
      <c r="C8576" s="23"/>
      <c r="D8576" s="23"/>
      <c r="E8576" s="24"/>
      <c r="F8576" s="25"/>
      <c r="G8576" s="25"/>
      <c r="H8576" s="27"/>
      <c r="I8576" s="28"/>
      <c r="J8576" s="39"/>
      <c r="K8576" s="41"/>
      <c r="L8576" s="31" t="str">
        <f>IFERROR(__xludf.DUMMYFUNCTION("IF(OR(E8576="""",K8576=""""),"""",IFERROR(IF(K8576="""","""",query('tbl user'!$A$2:$D10975,""SELECT A WHERE D = '""&amp;K8576&amp;""'"")),""USER TIDAK DIKETAHUI""))"),"")</f>
        <v/>
      </c>
    </row>
    <row r="8577">
      <c r="A8577" s="21" t="str">
        <f t="shared" si="3"/>
        <v/>
      </c>
      <c r="B8577" s="38"/>
      <c r="C8577" s="23"/>
      <c r="D8577" s="23"/>
      <c r="E8577" s="24"/>
      <c r="F8577" s="25"/>
      <c r="G8577" s="25"/>
      <c r="H8577" s="27"/>
      <c r="I8577" s="28"/>
      <c r="J8577" s="39"/>
      <c r="K8577" s="41"/>
      <c r="L8577" s="31" t="str">
        <f>IFERROR(__xludf.DUMMYFUNCTION("IF(OR(E8577="""",K8577=""""),"""",IFERROR(IF(K8577="""","""",query('tbl user'!$A$2:$D10975,""SELECT A WHERE D = '""&amp;K8577&amp;""'"")),""USER TIDAK DIKETAHUI""))"),"")</f>
        <v/>
      </c>
    </row>
    <row r="8578">
      <c r="A8578" s="21" t="str">
        <f t="shared" si="3"/>
        <v/>
      </c>
      <c r="B8578" s="38"/>
      <c r="C8578" s="23"/>
      <c r="D8578" s="23"/>
      <c r="E8578" s="24"/>
      <c r="F8578" s="25"/>
      <c r="G8578" s="25"/>
      <c r="H8578" s="27"/>
      <c r="I8578" s="28"/>
      <c r="J8578" s="39"/>
      <c r="K8578" s="41"/>
      <c r="L8578" s="31" t="str">
        <f>IFERROR(__xludf.DUMMYFUNCTION("IF(OR(E8578="""",K8578=""""),"""",IFERROR(IF(K8578="""","""",query('tbl user'!$A$2:$D10975,""SELECT A WHERE D = '""&amp;K8578&amp;""'"")),""USER TIDAK DIKETAHUI""))"),"")</f>
        <v/>
      </c>
    </row>
    <row r="8579">
      <c r="A8579" s="21" t="str">
        <f t="shared" si="3"/>
        <v/>
      </c>
      <c r="B8579" s="38"/>
      <c r="C8579" s="23"/>
      <c r="D8579" s="23"/>
      <c r="E8579" s="24"/>
      <c r="F8579" s="25"/>
      <c r="G8579" s="25"/>
      <c r="H8579" s="27"/>
      <c r="I8579" s="28"/>
      <c r="J8579" s="39"/>
      <c r="K8579" s="41"/>
      <c r="L8579" s="31" t="str">
        <f>IFERROR(__xludf.DUMMYFUNCTION("IF(OR(E8579="""",K8579=""""),"""",IFERROR(IF(K8579="""","""",query('tbl user'!$A$2:$D10975,""SELECT A WHERE D = '""&amp;K8579&amp;""'"")),""USER TIDAK DIKETAHUI""))"),"")</f>
        <v/>
      </c>
    </row>
    <row r="8580">
      <c r="A8580" s="21" t="str">
        <f t="shared" si="3"/>
        <v/>
      </c>
      <c r="B8580" s="38"/>
      <c r="C8580" s="23"/>
      <c r="D8580" s="23"/>
      <c r="E8580" s="24"/>
      <c r="F8580" s="25"/>
      <c r="G8580" s="25"/>
      <c r="H8580" s="27"/>
      <c r="I8580" s="28"/>
      <c r="J8580" s="39"/>
      <c r="K8580" s="41"/>
      <c r="L8580" s="31" t="str">
        <f>IFERROR(__xludf.DUMMYFUNCTION("IF(OR(E8580="""",K8580=""""),"""",IFERROR(IF(K8580="""","""",query('tbl user'!$A$2:$D10975,""SELECT A WHERE D = '""&amp;K8580&amp;""'"")),""USER TIDAK DIKETAHUI""))"),"")</f>
        <v/>
      </c>
    </row>
    <row r="8581">
      <c r="A8581" s="21" t="str">
        <f t="shared" si="3"/>
        <v/>
      </c>
      <c r="B8581" s="38"/>
      <c r="C8581" s="23"/>
      <c r="D8581" s="23"/>
      <c r="E8581" s="24"/>
      <c r="F8581" s="25"/>
      <c r="G8581" s="25"/>
      <c r="H8581" s="27"/>
      <c r="I8581" s="28"/>
      <c r="J8581" s="39"/>
      <c r="K8581" s="41"/>
      <c r="L8581" s="31" t="str">
        <f>IFERROR(__xludf.DUMMYFUNCTION("IF(OR(E8581="""",K8581=""""),"""",IFERROR(IF(K8581="""","""",query('tbl user'!$A$2:$D10975,""SELECT A WHERE D = '""&amp;K8581&amp;""'"")),""USER TIDAK DIKETAHUI""))"),"")</f>
        <v/>
      </c>
    </row>
    <row r="8582">
      <c r="A8582" s="21" t="str">
        <f t="shared" si="3"/>
        <v/>
      </c>
      <c r="B8582" s="38"/>
      <c r="C8582" s="23"/>
      <c r="D8582" s="23"/>
      <c r="E8582" s="24"/>
      <c r="F8582" s="25"/>
      <c r="G8582" s="25"/>
      <c r="H8582" s="27"/>
      <c r="I8582" s="28"/>
      <c r="J8582" s="39"/>
      <c r="K8582" s="41"/>
      <c r="L8582" s="31" t="str">
        <f>IFERROR(__xludf.DUMMYFUNCTION("IF(OR(E8582="""",K8582=""""),"""",IFERROR(IF(K8582="""","""",query('tbl user'!$A$2:$D10975,""SELECT A WHERE D = '""&amp;K8582&amp;""'"")),""USER TIDAK DIKETAHUI""))"),"")</f>
        <v/>
      </c>
    </row>
    <row r="8583">
      <c r="A8583" s="21" t="str">
        <f t="shared" si="3"/>
        <v/>
      </c>
      <c r="B8583" s="38"/>
      <c r="C8583" s="23"/>
      <c r="D8583" s="23"/>
      <c r="E8583" s="24"/>
      <c r="F8583" s="25"/>
      <c r="G8583" s="25"/>
      <c r="H8583" s="27"/>
      <c r="I8583" s="28"/>
      <c r="J8583" s="39"/>
      <c r="K8583" s="41"/>
      <c r="L8583" s="31" t="str">
        <f>IFERROR(__xludf.DUMMYFUNCTION("IF(OR(E8583="""",K8583=""""),"""",IFERROR(IF(K8583="""","""",query('tbl user'!$A$2:$D10975,""SELECT A WHERE D = '""&amp;K8583&amp;""'"")),""USER TIDAK DIKETAHUI""))"),"")</f>
        <v/>
      </c>
    </row>
    <row r="8584">
      <c r="A8584" s="21" t="str">
        <f t="shared" si="3"/>
        <v/>
      </c>
      <c r="B8584" s="38"/>
      <c r="C8584" s="23"/>
      <c r="D8584" s="23"/>
      <c r="E8584" s="24"/>
      <c r="F8584" s="25"/>
      <c r="G8584" s="25"/>
      <c r="H8584" s="27"/>
      <c r="I8584" s="28"/>
      <c r="J8584" s="39"/>
      <c r="K8584" s="41"/>
      <c r="L8584" s="31" t="str">
        <f>IFERROR(__xludf.DUMMYFUNCTION("IF(OR(E8584="""",K8584=""""),"""",IFERROR(IF(K8584="""","""",query('tbl user'!$A$2:$D10975,""SELECT A WHERE D = '""&amp;K8584&amp;""'"")),""USER TIDAK DIKETAHUI""))"),"")</f>
        <v/>
      </c>
    </row>
    <row r="8585">
      <c r="A8585" s="21" t="str">
        <f t="shared" si="3"/>
        <v/>
      </c>
      <c r="B8585" s="38"/>
      <c r="C8585" s="23"/>
      <c r="D8585" s="23"/>
      <c r="E8585" s="24"/>
      <c r="F8585" s="25"/>
      <c r="G8585" s="25"/>
      <c r="H8585" s="27"/>
      <c r="I8585" s="28"/>
      <c r="J8585" s="39"/>
      <c r="K8585" s="41"/>
      <c r="L8585" s="31" t="str">
        <f>IFERROR(__xludf.DUMMYFUNCTION("IF(OR(E8585="""",K8585=""""),"""",IFERROR(IF(K8585="""","""",query('tbl user'!$A$2:$D10975,""SELECT A WHERE D = '""&amp;K8585&amp;""'"")),""USER TIDAK DIKETAHUI""))"),"")</f>
        <v/>
      </c>
    </row>
    <row r="8586">
      <c r="A8586" s="21" t="str">
        <f t="shared" si="3"/>
        <v/>
      </c>
      <c r="B8586" s="38"/>
      <c r="C8586" s="23"/>
      <c r="D8586" s="23"/>
      <c r="E8586" s="24"/>
      <c r="F8586" s="25"/>
      <c r="G8586" s="25"/>
      <c r="H8586" s="27"/>
      <c r="I8586" s="28"/>
      <c r="J8586" s="39"/>
      <c r="K8586" s="41"/>
      <c r="L8586" s="31" t="str">
        <f>IFERROR(__xludf.DUMMYFUNCTION("IF(OR(E8586="""",K8586=""""),"""",IFERROR(IF(K8586="""","""",query('tbl user'!$A$2:$D10975,""SELECT A WHERE D = '""&amp;K8586&amp;""'"")),""USER TIDAK DIKETAHUI""))"),"")</f>
        <v/>
      </c>
    </row>
    <row r="8587">
      <c r="A8587" s="21" t="str">
        <f t="shared" si="3"/>
        <v/>
      </c>
      <c r="B8587" s="38"/>
      <c r="C8587" s="23"/>
      <c r="D8587" s="23"/>
      <c r="E8587" s="24"/>
      <c r="F8587" s="25"/>
      <c r="G8587" s="25"/>
      <c r="H8587" s="27"/>
      <c r="I8587" s="28"/>
      <c r="J8587" s="39"/>
      <c r="K8587" s="41"/>
      <c r="L8587" s="31" t="str">
        <f>IFERROR(__xludf.DUMMYFUNCTION("IF(OR(E8587="""",K8587=""""),"""",IFERROR(IF(K8587="""","""",query('tbl user'!$A$2:$D10975,""SELECT A WHERE D = '""&amp;K8587&amp;""'"")),""USER TIDAK DIKETAHUI""))"),"")</f>
        <v/>
      </c>
    </row>
    <row r="8588">
      <c r="A8588" s="21" t="str">
        <f t="shared" si="3"/>
        <v/>
      </c>
      <c r="B8588" s="38"/>
      <c r="C8588" s="23"/>
      <c r="D8588" s="23"/>
      <c r="E8588" s="24"/>
      <c r="F8588" s="25"/>
      <c r="G8588" s="25"/>
      <c r="H8588" s="27"/>
      <c r="I8588" s="28"/>
      <c r="J8588" s="39"/>
      <c r="K8588" s="41"/>
      <c r="L8588" s="31" t="str">
        <f>IFERROR(__xludf.DUMMYFUNCTION("IF(OR(E8588="""",K8588=""""),"""",IFERROR(IF(K8588="""","""",query('tbl user'!$A$2:$D10975,""SELECT A WHERE D = '""&amp;K8588&amp;""'"")),""USER TIDAK DIKETAHUI""))"),"")</f>
        <v/>
      </c>
    </row>
    <row r="8589">
      <c r="A8589" s="21" t="str">
        <f t="shared" si="3"/>
        <v/>
      </c>
      <c r="B8589" s="38"/>
      <c r="C8589" s="23"/>
      <c r="D8589" s="23"/>
      <c r="E8589" s="24"/>
      <c r="F8589" s="25"/>
      <c r="G8589" s="25"/>
      <c r="H8589" s="27"/>
      <c r="I8589" s="28"/>
      <c r="J8589" s="39"/>
      <c r="K8589" s="41"/>
      <c r="L8589" s="31" t="str">
        <f>IFERROR(__xludf.DUMMYFUNCTION("IF(OR(E8589="""",K8589=""""),"""",IFERROR(IF(K8589="""","""",query('tbl user'!$A$2:$D10975,""SELECT A WHERE D = '""&amp;K8589&amp;""'"")),""USER TIDAK DIKETAHUI""))"),"")</f>
        <v/>
      </c>
    </row>
    <row r="8590">
      <c r="A8590" s="21" t="str">
        <f t="shared" si="3"/>
        <v/>
      </c>
      <c r="B8590" s="38"/>
      <c r="C8590" s="23"/>
      <c r="D8590" s="23"/>
      <c r="E8590" s="24"/>
      <c r="F8590" s="25"/>
      <c r="G8590" s="25"/>
      <c r="H8590" s="27"/>
      <c r="I8590" s="28"/>
      <c r="J8590" s="39"/>
      <c r="K8590" s="41"/>
      <c r="L8590" s="31" t="str">
        <f>IFERROR(__xludf.DUMMYFUNCTION("IF(OR(E8590="""",K8590=""""),"""",IFERROR(IF(K8590="""","""",query('tbl user'!$A$2:$D10975,""SELECT A WHERE D = '""&amp;K8590&amp;""'"")),""USER TIDAK DIKETAHUI""))"),"")</f>
        <v/>
      </c>
    </row>
    <row r="8591">
      <c r="A8591" s="21" t="str">
        <f t="shared" si="3"/>
        <v/>
      </c>
      <c r="B8591" s="38"/>
      <c r="C8591" s="23"/>
      <c r="D8591" s="23"/>
      <c r="E8591" s="24"/>
      <c r="F8591" s="25"/>
      <c r="G8591" s="25"/>
      <c r="H8591" s="27"/>
      <c r="I8591" s="28"/>
      <c r="J8591" s="39"/>
      <c r="K8591" s="41"/>
      <c r="L8591" s="31" t="str">
        <f>IFERROR(__xludf.DUMMYFUNCTION("IF(OR(E8591="""",K8591=""""),"""",IFERROR(IF(K8591="""","""",query('tbl user'!$A$2:$D10975,""SELECT A WHERE D = '""&amp;K8591&amp;""'"")),""USER TIDAK DIKETAHUI""))"),"")</f>
        <v/>
      </c>
    </row>
    <row r="8592">
      <c r="A8592" s="21" t="str">
        <f t="shared" si="3"/>
        <v/>
      </c>
      <c r="B8592" s="38"/>
      <c r="C8592" s="23"/>
      <c r="D8592" s="23"/>
      <c r="E8592" s="24"/>
      <c r="F8592" s="25"/>
      <c r="G8592" s="25"/>
      <c r="H8592" s="27"/>
      <c r="I8592" s="28"/>
      <c r="J8592" s="39"/>
      <c r="K8592" s="41"/>
      <c r="L8592" s="31" t="str">
        <f>IFERROR(__xludf.DUMMYFUNCTION("IF(OR(E8592="""",K8592=""""),"""",IFERROR(IF(K8592="""","""",query('tbl user'!$A$2:$D10975,""SELECT A WHERE D = '""&amp;K8592&amp;""'"")),""USER TIDAK DIKETAHUI""))"),"")</f>
        <v/>
      </c>
    </row>
    <row r="8593">
      <c r="A8593" s="21" t="str">
        <f t="shared" si="3"/>
        <v/>
      </c>
      <c r="B8593" s="38"/>
      <c r="C8593" s="23"/>
      <c r="D8593" s="23"/>
      <c r="E8593" s="24"/>
      <c r="F8593" s="25"/>
      <c r="G8593" s="25"/>
      <c r="H8593" s="27"/>
      <c r="I8593" s="28"/>
      <c r="J8593" s="39"/>
      <c r="K8593" s="41"/>
      <c r="L8593" s="31" t="str">
        <f>IFERROR(__xludf.DUMMYFUNCTION("IF(OR(E8593="""",K8593=""""),"""",IFERROR(IF(K8593="""","""",query('tbl user'!$A$2:$D10975,""SELECT A WHERE D = '""&amp;K8593&amp;""'"")),""USER TIDAK DIKETAHUI""))"),"")</f>
        <v/>
      </c>
    </row>
    <row r="8594">
      <c r="A8594" s="21" t="str">
        <f t="shared" si="3"/>
        <v/>
      </c>
      <c r="B8594" s="38"/>
      <c r="C8594" s="23"/>
      <c r="D8594" s="23"/>
      <c r="E8594" s="24"/>
      <c r="F8594" s="25"/>
      <c r="G8594" s="25"/>
      <c r="H8594" s="27"/>
      <c r="I8594" s="28"/>
      <c r="J8594" s="39"/>
      <c r="K8594" s="41"/>
      <c r="L8594" s="31" t="str">
        <f>IFERROR(__xludf.DUMMYFUNCTION("IF(OR(E8594="""",K8594=""""),"""",IFERROR(IF(K8594="""","""",query('tbl user'!$A$2:$D10975,""SELECT A WHERE D = '""&amp;K8594&amp;""'"")),""USER TIDAK DIKETAHUI""))"),"")</f>
        <v/>
      </c>
    </row>
    <row r="8595">
      <c r="A8595" s="21" t="str">
        <f t="shared" si="3"/>
        <v/>
      </c>
      <c r="B8595" s="38"/>
      <c r="C8595" s="23"/>
      <c r="D8595" s="23"/>
      <c r="E8595" s="24"/>
      <c r="F8595" s="25"/>
      <c r="G8595" s="25"/>
      <c r="H8595" s="27"/>
      <c r="I8595" s="28"/>
      <c r="J8595" s="39"/>
      <c r="K8595" s="41"/>
      <c r="L8595" s="31" t="str">
        <f>IFERROR(__xludf.DUMMYFUNCTION("IF(OR(E8595="""",K8595=""""),"""",IFERROR(IF(K8595="""","""",query('tbl user'!$A$2:$D10975,""SELECT A WHERE D = '""&amp;K8595&amp;""'"")),""USER TIDAK DIKETAHUI""))"),"")</f>
        <v/>
      </c>
    </row>
    <row r="8596">
      <c r="A8596" s="21" t="str">
        <f t="shared" si="3"/>
        <v/>
      </c>
      <c r="B8596" s="38"/>
      <c r="C8596" s="23"/>
      <c r="D8596" s="23"/>
      <c r="E8596" s="24"/>
      <c r="F8596" s="25"/>
      <c r="G8596" s="25"/>
      <c r="H8596" s="27"/>
      <c r="I8596" s="28"/>
      <c r="J8596" s="39"/>
      <c r="K8596" s="41"/>
      <c r="L8596" s="31" t="str">
        <f>IFERROR(__xludf.DUMMYFUNCTION("IF(OR(E8596="""",K8596=""""),"""",IFERROR(IF(K8596="""","""",query('tbl user'!$A$2:$D10975,""SELECT A WHERE D = '""&amp;K8596&amp;""'"")),""USER TIDAK DIKETAHUI""))"),"")</f>
        <v/>
      </c>
    </row>
    <row r="8597">
      <c r="A8597" s="21" t="str">
        <f t="shared" si="3"/>
        <v/>
      </c>
      <c r="B8597" s="38"/>
      <c r="C8597" s="23"/>
      <c r="D8597" s="23"/>
      <c r="E8597" s="24"/>
      <c r="F8597" s="25"/>
      <c r="G8597" s="25"/>
      <c r="H8597" s="27"/>
      <c r="I8597" s="28"/>
      <c r="J8597" s="39"/>
      <c r="K8597" s="41"/>
      <c r="L8597" s="31" t="str">
        <f>IFERROR(__xludf.DUMMYFUNCTION("IF(OR(E8597="""",K8597=""""),"""",IFERROR(IF(K8597="""","""",query('tbl user'!$A$2:$D10975,""SELECT A WHERE D = '""&amp;K8597&amp;""'"")),""USER TIDAK DIKETAHUI""))"),"")</f>
        <v/>
      </c>
    </row>
    <row r="8598">
      <c r="A8598" s="21" t="str">
        <f t="shared" si="3"/>
        <v/>
      </c>
      <c r="B8598" s="38"/>
      <c r="C8598" s="23"/>
      <c r="D8598" s="23"/>
      <c r="E8598" s="24"/>
      <c r="F8598" s="25"/>
      <c r="G8598" s="25"/>
      <c r="H8598" s="27"/>
      <c r="I8598" s="28"/>
      <c r="J8598" s="39"/>
      <c r="K8598" s="41"/>
      <c r="L8598" s="31" t="str">
        <f>IFERROR(__xludf.DUMMYFUNCTION("IF(OR(E8598="""",K8598=""""),"""",IFERROR(IF(K8598="""","""",query('tbl user'!$A$2:$D10975,""SELECT A WHERE D = '""&amp;K8598&amp;""'"")),""USER TIDAK DIKETAHUI""))"),"")</f>
        <v/>
      </c>
    </row>
    <row r="8599">
      <c r="A8599" s="21" t="str">
        <f t="shared" si="3"/>
        <v/>
      </c>
      <c r="B8599" s="38"/>
      <c r="C8599" s="23"/>
      <c r="D8599" s="23"/>
      <c r="E8599" s="24"/>
      <c r="F8599" s="25"/>
      <c r="G8599" s="25"/>
      <c r="H8599" s="27"/>
      <c r="I8599" s="28"/>
      <c r="J8599" s="39"/>
      <c r="K8599" s="41"/>
      <c r="L8599" s="31" t="str">
        <f>IFERROR(__xludf.DUMMYFUNCTION("IF(OR(E8599="""",K8599=""""),"""",IFERROR(IF(K8599="""","""",query('tbl user'!$A$2:$D10975,""SELECT A WHERE D = '""&amp;K8599&amp;""'"")),""USER TIDAK DIKETAHUI""))"),"")</f>
        <v/>
      </c>
    </row>
    <row r="8600">
      <c r="A8600" s="21" t="str">
        <f t="shared" si="3"/>
        <v/>
      </c>
      <c r="B8600" s="38"/>
      <c r="C8600" s="23"/>
      <c r="D8600" s="23"/>
      <c r="E8600" s="24"/>
      <c r="F8600" s="25"/>
      <c r="G8600" s="25"/>
      <c r="H8600" s="27"/>
      <c r="I8600" s="28"/>
      <c r="J8600" s="39"/>
      <c r="K8600" s="41"/>
      <c r="L8600" s="31" t="str">
        <f>IFERROR(__xludf.DUMMYFUNCTION("IF(OR(E8600="""",K8600=""""),"""",IFERROR(IF(K8600="""","""",query('tbl user'!$A$2:$D10975,""SELECT A WHERE D = '""&amp;K8600&amp;""'"")),""USER TIDAK DIKETAHUI""))"),"")</f>
        <v/>
      </c>
    </row>
    <row r="8601">
      <c r="A8601" s="21" t="str">
        <f t="shared" si="3"/>
        <v/>
      </c>
      <c r="B8601" s="38"/>
      <c r="C8601" s="23"/>
      <c r="D8601" s="23"/>
      <c r="E8601" s="24"/>
      <c r="F8601" s="25"/>
      <c r="G8601" s="25"/>
      <c r="H8601" s="27"/>
      <c r="I8601" s="28"/>
      <c r="J8601" s="39"/>
      <c r="K8601" s="41"/>
      <c r="L8601" s="31" t="str">
        <f>IFERROR(__xludf.DUMMYFUNCTION("IF(OR(E8601="""",K8601=""""),"""",IFERROR(IF(K8601="""","""",query('tbl user'!$A$2:$D10975,""SELECT A WHERE D = '""&amp;K8601&amp;""'"")),""USER TIDAK DIKETAHUI""))"),"")</f>
        <v/>
      </c>
    </row>
    <row r="8602">
      <c r="A8602" s="21" t="str">
        <f t="shared" si="3"/>
        <v/>
      </c>
      <c r="B8602" s="38"/>
      <c r="C8602" s="23"/>
      <c r="D8602" s="23"/>
      <c r="E8602" s="24"/>
      <c r="F8602" s="25"/>
      <c r="G8602" s="25"/>
      <c r="H8602" s="27"/>
      <c r="I8602" s="28"/>
      <c r="J8602" s="39"/>
      <c r="K8602" s="41"/>
      <c r="L8602" s="31" t="str">
        <f>IFERROR(__xludf.DUMMYFUNCTION("IF(OR(E8602="""",K8602=""""),"""",IFERROR(IF(K8602="""","""",query('tbl user'!$A$2:$D10975,""SELECT A WHERE D = '""&amp;K8602&amp;""'"")),""USER TIDAK DIKETAHUI""))"),"")</f>
        <v/>
      </c>
    </row>
    <row r="8603">
      <c r="A8603" s="21" t="str">
        <f t="shared" si="3"/>
        <v/>
      </c>
      <c r="B8603" s="38"/>
      <c r="C8603" s="23"/>
      <c r="D8603" s="23"/>
      <c r="E8603" s="24"/>
      <c r="F8603" s="25"/>
      <c r="G8603" s="25"/>
      <c r="H8603" s="27"/>
      <c r="I8603" s="28"/>
      <c r="J8603" s="39"/>
      <c r="K8603" s="41"/>
      <c r="L8603" s="31" t="str">
        <f>IFERROR(__xludf.DUMMYFUNCTION("IF(OR(E8603="""",K8603=""""),"""",IFERROR(IF(K8603="""","""",query('tbl user'!$A$2:$D10975,""SELECT A WHERE D = '""&amp;K8603&amp;""'"")),""USER TIDAK DIKETAHUI""))"),"")</f>
        <v/>
      </c>
    </row>
    <row r="8604">
      <c r="A8604" s="21" t="str">
        <f t="shared" si="3"/>
        <v/>
      </c>
      <c r="B8604" s="38"/>
      <c r="C8604" s="23"/>
      <c r="D8604" s="23"/>
      <c r="E8604" s="24"/>
      <c r="F8604" s="25"/>
      <c r="G8604" s="25"/>
      <c r="H8604" s="27"/>
      <c r="I8604" s="28"/>
      <c r="J8604" s="39"/>
      <c r="K8604" s="41"/>
      <c r="L8604" s="31" t="str">
        <f>IFERROR(__xludf.DUMMYFUNCTION("IF(OR(E8604="""",K8604=""""),"""",IFERROR(IF(K8604="""","""",query('tbl user'!$A$2:$D10975,""SELECT A WHERE D = '""&amp;K8604&amp;""'"")),""USER TIDAK DIKETAHUI""))"),"")</f>
        <v/>
      </c>
    </row>
    <row r="8605">
      <c r="A8605" s="21" t="str">
        <f t="shared" si="3"/>
        <v/>
      </c>
      <c r="B8605" s="38"/>
      <c r="C8605" s="23"/>
      <c r="D8605" s="23"/>
      <c r="E8605" s="24"/>
      <c r="F8605" s="25"/>
      <c r="G8605" s="25"/>
      <c r="H8605" s="27"/>
      <c r="I8605" s="28"/>
      <c r="J8605" s="39"/>
      <c r="K8605" s="41"/>
      <c r="L8605" s="31" t="str">
        <f>IFERROR(__xludf.DUMMYFUNCTION("IF(OR(E8605="""",K8605=""""),"""",IFERROR(IF(K8605="""","""",query('tbl user'!$A$2:$D10975,""SELECT A WHERE D = '""&amp;K8605&amp;""'"")),""USER TIDAK DIKETAHUI""))"),"")</f>
        <v/>
      </c>
    </row>
    <row r="8606">
      <c r="A8606" s="21" t="str">
        <f t="shared" si="3"/>
        <v/>
      </c>
      <c r="B8606" s="38"/>
      <c r="C8606" s="23"/>
      <c r="D8606" s="23"/>
      <c r="E8606" s="24"/>
      <c r="F8606" s="25"/>
      <c r="G8606" s="25"/>
      <c r="H8606" s="27"/>
      <c r="I8606" s="28"/>
      <c r="J8606" s="39"/>
      <c r="K8606" s="41"/>
      <c r="L8606" s="31" t="str">
        <f>IFERROR(__xludf.DUMMYFUNCTION("IF(OR(E8606="""",K8606=""""),"""",IFERROR(IF(K8606="""","""",query('tbl user'!$A$2:$D10975,""SELECT A WHERE D = '""&amp;K8606&amp;""'"")),""USER TIDAK DIKETAHUI""))"),"")</f>
        <v/>
      </c>
    </row>
    <row r="8607">
      <c r="A8607" s="21" t="str">
        <f t="shared" si="3"/>
        <v/>
      </c>
      <c r="B8607" s="38"/>
      <c r="C8607" s="23"/>
      <c r="D8607" s="23"/>
      <c r="E8607" s="24"/>
      <c r="F8607" s="25"/>
      <c r="G8607" s="25"/>
      <c r="H8607" s="27"/>
      <c r="I8607" s="28"/>
      <c r="J8607" s="39"/>
      <c r="K8607" s="41"/>
      <c r="L8607" s="31" t="str">
        <f>IFERROR(__xludf.DUMMYFUNCTION("IF(OR(E8607="""",K8607=""""),"""",IFERROR(IF(K8607="""","""",query('tbl user'!$A$2:$D10975,""SELECT A WHERE D = '""&amp;K8607&amp;""'"")),""USER TIDAK DIKETAHUI""))"),"")</f>
        <v/>
      </c>
    </row>
    <row r="8608">
      <c r="A8608" s="21" t="str">
        <f t="shared" si="3"/>
        <v/>
      </c>
      <c r="B8608" s="38"/>
      <c r="C8608" s="23"/>
      <c r="D8608" s="23"/>
      <c r="E8608" s="24"/>
      <c r="F8608" s="25"/>
      <c r="G8608" s="25"/>
      <c r="H8608" s="27"/>
      <c r="I8608" s="28"/>
      <c r="J8608" s="39"/>
      <c r="K8608" s="41"/>
      <c r="L8608" s="31" t="str">
        <f>IFERROR(__xludf.DUMMYFUNCTION("IF(OR(E8608="""",K8608=""""),"""",IFERROR(IF(K8608="""","""",query('tbl user'!$A$2:$D10975,""SELECT A WHERE D = '""&amp;K8608&amp;""'"")),""USER TIDAK DIKETAHUI""))"),"")</f>
        <v/>
      </c>
    </row>
    <row r="8609">
      <c r="A8609" s="21" t="str">
        <f t="shared" si="3"/>
        <v/>
      </c>
      <c r="B8609" s="38"/>
      <c r="C8609" s="23"/>
      <c r="D8609" s="23"/>
      <c r="E8609" s="24"/>
      <c r="F8609" s="25"/>
      <c r="G8609" s="25"/>
      <c r="H8609" s="27"/>
      <c r="I8609" s="28"/>
      <c r="J8609" s="39"/>
      <c r="K8609" s="41"/>
      <c r="L8609" s="31" t="str">
        <f>IFERROR(__xludf.DUMMYFUNCTION("IF(OR(E8609="""",K8609=""""),"""",IFERROR(IF(K8609="""","""",query('tbl user'!$A$2:$D10975,""SELECT A WHERE D = '""&amp;K8609&amp;""'"")),""USER TIDAK DIKETAHUI""))"),"")</f>
        <v/>
      </c>
    </row>
    <row r="8610">
      <c r="A8610" s="21" t="str">
        <f t="shared" si="3"/>
        <v/>
      </c>
      <c r="B8610" s="38"/>
      <c r="C8610" s="23"/>
      <c r="D8610" s="23"/>
      <c r="E8610" s="24"/>
      <c r="F8610" s="25"/>
      <c r="G8610" s="25"/>
      <c r="H8610" s="27"/>
      <c r="I8610" s="28"/>
      <c r="J8610" s="39"/>
      <c r="K8610" s="41"/>
      <c r="L8610" s="31" t="str">
        <f>IFERROR(__xludf.DUMMYFUNCTION("IF(OR(E8610="""",K8610=""""),"""",IFERROR(IF(K8610="""","""",query('tbl user'!$A$2:$D10975,""SELECT A WHERE D = '""&amp;K8610&amp;""'"")),""USER TIDAK DIKETAHUI""))"),"")</f>
        <v/>
      </c>
    </row>
    <row r="8611">
      <c r="A8611" s="21" t="str">
        <f t="shared" si="3"/>
        <v/>
      </c>
      <c r="B8611" s="38"/>
      <c r="C8611" s="23"/>
      <c r="D8611" s="23"/>
      <c r="E8611" s="24"/>
      <c r="F8611" s="25"/>
      <c r="G8611" s="25"/>
      <c r="H8611" s="27"/>
      <c r="I8611" s="28"/>
      <c r="J8611" s="39"/>
      <c r="K8611" s="41"/>
      <c r="L8611" s="31" t="str">
        <f>IFERROR(__xludf.DUMMYFUNCTION("IF(OR(E8611="""",K8611=""""),"""",IFERROR(IF(K8611="""","""",query('tbl user'!$A$2:$D10975,""SELECT A WHERE D = '""&amp;K8611&amp;""'"")),""USER TIDAK DIKETAHUI""))"),"")</f>
        <v/>
      </c>
    </row>
    <row r="8612">
      <c r="A8612" s="21" t="str">
        <f t="shared" si="3"/>
        <v/>
      </c>
      <c r="B8612" s="38"/>
      <c r="C8612" s="23"/>
      <c r="D8612" s="23"/>
      <c r="E8612" s="24"/>
      <c r="F8612" s="25"/>
      <c r="G8612" s="25"/>
      <c r="H8612" s="27"/>
      <c r="I8612" s="28"/>
      <c r="J8612" s="39"/>
      <c r="K8612" s="41"/>
      <c r="L8612" s="31" t="str">
        <f>IFERROR(__xludf.DUMMYFUNCTION("IF(OR(E8612="""",K8612=""""),"""",IFERROR(IF(K8612="""","""",query('tbl user'!$A$2:$D10975,""SELECT A WHERE D = '""&amp;K8612&amp;""'"")),""USER TIDAK DIKETAHUI""))"),"")</f>
        <v/>
      </c>
    </row>
    <row r="8613">
      <c r="A8613" s="21" t="str">
        <f t="shared" si="3"/>
        <v/>
      </c>
      <c r="B8613" s="38"/>
      <c r="C8613" s="23"/>
      <c r="D8613" s="23"/>
      <c r="E8613" s="24"/>
      <c r="F8613" s="25"/>
      <c r="G8613" s="25"/>
      <c r="H8613" s="27"/>
      <c r="I8613" s="28"/>
      <c r="J8613" s="39"/>
      <c r="K8613" s="41"/>
      <c r="L8613" s="31" t="str">
        <f>IFERROR(__xludf.DUMMYFUNCTION("IF(OR(E8613="""",K8613=""""),"""",IFERROR(IF(K8613="""","""",query('tbl user'!$A$2:$D10975,""SELECT A WHERE D = '""&amp;K8613&amp;""'"")),""USER TIDAK DIKETAHUI""))"),"")</f>
        <v/>
      </c>
    </row>
    <row r="8614">
      <c r="A8614" s="21" t="str">
        <f t="shared" si="3"/>
        <v/>
      </c>
      <c r="B8614" s="38"/>
      <c r="C8614" s="23"/>
      <c r="D8614" s="23"/>
      <c r="E8614" s="24"/>
      <c r="F8614" s="25"/>
      <c r="G8614" s="25"/>
      <c r="H8614" s="27"/>
      <c r="I8614" s="28"/>
      <c r="J8614" s="39"/>
      <c r="K8614" s="41"/>
      <c r="L8614" s="31" t="str">
        <f>IFERROR(__xludf.DUMMYFUNCTION("IF(OR(E8614="""",K8614=""""),"""",IFERROR(IF(K8614="""","""",query('tbl user'!$A$2:$D10975,""SELECT A WHERE D = '""&amp;K8614&amp;""'"")),""USER TIDAK DIKETAHUI""))"),"")</f>
        <v/>
      </c>
    </row>
    <row r="8615">
      <c r="A8615" s="21" t="str">
        <f t="shared" si="3"/>
        <v/>
      </c>
      <c r="B8615" s="38"/>
      <c r="C8615" s="23"/>
      <c r="D8615" s="23"/>
      <c r="E8615" s="24"/>
      <c r="F8615" s="25"/>
      <c r="G8615" s="25"/>
      <c r="H8615" s="27"/>
      <c r="I8615" s="28"/>
      <c r="J8615" s="39"/>
      <c r="K8615" s="41"/>
      <c r="L8615" s="31" t="str">
        <f>IFERROR(__xludf.DUMMYFUNCTION("IF(OR(E8615="""",K8615=""""),"""",IFERROR(IF(K8615="""","""",query('tbl user'!$A$2:$D10975,""SELECT A WHERE D = '""&amp;K8615&amp;""'"")),""USER TIDAK DIKETAHUI""))"),"")</f>
        <v/>
      </c>
    </row>
    <row r="8616">
      <c r="A8616" s="21" t="str">
        <f t="shared" si="3"/>
        <v/>
      </c>
      <c r="B8616" s="38"/>
      <c r="C8616" s="23"/>
      <c r="D8616" s="23"/>
      <c r="E8616" s="24"/>
      <c r="F8616" s="25"/>
      <c r="G8616" s="25"/>
      <c r="H8616" s="27"/>
      <c r="I8616" s="28"/>
      <c r="J8616" s="39"/>
      <c r="K8616" s="41"/>
      <c r="L8616" s="31" t="str">
        <f>IFERROR(__xludf.DUMMYFUNCTION("IF(OR(E8616="""",K8616=""""),"""",IFERROR(IF(K8616="""","""",query('tbl user'!$A$2:$D10975,""SELECT A WHERE D = '""&amp;K8616&amp;""'"")),""USER TIDAK DIKETAHUI""))"),"")</f>
        <v/>
      </c>
    </row>
    <row r="8617">
      <c r="A8617" s="21" t="str">
        <f t="shared" si="3"/>
        <v/>
      </c>
      <c r="B8617" s="38"/>
      <c r="C8617" s="23"/>
      <c r="D8617" s="23"/>
      <c r="E8617" s="24"/>
      <c r="F8617" s="25"/>
      <c r="G8617" s="25"/>
      <c r="H8617" s="27"/>
      <c r="I8617" s="28"/>
      <c r="J8617" s="39"/>
      <c r="K8617" s="41"/>
      <c r="L8617" s="31" t="str">
        <f>IFERROR(__xludf.DUMMYFUNCTION("IF(OR(E8617="""",K8617=""""),"""",IFERROR(IF(K8617="""","""",query('tbl user'!$A$2:$D10975,""SELECT A WHERE D = '""&amp;K8617&amp;""'"")),""USER TIDAK DIKETAHUI""))"),"")</f>
        <v/>
      </c>
    </row>
    <row r="8618">
      <c r="A8618" s="21" t="str">
        <f t="shared" si="3"/>
        <v/>
      </c>
      <c r="B8618" s="38"/>
      <c r="C8618" s="23"/>
      <c r="D8618" s="23"/>
      <c r="E8618" s="24"/>
      <c r="F8618" s="25"/>
      <c r="G8618" s="25"/>
      <c r="H8618" s="27"/>
      <c r="I8618" s="28"/>
      <c r="J8618" s="39"/>
      <c r="K8618" s="41"/>
      <c r="L8618" s="31" t="str">
        <f>IFERROR(__xludf.DUMMYFUNCTION("IF(OR(E8618="""",K8618=""""),"""",IFERROR(IF(K8618="""","""",query('tbl user'!$A$2:$D10975,""SELECT A WHERE D = '""&amp;K8618&amp;""'"")),""USER TIDAK DIKETAHUI""))"),"")</f>
        <v/>
      </c>
    </row>
    <row r="8619">
      <c r="A8619" s="21" t="str">
        <f t="shared" si="3"/>
        <v/>
      </c>
      <c r="B8619" s="38"/>
      <c r="C8619" s="23"/>
      <c r="D8619" s="23"/>
      <c r="E8619" s="24"/>
      <c r="F8619" s="25"/>
      <c r="G8619" s="25"/>
      <c r="H8619" s="27"/>
      <c r="I8619" s="28"/>
      <c r="J8619" s="39"/>
      <c r="K8619" s="41"/>
      <c r="L8619" s="31" t="str">
        <f>IFERROR(__xludf.DUMMYFUNCTION("IF(OR(E8619="""",K8619=""""),"""",IFERROR(IF(K8619="""","""",query('tbl user'!$A$2:$D10975,""SELECT A WHERE D = '""&amp;K8619&amp;""'"")),""USER TIDAK DIKETAHUI""))"),"")</f>
        <v/>
      </c>
    </row>
    <row r="8620">
      <c r="A8620" s="21" t="str">
        <f t="shared" si="3"/>
        <v/>
      </c>
      <c r="B8620" s="38"/>
      <c r="C8620" s="23"/>
      <c r="D8620" s="23"/>
      <c r="E8620" s="24"/>
      <c r="F8620" s="25"/>
      <c r="G8620" s="25"/>
      <c r="H8620" s="27"/>
      <c r="I8620" s="28"/>
      <c r="J8620" s="39"/>
      <c r="K8620" s="41"/>
      <c r="L8620" s="31" t="str">
        <f>IFERROR(__xludf.DUMMYFUNCTION("IF(OR(E8620="""",K8620=""""),"""",IFERROR(IF(K8620="""","""",query('tbl user'!$A$2:$D10975,""SELECT A WHERE D = '""&amp;K8620&amp;""'"")),""USER TIDAK DIKETAHUI""))"),"")</f>
        <v/>
      </c>
    </row>
    <row r="8621">
      <c r="A8621" s="21" t="str">
        <f t="shared" si="3"/>
        <v/>
      </c>
      <c r="B8621" s="38"/>
      <c r="C8621" s="23"/>
      <c r="D8621" s="23"/>
      <c r="E8621" s="24"/>
      <c r="F8621" s="25"/>
      <c r="G8621" s="25"/>
      <c r="H8621" s="27"/>
      <c r="I8621" s="28"/>
      <c r="J8621" s="39"/>
      <c r="K8621" s="41"/>
      <c r="L8621" s="31" t="str">
        <f>IFERROR(__xludf.DUMMYFUNCTION("IF(OR(E8621="""",K8621=""""),"""",IFERROR(IF(K8621="""","""",query('tbl user'!$A$2:$D10975,""SELECT A WHERE D = '""&amp;K8621&amp;""'"")),""USER TIDAK DIKETAHUI""))"),"")</f>
        <v/>
      </c>
    </row>
    <row r="8622">
      <c r="A8622" s="21" t="str">
        <f t="shared" si="3"/>
        <v/>
      </c>
      <c r="B8622" s="38"/>
      <c r="C8622" s="23"/>
      <c r="D8622" s="23"/>
      <c r="E8622" s="24"/>
      <c r="F8622" s="25"/>
      <c r="G8622" s="25"/>
      <c r="H8622" s="27"/>
      <c r="I8622" s="28"/>
      <c r="J8622" s="39"/>
      <c r="K8622" s="41"/>
      <c r="L8622" s="31" t="str">
        <f>IFERROR(__xludf.DUMMYFUNCTION("IF(OR(E8622="""",K8622=""""),"""",IFERROR(IF(K8622="""","""",query('tbl user'!$A$2:$D10975,""SELECT A WHERE D = '""&amp;K8622&amp;""'"")),""USER TIDAK DIKETAHUI""))"),"")</f>
        <v/>
      </c>
    </row>
    <row r="8623">
      <c r="A8623" s="21" t="str">
        <f t="shared" si="3"/>
        <v/>
      </c>
      <c r="B8623" s="38"/>
      <c r="C8623" s="23"/>
      <c r="D8623" s="23"/>
      <c r="E8623" s="24"/>
      <c r="F8623" s="25"/>
      <c r="G8623" s="25"/>
      <c r="H8623" s="27"/>
      <c r="I8623" s="28"/>
      <c r="J8623" s="39"/>
      <c r="K8623" s="41"/>
      <c r="L8623" s="31" t="str">
        <f>IFERROR(__xludf.DUMMYFUNCTION("IF(OR(E8623="""",K8623=""""),"""",IFERROR(IF(K8623="""","""",query('tbl user'!$A$2:$D10975,""SELECT A WHERE D = '""&amp;K8623&amp;""'"")),""USER TIDAK DIKETAHUI""))"),"")</f>
        <v/>
      </c>
    </row>
    <row r="8624">
      <c r="A8624" s="21" t="str">
        <f t="shared" si="3"/>
        <v/>
      </c>
      <c r="B8624" s="38"/>
      <c r="C8624" s="23"/>
      <c r="D8624" s="23"/>
      <c r="E8624" s="24"/>
      <c r="F8624" s="25"/>
      <c r="G8624" s="25"/>
      <c r="H8624" s="27"/>
      <c r="I8624" s="28"/>
      <c r="J8624" s="39"/>
      <c r="K8624" s="41"/>
      <c r="L8624" s="31" t="str">
        <f>IFERROR(__xludf.DUMMYFUNCTION("IF(OR(E8624="""",K8624=""""),"""",IFERROR(IF(K8624="""","""",query('tbl user'!$A$2:$D10975,""SELECT A WHERE D = '""&amp;K8624&amp;""'"")),""USER TIDAK DIKETAHUI""))"),"")</f>
        <v/>
      </c>
    </row>
    <row r="8625">
      <c r="A8625" s="21" t="str">
        <f t="shared" si="3"/>
        <v/>
      </c>
      <c r="B8625" s="38"/>
      <c r="C8625" s="23"/>
      <c r="D8625" s="23"/>
      <c r="E8625" s="24"/>
      <c r="F8625" s="25"/>
      <c r="G8625" s="25"/>
      <c r="H8625" s="27"/>
      <c r="I8625" s="28"/>
      <c r="J8625" s="39"/>
      <c r="K8625" s="41"/>
      <c r="L8625" s="31" t="str">
        <f>IFERROR(__xludf.DUMMYFUNCTION("IF(OR(E8625="""",K8625=""""),"""",IFERROR(IF(K8625="""","""",query('tbl user'!$A$2:$D10975,""SELECT A WHERE D = '""&amp;K8625&amp;""'"")),""USER TIDAK DIKETAHUI""))"),"")</f>
        <v/>
      </c>
    </row>
    <row r="8626">
      <c r="A8626" s="21" t="str">
        <f t="shared" si="3"/>
        <v/>
      </c>
      <c r="B8626" s="38"/>
      <c r="C8626" s="23"/>
      <c r="D8626" s="23"/>
      <c r="E8626" s="24"/>
      <c r="F8626" s="25"/>
      <c r="G8626" s="25"/>
      <c r="H8626" s="27"/>
      <c r="I8626" s="28"/>
      <c r="J8626" s="39"/>
      <c r="K8626" s="41"/>
      <c r="L8626" s="31" t="str">
        <f>IFERROR(__xludf.DUMMYFUNCTION("IF(OR(E8626="""",K8626=""""),"""",IFERROR(IF(K8626="""","""",query('tbl user'!$A$2:$D10975,""SELECT A WHERE D = '""&amp;K8626&amp;""'"")),""USER TIDAK DIKETAHUI""))"),"")</f>
        <v/>
      </c>
    </row>
    <row r="8627">
      <c r="A8627" s="21" t="str">
        <f t="shared" si="3"/>
        <v/>
      </c>
      <c r="B8627" s="38"/>
      <c r="C8627" s="23"/>
      <c r="D8627" s="23"/>
      <c r="E8627" s="24"/>
      <c r="F8627" s="25"/>
      <c r="G8627" s="25"/>
      <c r="H8627" s="27"/>
      <c r="I8627" s="28"/>
      <c r="J8627" s="39"/>
      <c r="K8627" s="41"/>
      <c r="L8627" s="31" t="str">
        <f>IFERROR(__xludf.DUMMYFUNCTION("IF(OR(E8627="""",K8627=""""),"""",IFERROR(IF(K8627="""","""",query('tbl user'!$A$2:$D10975,""SELECT A WHERE D = '""&amp;K8627&amp;""'"")),""USER TIDAK DIKETAHUI""))"),"")</f>
        <v/>
      </c>
    </row>
    <row r="8628">
      <c r="A8628" s="21" t="str">
        <f t="shared" si="3"/>
        <v/>
      </c>
      <c r="B8628" s="38"/>
      <c r="C8628" s="23"/>
      <c r="D8628" s="23"/>
      <c r="E8628" s="24"/>
      <c r="F8628" s="25"/>
      <c r="G8628" s="25"/>
      <c r="H8628" s="27"/>
      <c r="I8628" s="28"/>
      <c r="J8628" s="39"/>
      <c r="K8628" s="41"/>
      <c r="L8628" s="31" t="str">
        <f>IFERROR(__xludf.DUMMYFUNCTION("IF(OR(E8628="""",K8628=""""),"""",IFERROR(IF(K8628="""","""",query('tbl user'!$A$2:$D10975,""SELECT A WHERE D = '""&amp;K8628&amp;""'"")),""USER TIDAK DIKETAHUI""))"),"")</f>
        <v/>
      </c>
    </row>
    <row r="8629">
      <c r="A8629" s="21" t="str">
        <f t="shared" si="3"/>
        <v/>
      </c>
      <c r="B8629" s="38"/>
      <c r="C8629" s="23"/>
      <c r="D8629" s="23"/>
      <c r="E8629" s="24"/>
      <c r="F8629" s="25"/>
      <c r="G8629" s="25"/>
      <c r="H8629" s="27"/>
      <c r="I8629" s="28"/>
      <c r="J8629" s="39"/>
      <c r="K8629" s="41"/>
      <c r="L8629" s="31" t="str">
        <f>IFERROR(__xludf.DUMMYFUNCTION("IF(OR(E8629="""",K8629=""""),"""",IFERROR(IF(K8629="""","""",query('tbl user'!$A$2:$D10975,""SELECT A WHERE D = '""&amp;K8629&amp;""'"")),""USER TIDAK DIKETAHUI""))"),"")</f>
        <v/>
      </c>
    </row>
    <row r="8630">
      <c r="A8630" s="21" t="str">
        <f t="shared" si="3"/>
        <v/>
      </c>
      <c r="B8630" s="38"/>
      <c r="C8630" s="23"/>
      <c r="D8630" s="23"/>
      <c r="E8630" s="24"/>
      <c r="F8630" s="25"/>
      <c r="G8630" s="25"/>
      <c r="H8630" s="27"/>
      <c r="I8630" s="28"/>
      <c r="J8630" s="39"/>
      <c r="K8630" s="41"/>
      <c r="L8630" s="31" t="str">
        <f>IFERROR(__xludf.DUMMYFUNCTION("IF(OR(E8630="""",K8630=""""),"""",IFERROR(IF(K8630="""","""",query('tbl user'!$A$2:$D10975,""SELECT A WHERE D = '""&amp;K8630&amp;""'"")),""USER TIDAK DIKETAHUI""))"),"")</f>
        <v/>
      </c>
    </row>
    <row r="8631">
      <c r="A8631" s="21" t="str">
        <f t="shared" si="3"/>
        <v/>
      </c>
      <c r="B8631" s="38"/>
      <c r="C8631" s="23"/>
      <c r="D8631" s="23"/>
      <c r="E8631" s="24"/>
      <c r="F8631" s="25"/>
      <c r="G8631" s="25"/>
      <c r="H8631" s="27"/>
      <c r="I8631" s="28"/>
      <c r="J8631" s="39"/>
      <c r="K8631" s="41"/>
      <c r="L8631" s="31" t="str">
        <f>IFERROR(__xludf.DUMMYFUNCTION("IF(OR(E8631="""",K8631=""""),"""",IFERROR(IF(K8631="""","""",query('tbl user'!$A$2:$D10975,""SELECT A WHERE D = '""&amp;K8631&amp;""'"")),""USER TIDAK DIKETAHUI""))"),"")</f>
        <v/>
      </c>
    </row>
    <row r="8632">
      <c r="A8632" s="21" t="str">
        <f t="shared" si="3"/>
        <v/>
      </c>
      <c r="B8632" s="38"/>
      <c r="C8632" s="23"/>
      <c r="D8632" s="23"/>
      <c r="E8632" s="24"/>
      <c r="F8632" s="25"/>
      <c r="G8632" s="25"/>
      <c r="H8632" s="27"/>
      <c r="I8632" s="28"/>
      <c r="J8632" s="39"/>
      <c r="K8632" s="41"/>
      <c r="L8632" s="31" t="str">
        <f>IFERROR(__xludf.DUMMYFUNCTION("IF(OR(E8632="""",K8632=""""),"""",IFERROR(IF(K8632="""","""",query('tbl user'!$A$2:$D10975,""SELECT A WHERE D = '""&amp;K8632&amp;""'"")),""USER TIDAK DIKETAHUI""))"),"")</f>
        <v/>
      </c>
    </row>
    <row r="8633">
      <c r="A8633" s="21" t="str">
        <f t="shared" si="3"/>
        <v/>
      </c>
      <c r="B8633" s="38"/>
      <c r="C8633" s="23"/>
      <c r="D8633" s="23"/>
      <c r="E8633" s="24"/>
      <c r="F8633" s="25"/>
      <c r="G8633" s="25"/>
      <c r="H8633" s="27"/>
      <c r="I8633" s="28"/>
      <c r="J8633" s="39"/>
      <c r="K8633" s="41"/>
      <c r="L8633" s="31" t="str">
        <f>IFERROR(__xludf.DUMMYFUNCTION("IF(OR(E8633="""",K8633=""""),"""",IFERROR(IF(K8633="""","""",query('tbl user'!$A$2:$D10975,""SELECT A WHERE D = '""&amp;K8633&amp;""'"")),""USER TIDAK DIKETAHUI""))"),"")</f>
        <v/>
      </c>
    </row>
    <row r="8634">
      <c r="A8634" s="21" t="str">
        <f t="shared" si="3"/>
        <v/>
      </c>
      <c r="B8634" s="38"/>
      <c r="C8634" s="23"/>
      <c r="D8634" s="23"/>
      <c r="E8634" s="24"/>
      <c r="F8634" s="25"/>
      <c r="G8634" s="25"/>
      <c r="H8634" s="27"/>
      <c r="I8634" s="28"/>
      <c r="J8634" s="39"/>
      <c r="K8634" s="41"/>
      <c r="L8634" s="31" t="str">
        <f>IFERROR(__xludf.DUMMYFUNCTION("IF(OR(E8634="""",K8634=""""),"""",IFERROR(IF(K8634="""","""",query('tbl user'!$A$2:$D10975,""SELECT A WHERE D = '""&amp;K8634&amp;""'"")),""USER TIDAK DIKETAHUI""))"),"")</f>
        <v/>
      </c>
    </row>
    <row r="8635">
      <c r="A8635" s="21" t="str">
        <f t="shared" si="3"/>
        <v/>
      </c>
      <c r="B8635" s="38"/>
      <c r="C8635" s="23"/>
      <c r="D8635" s="23"/>
      <c r="E8635" s="24"/>
      <c r="F8635" s="25"/>
      <c r="G8635" s="25"/>
      <c r="H8635" s="27"/>
      <c r="I8635" s="28"/>
      <c r="J8635" s="39"/>
      <c r="K8635" s="41"/>
      <c r="L8635" s="31" t="str">
        <f>IFERROR(__xludf.DUMMYFUNCTION("IF(OR(E8635="""",K8635=""""),"""",IFERROR(IF(K8635="""","""",query('tbl user'!$A$2:$D10975,""SELECT A WHERE D = '""&amp;K8635&amp;""'"")),""USER TIDAK DIKETAHUI""))"),"")</f>
        <v/>
      </c>
    </row>
    <row r="8636">
      <c r="A8636" s="21" t="str">
        <f t="shared" si="3"/>
        <v/>
      </c>
      <c r="B8636" s="38"/>
      <c r="C8636" s="23"/>
      <c r="D8636" s="23"/>
      <c r="E8636" s="24"/>
      <c r="F8636" s="25"/>
      <c r="G8636" s="25"/>
      <c r="H8636" s="27"/>
      <c r="I8636" s="28"/>
      <c r="J8636" s="39"/>
      <c r="K8636" s="41"/>
      <c r="L8636" s="31" t="str">
        <f>IFERROR(__xludf.DUMMYFUNCTION("IF(OR(E8636="""",K8636=""""),"""",IFERROR(IF(K8636="""","""",query('tbl user'!$A$2:$D10975,""SELECT A WHERE D = '""&amp;K8636&amp;""'"")),""USER TIDAK DIKETAHUI""))"),"")</f>
        <v/>
      </c>
    </row>
    <row r="8637">
      <c r="A8637" s="21" t="str">
        <f t="shared" si="3"/>
        <v/>
      </c>
      <c r="B8637" s="38"/>
      <c r="C8637" s="23"/>
      <c r="D8637" s="23"/>
      <c r="E8637" s="24"/>
      <c r="F8637" s="25"/>
      <c r="G8637" s="25"/>
      <c r="H8637" s="27"/>
      <c r="I8637" s="28"/>
      <c r="J8637" s="39"/>
      <c r="K8637" s="41"/>
      <c r="L8637" s="31" t="str">
        <f>IFERROR(__xludf.DUMMYFUNCTION("IF(OR(E8637="""",K8637=""""),"""",IFERROR(IF(K8637="""","""",query('tbl user'!$A$2:$D10975,""SELECT A WHERE D = '""&amp;K8637&amp;""'"")),""USER TIDAK DIKETAHUI""))"),"")</f>
        <v/>
      </c>
    </row>
    <row r="8638">
      <c r="A8638" s="21" t="str">
        <f t="shared" si="3"/>
        <v/>
      </c>
      <c r="B8638" s="38"/>
      <c r="C8638" s="23"/>
      <c r="D8638" s="23"/>
      <c r="E8638" s="24"/>
      <c r="F8638" s="25"/>
      <c r="G8638" s="25"/>
      <c r="H8638" s="27"/>
      <c r="I8638" s="28"/>
      <c r="J8638" s="39"/>
      <c r="K8638" s="41"/>
      <c r="L8638" s="31" t="str">
        <f>IFERROR(__xludf.DUMMYFUNCTION("IF(OR(E8638="""",K8638=""""),"""",IFERROR(IF(K8638="""","""",query('tbl user'!$A$2:$D10975,""SELECT A WHERE D = '""&amp;K8638&amp;""'"")),""USER TIDAK DIKETAHUI""))"),"")</f>
        <v/>
      </c>
    </row>
    <row r="8639">
      <c r="A8639" s="21" t="str">
        <f t="shared" si="3"/>
        <v/>
      </c>
      <c r="B8639" s="38"/>
      <c r="C8639" s="23"/>
      <c r="D8639" s="23"/>
      <c r="E8639" s="24"/>
      <c r="F8639" s="25"/>
      <c r="G8639" s="25"/>
      <c r="H8639" s="27"/>
      <c r="I8639" s="28"/>
      <c r="J8639" s="39"/>
      <c r="K8639" s="41"/>
      <c r="L8639" s="31" t="str">
        <f>IFERROR(__xludf.DUMMYFUNCTION("IF(OR(E8639="""",K8639=""""),"""",IFERROR(IF(K8639="""","""",query('tbl user'!$A$2:$D10975,""SELECT A WHERE D = '""&amp;K8639&amp;""'"")),""USER TIDAK DIKETAHUI""))"),"")</f>
        <v/>
      </c>
    </row>
    <row r="8640">
      <c r="A8640" s="21" t="str">
        <f t="shared" si="3"/>
        <v/>
      </c>
      <c r="B8640" s="38"/>
      <c r="C8640" s="23"/>
      <c r="D8640" s="23"/>
      <c r="E8640" s="24"/>
      <c r="F8640" s="25"/>
      <c r="G8640" s="25"/>
      <c r="H8640" s="27"/>
      <c r="I8640" s="28"/>
      <c r="J8640" s="39"/>
      <c r="K8640" s="41"/>
      <c r="L8640" s="31" t="str">
        <f>IFERROR(__xludf.DUMMYFUNCTION("IF(OR(E8640="""",K8640=""""),"""",IFERROR(IF(K8640="""","""",query('tbl user'!$A$2:$D10975,""SELECT A WHERE D = '""&amp;K8640&amp;""'"")),""USER TIDAK DIKETAHUI""))"),"")</f>
        <v/>
      </c>
    </row>
    <row r="8641">
      <c r="A8641" s="21" t="str">
        <f t="shared" si="3"/>
        <v/>
      </c>
      <c r="B8641" s="38"/>
      <c r="C8641" s="23"/>
      <c r="D8641" s="23"/>
      <c r="E8641" s="24"/>
      <c r="F8641" s="25"/>
      <c r="G8641" s="25"/>
      <c r="H8641" s="27"/>
      <c r="I8641" s="28"/>
      <c r="J8641" s="39"/>
      <c r="K8641" s="41"/>
      <c r="L8641" s="31" t="str">
        <f>IFERROR(__xludf.DUMMYFUNCTION("IF(OR(E8641="""",K8641=""""),"""",IFERROR(IF(K8641="""","""",query('tbl user'!$A$2:$D10975,""SELECT A WHERE D = '""&amp;K8641&amp;""'"")),""USER TIDAK DIKETAHUI""))"),"")</f>
        <v/>
      </c>
    </row>
    <row r="8642">
      <c r="A8642" s="21" t="str">
        <f t="shared" si="3"/>
        <v/>
      </c>
      <c r="B8642" s="38"/>
      <c r="C8642" s="23"/>
      <c r="D8642" s="23"/>
      <c r="E8642" s="24"/>
      <c r="F8642" s="25"/>
      <c r="G8642" s="25"/>
      <c r="H8642" s="27"/>
      <c r="I8642" s="28"/>
      <c r="J8642" s="39"/>
      <c r="K8642" s="41"/>
      <c r="L8642" s="31" t="str">
        <f>IFERROR(__xludf.DUMMYFUNCTION("IF(OR(E8642="""",K8642=""""),"""",IFERROR(IF(K8642="""","""",query('tbl user'!$A$2:$D10975,""SELECT A WHERE D = '""&amp;K8642&amp;""'"")),""USER TIDAK DIKETAHUI""))"),"")</f>
        <v/>
      </c>
    </row>
    <row r="8643">
      <c r="A8643" s="21" t="str">
        <f t="shared" si="3"/>
        <v/>
      </c>
      <c r="B8643" s="38"/>
      <c r="C8643" s="23"/>
      <c r="D8643" s="23"/>
      <c r="E8643" s="24"/>
      <c r="F8643" s="25"/>
      <c r="G8643" s="25"/>
      <c r="H8643" s="27"/>
      <c r="I8643" s="28"/>
      <c r="J8643" s="39"/>
      <c r="K8643" s="41"/>
      <c r="L8643" s="31" t="str">
        <f>IFERROR(__xludf.DUMMYFUNCTION("IF(OR(E8643="""",K8643=""""),"""",IFERROR(IF(K8643="""","""",query('tbl user'!$A$2:$D10975,""SELECT A WHERE D = '""&amp;K8643&amp;""'"")),""USER TIDAK DIKETAHUI""))"),"")</f>
        <v/>
      </c>
    </row>
    <row r="8644">
      <c r="A8644" s="21" t="str">
        <f t="shared" si="3"/>
        <v/>
      </c>
      <c r="B8644" s="38"/>
      <c r="C8644" s="23"/>
      <c r="D8644" s="23"/>
      <c r="E8644" s="24"/>
      <c r="F8644" s="25"/>
      <c r="G8644" s="25"/>
      <c r="H8644" s="27"/>
      <c r="I8644" s="28"/>
      <c r="J8644" s="39"/>
      <c r="K8644" s="41"/>
      <c r="L8644" s="31" t="str">
        <f>IFERROR(__xludf.DUMMYFUNCTION("IF(OR(E8644="""",K8644=""""),"""",IFERROR(IF(K8644="""","""",query('tbl user'!$A$2:$D10975,""SELECT A WHERE D = '""&amp;K8644&amp;""'"")),""USER TIDAK DIKETAHUI""))"),"")</f>
        <v/>
      </c>
    </row>
    <row r="8645">
      <c r="A8645" s="21" t="str">
        <f t="shared" si="3"/>
        <v/>
      </c>
      <c r="B8645" s="38"/>
      <c r="C8645" s="23"/>
      <c r="D8645" s="23"/>
      <c r="E8645" s="24"/>
      <c r="F8645" s="25"/>
      <c r="G8645" s="25"/>
      <c r="H8645" s="27"/>
      <c r="I8645" s="28"/>
      <c r="J8645" s="39"/>
      <c r="K8645" s="41"/>
      <c r="L8645" s="31" t="str">
        <f>IFERROR(__xludf.DUMMYFUNCTION("IF(OR(E8645="""",K8645=""""),"""",IFERROR(IF(K8645="""","""",query('tbl user'!$A$2:$D10975,""SELECT A WHERE D = '""&amp;K8645&amp;""'"")),""USER TIDAK DIKETAHUI""))"),"")</f>
        <v/>
      </c>
    </row>
    <row r="8646">
      <c r="A8646" s="21" t="str">
        <f t="shared" si="3"/>
        <v/>
      </c>
      <c r="B8646" s="38"/>
      <c r="C8646" s="23"/>
      <c r="D8646" s="23"/>
      <c r="E8646" s="24"/>
      <c r="F8646" s="25"/>
      <c r="G8646" s="25"/>
      <c r="H8646" s="27"/>
      <c r="I8646" s="28"/>
      <c r="J8646" s="39"/>
      <c r="K8646" s="41"/>
      <c r="L8646" s="31" t="str">
        <f>IFERROR(__xludf.DUMMYFUNCTION("IF(OR(E8646="""",K8646=""""),"""",IFERROR(IF(K8646="""","""",query('tbl user'!$A$2:$D10975,""SELECT A WHERE D = '""&amp;K8646&amp;""'"")),""USER TIDAK DIKETAHUI""))"),"")</f>
        <v/>
      </c>
    </row>
    <row r="8647">
      <c r="A8647" s="21" t="str">
        <f t="shared" si="3"/>
        <v/>
      </c>
      <c r="B8647" s="38"/>
      <c r="C8647" s="23"/>
      <c r="D8647" s="23"/>
      <c r="E8647" s="24"/>
      <c r="F8647" s="25"/>
      <c r="G8647" s="25"/>
      <c r="H8647" s="27"/>
      <c r="I8647" s="28"/>
      <c r="J8647" s="39"/>
      <c r="K8647" s="41"/>
      <c r="L8647" s="31" t="str">
        <f>IFERROR(__xludf.DUMMYFUNCTION("IF(OR(E8647="""",K8647=""""),"""",IFERROR(IF(K8647="""","""",query('tbl user'!$A$2:$D10975,""SELECT A WHERE D = '""&amp;K8647&amp;""'"")),""USER TIDAK DIKETAHUI""))"),"")</f>
        <v/>
      </c>
    </row>
    <row r="8648">
      <c r="A8648" s="21" t="str">
        <f t="shared" si="3"/>
        <v/>
      </c>
      <c r="B8648" s="38"/>
      <c r="C8648" s="23"/>
      <c r="D8648" s="23"/>
      <c r="E8648" s="24"/>
      <c r="F8648" s="25"/>
      <c r="G8648" s="25"/>
      <c r="H8648" s="27"/>
      <c r="I8648" s="28"/>
      <c r="J8648" s="39"/>
      <c r="K8648" s="41"/>
      <c r="L8648" s="31" t="str">
        <f>IFERROR(__xludf.DUMMYFUNCTION("IF(OR(E8648="""",K8648=""""),"""",IFERROR(IF(K8648="""","""",query('tbl user'!$A$2:$D10975,""SELECT A WHERE D = '""&amp;K8648&amp;""'"")),""USER TIDAK DIKETAHUI""))"),"")</f>
        <v/>
      </c>
    </row>
    <row r="8649">
      <c r="A8649" s="21" t="str">
        <f t="shared" si="3"/>
        <v/>
      </c>
      <c r="B8649" s="38"/>
      <c r="C8649" s="23"/>
      <c r="D8649" s="23"/>
      <c r="E8649" s="24"/>
      <c r="F8649" s="25"/>
      <c r="G8649" s="25"/>
      <c r="H8649" s="27"/>
      <c r="I8649" s="28"/>
      <c r="J8649" s="39"/>
      <c r="K8649" s="41"/>
      <c r="L8649" s="31" t="str">
        <f>IFERROR(__xludf.DUMMYFUNCTION("IF(OR(E8649="""",K8649=""""),"""",IFERROR(IF(K8649="""","""",query('tbl user'!$A$2:$D10975,""SELECT A WHERE D = '""&amp;K8649&amp;""'"")),""USER TIDAK DIKETAHUI""))"),"")</f>
        <v/>
      </c>
    </row>
    <row r="8650">
      <c r="A8650" s="21" t="str">
        <f t="shared" si="3"/>
        <v/>
      </c>
      <c r="B8650" s="38"/>
      <c r="C8650" s="23"/>
      <c r="D8650" s="23"/>
      <c r="E8650" s="24"/>
      <c r="F8650" s="25"/>
      <c r="G8650" s="25"/>
      <c r="H8650" s="27"/>
      <c r="I8650" s="28"/>
      <c r="J8650" s="39"/>
      <c r="K8650" s="41"/>
      <c r="L8650" s="31" t="str">
        <f>IFERROR(__xludf.DUMMYFUNCTION("IF(OR(E8650="""",K8650=""""),"""",IFERROR(IF(K8650="""","""",query('tbl user'!$A$2:$D10975,""SELECT A WHERE D = '""&amp;K8650&amp;""'"")),""USER TIDAK DIKETAHUI""))"),"")</f>
        <v/>
      </c>
    </row>
    <row r="8651">
      <c r="A8651" s="21" t="str">
        <f t="shared" si="3"/>
        <v/>
      </c>
      <c r="B8651" s="38"/>
      <c r="C8651" s="23"/>
      <c r="D8651" s="23"/>
      <c r="E8651" s="24"/>
      <c r="F8651" s="25"/>
      <c r="G8651" s="25"/>
      <c r="H8651" s="27"/>
      <c r="I8651" s="28"/>
      <c r="J8651" s="39"/>
      <c r="K8651" s="41"/>
      <c r="L8651" s="31" t="str">
        <f>IFERROR(__xludf.DUMMYFUNCTION("IF(OR(E8651="""",K8651=""""),"""",IFERROR(IF(K8651="""","""",query('tbl user'!$A$2:$D10975,""SELECT A WHERE D = '""&amp;K8651&amp;""'"")),""USER TIDAK DIKETAHUI""))"),"")</f>
        <v/>
      </c>
    </row>
    <row r="8652">
      <c r="A8652" s="21" t="str">
        <f t="shared" si="3"/>
        <v/>
      </c>
      <c r="B8652" s="38"/>
      <c r="C8652" s="23"/>
      <c r="D8652" s="23"/>
      <c r="E8652" s="24"/>
      <c r="F8652" s="25"/>
      <c r="G8652" s="25"/>
      <c r="H8652" s="27"/>
      <c r="I8652" s="28"/>
      <c r="J8652" s="39"/>
      <c r="K8652" s="41"/>
      <c r="L8652" s="31" t="str">
        <f>IFERROR(__xludf.DUMMYFUNCTION("IF(OR(E8652="""",K8652=""""),"""",IFERROR(IF(K8652="""","""",query('tbl user'!$A$2:$D10975,""SELECT A WHERE D = '""&amp;K8652&amp;""'"")),""USER TIDAK DIKETAHUI""))"),"")</f>
        <v/>
      </c>
    </row>
    <row r="8653">
      <c r="A8653" s="21" t="str">
        <f t="shared" si="3"/>
        <v/>
      </c>
      <c r="B8653" s="38"/>
      <c r="C8653" s="23"/>
      <c r="D8653" s="23"/>
      <c r="E8653" s="24"/>
      <c r="F8653" s="25"/>
      <c r="G8653" s="25"/>
      <c r="H8653" s="27"/>
      <c r="I8653" s="28"/>
      <c r="J8653" s="39"/>
      <c r="K8653" s="41"/>
      <c r="L8653" s="31" t="str">
        <f>IFERROR(__xludf.DUMMYFUNCTION("IF(OR(E8653="""",K8653=""""),"""",IFERROR(IF(K8653="""","""",query('tbl user'!$A$2:$D10975,""SELECT A WHERE D = '""&amp;K8653&amp;""'"")),""USER TIDAK DIKETAHUI""))"),"")</f>
        <v/>
      </c>
    </row>
    <row r="8654">
      <c r="A8654" s="21" t="str">
        <f t="shared" si="3"/>
        <v/>
      </c>
      <c r="B8654" s="38"/>
      <c r="C8654" s="23"/>
      <c r="D8654" s="23"/>
      <c r="E8654" s="24"/>
      <c r="F8654" s="25"/>
      <c r="G8654" s="25"/>
      <c r="H8654" s="27"/>
      <c r="I8654" s="28"/>
      <c r="J8654" s="39"/>
      <c r="K8654" s="41"/>
      <c r="L8654" s="31" t="str">
        <f>IFERROR(__xludf.DUMMYFUNCTION("IF(OR(E8654="""",K8654=""""),"""",IFERROR(IF(K8654="""","""",query('tbl user'!$A$2:$D10975,""SELECT A WHERE D = '""&amp;K8654&amp;""'"")),""USER TIDAK DIKETAHUI""))"),"")</f>
        <v/>
      </c>
    </row>
    <row r="8655">
      <c r="A8655" s="21" t="str">
        <f t="shared" si="3"/>
        <v/>
      </c>
      <c r="B8655" s="38"/>
      <c r="C8655" s="23"/>
      <c r="D8655" s="23"/>
      <c r="E8655" s="24"/>
      <c r="F8655" s="25"/>
      <c r="G8655" s="25"/>
      <c r="H8655" s="27"/>
      <c r="I8655" s="28"/>
      <c r="J8655" s="39"/>
      <c r="K8655" s="41"/>
      <c r="L8655" s="31" t="str">
        <f>IFERROR(__xludf.DUMMYFUNCTION("IF(OR(E8655="""",K8655=""""),"""",IFERROR(IF(K8655="""","""",query('tbl user'!$A$2:$D10975,""SELECT A WHERE D = '""&amp;K8655&amp;""'"")),""USER TIDAK DIKETAHUI""))"),"")</f>
        <v/>
      </c>
    </row>
    <row r="8656">
      <c r="A8656" s="21" t="str">
        <f t="shared" si="3"/>
        <v/>
      </c>
      <c r="B8656" s="38"/>
      <c r="C8656" s="23"/>
      <c r="D8656" s="23"/>
      <c r="E8656" s="24"/>
      <c r="F8656" s="25"/>
      <c r="G8656" s="25"/>
      <c r="H8656" s="27"/>
      <c r="I8656" s="28"/>
      <c r="J8656" s="39"/>
      <c r="K8656" s="41"/>
      <c r="L8656" s="31" t="str">
        <f>IFERROR(__xludf.DUMMYFUNCTION("IF(OR(E8656="""",K8656=""""),"""",IFERROR(IF(K8656="""","""",query('tbl user'!$A$2:$D10975,""SELECT A WHERE D = '""&amp;K8656&amp;""'"")),""USER TIDAK DIKETAHUI""))"),"")</f>
        <v/>
      </c>
    </row>
    <row r="8657">
      <c r="A8657" s="21" t="str">
        <f t="shared" si="3"/>
        <v/>
      </c>
      <c r="B8657" s="38"/>
      <c r="C8657" s="23"/>
      <c r="D8657" s="23"/>
      <c r="E8657" s="24"/>
      <c r="F8657" s="25"/>
      <c r="G8657" s="25"/>
      <c r="H8657" s="27"/>
      <c r="I8657" s="28"/>
      <c r="J8657" s="39"/>
      <c r="K8657" s="41"/>
      <c r="L8657" s="31" t="str">
        <f>IFERROR(__xludf.DUMMYFUNCTION("IF(OR(E8657="""",K8657=""""),"""",IFERROR(IF(K8657="""","""",query('tbl user'!$A$2:$D10975,""SELECT A WHERE D = '""&amp;K8657&amp;""'"")),""USER TIDAK DIKETAHUI""))"),"")</f>
        <v/>
      </c>
    </row>
    <row r="8658">
      <c r="A8658" s="21" t="str">
        <f t="shared" si="3"/>
        <v/>
      </c>
      <c r="B8658" s="38"/>
      <c r="C8658" s="23"/>
      <c r="D8658" s="23"/>
      <c r="E8658" s="24"/>
      <c r="F8658" s="25"/>
      <c r="G8658" s="25"/>
      <c r="H8658" s="27"/>
      <c r="I8658" s="28"/>
      <c r="J8658" s="39"/>
      <c r="K8658" s="41"/>
      <c r="L8658" s="31" t="str">
        <f>IFERROR(__xludf.DUMMYFUNCTION("IF(OR(E8658="""",K8658=""""),"""",IFERROR(IF(K8658="""","""",query('tbl user'!$A$2:$D10975,""SELECT A WHERE D = '""&amp;K8658&amp;""'"")),""USER TIDAK DIKETAHUI""))"),"")</f>
        <v/>
      </c>
    </row>
    <row r="8659">
      <c r="A8659" s="21" t="str">
        <f t="shared" si="3"/>
        <v/>
      </c>
      <c r="B8659" s="38"/>
      <c r="C8659" s="23"/>
      <c r="D8659" s="23"/>
      <c r="E8659" s="24"/>
      <c r="F8659" s="25"/>
      <c r="G8659" s="25"/>
      <c r="H8659" s="27"/>
      <c r="I8659" s="28"/>
      <c r="J8659" s="39"/>
      <c r="K8659" s="41"/>
      <c r="L8659" s="31" t="str">
        <f>IFERROR(__xludf.DUMMYFUNCTION("IF(OR(E8659="""",K8659=""""),"""",IFERROR(IF(K8659="""","""",query('tbl user'!$A$2:$D10975,""SELECT A WHERE D = '""&amp;K8659&amp;""'"")),""USER TIDAK DIKETAHUI""))"),"")</f>
        <v/>
      </c>
    </row>
    <row r="8660">
      <c r="A8660" s="21" t="str">
        <f t="shared" si="3"/>
        <v/>
      </c>
      <c r="B8660" s="38"/>
      <c r="C8660" s="23"/>
      <c r="D8660" s="23"/>
      <c r="E8660" s="24"/>
      <c r="F8660" s="25"/>
      <c r="G8660" s="25"/>
      <c r="H8660" s="27"/>
      <c r="I8660" s="28"/>
      <c r="J8660" s="39"/>
      <c r="K8660" s="41"/>
      <c r="L8660" s="31" t="str">
        <f>IFERROR(__xludf.DUMMYFUNCTION("IF(OR(E8660="""",K8660=""""),"""",IFERROR(IF(K8660="""","""",query('tbl user'!$A$2:$D10975,""SELECT A WHERE D = '""&amp;K8660&amp;""'"")),""USER TIDAK DIKETAHUI""))"),"")</f>
        <v/>
      </c>
    </row>
    <row r="8661">
      <c r="A8661" s="21" t="str">
        <f t="shared" si="3"/>
        <v/>
      </c>
      <c r="B8661" s="38"/>
      <c r="C8661" s="23"/>
      <c r="D8661" s="23"/>
      <c r="E8661" s="24"/>
      <c r="F8661" s="25"/>
      <c r="G8661" s="25"/>
      <c r="H8661" s="27"/>
      <c r="I8661" s="28"/>
      <c r="J8661" s="39"/>
      <c r="K8661" s="41"/>
      <c r="L8661" s="31" t="str">
        <f>IFERROR(__xludf.DUMMYFUNCTION("IF(OR(E8661="""",K8661=""""),"""",IFERROR(IF(K8661="""","""",query('tbl user'!$A$2:$D10975,""SELECT A WHERE D = '""&amp;K8661&amp;""'"")),""USER TIDAK DIKETAHUI""))"),"")</f>
        <v/>
      </c>
    </row>
    <row r="8662">
      <c r="A8662" s="21" t="str">
        <f t="shared" si="3"/>
        <v/>
      </c>
      <c r="B8662" s="38"/>
      <c r="C8662" s="23"/>
      <c r="D8662" s="23"/>
      <c r="E8662" s="24"/>
      <c r="F8662" s="25"/>
      <c r="G8662" s="25"/>
      <c r="H8662" s="27"/>
      <c r="I8662" s="28"/>
      <c r="J8662" s="39"/>
      <c r="K8662" s="41"/>
      <c r="L8662" s="31" t="str">
        <f>IFERROR(__xludf.DUMMYFUNCTION("IF(OR(E8662="""",K8662=""""),"""",IFERROR(IF(K8662="""","""",query('tbl user'!$A$2:$D10975,""SELECT A WHERE D = '""&amp;K8662&amp;""'"")),""USER TIDAK DIKETAHUI""))"),"")</f>
        <v/>
      </c>
    </row>
    <row r="8663">
      <c r="A8663" s="21" t="str">
        <f t="shared" si="3"/>
        <v/>
      </c>
      <c r="B8663" s="38"/>
      <c r="C8663" s="23"/>
      <c r="D8663" s="23"/>
      <c r="E8663" s="24"/>
      <c r="F8663" s="25"/>
      <c r="G8663" s="25"/>
      <c r="H8663" s="27"/>
      <c r="I8663" s="28"/>
      <c r="J8663" s="39"/>
      <c r="K8663" s="41"/>
      <c r="L8663" s="31" t="str">
        <f>IFERROR(__xludf.DUMMYFUNCTION("IF(OR(E8663="""",K8663=""""),"""",IFERROR(IF(K8663="""","""",query('tbl user'!$A$2:$D10975,""SELECT A WHERE D = '""&amp;K8663&amp;""'"")),""USER TIDAK DIKETAHUI""))"),"")</f>
        <v/>
      </c>
    </row>
    <row r="8664">
      <c r="A8664" s="21" t="str">
        <f t="shared" si="3"/>
        <v/>
      </c>
      <c r="B8664" s="38"/>
      <c r="C8664" s="23"/>
      <c r="D8664" s="23"/>
      <c r="E8664" s="24"/>
      <c r="F8664" s="25"/>
      <c r="G8664" s="25"/>
      <c r="H8664" s="27"/>
      <c r="I8664" s="28"/>
      <c r="J8664" s="39"/>
      <c r="K8664" s="41"/>
      <c r="L8664" s="31" t="str">
        <f>IFERROR(__xludf.DUMMYFUNCTION("IF(OR(E8664="""",K8664=""""),"""",IFERROR(IF(K8664="""","""",query('tbl user'!$A$2:$D10975,""SELECT A WHERE D = '""&amp;K8664&amp;""'"")),""USER TIDAK DIKETAHUI""))"),"")</f>
        <v/>
      </c>
    </row>
    <row r="8665">
      <c r="A8665" s="21" t="str">
        <f t="shared" si="3"/>
        <v/>
      </c>
      <c r="B8665" s="38"/>
      <c r="C8665" s="23"/>
      <c r="D8665" s="23"/>
      <c r="E8665" s="24"/>
      <c r="F8665" s="25"/>
      <c r="G8665" s="25"/>
      <c r="H8665" s="27"/>
      <c r="I8665" s="28"/>
      <c r="J8665" s="39"/>
      <c r="K8665" s="41"/>
      <c r="L8665" s="31" t="str">
        <f>IFERROR(__xludf.DUMMYFUNCTION("IF(OR(E8665="""",K8665=""""),"""",IFERROR(IF(K8665="""","""",query('tbl user'!$A$2:$D10975,""SELECT A WHERE D = '""&amp;K8665&amp;""'"")),""USER TIDAK DIKETAHUI""))"),"")</f>
        <v/>
      </c>
    </row>
    <row r="8666">
      <c r="A8666" s="21" t="str">
        <f t="shared" si="3"/>
        <v/>
      </c>
      <c r="B8666" s="38"/>
      <c r="C8666" s="23"/>
      <c r="D8666" s="23"/>
      <c r="E8666" s="24"/>
      <c r="F8666" s="25"/>
      <c r="G8666" s="25"/>
      <c r="H8666" s="27"/>
      <c r="I8666" s="28"/>
      <c r="J8666" s="39"/>
      <c r="K8666" s="41"/>
      <c r="L8666" s="31" t="str">
        <f>IFERROR(__xludf.DUMMYFUNCTION("IF(OR(E8666="""",K8666=""""),"""",IFERROR(IF(K8666="""","""",query('tbl user'!$A$2:$D10975,""SELECT A WHERE D = '""&amp;K8666&amp;""'"")),""USER TIDAK DIKETAHUI""))"),"")</f>
        <v/>
      </c>
    </row>
    <row r="8667">
      <c r="A8667" s="21" t="str">
        <f t="shared" si="3"/>
        <v/>
      </c>
      <c r="B8667" s="38"/>
      <c r="C8667" s="23"/>
      <c r="D8667" s="23"/>
      <c r="E8667" s="24"/>
      <c r="F8667" s="25"/>
      <c r="G8667" s="25"/>
      <c r="H8667" s="27"/>
      <c r="I8667" s="28"/>
      <c r="J8667" s="39"/>
      <c r="K8667" s="41"/>
      <c r="L8667" s="31" t="str">
        <f>IFERROR(__xludf.DUMMYFUNCTION("IF(OR(E8667="""",K8667=""""),"""",IFERROR(IF(K8667="""","""",query('tbl user'!$A$2:$D10975,""SELECT A WHERE D = '""&amp;K8667&amp;""'"")),""USER TIDAK DIKETAHUI""))"),"")</f>
        <v/>
      </c>
    </row>
    <row r="8668">
      <c r="A8668" s="21" t="str">
        <f t="shared" si="3"/>
        <v/>
      </c>
      <c r="B8668" s="38"/>
      <c r="C8668" s="23"/>
      <c r="D8668" s="23"/>
      <c r="E8668" s="24"/>
      <c r="F8668" s="25"/>
      <c r="G8668" s="25"/>
      <c r="H8668" s="27"/>
      <c r="I8668" s="28"/>
      <c r="J8668" s="39"/>
      <c r="K8668" s="41"/>
      <c r="L8668" s="31" t="str">
        <f>IFERROR(__xludf.DUMMYFUNCTION("IF(OR(E8668="""",K8668=""""),"""",IFERROR(IF(K8668="""","""",query('tbl user'!$A$2:$D10975,""SELECT A WHERE D = '""&amp;K8668&amp;""'"")),""USER TIDAK DIKETAHUI""))"),"")</f>
        <v/>
      </c>
    </row>
    <row r="8669">
      <c r="A8669" s="21" t="str">
        <f t="shared" si="3"/>
        <v/>
      </c>
      <c r="B8669" s="38"/>
      <c r="C8669" s="23"/>
      <c r="D8669" s="23"/>
      <c r="E8669" s="24"/>
      <c r="F8669" s="25"/>
      <c r="G8669" s="25"/>
      <c r="H8669" s="27"/>
      <c r="I8669" s="28"/>
      <c r="J8669" s="39"/>
      <c r="K8669" s="41"/>
      <c r="L8669" s="31" t="str">
        <f>IFERROR(__xludf.DUMMYFUNCTION("IF(OR(E8669="""",K8669=""""),"""",IFERROR(IF(K8669="""","""",query('tbl user'!$A$2:$D10975,""SELECT A WHERE D = '""&amp;K8669&amp;""'"")),""USER TIDAK DIKETAHUI""))"),"")</f>
        <v/>
      </c>
    </row>
    <row r="8670">
      <c r="A8670" s="21" t="str">
        <f t="shared" si="3"/>
        <v/>
      </c>
      <c r="B8670" s="38"/>
      <c r="C8670" s="23"/>
      <c r="D8670" s="23"/>
      <c r="E8670" s="24"/>
      <c r="F8670" s="25"/>
      <c r="G8670" s="25"/>
      <c r="H8670" s="27"/>
      <c r="I8670" s="28"/>
      <c r="J8670" s="39"/>
      <c r="K8670" s="41"/>
      <c r="L8670" s="31" t="str">
        <f>IFERROR(__xludf.DUMMYFUNCTION("IF(OR(E8670="""",K8670=""""),"""",IFERROR(IF(K8670="""","""",query('tbl user'!$A$2:$D10975,""SELECT A WHERE D = '""&amp;K8670&amp;""'"")),""USER TIDAK DIKETAHUI""))"),"")</f>
        <v/>
      </c>
    </row>
    <row r="8671">
      <c r="A8671" s="21" t="str">
        <f t="shared" si="3"/>
        <v/>
      </c>
      <c r="B8671" s="38"/>
      <c r="C8671" s="23"/>
      <c r="D8671" s="23"/>
      <c r="E8671" s="24"/>
      <c r="F8671" s="25"/>
      <c r="G8671" s="25"/>
      <c r="H8671" s="27"/>
      <c r="I8671" s="28"/>
      <c r="J8671" s="39"/>
      <c r="K8671" s="41"/>
      <c r="L8671" s="31" t="str">
        <f>IFERROR(__xludf.DUMMYFUNCTION("IF(OR(E8671="""",K8671=""""),"""",IFERROR(IF(K8671="""","""",query('tbl user'!$A$2:$D10975,""SELECT A WHERE D = '""&amp;K8671&amp;""'"")),""USER TIDAK DIKETAHUI""))"),"")</f>
        <v/>
      </c>
    </row>
    <row r="8672">
      <c r="A8672" s="21" t="str">
        <f t="shared" si="3"/>
        <v/>
      </c>
      <c r="B8672" s="38"/>
      <c r="C8672" s="23"/>
      <c r="D8672" s="23"/>
      <c r="E8672" s="24"/>
      <c r="F8672" s="25"/>
      <c r="G8672" s="25"/>
      <c r="H8672" s="27"/>
      <c r="I8672" s="28"/>
      <c r="J8672" s="39"/>
      <c r="K8672" s="41"/>
      <c r="L8672" s="31" t="str">
        <f>IFERROR(__xludf.DUMMYFUNCTION("IF(OR(E8672="""",K8672=""""),"""",IFERROR(IF(K8672="""","""",query('tbl user'!$A$2:$D10975,""SELECT A WHERE D = '""&amp;K8672&amp;""'"")),""USER TIDAK DIKETAHUI""))"),"")</f>
        <v/>
      </c>
    </row>
    <row r="8673">
      <c r="A8673" s="21" t="str">
        <f t="shared" si="3"/>
        <v/>
      </c>
      <c r="B8673" s="38"/>
      <c r="C8673" s="23"/>
      <c r="D8673" s="23"/>
      <c r="E8673" s="24"/>
      <c r="F8673" s="25"/>
      <c r="G8673" s="25"/>
      <c r="H8673" s="27"/>
      <c r="I8673" s="28"/>
      <c r="J8673" s="39"/>
      <c r="K8673" s="41"/>
      <c r="L8673" s="31" t="str">
        <f>IFERROR(__xludf.DUMMYFUNCTION("IF(OR(E8673="""",K8673=""""),"""",IFERROR(IF(K8673="""","""",query('tbl user'!$A$2:$D10975,""SELECT A WHERE D = '""&amp;K8673&amp;""'"")),""USER TIDAK DIKETAHUI""))"),"")</f>
        <v/>
      </c>
    </row>
    <row r="8674">
      <c r="A8674" s="21" t="str">
        <f t="shared" si="3"/>
        <v/>
      </c>
      <c r="B8674" s="38"/>
      <c r="C8674" s="23"/>
      <c r="D8674" s="23"/>
      <c r="E8674" s="24"/>
      <c r="F8674" s="25"/>
      <c r="G8674" s="25"/>
      <c r="H8674" s="27"/>
      <c r="I8674" s="28"/>
      <c r="J8674" s="39"/>
      <c r="K8674" s="41"/>
      <c r="L8674" s="31" t="str">
        <f>IFERROR(__xludf.DUMMYFUNCTION("IF(OR(E8674="""",K8674=""""),"""",IFERROR(IF(K8674="""","""",query('tbl user'!$A$2:$D10975,""SELECT A WHERE D = '""&amp;K8674&amp;""'"")),""USER TIDAK DIKETAHUI""))"),"")</f>
        <v/>
      </c>
    </row>
    <row r="8675">
      <c r="A8675" s="21" t="str">
        <f t="shared" si="3"/>
        <v/>
      </c>
      <c r="B8675" s="38"/>
      <c r="C8675" s="23"/>
      <c r="D8675" s="23"/>
      <c r="E8675" s="24"/>
      <c r="F8675" s="25"/>
      <c r="G8675" s="25"/>
      <c r="H8675" s="27"/>
      <c r="I8675" s="28"/>
      <c r="J8675" s="39"/>
      <c r="K8675" s="41"/>
      <c r="L8675" s="31" t="str">
        <f>IFERROR(__xludf.DUMMYFUNCTION("IF(OR(E8675="""",K8675=""""),"""",IFERROR(IF(K8675="""","""",query('tbl user'!$A$2:$D10975,""SELECT A WHERE D = '""&amp;K8675&amp;""'"")),""USER TIDAK DIKETAHUI""))"),"")</f>
        <v/>
      </c>
    </row>
    <row r="8676">
      <c r="A8676" s="21" t="str">
        <f t="shared" si="3"/>
        <v/>
      </c>
      <c r="B8676" s="38"/>
      <c r="C8676" s="23"/>
      <c r="D8676" s="23"/>
      <c r="E8676" s="24"/>
      <c r="F8676" s="25"/>
      <c r="G8676" s="25"/>
      <c r="H8676" s="27"/>
      <c r="I8676" s="28"/>
      <c r="J8676" s="39"/>
      <c r="K8676" s="41"/>
      <c r="L8676" s="31" t="str">
        <f>IFERROR(__xludf.DUMMYFUNCTION("IF(OR(E8676="""",K8676=""""),"""",IFERROR(IF(K8676="""","""",query('tbl user'!$A$2:$D10975,""SELECT A WHERE D = '""&amp;K8676&amp;""'"")),""USER TIDAK DIKETAHUI""))"),"")</f>
        <v/>
      </c>
    </row>
    <row r="8677">
      <c r="A8677" s="21" t="str">
        <f t="shared" si="3"/>
        <v/>
      </c>
      <c r="B8677" s="38"/>
      <c r="C8677" s="23"/>
      <c r="D8677" s="23"/>
      <c r="E8677" s="24"/>
      <c r="F8677" s="25"/>
      <c r="G8677" s="25"/>
      <c r="H8677" s="27"/>
      <c r="I8677" s="28"/>
      <c r="J8677" s="39"/>
      <c r="K8677" s="41"/>
      <c r="L8677" s="31" t="str">
        <f>IFERROR(__xludf.DUMMYFUNCTION("IF(OR(E8677="""",K8677=""""),"""",IFERROR(IF(K8677="""","""",query('tbl user'!$A$2:$D10975,""SELECT A WHERE D = '""&amp;K8677&amp;""'"")),""USER TIDAK DIKETAHUI""))"),"")</f>
        <v/>
      </c>
    </row>
    <row r="8678">
      <c r="A8678" s="21" t="str">
        <f t="shared" si="3"/>
        <v/>
      </c>
      <c r="B8678" s="38"/>
      <c r="C8678" s="23"/>
      <c r="D8678" s="23"/>
      <c r="E8678" s="24"/>
      <c r="F8678" s="25"/>
      <c r="G8678" s="25"/>
      <c r="H8678" s="27"/>
      <c r="I8678" s="28"/>
      <c r="J8678" s="39"/>
      <c r="K8678" s="41"/>
      <c r="L8678" s="31" t="str">
        <f>IFERROR(__xludf.DUMMYFUNCTION("IF(OR(E8678="""",K8678=""""),"""",IFERROR(IF(K8678="""","""",query('tbl user'!$A$2:$D10975,""SELECT A WHERE D = '""&amp;K8678&amp;""'"")),""USER TIDAK DIKETAHUI""))"),"")</f>
        <v/>
      </c>
    </row>
    <row r="8679">
      <c r="A8679" s="21" t="str">
        <f t="shared" si="3"/>
        <v/>
      </c>
      <c r="B8679" s="38"/>
      <c r="C8679" s="23"/>
      <c r="D8679" s="23"/>
      <c r="E8679" s="24"/>
      <c r="F8679" s="25"/>
      <c r="G8679" s="25"/>
      <c r="H8679" s="27"/>
      <c r="I8679" s="28"/>
      <c r="J8679" s="39"/>
      <c r="K8679" s="41"/>
      <c r="L8679" s="31" t="str">
        <f>IFERROR(__xludf.DUMMYFUNCTION("IF(OR(E8679="""",K8679=""""),"""",IFERROR(IF(K8679="""","""",query('tbl user'!$A$2:$D10975,""SELECT A WHERE D = '""&amp;K8679&amp;""'"")),""USER TIDAK DIKETAHUI""))"),"")</f>
        <v/>
      </c>
    </row>
    <row r="8680">
      <c r="A8680" s="21" t="str">
        <f t="shared" si="3"/>
        <v/>
      </c>
      <c r="B8680" s="38"/>
      <c r="C8680" s="23"/>
      <c r="D8680" s="23"/>
      <c r="E8680" s="24"/>
      <c r="F8680" s="25"/>
      <c r="G8680" s="25"/>
      <c r="H8680" s="27"/>
      <c r="I8680" s="28"/>
      <c r="J8680" s="39"/>
      <c r="K8680" s="41"/>
      <c r="L8680" s="31" t="str">
        <f>IFERROR(__xludf.DUMMYFUNCTION("IF(OR(E8680="""",K8680=""""),"""",IFERROR(IF(K8680="""","""",query('tbl user'!$A$2:$D10975,""SELECT A WHERE D = '""&amp;K8680&amp;""'"")),""USER TIDAK DIKETAHUI""))"),"")</f>
        <v/>
      </c>
    </row>
    <row r="8681">
      <c r="A8681" s="21" t="str">
        <f t="shared" si="3"/>
        <v/>
      </c>
      <c r="B8681" s="38"/>
      <c r="C8681" s="23"/>
      <c r="D8681" s="23"/>
      <c r="E8681" s="24"/>
      <c r="F8681" s="25"/>
      <c r="G8681" s="25"/>
      <c r="H8681" s="27"/>
      <c r="I8681" s="28"/>
      <c r="J8681" s="39"/>
      <c r="K8681" s="41"/>
      <c r="L8681" s="31" t="str">
        <f>IFERROR(__xludf.DUMMYFUNCTION("IF(OR(E8681="""",K8681=""""),"""",IFERROR(IF(K8681="""","""",query('tbl user'!$A$2:$D10975,""SELECT A WHERE D = '""&amp;K8681&amp;""'"")),""USER TIDAK DIKETAHUI""))"),"")</f>
        <v/>
      </c>
    </row>
    <row r="8682">
      <c r="A8682" s="21" t="str">
        <f t="shared" si="3"/>
        <v/>
      </c>
      <c r="B8682" s="38"/>
      <c r="C8682" s="23"/>
      <c r="D8682" s="23"/>
      <c r="E8682" s="24"/>
      <c r="F8682" s="25"/>
      <c r="G8682" s="25"/>
      <c r="H8682" s="27"/>
      <c r="I8682" s="28"/>
      <c r="J8682" s="39"/>
      <c r="K8682" s="41"/>
      <c r="L8682" s="31" t="str">
        <f>IFERROR(__xludf.DUMMYFUNCTION("IF(OR(E8682="""",K8682=""""),"""",IFERROR(IF(K8682="""","""",query('tbl user'!$A$2:$D10975,""SELECT A WHERE D = '""&amp;K8682&amp;""'"")),""USER TIDAK DIKETAHUI""))"),"")</f>
        <v/>
      </c>
    </row>
    <row r="8683">
      <c r="A8683" s="21" t="str">
        <f t="shared" si="3"/>
        <v/>
      </c>
      <c r="B8683" s="38"/>
      <c r="C8683" s="23"/>
      <c r="D8683" s="23"/>
      <c r="E8683" s="24"/>
      <c r="F8683" s="25"/>
      <c r="G8683" s="25"/>
      <c r="H8683" s="27"/>
      <c r="I8683" s="28"/>
      <c r="J8683" s="39"/>
      <c r="K8683" s="41"/>
      <c r="L8683" s="31" t="str">
        <f>IFERROR(__xludf.DUMMYFUNCTION("IF(OR(E8683="""",K8683=""""),"""",IFERROR(IF(K8683="""","""",query('tbl user'!$A$2:$D10975,""SELECT A WHERE D = '""&amp;K8683&amp;""'"")),""USER TIDAK DIKETAHUI""))"),"")</f>
        <v/>
      </c>
    </row>
    <row r="8684">
      <c r="A8684" s="21" t="str">
        <f t="shared" si="3"/>
        <v/>
      </c>
      <c r="B8684" s="38"/>
      <c r="C8684" s="23"/>
      <c r="D8684" s="23"/>
      <c r="E8684" s="24"/>
      <c r="F8684" s="25"/>
      <c r="G8684" s="25"/>
      <c r="H8684" s="27"/>
      <c r="I8684" s="28"/>
      <c r="J8684" s="39"/>
      <c r="K8684" s="41"/>
      <c r="L8684" s="31" t="str">
        <f>IFERROR(__xludf.DUMMYFUNCTION("IF(OR(E8684="""",K8684=""""),"""",IFERROR(IF(K8684="""","""",query('tbl user'!$A$2:$D10975,""SELECT A WHERE D = '""&amp;K8684&amp;""'"")),""USER TIDAK DIKETAHUI""))"),"")</f>
        <v/>
      </c>
    </row>
    <row r="8685">
      <c r="A8685" s="21" t="str">
        <f t="shared" si="3"/>
        <v/>
      </c>
      <c r="B8685" s="38"/>
      <c r="C8685" s="23"/>
      <c r="D8685" s="23"/>
      <c r="E8685" s="24"/>
      <c r="F8685" s="25"/>
      <c r="G8685" s="25"/>
      <c r="H8685" s="27"/>
      <c r="I8685" s="28"/>
      <c r="J8685" s="39"/>
      <c r="K8685" s="41"/>
      <c r="L8685" s="31" t="str">
        <f>IFERROR(__xludf.DUMMYFUNCTION("IF(OR(E8685="""",K8685=""""),"""",IFERROR(IF(K8685="""","""",query('tbl user'!$A$2:$D10975,""SELECT A WHERE D = '""&amp;K8685&amp;""'"")),""USER TIDAK DIKETAHUI""))"),"")</f>
        <v/>
      </c>
    </row>
    <row r="8686">
      <c r="A8686" s="21" t="str">
        <f t="shared" si="3"/>
        <v/>
      </c>
      <c r="B8686" s="38"/>
      <c r="C8686" s="23"/>
      <c r="D8686" s="23"/>
      <c r="E8686" s="24"/>
      <c r="F8686" s="25"/>
      <c r="G8686" s="25"/>
      <c r="H8686" s="27"/>
      <c r="I8686" s="28"/>
      <c r="J8686" s="39"/>
      <c r="K8686" s="41"/>
      <c r="L8686" s="31" t="str">
        <f>IFERROR(__xludf.DUMMYFUNCTION("IF(OR(E8686="""",K8686=""""),"""",IFERROR(IF(K8686="""","""",query('tbl user'!$A$2:$D10975,""SELECT A WHERE D = '""&amp;K8686&amp;""'"")),""USER TIDAK DIKETAHUI""))"),"")</f>
        <v/>
      </c>
    </row>
    <row r="8687">
      <c r="A8687" s="21" t="str">
        <f t="shared" si="3"/>
        <v/>
      </c>
      <c r="B8687" s="38"/>
      <c r="C8687" s="23"/>
      <c r="D8687" s="23"/>
      <c r="E8687" s="24"/>
      <c r="F8687" s="25"/>
      <c r="G8687" s="25"/>
      <c r="H8687" s="27"/>
      <c r="I8687" s="28"/>
      <c r="J8687" s="39"/>
      <c r="K8687" s="41"/>
      <c r="L8687" s="31" t="str">
        <f>IFERROR(__xludf.DUMMYFUNCTION("IF(OR(E8687="""",K8687=""""),"""",IFERROR(IF(K8687="""","""",query('tbl user'!$A$2:$D10975,""SELECT A WHERE D = '""&amp;K8687&amp;""'"")),""USER TIDAK DIKETAHUI""))"),"")</f>
        <v/>
      </c>
    </row>
    <row r="8688">
      <c r="A8688" s="21" t="str">
        <f t="shared" si="3"/>
        <v/>
      </c>
      <c r="B8688" s="38"/>
      <c r="C8688" s="23"/>
      <c r="D8688" s="23"/>
      <c r="E8688" s="24"/>
      <c r="F8688" s="25"/>
      <c r="G8688" s="25"/>
      <c r="H8688" s="27"/>
      <c r="I8688" s="28"/>
      <c r="J8688" s="39"/>
      <c r="K8688" s="41"/>
      <c r="L8688" s="31" t="str">
        <f>IFERROR(__xludf.DUMMYFUNCTION("IF(OR(E8688="""",K8688=""""),"""",IFERROR(IF(K8688="""","""",query('tbl user'!$A$2:$D10975,""SELECT A WHERE D = '""&amp;K8688&amp;""'"")),""USER TIDAK DIKETAHUI""))"),"")</f>
        <v/>
      </c>
    </row>
    <row r="8689">
      <c r="A8689" s="21" t="str">
        <f t="shared" si="3"/>
        <v/>
      </c>
      <c r="B8689" s="38"/>
      <c r="C8689" s="23"/>
      <c r="D8689" s="23"/>
      <c r="E8689" s="24"/>
      <c r="F8689" s="25"/>
      <c r="G8689" s="25"/>
      <c r="H8689" s="27"/>
      <c r="I8689" s="28"/>
      <c r="J8689" s="39"/>
      <c r="K8689" s="41"/>
      <c r="L8689" s="31" t="str">
        <f>IFERROR(__xludf.DUMMYFUNCTION("IF(OR(E8689="""",K8689=""""),"""",IFERROR(IF(K8689="""","""",query('tbl user'!$A$2:$D10975,""SELECT A WHERE D = '""&amp;K8689&amp;""'"")),""USER TIDAK DIKETAHUI""))"),"")</f>
        <v/>
      </c>
    </row>
    <row r="8690">
      <c r="A8690" s="21" t="str">
        <f t="shared" si="3"/>
        <v/>
      </c>
      <c r="B8690" s="38"/>
      <c r="C8690" s="23"/>
      <c r="D8690" s="23"/>
      <c r="E8690" s="24"/>
      <c r="F8690" s="25"/>
      <c r="G8690" s="25"/>
      <c r="H8690" s="27"/>
      <c r="I8690" s="28"/>
      <c r="J8690" s="39"/>
      <c r="K8690" s="41"/>
      <c r="L8690" s="31" t="str">
        <f>IFERROR(__xludf.DUMMYFUNCTION("IF(OR(E8690="""",K8690=""""),"""",IFERROR(IF(K8690="""","""",query('tbl user'!$A$2:$D10975,""SELECT A WHERE D = '""&amp;K8690&amp;""'"")),""USER TIDAK DIKETAHUI""))"),"")</f>
        <v/>
      </c>
    </row>
    <row r="8691">
      <c r="A8691" s="21" t="str">
        <f t="shared" si="3"/>
        <v/>
      </c>
      <c r="B8691" s="38"/>
      <c r="C8691" s="23"/>
      <c r="D8691" s="23"/>
      <c r="E8691" s="24"/>
      <c r="F8691" s="25"/>
      <c r="G8691" s="25"/>
      <c r="H8691" s="27"/>
      <c r="I8691" s="28"/>
      <c r="J8691" s="39"/>
      <c r="K8691" s="41"/>
      <c r="L8691" s="31" t="str">
        <f>IFERROR(__xludf.DUMMYFUNCTION("IF(OR(E8691="""",K8691=""""),"""",IFERROR(IF(K8691="""","""",query('tbl user'!$A$2:$D10975,""SELECT A WHERE D = '""&amp;K8691&amp;""'"")),""USER TIDAK DIKETAHUI""))"),"")</f>
        <v/>
      </c>
    </row>
    <row r="8692">
      <c r="A8692" s="21" t="str">
        <f t="shared" si="3"/>
        <v/>
      </c>
      <c r="B8692" s="38"/>
      <c r="C8692" s="23"/>
      <c r="D8692" s="23"/>
      <c r="E8692" s="24"/>
      <c r="F8692" s="25"/>
      <c r="G8692" s="25"/>
      <c r="H8692" s="27"/>
      <c r="I8692" s="28"/>
      <c r="J8692" s="39"/>
      <c r="K8692" s="41"/>
      <c r="L8692" s="31" t="str">
        <f>IFERROR(__xludf.DUMMYFUNCTION("IF(OR(E8692="""",K8692=""""),"""",IFERROR(IF(K8692="""","""",query('tbl user'!$A$2:$D10975,""SELECT A WHERE D = '""&amp;K8692&amp;""'"")),""USER TIDAK DIKETAHUI""))"),"")</f>
        <v/>
      </c>
    </row>
    <row r="8693">
      <c r="A8693" s="21" t="str">
        <f t="shared" si="3"/>
        <v/>
      </c>
      <c r="B8693" s="38"/>
      <c r="C8693" s="23"/>
      <c r="D8693" s="23"/>
      <c r="E8693" s="24"/>
      <c r="F8693" s="25"/>
      <c r="G8693" s="25"/>
      <c r="H8693" s="27"/>
      <c r="I8693" s="28"/>
      <c r="J8693" s="39"/>
      <c r="K8693" s="41"/>
      <c r="L8693" s="31" t="str">
        <f>IFERROR(__xludf.DUMMYFUNCTION("IF(OR(E8693="""",K8693=""""),"""",IFERROR(IF(K8693="""","""",query('tbl user'!$A$2:$D10975,""SELECT A WHERE D = '""&amp;K8693&amp;""'"")),""USER TIDAK DIKETAHUI""))"),"")</f>
        <v/>
      </c>
    </row>
    <row r="8694">
      <c r="A8694" s="21" t="str">
        <f t="shared" si="3"/>
        <v/>
      </c>
      <c r="B8694" s="38"/>
      <c r="C8694" s="23"/>
      <c r="D8694" s="23"/>
      <c r="E8694" s="24"/>
      <c r="F8694" s="25"/>
      <c r="G8694" s="25"/>
      <c r="H8694" s="27"/>
      <c r="I8694" s="28"/>
      <c r="J8694" s="39"/>
      <c r="K8694" s="41"/>
      <c r="L8694" s="31" t="str">
        <f>IFERROR(__xludf.DUMMYFUNCTION("IF(OR(E8694="""",K8694=""""),"""",IFERROR(IF(K8694="""","""",query('tbl user'!$A$2:$D10975,""SELECT A WHERE D = '""&amp;K8694&amp;""'"")),""USER TIDAK DIKETAHUI""))"),"")</f>
        <v/>
      </c>
    </row>
    <row r="8695">
      <c r="A8695" s="21" t="str">
        <f t="shared" si="3"/>
        <v/>
      </c>
      <c r="B8695" s="38"/>
      <c r="C8695" s="23"/>
      <c r="D8695" s="23"/>
      <c r="E8695" s="24"/>
      <c r="F8695" s="25"/>
      <c r="G8695" s="25"/>
      <c r="H8695" s="27"/>
      <c r="I8695" s="28"/>
      <c r="J8695" s="39"/>
      <c r="K8695" s="41"/>
      <c r="L8695" s="31" t="str">
        <f>IFERROR(__xludf.DUMMYFUNCTION("IF(OR(E8695="""",K8695=""""),"""",IFERROR(IF(K8695="""","""",query('tbl user'!$A$2:$D10975,""SELECT A WHERE D = '""&amp;K8695&amp;""'"")),""USER TIDAK DIKETAHUI""))"),"")</f>
        <v/>
      </c>
    </row>
    <row r="8696">
      <c r="A8696" s="21" t="str">
        <f t="shared" si="3"/>
        <v/>
      </c>
      <c r="B8696" s="38"/>
      <c r="C8696" s="23"/>
      <c r="D8696" s="23"/>
      <c r="E8696" s="24"/>
      <c r="F8696" s="25"/>
      <c r="G8696" s="25"/>
      <c r="H8696" s="27"/>
      <c r="I8696" s="28"/>
      <c r="J8696" s="39"/>
      <c r="K8696" s="41"/>
      <c r="L8696" s="31" t="str">
        <f>IFERROR(__xludf.DUMMYFUNCTION("IF(OR(E8696="""",K8696=""""),"""",IFERROR(IF(K8696="""","""",query('tbl user'!$A$2:$D10975,""SELECT A WHERE D = '""&amp;K8696&amp;""'"")),""USER TIDAK DIKETAHUI""))"),"")</f>
        <v/>
      </c>
    </row>
    <row r="8697">
      <c r="A8697" s="21" t="str">
        <f t="shared" si="3"/>
        <v/>
      </c>
      <c r="B8697" s="38"/>
      <c r="C8697" s="23"/>
      <c r="D8697" s="23"/>
      <c r="E8697" s="24"/>
      <c r="F8697" s="25"/>
      <c r="G8697" s="25"/>
      <c r="H8697" s="27"/>
      <c r="I8697" s="28"/>
      <c r="J8697" s="39"/>
      <c r="K8697" s="41"/>
      <c r="L8697" s="31" t="str">
        <f>IFERROR(__xludf.DUMMYFUNCTION("IF(OR(E8697="""",K8697=""""),"""",IFERROR(IF(K8697="""","""",query('tbl user'!$A$2:$D10975,""SELECT A WHERE D = '""&amp;K8697&amp;""'"")),""USER TIDAK DIKETAHUI""))"),"")</f>
        <v/>
      </c>
    </row>
    <row r="8698">
      <c r="A8698" s="21" t="str">
        <f t="shared" si="3"/>
        <v/>
      </c>
      <c r="B8698" s="38"/>
      <c r="C8698" s="23"/>
      <c r="D8698" s="23"/>
      <c r="E8698" s="24"/>
      <c r="F8698" s="25"/>
      <c r="G8698" s="25"/>
      <c r="H8698" s="27"/>
      <c r="I8698" s="28"/>
      <c r="J8698" s="39"/>
      <c r="K8698" s="41"/>
      <c r="L8698" s="31" t="str">
        <f>IFERROR(__xludf.DUMMYFUNCTION("IF(OR(E8698="""",K8698=""""),"""",IFERROR(IF(K8698="""","""",query('tbl user'!$A$2:$D10975,""SELECT A WHERE D = '""&amp;K8698&amp;""'"")),""USER TIDAK DIKETAHUI""))"),"")</f>
        <v/>
      </c>
    </row>
    <row r="8699">
      <c r="A8699" s="21" t="str">
        <f t="shared" si="3"/>
        <v/>
      </c>
      <c r="B8699" s="38"/>
      <c r="C8699" s="23"/>
      <c r="D8699" s="23"/>
      <c r="E8699" s="24"/>
      <c r="F8699" s="25"/>
      <c r="G8699" s="25"/>
      <c r="H8699" s="27"/>
      <c r="I8699" s="28"/>
      <c r="J8699" s="39"/>
      <c r="K8699" s="41"/>
      <c r="L8699" s="31" t="str">
        <f>IFERROR(__xludf.DUMMYFUNCTION("IF(OR(E8699="""",K8699=""""),"""",IFERROR(IF(K8699="""","""",query('tbl user'!$A$2:$D10975,""SELECT A WHERE D = '""&amp;K8699&amp;""'"")),""USER TIDAK DIKETAHUI""))"),"")</f>
        <v/>
      </c>
    </row>
    <row r="8700">
      <c r="A8700" s="21" t="str">
        <f t="shared" si="3"/>
        <v/>
      </c>
      <c r="B8700" s="38"/>
      <c r="C8700" s="23"/>
      <c r="D8700" s="23"/>
      <c r="E8700" s="24"/>
      <c r="F8700" s="25"/>
      <c r="G8700" s="25"/>
      <c r="H8700" s="27"/>
      <c r="I8700" s="28"/>
      <c r="J8700" s="39"/>
      <c r="K8700" s="41"/>
      <c r="L8700" s="31" t="str">
        <f>IFERROR(__xludf.DUMMYFUNCTION("IF(OR(E8700="""",K8700=""""),"""",IFERROR(IF(K8700="""","""",query('tbl user'!$A$2:$D10975,""SELECT A WHERE D = '""&amp;K8700&amp;""'"")),""USER TIDAK DIKETAHUI""))"),"")</f>
        <v/>
      </c>
    </row>
    <row r="8701">
      <c r="A8701" s="21" t="str">
        <f t="shared" si="3"/>
        <v/>
      </c>
      <c r="B8701" s="38"/>
      <c r="C8701" s="23"/>
      <c r="D8701" s="23"/>
      <c r="E8701" s="24"/>
      <c r="F8701" s="25"/>
      <c r="G8701" s="25"/>
      <c r="H8701" s="27"/>
      <c r="I8701" s="28"/>
      <c r="J8701" s="39"/>
      <c r="K8701" s="41"/>
      <c r="L8701" s="31" t="str">
        <f>IFERROR(__xludf.DUMMYFUNCTION("IF(OR(E8701="""",K8701=""""),"""",IFERROR(IF(K8701="""","""",query('tbl user'!$A$2:$D10975,""SELECT A WHERE D = '""&amp;K8701&amp;""'"")),""USER TIDAK DIKETAHUI""))"),"")</f>
        <v/>
      </c>
    </row>
    <row r="8702">
      <c r="A8702" s="21" t="str">
        <f t="shared" si="3"/>
        <v/>
      </c>
      <c r="B8702" s="38"/>
      <c r="C8702" s="23"/>
      <c r="D8702" s="23"/>
      <c r="E8702" s="24"/>
      <c r="F8702" s="25"/>
      <c r="G8702" s="25"/>
      <c r="H8702" s="27"/>
      <c r="I8702" s="28"/>
      <c r="J8702" s="39"/>
      <c r="K8702" s="41"/>
      <c r="L8702" s="31" t="str">
        <f>IFERROR(__xludf.DUMMYFUNCTION("IF(OR(E8702="""",K8702=""""),"""",IFERROR(IF(K8702="""","""",query('tbl user'!$A$2:$D10975,""SELECT A WHERE D = '""&amp;K8702&amp;""'"")),""USER TIDAK DIKETAHUI""))"),"")</f>
        <v/>
      </c>
    </row>
    <row r="8703">
      <c r="A8703" s="21" t="str">
        <f t="shared" si="3"/>
        <v/>
      </c>
      <c r="B8703" s="38"/>
      <c r="C8703" s="23"/>
      <c r="D8703" s="23"/>
      <c r="E8703" s="24"/>
      <c r="F8703" s="25"/>
      <c r="G8703" s="25"/>
      <c r="H8703" s="27"/>
      <c r="I8703" s="28"/>
      <c r="J8703" s="39"/>
      <c r="K8703" s="41"/>
      <c r="L8703" s="31" t="str">
        <f>IFERROR(__xludf.DUMMYFUNCTION("IF(OR(E8703="""",K8703=""""),"""",IFERROR(IF(K8703="""","""",query('tbl user'!$A$2:$D10975,""SELECT A WHERE D = '""&amp;K8703&amp;""'"")),""USER TIDAK DIKETAHUI""))"),"")</f>
        <v/>
      </c>
    </row>
    <row r="8704">
      <c r="A8704" s="21" t="str">
        <f t="shared" si="3"/>
        <v/>
      </c>
      <c r="B8704" s="38"/>
      <c r="C8704" s="23"/>
      <c r="D8704" s="23"/>
      <c r="E8704" s="24"/>
      <c r="F8704" s="25"/>
      <c r="G8704" s="25"/>
      <c r="H8704" s="27"/>
      <c r="I8704" s="28"/>
      <c r="J8704" s="39"/>
      <c r="K8704" s="41"/>
      <c r="L8704" s="31" t="str">
        <f>IFERROR(__xludf.DUMMYFUNCTION("IF(OR(E8704="""",K8704=""""),"""",IFERROR(IF(K8704="""","""",query('tbl user'!$A$2:$D10975,""SELECT A WHERE D = '""&amp;K8704&amp;""'"")),""USER TIDAK DIKETAHUI""))"),"")</f>
        <v/>
      </c>
    </row>
    <row r="8705">
      <c r="A8705" s="21" t="str">
        <f t="shared" si="3"/>
        <v/>
      </c>
      <c r="B8705" s="38"/>
      <c r="C8705" s="23"/>
      <c r="D8705" s="23"/>
      <c r="E8705" s="24"/>
      <c r="F8705" s="25"/>
      <c r="G8705" s="25"/>
      <c r="H8705" s="27"/>
      <c r="I8705" s="28"/>
      <c r="J8705" s="39"/>
      <c r="K8705" s="41"/>
      <c r="L8705" s="31" t="str">
        <f>IFERROR(__xludf.DUMMYFUNCTION("IF(OR(E8705="""",K8705=""""),"""",IFERROR(IF(K8705="""","""",query('tbl user'!$A$2:$D10975,""SELECT A WHERE D = '""&amp;K8705&amp;""'"")),""USER TIDAK DIKETAHUI""))"),"")</f>
        <v/>
      </c>
    </row>
    <row r="8706">
      <c r="A8706" s="21" t="str">
        <f t="shared" si="3"/>
        <v/>
      </c>
      <c r="B8706" s="38"/>
      <c r="C8706" s="23"/>
      <c r="D8706" s="23"/>
      <c r="E8706" s="24"/>
      <c r="F8706" s="25"/>
      <c r="G8706" s="25"/>
      <c r="H8706" s="27"/>
      <c r="I8706" s="28"/>
      <c r="J8706" s="39"/>
      <c r="K8706" s="41"/>
      <c r="L8706" s="31" t="str">
        <f>IFERROR(__xludf.DUMMYFUNCTION("IF(OR(E8706="""",K8706=""""),"""",IFERROR(IF(K8706="""","""",query('tbl user'!$A$2:$D10975,""SELECT A WHERE D = '""&amp;K8706&amp;""'"")),""USER TIDAK DIKETAHUI""))"),"")</f>
        <v/>
      </c>
    </row>
    <row r="8707">
      <c r="A8707" s="21" t="str">
        <f t="shared" si="3"/>
        <v/>
      </c>
      <c r="B8707" s="38"/>
      <c r="C8707" s="23"/>
      <c r="D8707" s="23"/>
      <c r="E8707" s="24"/>
      <c r="F8707" s="25"/>
      <c r="G8707" s="25"/>
      <c r="H8707" s="27"/>
      <c r="I8707" s="28"/>
      <c r="J8707" s="39"/>
      <c r="K8707" s="41"/>
      <c r="L8707" s="31" t="str">
        <f>IFERROR(__xludf.DUMMYFUNCTION("IF(OR(E8707="""",K8707=""""),"""",IFERROR(IF(K8707="""","""",query('tbl user'!$A$2:$D10975,""SELECT A WHERE D = '""&amp;K8707&amp;""'"")),""USER TIDAK DIKETAHUI""))"),"")</f>
        <v/>
      </c>
    </row>
    <row r="8708">
      <c r="A8708" s="21" t="str">
        <f t="shared" si="3"/>
        <v/>
      </c>
      <c r="B8708" s="38"/>
      <c r="C8708" s="23"/>
      <c r="D8708" s="23"/>
      <c r="E8708" s="24"/>
      <c r="F8708" s="25"/>
      <c r="G8708" s="25"/>
      <c r="H8708" s="27"/>
      <c r="I8708" s="28"/>
      <c r="J8708" s="39"/>
      <c r="K8708" s="41"/>
      <c r="L8708" s="31" t="str">
        <f>IFERROR(__xludf.DUMMYFUNCTION("IF(OR(E8708="""",K8708=""""),"""",IFERROR(IF(K8708="""","""",query('tbl user'!$A$2:$D10975,""SELECT A WHERE D = '""&amp;K8708&amp;""'"")),""USER TIDAK DIKETAHUI""))"),"")</f>
        <v/>
      </c>
    </row>
    <row r="8709">
      <c r="A8709" s="21" t="str">
        <f t="shared" si="3"/>
        <v/>
      </c>
      <c r="B8709" s="38"/>
      <c r="C8709" s="23"/>
      <c r="D8709" s="23"/>
      <c r="E8709" s="24"/>
      <c r="F8709" s="25"/>
      <c r="G8709" s="25"/>
      <c r="H8709" s="27"/>
      <c r="I8709" s="28"/>
      <c r="J8709" s="39"/>
      <c r="K8709" s="41"/>
      <c r="L8709" s="31" t="str">
        <f>IFERROR(__xludf.DUMMYFUNCTION("IF(OR(E8709="""",K8709=""""),"""",IFERROR(IF(K8709="""","""",query('tbl user'!$A$2:$D10975,""SELECT A WHERE D = '""&amp;K8709&amp;""'"")),""USER TIDAK DIKETAHUI""))"),"")</f>
        <v/>
      </c>
    </row>
    <row r="8710">
      <c r="A8710" s="21" t="str">
        <f t="shared" si="3"/>
        <v/>
      </c>
      <c r="B8710" s="38"/>
      <c r="C8710" s="23"/>
      <c r="D8710" s="23"/>
      <c r="E8710" s="24"/>
      <c r="F8710" s="25"/>
      <c r="G8710" s="25"/>
      <c r="H8710" s="27"/>
      <c r="I8710" s="28"/>
      <c r="J8710" s="39"/>
      <c r="K8710" s="41"/>
      <c r="L8710" s="31" t="str">
        <f>IFERROR(__xludf.DUMMYFUNCTION("IF(OR(E8710="""",K8710=""""),"""",IFERROR(IF(K8710="""","""",query('tbl user'!$A$2:$D10975,""SELECT A WHERE D = '""&amp;K8710&amp;""'"")),""USER TIDAK DIKETAHUI""))"),"")</f>
        <v/>
      </c>
    </row>
    <row r="8711">
      <c r="A8711" s="21" t="str">
        <f t="shared" si="3"/>
        <v/>
      </c>
      <c r="B8711" s="38"/>
      <c r="C8711" s="23"/>
      <c r="D8711" s="23"/>
      <c r="E8711" s="24"/>
      <c r="F8711" s="25"/>
      <c r="G8711" s="25"/>
      <c r="H8711" s="27"/>
      <c r="I8711" s="28"/>
      <c r="J8711" s="39"/>
      <c r="K8711" s="41"/>
      <c r="L8711" s="31" t="str">
        <f>IFERROR(__xludf.DUMMYFUNCTION("IF(OR(E8711="""",K8711=""""),"""",IFERROR(IF(K8711="""","""",query('tbl user'!$A$2:$D10975,""SELECT A WHERE D = '""&amp;K8711&amp;""'"")),""USER TIDAK DIKETAHUI""))"),"")</f>
        <v/>
      </c>
    </row>
    <row r="8712">
      <c r="A8712" s="21" t="str">
        <f t="shared" si="3"/>
        <v/>
      </c>
      <c r="B8712" s="38"/>
      <c r="C8712" s="23"/>
      <c r="D8712" s="23"/>
      <c r="E8712" s="24"/>
      <c r="F8712" s="25"/>
      <c r="G8712" s="25"/>
      <c r="H8712" s="27"/>
      <c r="I8712" s="28"/>
      <c r="J8712" s="39"/>
      <c r="K8712" s="41"/>
      <c r="L8712" s="31" t="str">
        <f>IFERROR(__xludf.DUMMYFUNCTION("IF(OR(E8712="""",K8712=""""),"""",IFERROR(IF(K8712="""","""",query('tbl user'!$A$2:$D10975,""SELECT A WHERE D = '""&amp;K8712&amp;""'"")),""USER TIDAK DIKETAHUI""))"),"")</f>
        <v/>
      </c>
    </row>
    <row r="8713">
      <c r="A8713" s="21" t="str">
        <f t="shared" si="3"/>
        <v/>
      </c>
      <c r="B8713" s="38"/>
      <c r="C8713" s="23"/>
      <c r="D8713" s="23"/>
      <c r="E8713" s="24"/>
      <c r="F8713" s="25"/>
      <c r="G8713" s="25"/>
      <c r="H8713" s="27"/>
      <c r="I8713" s="28"/>
      <c r="J8713" s="39"/>
      <c r="K8713" s="41"/>
      <c r="L8713" s="31" t="str">
        <f>IFERROR(__xludf.DUMMYFUNCTION("IF(OR(E8713="""",K8713=""""),"""",IFERROR(IF(K8713="""","""",query('tbl user'!$A$2:$D10975,""SELECT A WHERE D = '""&amp;K8713&amp;""'"")),""USER TIDAK DIKETAHUI""))"),"")</f>
        <v/>
      </c>
    </row>
    <row r="8714">
      <c r="A8714" s="21" t="str">
        <f t="shared" si="3"/>
        <v/>
      </c>
      <c r="B8714" s="38"/>
      <c r="C8714" s="23"/>
      <c r="D8714" s="23"/>
      <c r="E8714" s="24"/>
      <c r="F8714" s="25"/>
      <c r="G8714" s="25"/>
      <c r="H8714" s="27"/>
      <c r="I8714" s="28"/>
      <c r="J8714" s="39"/>
      <c r="K8714" s="41"/>
      <c r="L8714" s="31" t="str">
        <f>IFERROR(__xludf.DUMMYFUNCTION("IF(OR(E8714="""",K8714=""""),"""",IFERROR(IF(K8714="""","""",query('tbl user'!$A$2:$D10975,""SELECT A WHERE D = '""&amp;K8714&amp;""'"")),""USER TIDAK DIKETAHUI""))"),"")</f>
        <v/>
      </c>
    </row>
    <row r="8715">
      <c r="A8715" s="21" t="str">
        <f t="shared" si="3"/>
        <v/>
      </c>
      <c r="B8715" s="38"/>
      <c r="C8715" s="23"/>
      <c r="D8715" s="23"/>
      <c r="E8715" s="24"/>
      <c r="F8715" s="25"/>
      <c r="G8715" s="25"/>
      <c r="H8715" s="27"/>
      <c r="I8715" s="28"/>
      <c r="J8715" s="39"/>
      <c r="K8715" s="41"/>
      <c r="L8715" s="31" t="str">
        <f>IFERROR(__xludf.DUMMYFUNCTION("IF(OR(E8715="""",K8715=""""),"""",IFERROR(IF(K8715="""","""",query('tbl user'!$A$2:$D10975,""SELECT A WHERE D = '""&amp;K8715&amp;""'"")),""USER TIDAK DIKETAHUI""))"),"")</f>
        <v/>
      </c>
    </row>
    <row r="8716">
      <c r="A8716" s="21" t="str">
        <f t="shared" si="3"/>
        <v/>
      </c>
      <c r="B8716" s="38"/>
      <c r="C8716" s="23"/>
      <c r="D8716" s="23"/>
      <c r="E8716" s="24"/>
      <c r="F8716" s="25"/>
      <c r="G8716" s="25"/>
      <c r="H8716" s="27"/>
      <c r="I8716" s="28"/>
      <c r="J8716" s="39"/>
      <c r="K8716" s="41"/>
      <c r="L8716" s="31" t="str">
        <f>IFERROR(__xludf.DUMMYFUNCTION("IF(OR(E8716="""",K8716=""""),"""",IFERROR(IF(K8716="""","""",query('tbl user'!$A$2:$D10975,""SELECT A WHERE D = '""&amp;K8716&amp;""'"")),""USER TIDAK DIKETAHUI""))"),"")</f>
        <v/>
      </c>
    </row>
    <row r="8717">
      <c r="A8717" s="21" t="str">
        <f t="shared" si="3"/>
        <v/>
      </c>
      <c r="B8717" s="38"/>
      <c r="C8717" s="23"/>
      <c r="D8717" s="23"/>
      <c r="E8717" s="24"/>
      <c r="F8717" s="25"/>
      <c r="G8717" s="25"/>
      <c r="H8717" s="27"/>
      <c r="I8717" s="28"/>
      <c r="J8717" s="39"/>
      <c r="K8717" s="41"/>
      <c r="L8717" s="31" t="str">
        <f>IFERROR(__xludf.DUMMYFUNCTION("IF(OR(E8717="""",K8717=""""),"""",IFERROR(IF(K8717="""","""",query('tbl user'!$A$2:$D10975,""SELECT A WHERE D = '""&amp;K8717&amp;""'"")),""USER TIDAK DIKETAHUI""))"),"")</f>
        <v/>
      </c>
    </row>
    <row r="8718">
      <c r="A8718" s="21" t="str">
        <f t="shared" si="3"/>
        <v/>
      </c>
      <c r="B8718" s="38"/>
      <c r="C8718" s="23"/>
      <c r="D8718" s="23"/>
      <c r="E8718" s="24"/>
      <c r="F8718" s="25"/>
      <c r="G8718" s="25"/>
      <c r="H8718" s="27"/>
      <c r="I8718" s="28"/>
      <c r="J8718" s="39"/>
      <c r="K8718" s="41"/>
      <c r="L8718" s="31" t="str">
        <f>IFERROR(__xludf.DUMMYFUNCTION("IF(OR(E8718="""",K8718=""""),"""",IFERROR(IF(K8718="""","""",query('tbl user'!$A$2:$D10975,""SELECT A WHERE D = '""&amp;K8718&amp;""'"")),""USER TIDAK DIKETAHUI""))"),"")</f>
        <v/>
      </c>
    </row>
    <row r="8719">
      <c r="A8719" s="21" t="str">
        <f t="shared" si="3"/>
        <v/>
      </c>
      <c r="B8719" s="38"/>
      <c r="C8719" s="23"/>
      <c r="D8719" s="23"/>
      <c r="E8719" s="24"/>
      <c r="F8719" s="25"/>
      <c r="G8719" s="25"/>
      <c r="H8719" s="27"/>
      <c r="I8719" s="28"/>
      <c r="J8719" s="39"/>
      <c r="K8719" s="41"/>
      <c r="L8719" s="31" t="str">
        <f>IFERROR(__xludf.DUMMYFUNCTION("IF(OR(E8719="""",K8719=""""),"""",IFERROR(IF(K8719="""","""",query('tbl user'!$A$2:$D10975,""SELECT A WHERE D = '""&amp;K8719&amp;""'"")),""USER TIDAK DIKETAHUI""))"),"")</f>
        <v/>
      </c>
    </row>
    <row r="8720">
      <c r="A8720" s="21" t="str">
        <f t="shared" si="3"/>
        <v/>
      </c>
      <c r="B8720" s="38"/>
      <c r="C8720" s="23"/>
      <c r="D8720" s="23"/>
      <c r="E8720" s="24"/>
      <c r="F8720" s="25"/>
      <c r="G8720" s="25"/>
      <c r="H8720" s="27"/>
      <c r="I8720" s="28"/>
      <c r="J8720" s="39"/>
      <c r="K8720" s="41"/>
      <c r="L8720" s="31" t="str">
        <f>IFERROR(__xludf.DUMMYFUNCTION("IF(OR(E8720="""",K8720=""""),"""",IFERROR(IF(K8720="""","""",query('tbl user'!$A$2:$D10975,""SELECT A WHERE D = '""&amp;K8720&amp;""'"")),""USER TIDAK DIKETAHUI""))"),"")</f>
        <v/>
      </c>
    </row>
    <row r="8721">
      <c r="A8721" s="21" t="str">
        <f t="shared" si="3"/>
        <v/>
      </c>
      <c r="B8721" s="38"/>
      <c r="C8721" s="23"/>
      <c r="D8721" s="23"/>
      <c r="E8721" s="24"/>
      <c r="F8721" s="25"/>
      <c r="G8721" s="25"/>
      <c r="H8721" s="27"/>
      <c r="I8721" s="28"/>
      <c r="J8721" s="39"/>
      <c r="K8721" s="41"/>
      <c r="L8721" s="31" t="str">
        <f>IFERROR(__xludf.DUMMYFUNCTION("IF(OR(E8721="""",K8721=""""),"""",IFERROR(IF(K8721="""","""",query('tbl user'!$A$2:$D10975,""SELECT A WHERE D = '""&amp;K8721&amp;""'"")),""USER TIDAK DIKETAHUI""))"),"")</f>
        <v/>
      </c>
    </row>
    <row r="8722">
      <c r="A8722" s="21" t="str">
        <f t="shared" si="3"/>
        <v/>
      </c>
      <c r="B8722" s="38"/>
      <c r="C8722" s="23"/>
      <c r="D8722" s="23"/>
      <c r="E8722" s="24"/>
      <c r="F8722" s="25"/>
      <c r="G8722" s="25"/>
      <c r="H8722" s="27"/>
      <c r="I8722" s="28"/>
      <c r="J8722" s="39"/>
      <c r="K8722" s="41"/>
      <c r="L8722" s="31" t="str">
        <f>IFERROR(__xludf.DUMMYFUNCTION("IF(OR(E8722="""",K8722=""""),"""",IFERROR(IF(K8722="""","""",query('tbl user'!$A$2:$D10975,""SELECT A WHERE D = '""&amp;K8722&amp;""'"")),""USER TIDAK DIKETAHUI""))"),"")</f>
        <v/>
      </c>
    </row>
    <row r="8723">
      <c r="A8723" s="21" t="str">
        <f t="shared" si="3"/>
        <v/>
      </c>
      <c r="B8723" s="38"/>
      <c r="C8723" s="23"/>
      <c r="D8723" s="23"/>
      <c r="E8723" s="24"/>
      <c r="F8723" s="25"/>
      <c r="G8723" s="25"/>
      <c r="H8723" s="27"/>
      <c r="I8723" s="28"/>
      <c r="J8723" s="39"/>
      <c r="K8723" s="41"/>
      <c r="L8723" s="31" t="str">
        <f>IFERROR(__xludf.DUMMYFUNCTION("IF(OR(E8723="""",K8723=""""),"""",IFERROR(IF(K8723="""","""",query('tbl user'!$A$2:$D10975,""SELECT A WHERE D = '""&amp;K8723&amp;""'"")),""USER TIDAK DIKETAHUI""))"),"")</f>
        <v/>
      </c>
    </row>
    <row r="8724">
      <c r="A8724" s="21" t="str">
        <f t="shared" si="3"/>
        <v/>
      </c>
      <c r="B8724" s="38"/>
      <c r="C8724" s="23"/>
      <c r="D8724" s="23"/>
      <c r="E8724" s="24"/>
      <c r="F8724" s="25"/>
      <c r="G8724" s="25"/>
      <c r="H8724" s="27"/>
      <c r="I8724" s="28"/>
      <c r="J8724" s="39"/>
      <c r="K8724" s="41"/>
      <c r="L8724" s="31" t="str">
        <f>IFERROR(__xludf.DUMMYFUNCTION("IF(OR(E8724="""",K8724=""""),"""",IFERROR(IF(K8724="""","""",query('tbl user'!$A$2:$D10975,""SELECT A WHERE D = '""&amp;K8724&amp;""'"")),""USER TIDAK DIKETAHUI""))"),"")</f>
        <v/>
      </c>
    </row>
    <row r="8725">
      <c r="A8725" s="21" t="str">
        <f t="shared" si="3"/>
        <v/>
      </c>
      <c r="B8725" s="38"/>
      <c r="C8725" s="23"/>
      <c r="D8725" s="23"/>
      <c r="E8725" s="24"/>
      <c r="F8725" s="25"/>
      <c r="G8725" s="25"/>
      <c r="H8725" s="27"/>
      <c r="I8725" s="28"/>
      <c r="J8725" s="39"/>
      <c r="K8725" s="41"/>
      <c r="L8725" s="31" t="str">
        <f>IFERROR(__xludf.DUMMYFUNCTION("IF(OR(E8725="""",K8725=""""),"""",IFERROR(IF(K8725="""","""",query('tbl user'!$A$2:$D10975,""SELECT A WHERE D = '""&amp;K8725&amp;""'"")),""USER TIDAK DIKETAHUI""))"),"")</f>
        <v/>
      </c>
    </row>
    <row r="8726">
      <c r="A8726" s="21" t="str">
        <f t="shared" si="3"/>
        <v/>
      </c>
      <c r="B8726" s="38"/>
      <c r="C8726" s="23"/>
      <c r="D8726" s="23"/>
      <c r="E8726" s="24"/>
      <c r="F8726" s="25"/>
      <c r="G8726" s="25"/>
      <c r="H8726" s="27"/>
      <c r="I8726" s="28"/>
      <c r="J8726" s="39"/>
      <c r="K8726" s="41"/>
      <c r="L8726" s="31" t="str">
        <f>IFERROR(__xludf.DUMMYFUNCTION("IF(OR(E8726="""",K8726=""""),"""",IFERROR(IF(K8726="""","""",query('tbl user'!$A$2:$D10975,""SELECT A WHERE D = '""&amp;K8726&amp;""'"")),""USER TIDAK DIKETAHUI""))"),"")</f>
        <v/>
      </c>
    </row>
    <row r="8727">
      <c r="A8727" s="21" t="str">
        <f t="shared" si="3"/>
        <v/>
      </c>
      <c r="B8727" s="38"/>
      <c r="C8727" s="23"/>
      <c r="D8727" s="23"/>
      <c r="E8727" s="24"/>
      <c r="F8727" s="25"/>
      <c r="G8727" s="25"/>
      <c r="H8727" s="27"/>
      <c r="I8727" s="28"/>
      <c r="J8727" s="39"/>
      <c r="K8727" s="41"/>
      <c r="L8727" s="31" t="str">
        <f>IFERROR(__xludf.DUMMYFUNCTION("IF(OR(E8727="""",K8727=""""),"""",IFERROR(IF(K8727="""","""",query('tbl user'!$A$2:$D10975,""SELECT A WHERE D = '""&amp;K8727&amp;""'"")),""USER TIDAK DIKETAHUI""))"),"")</f>
        <v/>
      </c>
    </row>
    <row r="8728">
      <c r="A8728" s="21" t="str">
        <f t="shared" si="3"/>
        <v/>
      </c>
      <c r="B8728" s="38"/>
      <c r="C8728" s="23"/>
      <c r="D8728" s="23"/>
      <c r="E8728" s="24"/>
      <c r="F8728" s="25"/>
      <c r="G8728" s="25"/>
      <c r="H8728" s="27"/>
      <c r="I8728" s="28"/>
      <c r="J8728" s="39"/>
      <c r="K8728" s="41"/>
      <c r="L8728" s="31" t="str">
        <f>IFERROR(__xludf.DUMMYFUNCTION("IF(OR(E8728="""",K8728=""""),"""",IFERROR(IF(K8728="""","""",query('tbl user'!$A$2:$D10975,""SELECT A WHERE D = '""&amp;K8728&amp;""'"")),""USER TIDAK DIKETAHUI""))"),"")</f>
        <v/>
      </c>
    </row>
    <row r="8729">
      <c r="A8729" s="21" t="str">
        <f t="shared" si="3"/>
        <v/>
      </c>
      <c r="B8729" s="38"/>
      <c r="C8729" s="23"/>
      <c r="D8729" s="23"/>
      <c r="E8729" s="24"/>
      <c r="F8729" s="25"/>
      <c r="G8729" s="25"/>
      <c r="H8729" s="27"/>
      <c r="I8729" s="28"/>
      <c r="J8729" s="39"/>
      <c r="K8729" s="41"/>
      <c r="L8729" s="31" t="str">
        <f>IFERROR(__xludf.DUMMYFUNCTION("IF(OR(E8729="""",K8729=""""),"""",IFERROR(IF(K8729="""","""",query('tbl user'!$A$2:$D10975,""SELECT A WHERE D = '""&amp;K8729&amp;""'"")),""USER TIDAK DIKETAHUI""))"),"")</f>
        <v/>
      </c>
    </row>
    <row r="8730">
      <c r="A8730" s="21" t="str">
        <f t="shared" si="3"/>
        <v/>
      </c>
      <c r="B8730" s="38"/>
      <c r="C8730" s="23"/>
      <c r="D8730" s="23"/>
      <c r="E8730" s="24"/>
      <c r="F8730" s="25"/>
      <c r="G8730" s="25"/>
      <c r="H8730" s="27"/>
      <c r="I8730" s="28"/>
      <c r="J8730" s="39"/>
      <c r="K8730" s="41"/>
      <c r="L8730" s="31" t="str">
        <f>IFERROR(__xludf.DUMMYFUNCTION("IF(OR(E8730="""",K8730=""""),"""",IFERROR(IF(K8730="""","""",query('tbl user'!$A$2:$D10975,""SELECT A WHERE D = '""&amp;K8730&amp;""'"")),""USER TIDAK DIKETAHUI""))"),"")</f>
        <v/>
      </c>
    </row>
    <row r="8731">
      <c r="A8731" s="21" t="str">
        <f t="shared" si="3"/>
        <v/>
      </c>
      <c r="B8731" s="38"/>
      <c r="C8731" s="23"/>
      <c r="D8731" s="23"/>
      <c r="E8731" s="24"/>
      <c r="F8731" s="25"/>
      <c r="G8731" s="25"/>
      <c r="H8731" s="27"/>
      <c r="I8731" s="28"/>
      <c r="J8731" s="39"/>
      <c r="K8731" s="41"/>
      <c r="L8731" s="31" t="str">
        <f>IFERROR(__xludf.DUMMYFUNCTION("IF(OR(E8731="""",K8731=""""),"""",IFERROR(IF(K8731="""","""",query('tbl user'!$A$2:$D10975,""SELECT A WHERE D = '""&amp;K8731&amp;""'"")),""USER TIDAK DIKETAHUI""))"),"")</f>
        <v/>
      </c>
    </row>
    <row r="8732">
      <c r="A8732" s="21" t="str">
        <f t="shared" si="3"/>
        <v/>
      </c>
      <c r="B8732" s="38"/>
      <c r="C8732" s="23"/>
      <c r="D8732" s="23"/>
      <c r="E8732" s="24"/>
      <c r="F8732" s="25"/>
      <c r="G8732" s="25"/>
      <c r="H8732" s="27"/>
      <c r="I8732" s="28"/>
      <c r="J8732" s="39"/>
      <c r="K8732" s="41"/>
      <c r="L8732" s="31" t="str">
        <f>IFERROR(__xludf.DUMMYFUNCTION("IF(OR(E8732="""",K8732=""""),"""",IFERROR(IF(K8732="""","""",query('tbl user'!$A$2:$D10975,""SELECT A WHERE D = '""&amp;K8732&amp;""'"")),""USER TIDAK DIKETAHUI""))"),"")</f>
        <v/>
      </c>
    </row>
    <row r="8733">
      <c r="A8733" s="21" t="str">
        <f t="shared" si="3"/>
        <v/>
      </c>
      <c r="B8733" s="38"/>
      <c r="C8733" s="23"/>
      <c r="D8733" s="23"/>
      <c r="E8733" s="24"/>
      <c r="F8733" s="25"/>
      <c r="G8733" s="25"/>
      <c r="H8733" s="27"/>
      <c r="I8733" s="28"/>
      <c r="J8733" s="39"/>
      <c r="K8733" s="41"/>
      <c r="L8733" s="31" t="str">
        <f>IFERROR(__xludf.DUMMYFUNCTION("IF(OR(E8733="""",K8733=""""),"""",IFERROR(IF(K8733="""","""",query('tbl user'!$A$2:$D10975,""SELECT A WHERE D = '""&amp;K8733&amp;""'"")),""USER TIDAK DIKETAHUI""))"),"")</f>
        <v/>
      </c>
    </row>
    <row r="8734">
      <c r="A8734" s="21" t="str">
        <f t="shared" si="3"/>
        <v/>
      </c>
      <c r="B8734" s="38"/>
      <c r="C8734" s="23"/>
      <c r="D8734" s="23"/>
      <c r="E8734" s="24"/>
      <c r="F8734" s="25"/>
      <c r="G8734" s="25"/>
      <c r="H8734" s="27"/>
      <c r="I8734" s="28"/>
      <c r="J8734" s="39"/>
      <c r="K8734" s="41"/>
      <c r="L8734" s="31" t="str">
        <f>IFERROR(__xludf.DUMMYFUNCTION("IF(OR(E8734="""",K8734=""""),"""",IFERROR(IF(K8734="""","""",query('tbl user'!$A$2:$D10975,""SELECT A WHERE D = '""&amp;K8734&amp;""'"")),""USER TIDAK DIKETAHUI""))"),"")</f>
        <v/>
      </c>
    </row>
    <row r="8735">
      <c r="A8735" s="21" t="str">
        <f t="shared" si="3"/>
        <v/>
      </c>
      <c r="B8735" s="38"/>
      <c r="C8735" s="23"/>
      <c r="D8735" s="23"/>
      <c r="E8735" s="24"/>
      <c r="F8735" s="25"/>
      <c r="G8735" s="25"/>
      <c r="H8735" s="27"/>
      <c r="I8735" s="28"/>
      <c r="J8735" s="39"/>
      <c r="K8735" s="41"/>
      <c r="L8735" s="31" t="str">
        <f>IFERROR(__xludf.DUMMYFUNCTION("IF(OR(E8735="""",K8735=""""),"""",IFERROR(IF(K8735="""","""",query('tbl user'!$A$2:$D10975,""SELECT A WHERE D = '""&amp;K8735&amp;""'"")),""USER TIDAK DIKETAHUI""))"),"")</f>
        <v/>
      </c>
    </row>
    <row r="8736">
      <c r="A8736" s="21" t="str">
        <f t="shared" si="3"/>
        <v/>
      </c>
      <c r="B8736" s="38"/>
      <c r="C8736" s="23"/>
      <c r="D8736" s="23"/>
      <c r="E8736" s="24"/>
      <c r="F8736" s="25"/>
      <c r="G8736" s="25"/>
      <c r="H8736" s="27"/>
      <c r="I8736" s="28"/>
      <c r="J8736" s="39"/>
      <c r="K8736" s="41"/>
      <c r="L8736" s="31" t="str">
        <f>IFERROR(__xludf.DUMMYFUNCTION("IF(OR(E8736="""",K8736=""""),"""",IFERROR(IF(K8736="""","""",query('tbl user'!$A$2:$D10975,""SELECT A WHERE D = '""&amp;K8736&amp;""'"")),""USER TIDAK DIKETAHUI""))"),"")</f>
        <v/>
      </c>
    </row>
    <row r="8737">
      <c r="A8737" s="21" t="str">
        <f t="shared" si="3"/>
        <v/>
      </c>
      <c r="B8737" s="38"/>
      <c r="C8737" s="23"/>
      <c r="D8737" s="23"/>
      <c r="E8737" s="24"/>
      <c r="F8737" s="25"/>
      <c r="G8737" s="25"/>
      <c r="H8737" s="27"/>
      <c r="I8737" s="28"/>
      <c r="J8737" s="39"/>
      <c r="K8737" s="41"/>
      <c r="L8737" s="31" t="str">
        <f>IFERROR(__xludf.DUMMYFUNCTION("IF(OR(E8737="""",K8737=""""),"""",IFERROR(IF(K8737="""","""",query('tbl user'!$A$2:$D10975,""SELECT A WHERE D = '""&amp;K8737&amp;""'"")),""USER TIDAK DIKETAHUI""))"),"")</f>
        <v/>
      </c>
    </row>
    <row r="8738">
      <c r="A8738" s="21" t="str">
        <f t="shared" si="3"/>
        <v/>
      </c>
      <c r="B8738" s="38"/>
      <c r="C8738" s="23"/>
      <c r="D8738" s="23"/>
      <c r="E8738" s="24"/>
      <c r="F8738" s="25"/>
      <c r="G8738" s="25"/>
      <c r="H8738" s="27"/>
      <c r="I8738" s="28"/>
      <c r="J8738" s="39"/>
      <c r="K8738" s="41"/>
      <c r="L8738" s="31" t="str">
        <f>IFERROR(__xludf.DUMMYFUNCTION("IF(OR(E8738="""",K8738=""""),"""",IFERROR(IF(K8738="""","""",query('tbl user'!$A$2:$D10975,""SELECT A WHERE D = '""&amp;K8738&amp;""'"")),""USER TIDAK DIKETAHUI""))"),"")</f>
        <v/>
      </c>
    </row>
    <row r="8739">
      <c r="A8739" s="21" t="str">
        <f t="shared" si="3"/>
        <v/>
      </c>
      <c r="B8739" s="38"/>
      <c r="C8739" s="23"/>
      <c r="D8739" s="23"/>
      <c r="E8739" s="24"/>
      <c r="F8739" s="25"/>
      <c r="G8739" s="25"/>
      <c r="H8739" s="27"/>
      <c r="I8739" s="28"/>
      <c r="J8739" s="39"/>
      <c r="K8739" s="41"/>
      <c r="L8739" s="31" t="str">
        <f>IFERROR(__xludf.DUMMYFUNCTION("IF(OR(E8739="""",K8739=""""),"""",IFERROR(IF(K8739="""","""",query('tbl user'!$A$2:$D10975,""SELECT A WHERE D = '""&amp;K8739&amp;""'"")),""USER TIDAK DIKETAHUI""))"),"")</f>
        <v/>
      </c>
    </row>
    <row r="8740">
      <c r="A8740" s="21" t="str">
        <f t="shared" si="3"/>
        <v/>
      </c>
      <c r="B8740" s="38"/>
      <c r="C8740" s="23"/>
      <c r="D8740" s="23"/>
      <c r="E8740" s="24"/>
      <c r="F8740" s="25"/>
      <c r="G8740" s="25"/>
      <c r="H8740" s="27"/>
      <c r="I8740" s="28"/>
      <c r="J8740" s="39"/>
      <c r="K8740" s="41"/>
      <c r="L8740" s="31" t="str">
        <f>IFERROR(__xludf.DUMMYFUNCTION("IF(OR(E8740="""",K8740=""""),"""",IFERROR(IF(K8740="""","""",query('tbl user'!$A$2:$D10975,""SELECT A WHERE D = '""&amp;K8740&amp;""'"")),""USER TIDAK DIKETAHUI""))"),"")</f>
        <v/>
      </c>
    </row>
    <row r="8741">
      <c r="A8741" s="21" t="str">
        <f t="shared" si="3"/>
        <v/>
      </c>
      <c r="B8741" s="38"/>
      <c r="C8741" s="23"/>
      <c r="D8741" s="23"/>
      <c r="E8741" s="24"/>
      <c r="F8741" s="25"/>
      <c r="G8741" s="25"/>
      <c r="H8741" s="27"/>
      <c r="I8741" s="28"/>
      <c r="J8741" s="39"/>
      <c r="K8741" s="41"/>
      <c r="L8741" s="31" t="str">
        <f>IFERROR(__xludf.DUMMYFUNCTION("IF(OR(E8741="""",K8741=""""),"""",IFERROR(IF(K8741="""","""",query('tbl user'!$A$2:$D10975,""SELECT A WHERE D = '""&amp;K8741&amp;""'"")),""USER TIDAK DIKETAHUI""))"),"")</f>
        <v/>
      </c>
    </row>
    <row r="8742">
      <c r="A8742" s="21" t="str">
        <f t="shared" si="3"/>
        <v/>
      </c>
      <c r="B8742" s="38"/>
      <c r="C8742" s="23"/>
      <c r="D8742" s="23"/>
      <c r="E8742" s="24"/>
      <c r="F8742" s="25"/>
      <c r="G8742" s="25"/>
      <c r="H8742" s="27"/>
      <c r="I8742" s="28"/>
      <c r="J8742" s="39"/>
      <c r="K8742" s="41"/>
      <c r="L8742" s="31" t="str">
        <f>IFERROR(__xludf.DUMMYFUNCTION("IF(OR(E8742="""",K8742=""""),"""",IFERROR(IF(K8742="""","""",query('tbl user'!$A$2:$D10975,""SELECT A WHERE D = '""&amp;K8742&amp;""'"")),""USER TIDAK DIKETAHUI""))"),"")</f>
        <v/>
      </c>
    </row>
    <row r="8743">
      <c r="A8743" s="21" t="str">
        <f t="shared" si="3"/>
        <v/>
      </c>
      <c r="B8743" s="38"/>
      <c r="C8743" s="23"/>
      <c r="D8743" s="23"/>
      <c r="E8743" s="24"/>
      <c r="F8743" s="25"/>
      <c r="G8743" s="25"/>
      <c r="H8743" s="27"/>
      <c r="I8743" s="28"/>
      <c r="J8743" s="39"/>
      <c r="K8743" s="41"/>
      <c r="L8743" s="31" t="str">
        <f>IFERROR(__xludf.DUMMYFUNCTION("IF(OR(E8743="""",K8743=""""),"""",IFERROR(IF(K8743="""","""",query('tbl user'!$A$2:$D10975,""SELECT A WHERE D = '""&amp;K8743&amp;""'"")),""USER TIDAK DIKETAHUI""))"),"")</f>
        <v/>
      </c>
    </row>
    <row r="8744">
      <c r="A8744" s="21" t="str">
        <f t="shared" si="3"/>
        <v/>
      </c>
      <c r="B8744" s="38"/>
      <c r="C8744" s="23"/>
      <c r="D8744" s="23"/>
      <c r="E8744" s="24"/>
      <c r="F8744" s="25"/>
      <c r="G8744" s="25"/>
      <c r="H8744" s="27"/>
      <c r="I8744" s="28"/>
      <c r="J8744" s="39"/>
      <c r="K8744" s="41"/>
      <c r="L8744" s="31" t="str">
        <f>IFERROR(__xludf.DUMMYFUNCTION("IF(OR(E8744="""",K8744=""""),"""",IFERROR(IF(K8744="""","""",query('tbl user'!$A$2:$D10975,""SELECT A WHERE D = '""&amp;K8744&amp;""'"")),""USER TIDAK DIKETAHUI""))"),"")</f>
        <v/>
      </c>
    </row>
    <row r="8745">
      <c r="A8745" s="21" t="str">
        <f t="shared" si="3"/>
        <v/>
      </c>
      <c r="B8745" s="38"/>
      <c r="C8745" s="23"/>
      <c r="D8745" s="23"/>
      <c r="E8745" s="24"/>
      <c r="F8745" s="25"/>
      <c r="G8745" s="25"/>
      <c r="H8745" s="27"/>
      <c r="I8745" s="28"/>
      <c r="J8745" s="39"/>
      <c r="K8745" s="41"/>
      <c r="L8745" s="31" t="str">
        <f>IFERROR(__xludf.DUMMYFUNCTION("IF(OR(E8745="""",K8745=""""),"""",IFERROR(IF(K8745="""","""",query('tbl user'!$A$2:$D10975,""SELECT A WHERE D = '""&amp;K8745&amp;""'"")),""USER TIDAK DIKETAHUI""))"),"")</f>
        <v/>
      </c>
    </row>
    <row r="8746">
      <c r="A8746" s="21" t="str">
        <f t="shared" si="3"/>
        <v/>
      </c>
      <c r="B8746" s="38"/>
      <c r="C8746" s="23"/>
      <c r="D8746" s="23"/>
      <c r="E8746" s="24"/>
      <c r="F8746" s="25"/>
      <c r="G8746" s="25"/>
      <c r="H8746" s="27"/>
      <c r="I8746" s="28"/>
      <c r="J8746" s="39"/>
      <c r="K8746" s="41"/>
      <c r="L8746" s="31" t="str">
        <f>IFERROR(__xludf.DUMMYFUNCTION("IF(OR(E8746="""",K8746=""""),"""",IFERROR(IF(K8746="""","""",query('tbl user'!$A$2:$D10975,""SELECT A WHERE D = '""&amp;K8746&amp;""'"")),""USER TIDAK DIKETAHUI""))"),"")</f>
        <v/>
      </c>
    </row>
    <row r="8747">
      <c r="A8747" s="21" t="str">
        <f t="shared" si="3"/>
        <v/>
      </c>
      <c r="B8747" s="38"/>
      <c r="C8747" s="23"/>
      <c r="D8747" s="23"/>
      <c r="E8747" s="24"/>
      <c r="F8747" s="25"/>
      <c r="G8747" s="25"/>
      <c r="H8747" s="27"/>
      <c r="I8747" s="28"/>
      <c r="J8747" s="39"/>
      <c r="K8747" s="41"/>
      <c r="L8747" s="31" t="str">
        <f>IFERROR(__xludf.DUMMYFUNCTION("IF(OR(E8747="""",K8747=""""),"""",IFERROR(IF(K8747="""","""",query('tbl user'!$A$2:$D10975,""SELECT A WHERE D = '""&amp;K8747&amp;""'"")),""USER TIDAK DIKETAHUI""))"),"")</f>
        <v/>
      </c>
    </row>
    <row r="8748">
      <c r="A8748" s="21" t="str">
        <f t="shared" si="3"/>
        <v/>
      </c>
      <c r="B8748" s="38"/>
      <c r="C8748" s="23"/>
      <c r="D8748" s="23"/>
      <c r="E8748" s="24"/>
      <c r="F8748" s="25"/>
      <c r="G8748" s="25"/>
      <c r="H8748" s="27"/>
      <c r="I8748" s="28"/>
      <c r="J8748" s="39"/>
      <c r="K8748" s="41"/>
      <c r="L8748" s="31" t="str">
        <f>IFERROR(__xludf.DUMMYFUNCTION("IF(OR(E8748="""",K8748=""""),"""",IFERROR(IF(K8748="""","""",query('tbl user'!$A$2:$D10975,""SELECT A WHERE D = '""&amp;K8748&amp;""'"")),""USER TIDAK DIKETAHUI""))"),"")</f>
        <v/>
      </c>
    </row>
    <row r="8749">
      <c r="A8749" s="21" t="str">
        <f t="shared" si="3"/>
        <v/>
      </c>
      <c r="B8749" s="38"/>
      <c r="C8749" s="23"/>
      <c r="D8749" s="23"/>
      <c r="E8749" s="24"/>
      <c r="F8749" s="25"/>
      <c r="G8749" s="25"/>
      <c r="H8749" s="27"/>
      <c r="I8749" s="28"/>
      <c r="J8749" s="39"/>
      <c r="K8749" s="41"/>
      <c r="L8749" s="31" t="str">
        <f>IFERROR(__xludf.DUMMYFUNCTION("IF(OR(E8749="""",K8749=""""),"""",IFERROR(IF(K8749="""","""",query('tbl user'!$A$2:$D10975,""SELECT A WHERE D = '""&amp;K8749&amp;""'"")),""USER TIDAK DIKETAHUI""))"),"")</f>
        <v/>
      </c>
    </row>
    <row r="8750">
      <c r="A8750" s="21" t="str">
        <f t="shared" si="3"/>
        <v/>
      </c>
      <c r="B8750" s="38"/>
      <c r="C8750" s="23"/>
      <c r="D8750" s="23"/>
      <c r="E8750" s="24"/>
      <c r="F8750" s="25"/>
      <c r="G8750" s="25"/>
      <c r="H8750" s="27"/>
      <c r="I8750" s="28"/>
      <c r="J8750" s="39"/>
      <c r="K8750" s="41"/>
      <c r="L8750" s="31" t="str">
        <f>IFERROR(__xludf.DUMMYFUNCTION("IF(OR(E8750="""",K8750=""""),"""",IFERROR(IF(K8750="""","""",query('tbl user'!$A$2:$D10975,""SELECT A WHERE D = '""&amp;K8750&amp;""'"")),""USER TIDAK DIKETAHUI""))"),"")</f>
        <v/>
      </c>
    </row>
    <row r="8751">
      <c r="A8751" s="21" t="str">
        <f t="shared" si="3"/>
        <v/>
      </c>
      <c r="B8751" s="38"/>
      <c r="C8751" s="23"/>
      <c r="D8751" s="23"/>
      <c r="E8751" s="24"/>
      <c r="F8751" s="25"/>
      <c r="G8751" s="25"/>
      <c r="H8751" s="27"/>
      <c r="I8751" s="28"/>
      <c r="J8751" s="39"/>
      <c r="K8751" s="41"/>
      <c r="L8751" s="31" t="str">
        <f>IFERROR(__xludf.DUMMYFUNCTION("IF(OR(E8751="""",K8751=""""),"""",IFERROR(IF(K8751="""","""",query('tbl user'!$A$2:$D10975,""SELECT A WHERE D = '""&amp;K8751&amp;""'"")),""USER TIDAK DIKETAHUI""))"),"")</f>
        <v/>
      </c>
    </row>
    <row r="8752">
      <c r="A8752" s="21" t="str">
        <f t="shared" si="3"/>
        <v/>
      </c>
      <c r="B8752" s="38"/>
      <c r="C8752" s="23"/>
      <c r="D8752" s="23"/>
      <c r="E8752" s="24"/>
      <c r="F8752" s="25"/>
      <c r="G8752" s="25"/>
      <c r="H8752" s="27"/>
      <c r="I8752" s="28"/>
      <c r="J8752" s="39"/>
      <c r="K8752" s="41"/>
      <c r="L8752" s="31" t="str">
        <f>IFERROR(__xludf.DUMMYFUNCTION("IF(OR(E8752="""",K8752=""""),"""",IFERROR(IF(K8752="""","""",query('tbl user'!$A$2:$D10975,""SELECT A WHERE D = '""&amp;K8752&amp;""'"")),""USER TIDAK DIKETAHUI""))"),"")</f>
        <v/>
      </c>
    </row>
    <row r="8753">
      <c r="A8753" s="21" t="str">
        <f t="shared" si="3"/>
        <v/>
      </c>
      <c r="B8753" s="38"/>
      <c r="C8753" s="23"/>
      <c r="D8753" s="23"/>
      <c r="E8753" s="24"/>
      <c r="F8753" s="25"/>
      <c r="G8753" s="25"/>
      <c r="H8753" s="27"/>
      <c r="I8753" s="28"/>
      <c r="J8753" s="39"/>
      <c r="K8753" s="41"/>
      <c r="L8753" s="31" t="str">
        <f>IFERROR(__xludf.DUMMYFUNCTION("IF(OR(E8753="""",K8753=""""),"""",IFERROR(IF(K8753="""","""",query('tbl user'!$A$2:$D10975,""SELECT A WHERE D = '""&amp;K8753&amp;""'"")),""USER TIDAK DIKETAHUI""))"),"")</f>
        <v/>
      </c>
    </row>
    <row r="8754">
      <c r="A8754" s="21" t="str">
        <f t="shared" si="3"/>
        <v/>
      </c>
      <c r="B8754" s="38"/>
      <c r="C8754" s="23"/>
      <c r="D8754" s="23"/>
      <c r="E8754" s="24"/>
      <c r="F8754" s="25"/>
      <c r="G8754" s="25"/>
      <c r="H8754" s="27"/>
      <c r="I8754" s="28"/>
      <c r="J8754" s="39"/>
      <c r="K8754" s="41"/>
      <c r="L8754" s="31" t="str">
        <f>IFERROR(__xludf.DUMMYFUNCTION("IF(OR(E8754="""",K8754=""""),"""",IFERROR(IF(K8754="""","""",query('tbl user'!$A$2:$D10975,""SELECT A WHERE D = '""&amp;K8754&amp;""'"")),""USER TIDAK DIKETAHUI""))"),"")</f>
        <v/>
      </c>
    </row>
    <row r="8755">
      <c r="A8755" s="21" t="str">
        <f t="shared" si="3"/>
        <v/>
      </c>
      <c r="B8755" s="38"/>
      <c r="C8755" s="23"/>
      <c r="D8755" s="23"/>
      <c r="E8755" s="24"/>
      <c r="F8755" s="25"/>
      <c r="G8755" s="25"/>
      <c r="H8755" s="27"/>
      <c r="I8755" s="28"/>
      <c r="J8755" s="39"/>
      <c r="K8755" s="41"/>
      <c r="L8755" s="31" t="str">
        <f>IFERROR(__xludf.DUMMYFUNCTION("IF(OR(E8755="""",K8755=""""),"""",IFERROR(IF(K8755="""","""",query('tbl user'!$A$2:$D10975,""SELECT A WHERE D = '""&amp;K8755&amp;""'"")),""USER TIDAK DIKETAHUI""))"),"")</f>
        <v/>
      </c>
    </row>
    <row r="8756">
      <c r="A8756" s="21" t="str">
        <f t="shared" si="3"/>
        <v/>
      </c>
      <c r="B8756" s="38"/>
      <c r="C8756" s="23"/>
      <c r="D8756" s="23"/>
      <c r="E8756" s="24"/>
      <c r="F8756" s="25"/>
      <c r="G8756" s="25"/>
      <c r="H8756" s="27"/>
      <c r="I8756" s="28"/>
      <c r="J8756" s="39"/>
      <c r="K8756" s="41"/>
      <c r="L8756" s="31" t="str">
        <f>IFERROR(__xludf.DUMMYFUNCTION("IF(OR(E8756="""",K8756=""""),"""",IFERROR(IF(K8756="""","""",query('tbl user'!$A$2:$D10975,""SELECT A WHERE D = '""&amp;K8756&amp;""'"")),""USER TIDAK DIKETAHUI""))"),"")</f>
        <v/>
      </c>
    </row>
    <row r="8757">
      <c r="A8757" s="21" t="str">
        <f t="shared" si="3"/>
        <v/>
      </c>
      <c r="B8757" s="38"/>
      <c r="C8757" s="23"/>
      <c r="D8757" s="23"/>
      <c r="E8757" s="24"/>
      <c r="F8757" s="25"/>
      <c r="G8757" s="25"/>
      <c r="H8757" s="27"/>
      <c r="I8757" s="28"/>
      <c r="J8757" s="39"/>
      <c r="K8757" s="41"/>
      <c r="L8757" s="31" t="str">
        <f>IFERROR(__xludf.DUMMYFUNCTION("IF(OR(E8757="""",K8757=""""),"""",IFERROR(IF(K8757="""","""",query('tbl user'!$A$2:$D10975,""SELECT A WHERE D = '""&amp;K8757&amp;""'"")),""USER TIDAK DIKETAHUI""))"),"")</f>
        <v/>
      </c>
    </row>
    <row r="8758">
      <c r="A8758" s="21" t="str">
        <f t="shared" si="3"/>
        <v/>
      </c>
      <c r="B8758" s="38"/>
      <c r="C8758" s="23"/>
      <c r="D8758" s="23"/>
      <c r="E8758" s="24"/>
      <c r="F8758" s="25"/>
      <c r="G8758" s="25"/>
      <c r="H8758" s="27"/>
      <c r="I8758" s="28"/>
      <c r="J8758" s="39"/>
      <c r="K8758" s="41"/>
      <c r="L8758" s="31" t="str">
        <f>IFERROR(__xludf.DUMMYFUNCTION("IF(OR(E8758="""",K8758=""""),"""",IFERROR(IF(K8758="""","""",query('tbl user'!$A$2:$D10975,""SELECT A WHERE D = '""&amp;K8758&amp;""'"")),""USER TIDAK DIKETAHUI""))"),"")</f>
        <v/>
      </c>
    </row>
    <row r="8759">
      <c r="A8759" s="21" t="str">
        <f t="shared" si="3"/>
        <v/>
      </c>
      <c r="B8759" s="38"/>
      <c r="C8759" s="23"/>
      <c r="D8759" s="23"/>
      <c r="E8759" s="24"/>
      <c r="F8759" s="25"/>
      <c r="G8759" s="25"/>
      <c r="H8759" s="27"/>
      <c r="I8759" s="28"/>
      <c r="J8759" s="39"/>
      <c r="K8759" s="41"/>
      <c r="L8759" s="31" t="str">
        <f>IFERROR(__xludf.DUMMYFUNCTION("IF(OR(E8759="""",K8759=""""),"""",IFERROR(IF(K8759="""","""",query('tbl user'!$A$2:$D10975,""SELECT A WHERE D = '""&amp;K8759&amp;""'"")),""USER TIDAK DIKETAHUI""))"),"")</f>
        <v/>
      </c>
    </row>
    <row r="8760">
      <c r="A8760" s="21" t="str">
        <f t="shared" si="3"/>
        <v/>
      </c>
      <c r="B8760" s="38"/>
      <c r="C8760" s="23"/>
      <c r="D8760" s="23"/>
      <c r="E8760" s="24"/>
      <c r="F8760" s="25"/>
      <c r="G8760" s="25"/>
      <c r="H8760" s="27"/>
      <c r="I8760" s="28"/>
      <c r="J8760" s="39"/>
      <c r="K8760" s="41"/>
      <c r="L8760" s="31" t="str">
        <f>IFERROR(__xludf.DUMMYFUNCTION("IF(OR(E8760="""",K8760=""""),"""",IFERROR(IF(K8760="""","""",query('tbl user'!$A$2:$D10975,""SELECT A WHERE D = '""&amp;K8760&amp;""'"")),""USER TIDAK DIKETAHUI""))"),"")</f>
        <v/>
      </c>
    </row>
    <row r="8761">
      <c r="A8761" s="21" t="str">
        <f t="shared" si="3"/>
        <v/>
      </c>
      <c r="B8761" s="38"/>
      <c r="C8761" s="23"/>
      <c r="D8761" s="23"/>
      <c r="E8761" s="24"/>
      <c r="F8761" s="25"/>
      <c r="G8761" s="25"/>
      <c r="H8761" s="27"/>
      <c r="I8761" s="28"/>
      <c r="J8761" s="39"/>
      <c r="K8761" s="41"/>
      <c r="L8761" s="31" t="str">
        <f>IFERROR(__xludf.DUMMYFUNCTION("IF(OR(E8761="""",K8761=""""),"""",IFERROR(IF(K8761="""","""",query('tbl user'!$A$2:$D10975,""SELECT A WHERE D = '""&amp;K8761&amp;""'"")),""USER TIDAK DIKETAHUI""))"),"")</f>
        <v/>
      </c>
    </row>
    <row r="8762">
      <c r="A8762" s="21" t="str">
        <f t="shared" si="3"/>
        <v/>
      </c>
      <c r="B8762" s="38"/>
      <c r="C8762" s="23"/>
      <c r="D8762" s="23"/>
      <c r="E8762" s="24"/>
      <c r="F8762" s="25"/>
      <c r="G8762" s="25"/>
      <c r="H8762" s="27"/>
      <c r="I8762" s="28"/>
      <c r="J8762" s="39"/>
      <c r="K8762" s="41"/>
      <c r="L8762" s="31" t="str">
        <f>IFERROR(__xludf.DUMMYFUNCTION("IF(OR(E8762="""",K8762=""""),"""",IFERROR(IF(K8762="""","""",query('tbl user'!$A$2:$D10975,""SELECT A WHERE D = '""&amp;K8762&amp;""'"")),""USER TIDAK DIKETAHUI""))"),"")</f>
        <v/>
      </c>
    </row>
    <row r="8763">
      <c r="A8763" s="21" t="str">
        <f t="shared" si="3"/>
        <v/>
      </c>
      <c r="B8763" s="38"/>
      <c r="C8763" s="23"/>
      <c r="D8763" s="23"/>
      <c r="E8763" s="24"/>
      <c r="F8763" s="25"/>
      <c r="G8763" s="25"/>
      <c r="H8763" s="27"/>
      <c r="I8763" s="28"/>
      <c r="J8763" s="39"/>
      <c r="K8763" s="41"/>
      <c r="L8763" s="31" t="str">
        <f>IFERROR(__xludf.DUMMYFUNCTION("IF(OR(E8763="""",K8763=""""),"""",IFERROR(IF(K8763="""","""",query('tbl user'!$A$2:$D10975,""SELECT A WHERE D = '""&amp;K8763&amp;""'"")),""USER TIDAK DIKETAHUI""))"),"")</f>
        <v/>
      </c>
    </row>
    <row r="8764">
      <c r="A8764" s="21" t="str">
        <f t="shared" si="3"/>
        <v/>
      </c>
      <c r="B8764" s="38"/>
      <c r="C8764" s="23"/>
      <c r="D8764" s="23"/>
      <c r="E8764" s="24"/>
      <c r="F8764" s="25"/>
      <c r="G8764" s="25"/>
      <c r="H8764" s="27"/>
      <c r="I8764" s="28"/>
      <c r="J8764" s="39"/>
      <c r="K8764" s="41"/>
      <c r="L8764" s="31" t="str">
        <f>IFERROR(__xludf.DUMMYFUNCTION("IF(OR(E8764="""",K8764=""""),"""",IFERROR(IF(K8764="""","""",query('tbl user'!$A$2:$D10975,""SELECT A WHERE D = '""&amp;K8764&amp;""'"")),""USER TIDAK DIKETAHUI""))"),"")</f>
        <v/>
      </c>
    </row>
    <row r="8765">
      <c r="A8765" s="21" t="str">
        <f t="shared" si="3"/>
        <v/>
      </c>
      <c r="B8765" s="38"/>
      <c r="C8765" s="23"/>
      <c r="D8765" s="23"/>
      <c r="E8765" s="24"/>
      <c r="F8765" s="25"/>
      <c r="G8765" s="25"/>
      <c r="H8765" s="27"/>
      <c r="I8765" s="28"/>
      <c r="J8765" s="39"/>
      <c r="K8765" s="41"/>
      <c r="L8765" s="31" t="str">
        <f>IFERROR(__xludf.DUMMYFUNCTION("IF(OR(E8765="""",K8765=""""),"""",IFERROR(IF(K8765="""","""",query('tbl user'!$A$2:$D10975,""SELECT A WHERE D = '""&amp;K8765&amp;""'"")),""USER TIDAK DIKETAHUI""))"),"")</f>
        <v/>
      </c>
    </row>
    <row r="8766">
      <c r="A8766" s="21" t="str">
        <f t="shared" si="3"/>
        <v/>
      </c>
      <c r="B8766" s="38"/>
      <c r="C8766" s="23"/>
      <c r="D8766" s="23"/>
      <c r="E8766" s="24"/>
      <c r="F8766" s="25"/>
      <c r="G8766" s="25"/>
      <c r="H8766" s="27"/>
      <c r="I8766" s="28"/>
      <c r="J8766" s="39"/>
      <c r="K8766" s="41"/>
      <c r="L8766" s="31" t="str">
        <f>IFERROR(__xludf.DUMMYFUNCTION("IF(OR(E8766="""",K8766=""""),"""",IFERROR(IF(K8766="""","""",query('tbl user'!$A$2:$D10975,""SELECT A WHERE D = '""&amp;K8766&amp;""'"")),""USER TIDAK DIKETAHUI""))"),"")</f>
        <v/>
      </c>
    </row>
    <row r="8767">
      <c r="A8767" s="21" t="str">
        <f t="shared" si="3"/>
        <v/>
      </c>
      <c r="B8767" s="38"/>
      <c r="C8767" s="23"/>
      <c r="D8767" s="23"/>
      <c r="E8767" s="24"/>
      <c r="F8767" s="25"/>
      <c r="G8767" s="25"/>
      <c r="H8767" s="27"/>
      <c r="I8767" s="28"/>
      <c r="J8767" s="39"/>
      <c r="K8767" s="41"/>
      <c r="L8767" s="31" t="str">
        <f>IFERROR(__xludf.DUMMYFUNCTION("IF(OR(E8767="""",K8767=""""),"""",IFERROR(IF(K8767="""","""",query('tbl user'!$A$2:$D10975,""SELECT A WHERE D = '""&amp;K8767&amp;""'"")),""USER TIDAK DIKETAHUI""))"),"")</f>
        <v/>
      </c>
    </row>
    <row r="8768">
      <c r="A8768" s="21" t="str">
        <f t="shared" si="3"/>
        <v/>
      </c>
      <c r="B8768" s="38"/>
      <c r="C8768" s="23"/>
      <c r="D8768" s="23"/>
      <c r="E8768" s="24"/>
      <c r="F8768" s="25"/>
      <c r="G8768" s="25"/>
      <c r="H8768" s="27"/>
      <c r="I8768" s="28"/>
      <c r="J8768" s="39"/>
      <c r="K8768" s="41"/>
      <c r="L8768" s="31" t="str">
        <f>IFERROR(__xludf.DUMMYFUNCTION("IF(OR(E8768="""",K8768=""""),"""",IFERROR(IF(K8768="""","""",query('tbl user'!$A$2:$D10975,""SELECT A WHERE D = '""&amp;K8768&amp;""'"")),""USER TIDAK DIKETAHUI""))"),"")</f>
        <v/>
      </c>
    </row>
    <row r="8769">
      <c r="A8769" s="21" t="str">
        <f t="shared" si="3"/>
        <v/>
      </c>
      <c r="B8769" s="38"/>
      <c r="C8769" s="23"/>
      <c r="D8769" s="23"/>
      <c r="E8769" s="24"/>
      <c r="F8769" s="25"/>
      <c r="G8769" s="25"/>
      <c r="H8769" s="27"/>
      <c r="I8769" s="28"/>
      <c r="J8769" s="39"/>
      <c r="K8769" s="41"/>
      <c r="L8769" s="31" t="str">
        <f>IFERROR(__xludf.DUMMYFUNCTION("IF(OR(E8769="""",K8769=""""),"""",IFERROR(IF(K8769="""","""",query('tbl user'!$A$2:$D10975,""SELECT A WHERE D = '""&amp;K8769&amp;""'"")),""USER TIDAK DIKETAHUI""))"),"")</f>
        <v/>
      </c>
    </row>
    <row r="8770">
      <c r="A8770" s="21" t="str">
        <f t="shared" si="3"/>
        <v/>
      </c>
      <c r="B8770" s="38"/>
      <c r="C8770" s="23"/>
      <c r="D8770" s="23"/>
      <c r="E8770" s="24"/>
      <c r="F8770" s="25"/>
      <c r="G8770" s="25"/>
      <c r="H8770" s="27"/>
      <c r="I8770" s="28"/>
      <c r="J8770" s="39"/>
      <c r="K8770" s="41"/>
      <c r="L8770" s="31" t="str">
        <f>IFERROR(__xludf.DUMMYFUNCTION("IF(OR(E8770="""",K8770=""""),"""",IFERROR(IF(K8770="""","""",query('tbl user'!$A$2:$D10975,""SELECT A WHERE D = '""&amp;K8770&amp;""'"")),""USER TIDAK DIKETAHUI""))"),"")</f>
        <v/>
      </c>
    </row>
    <row r="8771">
      <c r="A8771" s="21" t="str">
        <f t="shared" si="3"/>
        <v/>
      </c>
      <c r="B8771" s="38"/>
      <c r="C8771" s="23"/>
      <c r="D8771" s="23"/>
      <c r="E8771" s="24"/>
      <c r="F8771" s="25"/>
      <c r="G8771" s="25"/>
      <c r="H8771" s="27"/>
      <c r="I8771" s="28"/>
      <c r="J8771" s="39"/>
      <c r="K8771" s="41"/>
      <c r="L8771" s="31" t="str">
        <f>IFERROR(__xludf.DUMMYFUNCTION("IF(OR(E8771="""",K8771=""""),"""",IFERROR(IF(K8771="""","""",query('tbl user'!$A$2:$D10975,""SELECT A WHERE D = '""&amp;K8771&amp;""'"")),""USER TIDAK DIKETAHUI""))"),"")</f>
        <v/>
      </c>
    </row>
    <row r="8772">
      <c r="A8772" s="21" t="str">
        <f t="shared" si="3"/>
        <v/>
      </c>
      <c r="B8772" s="38"/>
      <c r="C8772" s="23"/>
      <c r="D8772" s="23"/>
      <c r="E8772" s="24"/>
      <c r="F8772" s="25"/>
      <c r="G8772" s="25"/>
      <c r="H8772" s="27"/>
      <c r="I8772" s="28"/>
      <c r="J8772" s="39"/>
      <c r="K8772" s="41"/>
      <c r="L8772" s="31" t="str">
        <f>IFERROR(__xludf.DUMMYFUNCTION("IF(OR(E8772="""",K8772=""""),"""",IFERROR(IF(K8772="""","""",query('tbl user'!$A$2:$D10975,""SELECT A WHERE D = '""&amp;K8772&amp;""'"")),""USER TIDAK DIKETAHUI""))"),"")</f>
        <v/>
      </c>
    </row>
    <row r="8773">
      <c r="A8773" s="21" t="str">
        <f t="shared" si="3"/>
        <v/>
      </c>
      <c r="B8773" s="38"/>
      <c r="C8773" s="23"/>
      <c r="D8773" s="23"/>
      <c r="E8773" s="24"/>
      <c r="F8773" s="25"/>
      <c r="G8773" s="25"/>
      <c r="H8773" s="27"/>
      <c r="I8773" s="28"/>
      <c r="J8773" s="39"/>
      <c r="K8773" s="41"/>
      <c r="L8773" s="31" t="str">
        <f>IFERROR(__xludf.DUMMYFUNCTION("IF(OR(E8773="""",K8773=""""),"""",IFERROR(IF(K8773="""","""",query('tbl user'!$A$2:$D10975,""SELECT A WHERE D = '""&amp;K8773&amp;""'"")),""USER TIDAK DIKETAHUI""))"),"")</f>
        <v/>
      </c>
    </row>
    <row r="8774">
      <c r="A8774" s="21" t="str">
        <f t="shared" si="3"/>
        <v/>
      </c>
      <c r="B8774" s="38"/>
      <c r="C8774" s="23"/>
      <c r="D8774" s="23"/>
      <c r="E8774" s="24"/>
      <c r="F8774" s="25"/>
      <c r="G8774" s="25"/>
      <c r="H8774" s="27"/>
      <c r="I8774" s="28"/>
      <c r="J8774" s="39"/>
      <c r="K8774" s="41"/>
      <c r="L8774" s="31" t="str">
        <f>IFERROR(__xludf.DUMMYFUNCTION("IF(OR(E8774="""",K8774=""""),"""",IFERROR(IF(K8774="""","""",query('tbl user'!$A$2:$D10975,""SELECT A WHERE D = '""&amp;K8774&amp;""'"")),""USER TIDAK DIKETAHUI""))"),"")</f>
        <v/>
      </c>
    </row>
    <row r="8775">
      <c r="A8775" s="21" t="str">
        <f t="shared" si="3"/>
        <v/>
      </c>
      <c r="B8775" s="38"/>
      <c r="C8775" s="23"/>
      <c r="D8775" s="23"/>
      <c r="E8775" s="24"/>
      <c r="F8775" s="25"/>
      <c r="G8775" s="25"/>
      <c r="H8775" s="27"/>
      <c r="I8775" s="28"/>
      <c r="J8775" s="39"/>
      <c r="K8775" s="41"/>
      <c r="L8775" s="31" t="str">
        <f>IFERROR(__xludf.DUMMYFUNCTION("IF(OR(E8775="""",K8775=""""),"""",IFERROR(IF(K8775="""","""",query('tbl user'!$A$2:$D10975,""SELECT A WHERE D = '""&amp;K8775&amp;""'"")),""USER TIDAK DIKETAHUI""))"),"")</f>
        <v/>
      </c>
    </row>
    <row r="8776">
      <c r="A8776" s="21" t="str">
        <f t="shared" si="3"/>
        <v/>
      </c>
      <c r="B8776" s="38"/>
      <c r="C8776" s="23"/>
      <c r="D8776" s="23"/>
      <c r="E8776" s="24"/>
      <c r="F8776" s="25"/>
      <c r="G8776" s="25"/>
      <c r="H8776" s="27"/>
      <c r="I8776" s="28"/>
      <c r="J8776" s="39"/>
      <c r="K8776" s="41"/>
      <c r="L8776" s="31" t="str">
        <f>IFERROR(__xludf.DUMMYFUNCTION("IF(OR(E8776="""",K8776=""""),"""",IFERROR(IF(K8776="""","""",query('tbl user'!$A$2:$D10975,""SELECT A WHERE D = '""&amp;K8776&amp;""'"")),""USER TIDAK DIKETAHUI""))"),"")</f>
        <v/>
      </c>
    </row>
    <row r="8777">
      <c r="A8777" s="21" t="str">
        <f t="shared" si="3"/>
        <v/>
      </c>
      <c r="B8777" s="38"/>
      <c r="C8777" s="23"/>
      <c r="D8777" s="23"/>
      <c r="E8777" s="24"/>
      <c r="F8777" s="25"/>
      <c r="G8777" s="25"/>
      <c r="H8777" s="27"/>
      <c r="I8777" s="28"/>
      <c r="J8777" s="39"/>
      <c r="K8777" s="41"/>
      <c r="L8777" s="31" t="str">
        <f>IFERROR(__xludf.DUMMYFUNCTION("IF(OR(E8777="""",K8777=""""),"""",IFERROR(IF(K8777="""","""",query('tbl user'!$A$2:$D10975,""SELECT A WHERE D = '""&amp;K8777&amp;""'"")),""USER TIDAK DIKETAHUI""))"),"")</f>
        <v/>
      </c>
    </row>
    <row r="8778">
      <c r="A8778" s="21" t="str">
        <f t="shared" si="3"/>
        <v/>
      </c>
      <c r="B8778" s="38"/>
      <c r="C8778" s="23"/>
      <c r="D8778" s="23"/>
      <c r="E8778" s="24"/>
      <c r="F8778" s="25"/>
      <c r="G8778" s="25"/>
      <c r="H8778" s="27"/>
      <c r="I8778" s="28"/>
      <c r="J8778" s="39"/>
      <c r="K8778" s="41"/>
      <c r="L8778" s="31" t="str">
        <f>IFERROR(__xludf.DUMMYFUNCTION("IF(OR(E8778="""",K8778=""""),"""",IFERROR(IF(K8778="""","""",query('tbl user'!$A$2:$D10975,""SELECT A WHERE D = '""&amp;K8778&amp;""'"")),""USER TIDAK DIKETAHUI""))"),"")</f>
        <v/>
      </c>
    </row>
    <row r="8779">
      <c r="A8779" s="21" t="str">
        <f t="shared" si="3"/>
        <v/>
      </c>
      <c r="B8779" s="38"/>
      <c r="C8779" s="23"/>
      <c r="D8779" s="23"/>
      <c r="E8779" s="24"/>
      <c r="F8779" s="25"/>
      <c r="G8779" s="25"/>
      <c r="H8779" s="27"/>
      <c r="I8779" s="28"/>
      <c r="J8779" s="39"/>
      <c r="K8779" s="41"/>
      <c r="L8779" s="31" t="str">
        <f>IFERROR(__xludf.DUMMYFUNCTION("IF(OR(E8779="""",K8779=""""),"""",IFERROR(IF(K8779="""","""",query('tbl user'!$A$2:$D10975,""SELECT A WHERE D = '""&amp;K8779&amp;""'"")),""USER TIDAK DIKETAHUI""))"),"")</f>
        <v/>
      </c>
    </row>
    <row r="8780">
      <c r="A8780" s="21" t="str">
        <f t="shared" si="3"/>
        <v/>
      </c>
      <c r="B8780" s="38"/>
      <c r="C8780" s="23"/>
      <c r="D8780" s="23"/>
      <c r="E8780" s="24"/>
      <c r="F8780" s="25"/>
      <c r="G8780" s="25"/>
      <c r="H8780" s="27"/>
      <c r="I8780" s="28"/>
      <c r="J8780" s="39"/>
      <c r="K8780" s="41"/>
      <c r="L8780" s="31" t="str">
        <f>IFERROR(__xludf.DUMMYFUNCTION("IF(OR(E8780="""",K8780=""""),"""",IFERROR(IF(K8780="""","""",query('tbl user'!$A$2:$D10975,""SELECT A WHERE D = '""&amp;K8780&amp;""'"")),""USER TIDAK DIKETAHUI""))"),"")</f>
        <v/>
      </c>
    </row>
    <row r="8781">
      <c r="A8781" s="21" t="str">
        <f t="shared" si="3"/>
        <v/>
      </c>
      <c r="B8781" s="38"/>
      <c r="C8781" s="23"/>
      <c r="D8781" s="23"/>
      <c r="E8781" s="24"/>
      <c r="F8781" s="25"/>
      <c r="G8781" s="25"/>
      <c r="H8781" s="27"/>
      <c r="I8781" s="28"/>
      <c r="J8781" s="39"/>
      <c r="K8781" s="41"/>
      <c r="L8781" s="31" t="str">
        <f>IFERROR(__xludf.DUMMYFUNCTION("IF(OR(E8781="""",K8781=""""),"""",IFERROR(IF(K8781="""","""",query('tbl user'!$A$2:$D10975,""SELECT A WHERE D = '""&amp;K8781&amp;""'"")),""USER TIDAK DIKETAHUI""))"),"")</f>
        <v/>
      </c>
    </row>
    <row r="8782">
      <c r="A8782" s="21" t="str">
        <f t="shared" si="3"/>
        <v/>
      </c>
      <c r="B8782" s="38"/>
      <c r="C8782" s="23"/>
      <c r="D8782" s="23"/>
      <c r="E8782" s="24"/>
      <c r="F8782" s="25"/>
      <c r="G8782" s="25"/>
      <c r="H8782" s="27"/>
      <c r="I8782" s="28"/>
      <c r="J8782" s="39"/>
      <c r="K8782" s="41"/>
      <c r="L8782" s="31" t="str">
        <f>IFERROR(__xludf.DUMMYFUNCTION("IF(OR(E8782="""",K8782=""""),"""",IFERROR(IF(K8782="""","""",query('tbl user'!$A$2:$D10975,""SELECT A WHERE D = '""&amp;K8782&amp;""'"")),""USER TIDAK DIKETAHUI""))"),"")</f>
        <v/>
      </c>
    </row>
    <row r="8783">
      <c r="A8783" s="21" t="str">
        <f t="shared" si="3"/>
        <v/>
      </c>
      <c r="B8783" s="38"/>
      <c r="C8783" s="23"/>
      <c r="D8783" s="23"/>
      <c r="E8783" s="24"/>
      <c r="F8783" s="25"/>
      <c r="G8783" s="25"/>
      <c r="H8783" s="27"/>
      <c r="I8783" s="28"/>
      <c r="J8783" s="39"/>
      <c r="K8783" s="41"/>
      <c r="L8783" s="31" t="str">
        <f>IFERROR(__xludf.DUMMYFUNCTION("IF(OR(E8783="""",K8783=""""),"""",IFERROR(IF(K8783="""","""",query('tbl user'!$A$2:$D10975,""SELECT A WHERE D = '""&amp;K8783&amp;""'"")),""USER TIDAK DIKETAHUI""))"),"")</f>
        <v/>
      </c>
    </row>
    <row r="8784">
      <c r="A8784" s="21" t="str">
        <f t="shared" si="3"/>
        <v/>
      </c>
      <c r="B8784" s="38"/>
      <c r="C8784" s="23"/>
      <c r="D8784" s="23"/>
      <c r="E8784" s="24"/>
      <c r="F8784" s="25"/>
      <c r="G8784" s="25"/>
      <c r="H8784" s="27"/>
      <c r="I8784" s="28"/>
      <c r="J8784" s="39"/>
      <c r="K8784" s="41"/>
      <c r="L8784" s="31" t="str">
        <f>IFERROR(__xludf.DUMMYFUNCTION("IF(OR(E8784="""",K8784=""""),"""",IFERROR(IF(K8784="""","""",query('tbl user'!$A$2:$D10975,""SELECT A WHERE D = '""&amp;K8784&amp;""'"")),""USER TIDAK DIKETAHUI""))"),"")</f>
        <v/>
      </c>
    </row>
    <row r="8785">
      <c r="A8785" s="21" t="str">
        <f t="shared" si="3"/>
        <v/>
      </c>
      <c r="B8785" s="38"/>
      <c r="C8785" s="23"/>
      <c r="D8785" s="23"/>
      <c r="E8785" s="24"/>
      <c r="F8785" s="25"/>
      <c r="G8785" s="25"/>
      <c r="H8785" s="27"/>
      <c r="I8785" s="28"/>
      <c r="J8785" s="39"/>
      <c r="K8785" s="41"/>
      <c r="L8785" s="31" t="str">
        <f>IFERROR(__xludf.DUMMYFUNCTION("IF(OR(E8785="""",K8785=""""),"""",IFERROR(IF(K8785="""","""",query('tbl user'!$A$2:$D10975,""SELECT A WHERE D = '""&amp;K8785&amp;""'"")),""USER TIDAK DIKETAHUI""))"),"")</f>
        <v/>
      </c>
    </row>
    <row r="8786">
      <c r="A8786" s="21" t="str">
        <f t="shared" si="3"/>
        <v/>
      </c>
      <c r="B8786" s="38"/>
      <c r="C8786" s="23"/>
      <c r="D8786" s="23"/>
      <c r="E8786" s="24"/>
      <c r="F8786" s="25"/>
      <c r="G8786" s="25"/>
      <c r="H8786" s="27"/>
      <c r="I8786" s="28"/>
      <c r="J8786" s="39"/>
      <c r="K8786" s="41"/>
      <c r="L8786" s="31" t="str">
        <f>IFERROR(__xludf.DUMMYFUNCTION("IF(OR(E8786="""",K8786=""""),"""",IFERROR(IF(K8786="""","""",query('tbl user'!$A$2:$D10975,""SELECT A WHERE D = '""&amp;K8786&amp;""'"")),""USER TIDAK DIKETAHUI""))"),"")</f>
        <v/>
      </c>
    </row>
    <row r="8787">
      <c r="A8787" s="21" t="str">
        <f t="shared" si="3"/>
        <v/>
      </c>
      <c r="B8787" s="38"/>
      <c r="C8787" s="23"/>
      <c r="D8787" s="23"/>
      <c r="E8787" s="24"/>
      <c r="F8787" s="25"/>
      <c r="G8787" s="25"/>
      <c r="H8787" s="27"/>
      <c r="I8787" s="28"/>
      <c r="J8787" s="39"/>
      <c r="K8787" s="41"/>
      <c r="L8787" s="31" t="str">
        <f>IFERROR(__xludf.DUMMYFUNCTION("IF(OR(E8787="""",K8787=""""),"""",IFERROR(IF(K8787="""","""",query('tbl user'!$A$2:$D10975,""SELECT A WHERE D = '""&amp;K8787&amp;""'"")),""USER TIDAK DIKETAHUI""))"),"")</f>
        <v/>
      </c>
    </row>
    <row r="8788">
      <c r="A8788" s="21" t="str">
        <f t="shared" si="3"/>
        <v/>
      </c>
      <c r="B8788" s="38"/>
      <c r="C8788" s="23"/>
      <c r="D8788" s="23"/>
      <c r="E8788" s="24"/>
      <c r="F8788" s="25"/>
      <c r="G8788" s="25"/>
      <c r="H8788" s="27"/>
      <c r="I8788" s="28"/>
      <c r="J8788" s="39"/>
      <c r="K8788" s="41"/>
      <c r="L8788" s="31" t="str">
        <f>IFERROR(__xludf.DUMMYFUNCTION("IF(OR(E8788="""",K8788=""""),"""",IFERROR(IF(K8788="""","""",query('tbl user'!$A$2:$D10975,""SELECT A WHERE D = '""&amp;K8788&amp;""'"")),""USER TIDAK DIKETAHUI""))"),"")</f>
        <v/>
      </c>
    </row>
    <row r="8789">
      <c r="A8789" s="21" t="str">
        <f t="shared" si="3"/>
        <v/>
      </c>
      <c r="B8789" s="38"/>
      <c r="C8789" s="23"/>
      <c r="D8789" s="23"/>
      <c r="E8789" s="24"/>
      <c r="F8789" s="25"/>
      <c r="G8789" s="25"/>
      <c r="H8789" s="27"/>
      <c r="I8789" s="28"/>
      <c r="J8789" s="39"/>
      <c r="K8789" s="41"/>
      <c r="L8789" s="31" t="str">
        <f>IFERROR(__xludf.DUMMYFUNCTION("IF(OR(E8789="""",K8789=""""),"""",IFERROR(IF(K8789="""","""",query('tbl user'!$A$2:$D10975,""SELECT A WHERE D = '""&amp;K8789&amp;""'"")),""USER TIDAK DIKETAHUI""))"),"")</f>
        <v/>
      </c>
    </row>
    <row r="8790">
      <c r="A8790" s="21" t="str">
        <f t="shared" si="3"/>
        <v/>
      </c>
      <c r="B8790" s="38"/>
      <c r="C8790" s="23"/>
      <c r="D8790" s="23"/>
      <c r="E8790" s="24"/>
      <c r="F8790" s="25"/>
      <c r="G8790" s="25"/>
      <c r="H8790" s="27"/>
      <c r="I8790" s="28"/>
      <c r="J8790" s="39"/>
      <c r="K8790" s="41"/>
      <c r="L8790" s="31" t="str">
        <f>IFERROR(__xludf.DUMMYFUNCTION("IF(OR(E8790="""",K8790=""""),"""",IFERROR(IF(K8790="""","""",query('tbl user'!$A$2:$D10975,""SELECT A WHERE D = '""&amp;K8790&amp;""'"")),""USER TIDAK DIKETAHUI""))"),"")</f>
        <v/>
      </c>
    </row>
    <row r="8791">
      <c r="A8791" s="21" t="str">
        <f t="shared" si="3"/>
        <v/>
      </c>
      <c r="B8791" s="38"/>
      <c r="C8791" s="23"/>
      <c r="D8791" s="23"/>
      <c r="E8791" s="24"/>
      <c r="F8791" s="25"/>
      <c r="G8791" s="25"/>
      <c r="H8791" s="27"/>
      <c r="I8791" s="28"/>
      <c r="J8791" s="39"/>
      <c r="K8791" s="41"/>
      <c r="L8791" s="31" t="str">
        <f>IFERROR(__xludf.DUMMYFUNCTION("IF(OR(E8791="""",K8791=""""),"""",IFERROR(IF(K8791="""","""",query('tbl user'!$A$2:$D10975,""SELECT A WHERE D = '""&amp;K8791&amp;""'"")),""USER TIDAK DIKETAHUI""))"),"")</f>
        <v/>
      </c>
    </row>
    <row r="8792">
      <c r="A8792" s="21" t="str">
        <f t="shared" si="3"/>
        <v/>
      </c>
      <c r="B8792" s="38"/>
      <c r="C8792" s="23"/>
      <c r="D8792" s="23"/>
      <c r="E8792" s="24"/>
      <c r="F8792" s="25"/>
      <c r="G8792" s="25"/>
      <c r="H8792" s="27"/>
      <c r="I8792" s="28"/>
      <c r="J8792" s="39"/>
      <c r="K8792" s="41"/>
      <c r="L8792" s="31" t="str">
        <f>IFERROR(__xludf.DUMMYFUNCTION("IF(OR(E8792="""",K8792=""""),"""",IFERROR(IF(K8792="""","""",query('tbl user'!$A$2:$D10975,""SELECT A WHERE D = '""&amp;K8792&amp;""'"")),""USER TIDAK DIKETAHUI""))"),"")</f>
        <v/>
      </c>
    </row>
    <row r="8793">
      <c r="A8793" s="21" t="str">
        <f t="shared" si="3"/>
        <v/>
      </c>
      <c r="B8793" s="38"/>
      <c r="C8793" s="23"/>
      <c r="D8793" s="23"/>
      <c r="E8793" s="24"/>
      <c r="F8793" s="25"/>
      <c r="G8793" s="25"/>
      <c r="H8793" s="27"/>
      <c r="I8793" s="28"/>
      <c r="J8793" s="39"/>
      <c r="K8793" s="41"/>
      <c r="L8793" s="31" t="str">
        <f>IFERROR(__xludf.DUMMYFUNCTION("IF(OR(E8793="""",K8793=""""),"""",IFERROR(IF(K8793="""","""",query('tbl user'!$A$2:$D10975,""SELECT A WHERE D = '""&amp;K8793&amp;""'"")),""USER TIDAK DIKETAHUI""))"),"")</f>
        <v/>
      </c>
    </row>
    <row r="8794">
      <c r="A8794" s="21" t="str">
        <f t="shared" si="3"/>
        <v/>
      </c>
      <c r="B8794" s="38"/>
      <c r="C8794" s="23"/>
      <c r="D8794" s="23"/>
      <c r="E8794" s="24"/>
      <c r="F8794" s="25"/>
      <c r="G8794" s="25"/>
      <c r="H8794" s="27"/>
      <c r="I8794" s="28"/>
      <c r="J8794" s="39"/>
      <c r="K8794" s="41"/>
      <c r="L8794" s="31" t="str">
        <f>IFERROR(__xludf.DUMMYFUNCTION("IF(OR(E8794="""",K8794=""""),"""",IFERROR(IF(K8794="""","""",query('tbl user'!$A$2:$D10975,""SELECT A WHERE D = '""&amp;K8794&amp;""'"")),""USER TIDAK DIKETAHUI""))"),"")</f>
        <v/>
      </c>
    </row>
    <row r="8795">
      <c r="A8795" s="21" t="str">
        <f t="shared" si="3"/>
        <v/>
      </c>
      <c r="B8795" s="38"/>
      <c r="C8795" s="23"/>
      <c r="D8795" s="23"/>
      <c r="E8795" s="24"/>
      <c r="F8795" s="25"/>
      <c r="G8795" s="25"/>
      <c r="H8795" s="27"/>
      <c r="I8795" s="28"/>
      <c r="J8795" s="39"/>
      <c r="K8795" s="41"/>
      <c r="L8795" s="31" t="str">
        <f>IFERROR(__xludf.DUMMYFUNCTION("IF(OR(E8795="""",K8795=""""),"""",IFERROR(IF(K8795="""","""",query('tbl user'!$A$2:$D10975,""SELECT A WHERE D = '""&amp;K8795&amp;""'"")),""USER TIDAK DIKETAHUI""))"),"")</f>
        <v/>
      </c>
    </row>
    <row r="8796">
      <c r="A8796" s="21" t="str">
        <f t="shared" si="3"/>
        <v/>
      </c>
      <c r="B8796" s="38"/>
      <c r="C8796" s="23"/>
      <c r="D8796" s="23"/>
      <c r="E8796" s="24"/>
      <c r="F8796" s="25"/>
      <c r="G8796" s="25"/>
      <c r="H8796" s="27"/>
      <c r="I8796" s="28"/>
      <c r="J8796" s="39"/>
      <c r="K8796" s="41"/>
      <c r="L8796" s="31" t="str">
        <f>IFERROR(__xludf.DUMMYFUNCTION("IF(OR(E8796="""",K8796=""""),"""",IFERROR(IF(K8796="""","""",query('tbl user'!$A$2:$D10975,""SELECT A WHERE D = '""&amp;K8796&amp;""'"")),""USER TIDAK DIKETAHUI""))"),"")</f>
        <v/>
      </c>
    </row>
    <row r="8797">
      <c r="A8797" s="21" t="str">
        <f t="shared" si="3"/>
        <v/>
      </c>
      <c r="B8797" s="38"/>
      <c r="C8797" s="23"/>
      <c r="D8797" s="23"/>
      <c r="E8797" s="24"/>
      <c r="F8797" s="25"/>
      <c r="G8797" s="25"/>
      <c r="H8797" s="27"/>
      <c r="I8797" s="28"/>
      <c r="J8797" s="39"/>
      <c r="K8797" s="41"/>
      <c r="L8797" s="31" t="str">
        <f>IFERROR(__xludf.DUMMYFUNCTION("IF(OR(E8797="""",K8797=""""),"""",IFERROR(IF(K8797="""","""",query('tbl user'!$A$2:$D10975,""SELECT A WHERE D = '""&amp;K8797&amp;""'"")),""USER TIDAK DIKETAHUI""))"),"")</f>
        <v/>
      </c>
    </row>
    <row r="8798">
      <c r="A8798" s="21" t="str">
        <f t="shared" si="3"/>
        <v/>
      </c>
      <c r="B8798" s="38"/>
      <c r="C8798" s="23"/>
      <c r="D8798" s="23"/>
      <c r="E8798" s="24"/>
      <c r="F8798" s="25"/>
      <c r="G8798" s="25"/>
      <c r="H8798" s="27"/>
      <c r="I8798" s="28"/>
      <c r="J8798" s="39"/>
      <c r="K8798" s="41"/>
      <c r="L8798" s="31" t="str">
        <f>IFERROR(__xludf.DUMMYFUNCTION("IF(OR(E8798="""",K8798=""""),"""",IFERROR(IF(K8798="""","""",query('tbl user'!$A$2:$D10975,""SELECT A WHERE D = '""&amp;K8798&amp;""'"")),""USER TIDAK DIKETAHUI""))"),"")</f>
        <v/>
      </c>
    </row>
    <row r="8799">
      <c r="A8799" s="21" t="str">
        <f t="shared" si="3"/>
        <v/>
      </c>
      <c r="B8799" s="38"/>
      <c r="C8799" s="23"/>
      <c r="D8799" s="23"/>
      <c r="E8799" s="24"/>
      <c r="F8799" s="25"/>
      <c r="G8799" s="25"/>
      <c r="H8799" s="27"/>
      <c r="I8799" s="28"/>
      <c r="J8799" s="39"/>
      <c r="K8799" s="41"/>
      <c r="L8799" s="31" t="str">
        <f>IFERROR(__xludf.DUMMYFUNCTION("IF(OR(E8799="""",K8799=""""),"""",IFERROR(IF(K8799="""","""",query('tbl user'!$A$2:$D10975,""SELECT A WHERE D = '""&amp;K8799&amp;""'"")),""USER TIDAK DIKETAHUI""))"),"")</f>
        <v/>
      </c>
    </row>
    <row r="8800">
      <c r="A8800" s="21" t="str">
        <f t="shared" si="3"/>
        <v/>
      </c>
      <c r="B8800" s="38"/>
      <c r="C8800" s="23"/>
      <c r="D8800" s="23"/>
      <c r="E8800" s="24"/>
      <c r="F8800" s="25"/>
      <c r="G8800" s="25"/>
      <c r="H8800" s="27"/>
      <c r="I8800" s="28"/>
      <c r="J8800" s="39"/>
      <c r="K8800" s="41"/>
      <c r="L8800" s="31" t="str">
        <f>IFERROR(__xludf.DUMMYFUNCTION("IF(OR(E8800="""",K8800=""""),"""",IFERROR(IF(K8800="""","""",query('tbl user'!$A$2:$D10975,""SELECT A WHERE D = '""&amp;K8800&amp;""'"")),""USER TIDAK DIKETAHUI""))"),"")</f>
        <v/>
      </c>
    </row>
    <row r="8801">
      <c r="A8801" s="21" t="str">
        <f t="shared" si="3"/>
        <v/>
      </c>
      <c r="B8801" s="38"/>
      <c r="C8801" s="23"/>
      <c r="D8801" s="23"/>
      <c r="E8801" s="24"/>
      <c r="F8801" s="25"/>
      <c r="G8801" s="25"/>
      <c r="H8801" s="27"/>
      <c r="I8801" s="28"/>
      <c r="J8801" s="39"/>
      <c r="K8801" s="41"/>
      <c r="L8801" s="31" t="str">
        <f>IFERROR(__xludf.DUMMYFUNCTION("IF(OR(E8801="""",K8801=""""),"""",IFERROR(IF(K8801="""","""",query('tbl user'!$A$2:$D10975,""SELECT A WHERE D = '""&amp;K8801&amp;""'"")),""USER TIDAK DIKETAHUI""))"),"")</f>
        <v/>
      </c>
    </row>
    <row r="8802">
      <c r="A8802" s="21" t="str">
        <f t="shared" si="3"/>
        <v/>
      </c>
      <c r="B8802" s="38"/>
      <c r="C8802" s="23"/>
      <c r="D8802" s="23"/>
      <c r="E8802" s="24"/>
      <c r="F8802" s="25"/>
      <c r="G8802" s="25"/>
      <c r="H8802" s="27"/>
      <c r="I8802" s="28"/>
      <c r="J8802" s="39"/>
      <c r="K8802" s="41"/>
      <c r="L8802" s="31" t="str">
        <f>IFERROR(__xludf.DUMMYFUNCTION("IF(OR(E8802="""",K8802=""""),"""",IFERROR(IF(K8802="""","""",query('tbl user'!$A$2:$D10975,""SELECT A WHERE D = '""&amp;K8802&amp;""'"")),""USER TIDAK DIKETAHUI""))"),"")</f>
        <v/>
      </c>
    </row>
    <row r="8803">
      <c r="A8803" s="21" t="str">
        <f t="shared" si="3"/>
        <v/>
      </c>
      <c r="B8803" s="38"/>
      <c r="C8803" s="23"/>
      <c r="D8803" s="23"/>
      <c r="E8803" s="24"/>
      <c r="F8803" s="25"/>
      <c r="G8803" s="25"/>
      <c r="H8803" s="27"/>
      <c r="I8803" s="28"/>
      <c r="J8803" s="39"/>
      <c r="K8803" s="41"/>
      <c r="L8803" s="31" t="str">
        <f>IFERROR(__xludf.DUMMYFUNCTION("IF(OR(E8803="""",K8803=""""),"""",IFERROR(IF(K8803="""","""",query('tbl user'!$A$2:$D10975,""SELECT A WHERE D = '""&amp;K8803&amp;""'"")),""USER TIDAK DIKETAHUI""))"),"")</f>
        <v/>
      </c>
    </row>
    <row r="8804">
      <c r="A8804" s="21" t="str">
        <f t="shared" si="3"/>
        <v/>
      </c>
      <c r="B8804" s="38"/>
      <c r="C8804" s="23"/>
      <c r="D8804" s="23"/>
      <c r="E8804" s="24"/>
      <c r="F8804" s="25"/>
      <c r="G8804" s="25"/>
      <c r="H8804" s="27"/>
      <c r="I8804" s="28"/>
      <c r="J8804" s="39"/>
      <c r="K8804" s="41"/>
      <c r="L8804" s="31" t="str">
        <f>IFERROR(__xludf.DUMMYFUNCTION("IF(OR(E8804="""",K8804=""""),"""",IFERROR(IF(K8804="""","""",query('tbl user'!$A$2:$D10975,""SELECT A WHERE D = '""&amp;K8804&amp;""'"")),""USER TIDAK DIKETAHUI""))"),"")</f>
        <v/>
      </c>
    </row>
    <row r="8805">
      <c r="A8805" s="21" t="str">
        <f t="shared" si="3"/>
        <v/>
      </c>
      <c r="B8805" s="38"/>
      <c r="C8805" s="23"/>
      <c r="D8805" s="23"/>
      <c r="E8805" s="24"/>
      <c r="F8805" s="25"/>
      <c r="G8805" s="25"/>
      <c r="H8805" s="27"/>
      <c r="I8805" s="28"/>
      <c r="J8805" s="39"/>
      <c r="K8805" s="41"/>
      <c r="L8805" s="31" t="str">
        <f>IFERROR(__xludf.DUMMYFUNCTION("IF(OR(E8805="""",K8805=""""),"""",IFERROR(IF(K8805="""","""",query('tbl user'!$A$2:$D10975,""SELECT A WHERE D = '""&amp;K8805&amp;""'"")),""USER TIDAK DIKETAHUI""))"),"")</f>
        <v/>
      </c>
    </row>
    <row r="8806">
      <c r="A8806" s="21" t="str">
        <f t="shared" si="3"/>
        <v/>
      </c>
      <c r="B8806" s="38"/>
      <c r="C8806" s="23"/>
      <c r="D8806" s="23"/>
      <c r="E8806" s="24"/>
      <c r="F8806" s="25"/>
      <c r="G8806" s="25"/>
      <c r="H8806" s="27"/>
      <c r="I8806" s="28"/>
      <c r="J8806" s="39"/>
      <c r="K8806" s="41"/>
      <c r="L8806" s="31" t="str">
        <f>IFERROR(__xludf.DUMMYFUNCTION("IF(OR(E8806="""",K8806=""""),"""",IFERROR(IF(K8806="""","""",query('tbl user'!$A$2:$D10975,""SELECT A WHERE D = '""&amp;K8806&amp;""'"")),""USER TIDAK DIKETAHUI""))"),"")</f>
        <v/>
      </c>
    </row>
    <row r="8807">
      <c r="A8807" s="21" t="str">
        <f t="shared" si="3"/>
        <v/>
      </c>
      <c r="B8807" s="38"/>
      <c r="C8807" s="23"/>
      <c r="D8807" s="23"/>
      <c r="E8807" s="24"/>
      <c r="F8807" s="25"/>
      <c r="G8807" s="25"/>
      <c r="H8807" s="27"/>
      <c r="I8807" s="28"/>
      <c r="J8807" s="39"/>
      <c r="K8807" s="41"/>
      <c r="L8807" s="31" t="str">
        <f>IFERROR(__xludf.DUMMYFUNCTION("IF(OR(E8807="""",K8807=""""),"""",IFERROR(IF(K8807="""","""",query('tbl user'!$A$2:$D10975,""SELECT A WHERE D = '""&amp;K8807&amp;""'"")),""USER TIDAK DIKETAHUI""))"),"")</f>
        <v/>
      </c>
    </row>
    <row r="8808">
      <c r="A8808" s="21" t="str">
        <f t="shared" si="3"/>
        <v/>
      </c>
      <c r="B8808" s="38"/>
      <c r="C8808" s="23"/>
      <c r="D8808" s="23"/>
      <c r="E8808" s="24"/>
      <c r="F8808" s="25"/>
      <c r="G8808" s="25"/>
      <c r="H8808" s="27"/>
      <c r="I8808" s="28"/>
      <c r="J8808" s="39"/>
      <c r="K8808" s="41"/>
      <c r="L8808" s="31" t="str">
        <f>IFERROR(__xludf.DUMMYFUNCTION("IF(OR(E8808="""",K8808=""""),"""",IFERROR(IF(K8808="""","""",query('tbl user'!$A$2:$D10975,""SELECT A WHERE D = '""&amp;K8808&amp;""'"")),""USER TIDAK DIKETAHUI""))"),"")</f>
        <v/>
      </c>
    </row>
    <row r="8809">
      <c r="A8809" s="21" t="str">
        <f t="shared" si="3"/>
        <v/>
      </c>
      <c r="B8809" s="38"/>
      <c r="C8809" s="23"/>
      <c r="D8809" s="23"/>
      <c r="E8809" s="24"/>
      <c r="F8809" s="25"/>
      <c r="G8809" s="25"/>
      <c r="H8809" s="27"/>
      <c r="I8809" s="28"/>
      <c r="J8809" s="39"/>
      <c r="K8809" s="41"/>
      <c r="L8809" s="31" t="str">
        <f>IFERROR(__xludf.DUMMYFUNCTION("IF(OR(E8809="""",K8809=""""),"""",IFERROR(IF(K8809="""","""",query('tbl user'!$A$2:$D10975,""SELECT A WHERE D = '""&amp;K8809&amp;""'"")),""USER TIDAK DIKETAHUI""))"),"")</f>
        <v/>
      </c>
    </row>
    <row r="8810">
      <c r="A8810" s="21" t="str">
        <f t="shared" si="3"/>
        <v/>
      </c>
      <c r="B8810" s="38"/>
      <c r="C8810" s="23"/>
      <c r="D8810" s="23"/>
      <c r="E8810" s="24"/>
      <c r="F8810" s="25"/>
      <c r="G8810" s="25"/>
      <c r="H8810" s="27"/>
      <c r="I8810" s="28"/>
      <c r="J8810" s="39"/>
      <c r="K8810" s="41"/>
      <c r="L8810" s="31" t="str">
        <f>IFERROR(__xludf.DUMMYFUNCTION("IF(OR(E8810="""",K8810=""""),"""",IFERROR(IF(K8810="""","""",query('tbl user'!$A$2:$D10975,""SELECT A WHERE D = '""&amp;K8810&amp;""'"")),""USER TIDAK DIKETAHUI""))"),"")</f>
        <v/>
      </c>
    </row>
    <row r="8811">
      <c r="A8811" s="21" t="str">
        <f t="shared" si="3"/>
        <v/>
      </c>
      <c r="B8811" s="38"/>
      <c r="C8811" s="23"/>
      <c r="D8811" s="23"/>
      <c r="E8811" s="24"/>
      <c r="F8811" s="25"/>
      <c r="G8811" s="25"/>
      <c r="H8811" s="27"/>
      <c r="I8811" s="28"/>
      <c r="J8811" s="39"/>
      <c r="K8811" s="41"/>
      <c r="L8811" s="31" t="str">
        <f>IFERROR(__xludf.DUMMYFUNCTION("IF(OR(E8811="""",K8811=""""),"""",IFERROR(IF(K8811="""","""",query('tbl user'!$A$2:$D10975,""SELECT A WHERE D = '""&amp;K8811&amp;""'"")),""USER TIDAK DIKETAHUI""))"),"")</f>
        <v/>
      </c>
    </row>
    <row r="8812">
      <c r="A8812" s="21" t="str">
        <f t="shared" si="3"/>
        <v/>
      </c>
      <c r="B8812" s="38"/>
      <c r="C8812" s="23"/>
      <c r="D8812" s="23"/>
      <c r="E8812" s="24"/>
      <c r="F8812" s="25"/>
      <c r="G8812" s="25"/>
      <c r="H8812" s="27"/>
      <c r="I8812" s="28"/>
      <c r="J8812" s="39"/>
      <c r="K8812" s="41"/>
      <c r="L8812" s="31" t="str">
        <f>IFERROR(__xludf.DUMMYFUNCTION("IF(OR(E8812="""",K8812=""""),"""",IFERROR(IF(K8812="""","""",query('tbl user'!$A$2:$D10975,""SELECT A WHERE D = '""&amp;K8812&amp;""'"")),""USER TIDAK DIKETAHUI""))"),"")</f>
        <v/>
      </c>
    </row>
    <row r="8813">
      <c r="A8813" s="21" t="str">
        <f t="shared" si="3"/>
        <v/>
      </c>
      <c r="B8813" s="38"/>
      <c r="C8813" s="23"/>
      <c r="D8813" s="23"/>
      <c r="E8813" s="24"/>
      <c r="F8813" s="25"/>
      <c r="G8813" s="25"/>
      <c r="H8813" s="27"/>
      <c r="I8813" s="28"/>
      <c r="J8813" s="39"/>
      <c r="K8813" s="41"/>
      <c r="L8813" s="31" t="str">
        <f>IFERROR(__xludf.DUMMYFUNCTION("IF(OR(E8813="""",K8813=""""),"""",IFERROR(IF(K8813="""","""",query('tbl user'!$A$2:$D10975,""SELECT A WHERE D = '""&amp;K8813&amp;""'"")),""USER TIDAK DIKETAHUI""))"),"")</f>
        <v/>
      </c>
    </row>
    <row r="8814">
      <c r="A8814" s="21" t="str">
        <f t="shared" si="3"/>
        <v/>
      </c>
      <c r="B8814" s="38"/>
      <c r="C8814" s="23"/>
      <c r="D8814" s="23"/>
      <c r="E8814" s="24"/>
      <c r="F8814" s="25"/>
      <c r="G8814" s="25"/>
      <c r="H8814" s="27"/>
      <c r="I8814" s="28"/>
      <c r="J8814" s="39"/>
      <c r="K8814" s="41"/>
      <c r="L8814" s="31" t="str">
        <f>IFERROR(__xludf.DUMMYFUNCTION("IF(OR(E8814="""",K8814=""""),"""",IFERROR(IF(K8814="""","""",query('tbl user'!$A$2:$D10975,""SELECT A WHERE D = '""&amp;K8814&amp;""'"")),""USER TIDAK DIKETAHUI""))"),"")</f>
        <v/>
      </c>
    </row>
    <row r="8815">
      <c r="A8815" s="21" t="str">
        <f t="shared" si="3"/>
        <v/>
      </c>
      <c r="B8815" s="38"/>
      <c r="C8815" s="23"/>
      <c r="D8815" s="23"/>
      <c r="E8815" s="24"/>
      <c r="F8815" s="25"/>
      <c r="G8815" s="25"/>
      <c r="H8815" s="27"/>
      <c r="I8815" s="28"/>
      <c r="J8815" s="39"/>
      <c r="K8815" s="41"/>
      <c r="L8815" s="31" t="str">
        <f>IFERROR(__xludf.DUMMYFUNCTION("IF(OR(E8815="""",K8815=""""),"""",IFERROR(IF(K8815="""","""",query('tbl user'!$A$2:$D10975,""SELECT A WHERE D = '""&amp;K8815&amp;""'"")),""USER TIDAK DIKETAHUI""))"),"")</f>
        <v/>
      </c>
    </row>
    <row r="8816">
      <c r="A8816" s="21" t="str">
        <f t="shared" si="3"/>
        <v/>
      </c>
      <c r="B8816" s="38"/>
      <c r="C8816" s="23"/>
      <c r="D8816" s="23"/>
      <c r="E8816" s="24"/>
      <c r="F8816" s="25"/>
      <c r="G8816" s="25"/>
      <c r="H8816" s="27"/>
      <c r="I8816" s="28"/>
      <c r="J8816" s="39"/>
      <c r="K8816" s="41"/>
      <c r="L8816" s="31" t="str">
        <f>IFERROR(__xludf.DUMMYFUNCTION("IF(OR(E8816="""",K8816=""""),"""",IFERROR(IF(K8816="""","""",query('tbl user'!$A$2:$D10975,""SELECT A WHERE D = '""&amp;K8816&amp;""'"")),""USER TIDAK DIKETAHUI""))"),"")</f>
        <v/>
      </c>
    </row>
    <row r="8817">
      <c r="A8817" s="21" t="str">
        <f t="shared" si="3"/>
        <v/>
      </c>
      <c r="B8817" s="38"/>
      <c r="C8817" s="23"/>
      <c r="D8817" s="23"/>
      <c r="E8817" s="24"/>
      <c r="F8817" s="25"/>
      <c r="G8817" s="25"/>
      <c r="H8817" s="27"/>
      <c r="I8817" s="28"/>
      <c r="J8817" s="39"/>
      <c r="K8817" s="41"/>
      <c r="L8817" s="31" t="str">
        <f>IFERROR(__xludf.DUMMYFUNCTION("IF(OR(E8817="""",K8817=""""),"""",IFERROR(IF(K8817="""","""",query('tbl user'!$A$2:$D10975,""SELECT A WHERE D = '""&amp;K8817&amp;""'"")),""USER TIDAK DIKETAHUI""))"),"")</f>
        <v/>
      </c>
    </row>
    <row r="8818">
      <c r="A8818" s="21" t="str">
        <f t="shared" si="3"/>
        <v/>
      </c>
      <c r="B8818" s="38"/>
      <c r="C8818" s="23"/>
      <c r="D8818" s="23"/>
      <c r="E8818" s="24"/>
      <c r="F8818" s="25"/>
      <c r="G8818" s="25"/>
      <c r="H8818" s="27"/>
      <c r="I8818" s="28"/>
      <c r="J8818" s="39"/>
      <c r="K8818" s="41"/>
      <c r="L8818" s="31" t="str">
        <f>IFERROR(__xludf.DUMMYFUNCTION("IF(OR(E8818="""",K8818=""""),"""",IFERROR(IF(K8818="""","""",query('tbl user'!$A$2:$D10975,""SELECT A WHERE D = '""&amp;K8818&amp;""'"")),""USER TIDAK DIKETAHUI""))"),"")</f>
        <v/>
      </c>
    </row>
    <row r="8819">
      <c r="A8819" s="21" t="str">
        <f t="shared" si="3"/>
        <v/>
      </c>
      <c r="B8819" s="38"/>
      <c r="C8819" s="23"/>
      <c r="D8819" s="23"/>
      <c r="E8819" s="24"/>
      <c r="F8819" s="25"/>
      <c r="G8819" s="25"/>
      <c r="H8819" s="27"/>
      <c r="I8819" s="28"/>
      <c r="J8819" s="39"/>
      <c r="K8819" s="41"/>
      <c r="L8819" s="31" t="str">
        <f>IFERROR(__xludf.DUMMYFUNCTION("IF(OR(E8819="""",K8819=""""),"""",IFERROR(IF(K8819="""","""",query('tbl user'!$A$2:$D10975,""SELECT A WHERE D = '""&amp;K8819&amp;""'"")),""USER TIDAK DIKETAHUI""))"),"")</f>
        <v/>
      </c>
    </row>
    <row r="8820">
      <c r="A8820" s="21" t="str">
        <f t="shared" si="3"/>
        <v/>
      </c>
      <c r="B8820" s="38"/>
      <c r="C8820" s="23"/>
      <c r="D8820" s="23"/>
      <c r="E8820" s="24"/>
      <c r="F8820" s="25"/>
      <c r="G8820" s="25"/>
      <c r="H8820" s="27"/>
      <c r="I8820" s="28"/>
      <c r="J8820" s="39"/>
      <c r="K8820" s="41"/>
      <c r="L8820" s="31" t="str">
        <f>IFERROR(__xludf.DUMMYFUNCTION("IF(OR(E8820="""",K8820=""""),"""",IFERROR(IF(K8820="""","""",query('tbl user'!$A$2:$D10975,""SELECT A WHERE D = '""&amp;K8820&amp;""'"")),""USER TIDAK DIKETAHUI""))"),"")</f>
        <v/>
      </c>
    </row>
    <row r="8821">
      <c r="A8821" s="21" t="str">
        <f t="shared" si="3"/>
        <v/>
      </c>
      <c r="B8821" s="38"/>
      <c r="C8821" s="23"/>
      <c r="D8821" s="23"/>
      <c r="E8821" s="24"/>
      <c r="F8821" s="25"/>
      <c r="G8821" s="25"/>
      <c r="H8821" s="27"/>
      <c r="I8821" s="28"/>
      <c r="J8821" s="39"/>
      <c r="K8821" s="41"/>
      <c r="L8821" s="31" t="str">
        <f>IFERROR(__xludf.DUMMYFUNCTION("IF(OR(E8821="""",K8821=""""),"""",IFERROR(IF(K8821="""","""",query('tbl user'!$A$2:$D10975,""SELECT A WHERE D = '""&amp;K8821&amp;""'"")),""USER TIDAK DIKETAHUI""))"),"")</f>
        <v/>
      </c>
    </row>
    <row r="8822">
      <c r="A8822" s="21" t="str">
        <f t="shared" si="3"/>
        <v/>
      </c>
      <c r="B8822" s="38"/>
      <c r="C8822" s="23"/>
      <c r="D8822" s="23"/>
      <c r="E8822" s="24"/>
      <c r="F8822" s="25"/>
      <c r="G8822" s="25"/>
      <c r="H8822" s="27"/>
      <c r="I8822" s="28"/>
      <c r="J8822" s="39"/>
      <c r="K8822" s="41"/>
      <c r="L8822" s="31" t="str">
        <f>IFERROR(__xludf.DUMMYFUNCTION("IF(OR(E8822="""",K8822=""""),"""",IFERROR(IF(K8822="""","""",query('tbl user'!$A$2:$D10975,""SELECT A WHERE D = '""&amp;K8822&amp;""'"")),""USER TIDAK DIKETAHUI""))"),"")</f>
        <v/>
      </c>
    </row>
    <row r="8823">
      <c r="A8823" s="21" t="str">
        <f t="shared" si="3"/>
        <v/>
      </c>
      <c r="B8823" s="38"/>
      <c r="C8823" s="23"/>
      <c r="D8823" s="23"/>
      <c r="E8823" s="24"/>
      <c r="F8823" s="25"/>
      <c r="G8823" s="25"/>
      <c r="H8823" s="27"/>
      <c r="I8823" s="28"/>
      <c r="J8823" s="39"/>
      <c r="K8823" s="41"/>
      <c r="L8823" s="31" t="str">
        <f>IFERROR(__xludf.DUMMYFUNCTION("IF(OR(E8823="""",K8823=""""),"""",IFERROR(IF(K8823="""","""",query('tbl user'!$A$2:$D10975,""SELECT A WHERE D = '""&amp;K8823&amp;""'"")),""USER TIDAK DIKETAHUI""))"),"")</f>
        <v/>
      </c>
    </row>
    <row r="8824">
      <c r="A8824" s="21" t="str">
        <f t="shared" si="3"/>
        <v/>
      </c>
      <c r="B8824" s="38"/>
      <c r="C8824" s="23"/>
      <c r="D8824" s="23"/>
      <c r="E8824" s="24"/>
      <c r="F8824" s="25"/>
      <c r="G8824" s="25"/>
      <c r="H8824" s="27"/>
      <c r="I8824" s="28"/>
      <c r="J8824" s="39"/>
      <c r="K8824" s="41"/>
      <c r="L8824" s="31" t="str">
        <f>IFERROR(__xludf.DUMMYFUNCTION("IF(OR(E8824="""",K8824=""""),"""",IFERROR(IF(K8824="""","""",query('tbl user'!$A$2:$D10975,""SELECT A WHERE D = '""&amp;K8824&amp;""'"")),""USER TIDAK DIKETAHUI""))"),"")</f>
        <v/>
      </c>
    </row>
    <row r="8825">
      <c r="A8825" s="21" t="str">
        <f t="shared" si="3"/>
        <v/>
      </c>
      <c r="B8825" s="38"/>
      <c r="C8825" s="23"/>
      <c r="D8825" s="23"/>
      <c r="E8825" s="24"/>
      <c r="F8825" s="25"/>
      <c r="G8825" s="25"/>
      <c r="H8825" s="27"/>
      <c r="I8825" s="28"/>
      <c r="J8825" s="39"/>
      <c r="K8825" s="41"/>
      <c r="L8825" s="31" t="str">
        <f>IFERROR(__xludf.DUMMYFUNCTION("IF(OR(E8825="""",K8825=""""),"""",IFERROR(IF(K8825="""","""",query('tbl user'!$A$2:$D10975,""SELECT A WHERE D = '""&amp;K8825&amp;""'"")),""USER TIDAK DIKETAHUI""))"),"")</f>
        <v/>
      </c>
    </row>
    <row r="8826">
      <c r="A8826" s="21" t="str">
        <f t="shared" si="3"/>
        <v/>
      </c>
      <c r="B8826" s="38"/>
      <c r="C8826" s="23"/>
      <c r="D8826" s="23"/>
      <c r="E8826" s="24"/>
      <c r="F8826" s="25"/>
      <c r="G8826" s="25"/>
      <c r="H8826" s="27"/>
      <c r="I8826" s="28"/>
      <c r="J8826" s="39"/>
      <c r="K8826" s="41"/>
      <c r="L8826" s="31" t="str">
        <f>IFERROR(__xludf.DUMMYFUNCTION("IF(OR(E8826="""",K8826=""""),"""",IFERROR(IF(K8826="""","""",query('tbl user'!$A$2:$D10975,""SELECT A WHERE D = '""&amp;K8826&amp;""'"")),""USER TIDAK DIKETAHUI""))"),"")</f>
        <v/>
      </c>
    </row>
    <row r="8827">
      <c r="A8827" s="21" t="str">
        <f t="shared" si="3"/>
        <v/>
      </c>
      <c r="B8827" s="38"/>
      <c r="C8827" s="23"/>
      <c r="D8827" s="23"/>
      <c r="E8827" s="24"/>
      <c r="F8827" s="25"/>
      <c r="G8827" s="25"/>
      <c r="H8827" s="27"/>
      <c r="I8827" s="28"/>
      <c r="J8827" s="39"/>
      <c r="K8827" s="41"/>
      <c r="L8827" s="31" t="str">
        <f>IFERROR(__xludf.DUMMYFUNCTION("IF(OR(E8827="""",K8827=""""),"""",IFERROR(IF(K8827="""","""",query('tbl user'!$A$2:$D10975,""SELECT A WHERE D = '""&amp;K8827&amp;""'"")),""USER TIDAK DIKETAHUI""))"),"")</f>
        <v/>
      </c>
    </row>
    <row r="8828">
      <c r="A8828" s="21" t="str">
        <f t="shared" si="3"/>
        <v/>
      </c>
      <c r="B8828" s="38"/>
      <c r="C8828" s="23"/>
      <c r="D8828" s="23"/>
      <c r="E8828" s="24"/>
      <c r="F8828" s="25"/>
      <c r="G8828" s="25"/>
      <c r="H8828" s="27"/>
      <c r="I8828" s="28"/>
      <c r="J8828" s="39"/>
      <c r="K8828" s="41"/>
      <c r="L8828" s="31" t="str">
        <f>IFERROR(__xludf.DUMMYFUNCTION("IF(OR(E8828="""",K8828=""""),"""",IFERROR(IF(K8828="""","""",query('tbl user'!$A$2:$D10975,""SELECT A WHERE D = '""&amp;K8828&amp;""'"")),""USER TIDAK DIKETAHUI""))"),"")</f>
        <v/>
      </c>
    </row>
    <row r="8829">
      <c r="A8829" s="21" t="str">
        <f t="shared" si="3"/>
        <v/>
      </c>
      <c r="B8829" s="38"/>
      <c r="C8829" s="23"/>
      <c r="D8829" s="23"/>
      <c r="E8829" s="24"/>
      <c r="F8829" s="25"/>
      <c r="G8829" s="25"/>
      <c r="H8829" s="27"/>
      <c r="I8829" s="28"/>
      <c r="J8829" s="39"/>
      <c r="K8829" s="41"/>
      <c r="L8829" s="31" t="str">
        <f>IFERROR(__xludf.DUMMYFUNCTION("IF(OR(E8829="""",K8829=""""),"""",IFERROR(IF(K8829="""","""",query('tbl user'!$A$2:$D10975,""SELECT A WHERE D = '""&amp;K8829&amp;""'"")),""USER TIDAK DIKETAHUI""))"),"")</f>
        <v/>
      </c>
    </row>
    <row r="8830">
      <c r="A8830" s="21" t="str">
        <f t="shared" si="3"/>
        <v/>
      </c>
      <c r="B8830" s="38"/>
      <c r="C8830" s="23"/>
      <c r="D8830" s="23"/>
      <c r="E8830" s="24"/>
      <c r="F8830" s="25"/>
      <c r="G8830" s="25"/>
      <c r="H8830" s="27"/>
      <c r="I8830" s="28"/>
      <c r="J8830" s="39"/>
      <c r="K8830" s="41"/>
      <c r="L8830" s="31" t="str">
        <f>IFERROR(__xludf.DUMMYFUNCTION("IF(OR(E8830="""",K8830=""""),"""",IFERROR(IF(K8830="""","""",query('tbl user'!$A$2:$D10975,""SELECT A WHERE D = '""&amp;K8830&amp;""'"")),""USER TIDAK DIKETAHUI""))"),"")</f>
        <v/>
      </c>
    </row>
    <row r="8831">
      <c r="A8831" s="21" t="str">
        <f t="shared" si="3"/>
        <v/>
      </c>
      <c r="B8831" s="38"/>
      <c r="C8831" s="23"/>
      <c r="D8831" s="23"/>
      <c r="E8831" s="24"/>
      <c r="F8831" s="25"/>
      <c r="G8831" s="25"/>
      <c r="H8831" s="27"/>
      <c r="I8831" s="28"/>
      <c r="J8831" s="39"/>
      <c r="K8831" s="41"/>
      <c r="L8831" s="31" t="str">
        <f>IFERROR(__xludf.DUMMYFUNCTION("IF(OR(E8831="""",K8831=""""),"""",IFERROR(IF(K8831="""","""",query('tbl user'!$A$2:$D10975,""SELECT A WHERE D = '""&amp;K8831&amp;""'"")),""USER TIDAK DIKETAHUI""))"),"")</f>
        <v/>
      </c>
    </row>
    <row r="8832">
      <c r="A8832" s="21" t="str">
        <f t="shared" si="3"/>
        <v/>
      </c>
      <c r="B8832" s="38"/>
      <c r="C8832" s="23"/>
      <c r="D8832" s="23"/>
      <c r="E8832" s="24"/>
      <c r="F8832" s="25"/>
      <c r="G8832" s="25"/>
      <c r="H8832" s="27"/>
      <c r="I8832" s="28"/>
      <c r="J8832" s="39"/>
      <c r="K8832" s="41"/>
      <c r="L8832" s="31" t="str">
        <f>IFERROR(__xludf.DUMMYFUNCTION("IF(OR(E8832="""",K8832=""""),"""",IFERROR(IF(K8832="""","""",query('tbl user'!$A$2:$D10975,""SELECT A WHERE D = '""&amp;K8832&amp;""'"")),""USER TIDAK DIKETAHUI""))"),"")</f>
        <v/>
      </c>
    </row>
    <row r="8833">
      <c r="A8833" s="21" t="str">
        <f t="shared" si="3"/>
        <v/>
      </c>
      <c r="B8833" s="38"/>
      <c r="C8833" s="23"/>
      <c r="D8833" s="23"/>
      <c r="E8833" s="24"/>
      <c r="F8833" s="25"/>
      <c r="G8833" s="25"/>
      <c r="H8833" s="27"/>
      <c r="I8833" s="28"/>
      <c r="J8833" s="39"/>
      <c r="K8833" s="41"/>
      <c r="L8833" s="31" t="str">
        <f>IFERROR(__xludf.DUMMYFUNCTION("IF(OR(E8833="""",K8833=""""),"""",IFERROR(IF(K8833="""","""",query('tbl user'!$A$2:$D10975,""SELECT A WHERE D = '""&amp;K8833&amp;""'"")),""USER TIDAK DIKETAHUI""))"),"")</f>
        <v/>
      </c>
    </row>
    <row r="8834">
      <c r="A8834" s="21" t="str">
        <f t="shared" si="3"/>
        <v/>
      </c>
      <c r="B8834" s="38"/>
      <c r="C8834" s="23"/>
      <c r="D8834" s="23"/>
      <c r="E8834" s="24"/>
      <c r="F8834" s="25"/>
      <c r="G8834" s="25"/>
      <c r="H8834" s="27"/>
      <c r="I8834" s="28"/>
      <c r="J8834" s="39"/>
      <c r="K8834" s="41"/>
      <c r="L8834" s="31" t="str">
        <f>IFERROR(__xludf.DUMMYFUNCTION("IF(OR(E8834="""",K8834=""""),"""",IFERROR(IF(K8834="""","""",query('tbl user'!$A$2:$D10975,""SELECT A WHERE D = '""&amp;K8834&amp;""'"")),""USER TIDAK DIKETAHUI""))"),"")</f>
        <v/>
      </c>
    </row>
    <row r="8835">
      <c r="A8835" s="21" t="str">
        <f t="shared" si="3"/>
        <v/>
      </c>
      <c r="B8835" s="38"/>
      <c r="C8835" s="23"/>
      <c r="D8835" s="23"/>
      <c r="E8835" s="24"/>
      <c r="F8835" s="25"/>
      <c r="G8835" s="25"/>
      <c r="H8835" s="27"/>
      <c r="I8835" s="28"/>
      <c r="J8835" s="39"/>
      <c r="K8835" s="41"/>
      <c r="L8835" s="31" t="str">
        <f>IFERROR(__xludf.DUMMYFUNCTION("IF(OR(E8835="""",K8835=""""),"""",IFERROR(IF(K8835="""","""",query('tbl user'!$A$2:$D10975,""SELECT A WHERE D = '""&amp;K8835&amp;""'"")),""USER TIDAK DIKETAHUI""))"),"")</f>
        <v/>
      </c>
    </row>
    <row r="8836">
      <c r="A8836" s="21" t="str">
        <f t="shared" si="3"/>
        <v/>
      </c>
      <c r="B8836" s="38"/>
      <c r="C8836" s="23"/>
      <c r="D8836" s="23"/>
      <c r="E8836" s="24"/>
      <c r="F8836" s="25"/>
      <c r="G8836" s="25"/>
      <c r="H8836" s="27"/>
      <c r="I8836" s="28"/>
      <c r="J8836" s="39"/>
      <c r="K8836" s="41"/>
      <c r="L8836" s="31" t="str">
        <f>IFERROR(__xludf.DUMMYFUNCTION("IF(OR(E8836="""",K8836=""""),"""",IFERROR(IF(K8836="""","""",query('tbl user'!$A$2:$D10975,""SELECT A WHERE D = '""&amp;K8836&amp;""'"")),""USER TIDAK DIKETAHUI""))"),"")</f>
        <v/>
      </c>
    </row>
    <row r="8837">
      <c r="A8837" s="21" t="str">
        <f t="shared" si="3"/>
        <v/>
      </c>
      <c r="B8837" s="38"/>
      <c r="C8837" s="23"/>
      <c r="D8837" s="23"/>
      <c r="E8837" s="24"/>
      <c r="F8837" s="25"/>
      <c r="G8837" s="25"/>
      <c r="H8837" s="27"/>
      <c r="I8837" s="28"/>
      <c r="J8837" s="39"/>
      <c r="K8837" s="41"/>
      <c r="L8837" s="31" t="str">
        <f>IFERROR(__xludf.DUMMYFUNCTION("IF(OR(E8837="""",K8837=""""),"""",IFERROR(IF(K8837="""","""",query('tbl user'!$A$2:$D10975,""SELECT A WHERE D = '""&amp;K8837&amp;""'"")),""USER TIDAK DIKETAHUI""))"),"")</f>
        <v/>
      </c>
    </row>
    <row r="8838">
      <c r="A8838" s="21" t="str">
        <f t="shared" si="3"/>
        <v/>
      </c>
      <c r="B8838" s="38"/>
      <c r="C8838" s="23"/>
      <c r="D8838" s="23"/>
      <c r="E8838" s="24"/>
      <c r="F8838" s="25"/>
      <c r="G8838" s="25"/>
      <c r="H8838" s="27"/>
      <c r="I8838" s="28"/>
      <c r="J8838" s="39"/>
      <c r="K8838" s="41"/>
      <c r="L8838" s="31" t="str">
        <f>IFERROR(__xludf.DUMMYFUNCTION("IF(OR(E8838="""",K8838=""""),"""",IFERROR(IF(K8838="""","""",query('tbl user'!$A$2:$D10975,""SELECT A WHERE D = '""&amp;K8838&amp;""'"")),""USER TIDAK DIKETAHUI""))"),"")</f>
        <v/>
      </c>
    </row>
    <row r="8839">
      <c r="A8839" s="21" t="str">
        <f t="shared" si="3"/>
        <v/>
      </c>
      <c r="B8839" s="38"/>
      <c r="C8839" s="23"/>
      <c r="D8839" s="23"/>
      <c r="E8839" s="24"/>
      <c r="F8839" s="25"/>
      <c r="G8839" s="25"/>
      <c r="H8839" s="27"/>
      <c r="I8839" s="28"/>
      <c r="J8839" s="39"/>
      <c r="K8839" s="41"/>
      <c r="L8839" s="31" t="str">
        <f>IFERROR(__xludf.DUMMYFUNCTION("IF(OR(E8839="""",K8839=""""),"""",IFERROR(IF(K8839="""","""",query('tbl user'!$A$2:$D10975,""SELECT A WHERE D = '""&amp;K8839&amp;""'"")),""USER TIDAK DIKETAHUI""))"),"")</f>
        <v/>
      </c>
    </row>
    <row r="8840">
      <c r="A8840" s="21" t="str">
        <f t="shared" si="3"/>
        <v/>
      </c>
      <c r="B8840" s="38"/>
      <c r="C8840" s="23"/>
      <c r="D8840" s="23"/>
      <c r="E8840" s="24"/>
      <c r="F8840" s="25"/>
      <c r="G8840" s="25"/>
      <c r="H8840" s="27"/>
      <c r="I8840" s="28"/>
      <c r="J8840" s="39"/>
      <c r="K8840" s="41"/>
      <c r="L8840" s="31" t="str">
        <f>IFERROR(__xludf.DUMMYFUNCTION("IF(OR(E8840="""",K8840=""""),"""",IFERROR(IF(K8840="""","""",query('tbl user'!$A$2:$D10975,""SELECT A WHERE D = '""&amp;K8840&amp;""'"")),""USER TIDAK DIKETAHUI""))"),"")</f>
        <v/>
      </c>
    </row>
    <row r="8841">
      <c r="A8841" s="21" t="str">
        <f t="shared" si="3"/>
        <v/>
      </c>
      <c r="B8841" s="38"/>
      <c r="C8841" s="23"/>
      <c r="D8841" s="23"/>
      <c r="E8841" s="24"/>
      <c r="F8841" s="25"/>
      <c r="G8841" s="25"/>
      <c r="H8841" s="27"/>
      <c r="I8841" s="28"/>
      <c r="J8841" s="39"/>
      <c r="K8841" s="41"/>
      <c r="L8841" s="31" t="str">
        <f>IFERROR(__xludf.DUMMYFUNCTION("IF(OR(E8841="""",K8841=""""),"""",IFERROR(IF(K8841="""","""",query('tbl user'!$A$2:$D10975,""SELECT A WHERE D = '""&amp;K8841&amp;""'"")),""USER TIDAK DIKETAHUI""))"),"")</f>
        <v/>
      </c>
    </row>
    <row r="8842">
      <c r="A8842" s="21" t="str">
        <f t="shared" si="3"/>
        <v/>
      </c>
      <c r="B8842" s="38"/>
      <c r="C8842" s="23"/>
      <c r="D8842" s="23"/>
      <c r="E8842" s="24"/>
      <c r="F8842" s="25"/>
      <c r="G8842" s="25"/>
      <c r="H8842" s="27"/>
      <c r="I8842" s="28"/>
      <c r="J8842" s="39"/>
      <c r="K8842" s="41"/>
      <c r="L8842" s="31" t="str">
        <f>IFERROR(__xludf.DUMMYFUNCTION("IF(OR(E8842="""",K8842=""""),"""",IFERROR(IF(K8842="""","""",query('tbl user'!$A$2:$D10975,""SELECT A WHERE D = '""&amp;K8842&amp;""'"")),""USER TIDAK DIKETAHUI""))"),"")</f>
        <v/>
      </c>
    </row>
    <row r="8843">
      <c r="A8843" s="21" t="str">
        <f t="shared" si="3"/>
        <v/>
      </c>
      <c r="B8843" s="38"/>
      <c r="C8843" s="23"/>
      <c r="D8843" s="23"/>
      <c r="E8843" s="24"/>
      <c r="F8843" s="25"/>
      <c r="G8843" s="25"/>
      <c r="H8843" s="27"/>
      <c r="I8843" s="28"/>
      <c r="J8843" s="39"/>
      <c r="K8843" s="41"/>
      <c r="L8843" s="31" t="str">
        <f>IFERROR(__xludf.DUMMYFUNCTION("IF(OR(E8843="""",K8843=""""),"""",IFERROR(IF(K8843="""","""",query('tbl user'!$A$2:$D10975,""SELECT A WHERE D = '""&amp;K8843&amp;""'"")),""USER TIDAK DIKETAHUI""))"),"")</f>
        <v/>
      </c>
    </row>
    <row r="8844">
      <c r="A8844" s="21" t="str">
        <f t="shared" si="3"/>
        <v/>
      </c>
      <c r="B8844" s="38"/>
      <c r="C8844" s="23"/>
      <c r="D8844" s="23"/>
      <c r="E8844" s="24"/>
      <c r="F8844" s="25"/>
      <c r="G8844" s="25"/>
      <c r="H8844" s="27"/>
      <c r="I8844" s="28"/>
      <c r="J8844" s="39"/>
      <c r="K8844" s="41"/>
      <c r="L8844" s="31" t="str">
        <f>IFERROR(__xludf.DUMMYFUNCTION("IF(OR(E8844="""",K8844=""""),"""",IFERROR(IF(K8844="""","""",query('tbl user'!$A$2:$D10975,""SELECT A WHERE D = '""&amp;K8844&amp;""'"")),""USER TIDAK DIKETAHUI""))"),"")</f>
        <v/>
      </c>
    </row>
    <row r="8845">
      <c r="A8845" s="21" t="str">
        <f t="shared" si="3"/>
        <v/>
      </c>
      <c r="B8845" s="38"/>
      <c r="C8845" s="23"/>
      <c r="D8845" s="23"/>
      <c r="E8845" s="24"/>
      <c r="F8845" s="25"/>
      <c r="G8845" s="25"/>
      <c r="H8845" s="27"/>
      <c r="I8845" s="28"/>
      <c r="J8845" s="39"/>
      <c r="K8845" s="41"/>
      <c r="L8845" s="31" t="str">
        <f>IFERROR(__xludf.DUMMYFUNCTION("IF(OR(E8845="""",K8845=""""),"""",IFERROR(IF(K8845="""","""",query('tbl user'!$A$2:$D10975,""SELECT A WHERE D = '""&amp;K8845&amp;""'"")),""USER TIDAK DIKETAHUI""))"),"")</f>
        <v/>
      </c>
    </row>
    <row r="8846">
      <c r="A8846" s="21" t="str">
        <f t="shared" si="3"/>
        <v/>
      </c>
      <c r="B8846" s="38"/>
      <c r="C8846" s="23"/>
      <c r="D8846" s="23"/>
      <c r="E8846" s="24"/>
      <c r="F8846" s="25"/>
      <c r="G8846" s="25"/>
      <c r="H8846" s="27"/>
      <c r="I8846" s="28"/>
      <c r="J8846" s="39"/>
      <c r="K8846" s="41"/>
      <c r="L8846" s="31" t="str">
        <f>IFERROR(__xludf.DUMMYFUNCTION("IF(OR(E8846="""",K8846=""""),"""",IFERROR(IF(K8846="""","""",query('tbl user'!$A$2:$D10975,""SELECT A WHERE D = '""&amp;K8846&amp;""'"")),""USER TIDAK DIKETAHUI""))"),"")</f>
        <v/>
      </c>
    </row>
    <row r="8847">
      <c r="A8847" s="21" t="str">
        <f t="shared" si="3"/>
        <v/>
      </c>
      <c r="B8847" s="38"/>
      <c r="C8847" s="23"/>
      <c r="D8847" s="23"/>
      <c r="E8847" s="24"/>
      <c r="F8847" s="25"/>
      <c r="G8847" s="25"/>
      <c r="H8847" s="27"/>
      <c r="I8847" s="28"/>
      <c r="J8847" s="39"/>
      <c r="K8847" s="41"/>
      <c r="L8847" s="31" t="str">
        <f>IFERROR(__xludf.DUMMYFUNCTION("IF(OR(E8847="""",K8847=""""),"""",IFERROR(IF(K8847="""","""",query('tbl user'!$A$2:$D10975,""SELECT A WHERE D = '""&amp;K8847&amp;""'"")),""USER TIDAK DIKETAHUI""))"),"")</f>
        <v/>
      </c>
    </row>
    <row r="8848">
      <c r="A8848" s="21" t="str">
        <f t="shared" si="3"/>
        <v/>
      </c>
      <c r="B8848" s="38"/>
      <c r="C8848" s="23"/>
      <c r="D8848" s="23"/>
      <c r="E8848" s="24"/>
      <c r="F8848" s="25"/>
      <c r="G8848" s="25"/>
      <c r="H8848" s="27"/>
      <c r="I8848" s="28"/>
      <c r="J8848" s="39"/>
      <c r="K8848" s="41"/>
      <c r="L8848" s="31" t="str">
        <f>IFERROR(__xludf.DUMMYFUNCTION("IF(OR(E8848="""",K8848=""""),"""",IFERROR(IF(K8848="""","""",query('tbl user'!$A$2:$D10975,""SELECT A WHERE D = '""&amp;K8848&amp;""'"")),""USER TIDAK DIKETAHUI""))"),"")</f>
        <v/>
      </c>
    </row>
    <row r="8849">
      <c r="A8849" s="21" t="str">
        <f t="shared" si="3"/>
        <v/>
      </c>
      <c r="B8849" s="38"/>
      <c r="C8849" s="23"/>
      <c r="D8849" s="23"/>
      <c r="E8849" s="24"/>
      <c r="F8849" s="25"/>
      <c r="G8849" s="25"/>
      <c r="H8849" s="27"/>
      <c r="I8849" s="28"/>
      <c r="J8849" s="39"/>
      <c r="K8849" s="41"/>
      <c r="L8849" s="31" t="str">
        <f>IFERROR(__xludf.DUMMYFUNCTION("IF(OR(E8849="""",K8849=""""),"""",IFERROR(IF(K8849="""","""",query('tbl user'!$A$2:$D10975,""SELECT A WHERE D = '""&amp;K8849&amp;""'"")),""USER TIDAK DIKETAHUI""))"),"")</f>
        <v/>
      </c>
    </row>
    <row r="8850">
      <c r="A8850" s="21" t="str">
        <f t="shared" si="3"/>
        <v/>
      </c>
      <c r="B8850" s="38"/>
      <c r="C8850" s="23"/>
      <c r="D8850" s="23"/>
      <c r="E8850" s="24"/>
      <c r="F8850" s="25"/>
      <c r="G8850" s="25"/>
      <c r="H8850" s="27"/>
      <c r="I8850" s="28"/>
      <c r="J8850" s="39"/>
      <c r="K8850" s="41"/>
      <c r="L8850" s="31" t="str">
        <f>IFERROR(__xludf.DUMMYFUNCTION("IF(OR(E8850="""",K8850=""""),"""",IFERROR(IF(K8850="""","""",query('tbl user'!$A$2:$D10975,""SELECT A WHERE D = '""&amp;K8850&amp;""'"")),""USER TIDAK DIKETAHUI""))"),"")</f>
        <v/>
      </c>
    </row>
    <row r="8851">
      <c r="A8851" s="21" t="str">
        <f t="shared" si="3"/>
        <v/>
      </c>
      <c r="B8851" s="38"/>
      <c r="C8851" s="23"/>
      <c r="D8851" s="23"/>
      <c r="E8851" s="24"/>
      <c r="F8851" s="25"/>
      <c r="G8851" s="25"/>
      <c r="H8851" s="27"/>
      <c r="I8851" s="28"/>
      <c r="J8851" s="39"/>
      <c r="K8851" s="41"/>
      <c r="L8851" s="31" t="str">
        <f>IFERROR(__xludf.DUMMYFUNCTION("IF(OR(E8851="""",K8851=""""),"""",IFERROR(IF(K8851="""","""",query('tbl user'!$A$2:$D10975,""SELECT A WHERE D = '""&amp;K8851&amp;""'"")),""USER TIDAK DIKETAHUI""))"),"")</f>
        <v/>
      </c>
    </row>
    <row r="8852">
      <c r="A8852" s="21" t="str">
        <f t="shared" si="3"/>
        <v/>
      </c>
      <c r="B8852" s="38"/>
      <c r="C8852" s="23"/>
      <c r="D8852" s="23"/>
      <c r="E8852" s="24"/>
      <c r="F8852" s="25"/>
      <c r="G8852" s="25"/>
      <c r="H8852" s="27"/>
      <c r="I8852" s="28"/>
      <c r="J8852" s="39"/>
      <c r="K8852" s="41"/>
      <c r="L8852" s="31" t="str">
        <f>IFERROR(__xludf.DUMMYFUNCTION("IF(OR(E8852="""",K8852=""""),"""",IFERROR(IF(K8852="""","""",query('tbl user'!$A$2:$D10975,""SELECT A WHERE D = '""&amp;K8852&amp;""'"")),""USER TIDAK DIKETAHUI""))"),"")</f>
        <v/>
      </c>
    </row>
    <row r="8853">
      <c r="A8853" s="21" t="str">
        <f t="shared" si="3"/>
        <v/>
      </c>
      <c r="B8853" s="38"/>
      <c r="C8853" s="23"/>
      <c r="D8853" s="23"/>
      <c r="E8853" s="24"/>
      <c r="F8853" s="25"/>
      <c r="G8853" s="25"/>
      <c r="H8853" s="27"/>
      <c r="I8853" s="28"/>
      <c r="J8853" s="39"/>
      <c r="K8853" s="41"/>
      <c r="L8853" s="31" t="str">
        <f>IFERROR(__xludf.DUMMYFUNCTION("IF(OR(E8853="""",K8853=""""),"""",IFERROR(IF(K8853="""","""",query('tbl user'!$A$2:$D10975,""SELECT A WHERE D = '""&amp;K8853&amp;""'"")),""USER TIDAK DIKETAHUI""))"),"")</f>
        <v/>
      </c>
    </row>
    <row r="8854">
      <c r="A8854" s="21" t="str">
        <f t="shared" si="3"/>
        <v/>
      </c>
      <c r="B8854" s="38"/>
      <c r="C8854" s="23"/>
      <c r="D8854" s="23"/>
      <c r="E8854" s="24"/>
      <c r="F8854" s="25"/>
      <c r="G8854" s="25"/>
      <c r="H8854" s="27"/>
      <c r="I8854" s="28"/>
      <c r="J8854" s="39"/>
      <c r="K8854" s="41"/>
      <c r="L8854" s="31" t="str">
        <f>IFERROR(__xludf.DUMMYFUNCTION("IF(OR(E8854="""",K8854=""""),"""",IFERROR(IF(K8854="""","""",query('tbl user'!$A$2:$D10975,""SELECT A WHERE D = '""&amp;K8854&amp;""'"")),""USER TIDAK DIKETAHUI""))"),"")</f>
        <v/>
      </c>
    </row>
    <row r="8855">
      <c r="A8855" s="21" t="str">
        <f t="shared" si="3"/>
        <v/>
      </c>
      <c r="B8855" s="38"/>
      <c r="C8855" s="23"/>
      <c r="D8855" s="23"/>
      <c r="E8855" s="24"/>
      <c r="F8855" s="25"/>
      <c r="G8855" s="25"/>
      <c r="H8855" s="27"/>
      <c r="I8855" s="28"/>
      <c r="J8855" s="39"/>
      <c r="K8855" s="41"/>
      <c r="L8855" s="31" t="str">
        <f>IFERROR(__xludf.DUMMYFUNCTION("IF(OR(E8855="""",K8855=""""),"""",IFERROR(IF(K8855="""","""",query('tbl user'!$A$2:$D10975,""SELECT A WHERE D = '""&amp;K8855&amp;""'"")),""USER TIDAK DIKETAHUI""))"),"")</f>
        <v/>
      </c>
    </row>
    <row r="8856">
      <c r="A8856" s="21" t="str">
        <f t="shared" si="3"/>
        <v/>
      </c>
      <c r="B8856" s="38"/>
      <c r="C8856" s="23"/>
      <c r="D8856" s="23"/>
      <c r="E8856" s="24"/>
      <c r="F8856" s="25"/>
      <c r="G8856" s="25"/>
      <c r="H8856" s="27"/>
      <c r="I8856" s="28"/>
      <c r="J8856" s="39"/>
      <c r="K8856" s="41"/>
      <c r="L8856" s="31" t="str">
        <f>IFERROR(__xludf.DUMMYFUNCTION("IF(OR(E8856="""",K8856=""""),"""",IFERROR(IF(K8856="""","""",query('tbl user'!$A$2:$D10975,""SELECT A WHERE D = '""&amp;K8856&amp;""'"")),""USER TIDAK DIKETAHUI""))"),"")</f>
        <v/>
      </c>
    </row>
    <row r="8857">
      <c r="A8857" s="21" t="str">
        <f t="shared" si="3"/>
        <v/>
      </c>
      <c r="B8857" s="38"/>
      <c r="C8857" s="23"/>
      <c r="D8857" s="23"/>
      <c r="E8857" s="24"/>
      <c r="F8857" s="25"/>
      <c r="G8857" s="25"/>
      <c r="H8857" s="27"/>
      <c r="I8857" s="28"/>
      <c r="J8857" s="39"/>
      <c r="K8857" s="41"/>
      <c r="L8857" s="31" t="str">
        <f>IFERROR(__xludf.DUMMYFUNCTION("IF(OR(E8857="""",K8857=""""),"""",IFERROR(IF(K8857="""","""",query('tbl user'!$A$2:$D10975,""SELECT A WHERE D = '""&amp;K8857&amp;""'"")),""USER TIDAK DIKETAHUI""))"),"")</f>
        <v/>
      </c>
    </row>
    <row r="8858">
      <c r="A8858" s="21" t="str">
        <f t="shared" si="3"/>
        <v/>
      </c>
      <c r="B8858" s="38"/>
      <c r="C8858" s="23"/>
      <c r="D8858" s="23"/>
      <c r="E8858" s="24"/>
      <c r="F8858" s="25"/>
      <c r="G8858" s="25"/>
      <c r="H8858" s="27"/>
      <c r="I8858" s="28"/>
      <c r="J8858" s="39"/>
      <c r="K8858" s="41"/>
      <c r="L8858" s="31" t="str">
        <f>IFERROR(__xludf.DUMMYFUNCTION("IF(OR(E8858="""",K8858=""""),"""",IFERROR(IF(K8858="""","""",query('tbl user'!$A$2:$D10975,""SELECT A WHERE D = '""&amp;K8858&amp;""'"")),""USER TIDAK DIKETAHUI""))"),"")</f>
        <v/>
      </c>
    </row>
    <row r="8859">
      <c r="A8859" s="21" t="str">
        <f t="shared" si="3"/>
        <v/>
      </c>
      <c r="B8859" s="38"/>
      <c r="C8859" s="23"/>
      <c r="D8859" s="23"/>
      <c r="E8859" s="24"/>
      <c r="F8859" s="25"/>
      <c r="G8859" s="25"/>
      <c r="H8859" s="27"/>
      <c r="I8859" s="28"/>
      <c r="J8859" s="39"/>
      <c r="K8859" s="41"/>
      <c r="L8859" s="31" t="str">
        <f>IFERROR(__xludf.DUMMYFUNCTION("IF(OR(E8859="""",K8859=""""),"""",IFERROR(IF(K8859="""","""",query('tbl user'!$A$2:$D10975,""SELECT A WHERE D = '""&amp;K8859&amp;""'"")),""USER TIDAK DIKETAHUI""))"),"")</f>
        <v/>
      </c>
    </row>
    <row r="8860">
      <c r="A8860" s="21" t="str">
        <f t="shared" si="3"/>
        <v/>
      </c>
      <c r="B8860" s="38"/>
      <c r="C8860" s="23"/>
      <c r="D8860" s="23"/>
      <c r="E8860" s="24"/>
      <c r="F8860" s="25"/>
      <c r="G8860" s="25"/>
      <c r="H8860" s="27"/>
      <c r="I8860" s="28"/>
      <c r="J8860" s="39"/>
      <c r="K8860" s="41"/>
      <c r="L8860" s="31" t="str">
        <f>IFERROR(__xludf.DUMMYFUNCTION("IF(OR(E8860="""",K8860=""""),"""",IFERROR(IF(K8860="""","""",query('tbl user'!$A$2:$D10975,""SELECT A WHERE D = '""&amp;K8860&amp;""'"")),""USER TIDAK DIKETAHUI""))"),"")</f>
        <v/>
      </c>
    </row>
    <row r="8861">
      <c r="A8861" s="21" t="str">
        <f t="shared" si="3"/>
        <v/>
      </c>
      <c r="B8861" s="38"/>
      <c r="C8861" s="23"/>
      <c r="D8861" s="23"/>
      <c r="E8861" s="24"/>
      <c r="F8861" s="25"/>
      <c r="G8861" s="25"/>
      <c r="H8861" s="27"/>
      <c r="I8861" s="28"/>
      <c r="J8861" s="39"/>
      <c r="K8861" s="41"/>
      <c r="L8861" s="31" t="str">
        <f>IFERROR(__xludf.DUMMYFUNCTION("IF(OR(E8861="""",K8861=""""),"""",IFERROR(IF(K8861="""","""",query('tbl user'!$A$2:$D10975,""SELECT A WHERE D = '""&amp;K8861&amp;""'"")),""USER TIDAK DIKETAHUI""))"),"")</f>
        <v/>
      </c>
    </row>
    <row r="8862">
      <c r="A8862" s="21" t="str">
        <f t="shared" si="3"/>
        <v/>
      </c>
      <c r="B8862" s="38"/>
      <c r="C8862" s="23"/>
      <c r="D8862" s="23"/>
      <c r="E8862" s="24"/>
      <c r="F8862" s="25"/>
      <c r="G8862" s="25"/>
      <c r="H8862" s="27"/>
      <c r="I8862" s="28"/>
      <c r="J8862" s="39"/>
      <c r="K8862" s="41"/>
      <c r="L8862" s="31" t="str">
        <f>IFERROR(__xludf.DUMMYFUNCTION("IF(OR(E8862="""",K8862=""""),"""",IFERROR(IF(K8862="""","""",query('tbl user'!$A$2:$D10975,""SELECT A WHERE D = '""&amp;K8862&amp;""'"")),""USER TIDAK DIKETAHUI""))"),"")</f>
        <v/>
      </c>
    </row>
    <row r="8863">
      <c r="A8863" s="21" t="str">
        <f t="shared" si="3"/>
        <v/>
      </c>
      <c r="B8863" s="38"/>
      <c r="C8863" s="23"/>
      <c r="D8863" s="23"/>
      <c r="E8863" s="24"/>
      <c r="F8863" s="25"/>
      <c r="G8863" s="25"/>
      <c r="H8863" s="27"/>
      <c r="I8863" s="28"/>
      <c r="J8863" s="39"/>
      <c r="K8863" s="41"/>
      <c r="L8863" s="31" t="str">
        <f>IFERROR(__xludf.DUMMYFUNCTION("IF(OR(E8863="""",K8863=""""),"""",IFERROR(IF(K8863="""","""",query('tbl user'!$A$2:$D10975,""SELECT A WHERE D = '""&amp;K8863&amp;""'"")),""USER TIDAK DIKETAHUI""))"),"")</f>
        <v/>
      </c>
    </row>
    <row r="8864">
      <c r="A8864" s="21" t="str">
        <f t="shared" si="3"/>
        <v/>
      </c>
      <c r="B8864" s="38"/>
      <c r="C8864" s="23"/>
      <c r="D8864" s="23"/>
      <c r="E8864" s="24"/>
      <c r="F8864" s="25"/>
      <c r="G8864" s="25"/>
      <c r="H8864" s="27"/>
      <c r="I8864" s="28"/>
      <c r="J8864" s="39"/>
      <c r="K8864" s="41"/>
      <c r="L8864" s="31" t="str">
        <f>IFERROR(__xludf.DUMMYFUNCTION("IF(OR(E8864="""",K8864=""""),"""",IFERROR(IF(K8864="""","""",query('tbl user'!$A$2:$D10975,""SELECT A WHERE D = '""&amp;K8864&amp;""'"")),""USER TIDAK DIKETAHUI""))"),"")</f>
        <v/>
      </c>
    </row>
    <row r="8865">
      <c r="A8865" s="21" t="str">
        <f t="shared" si="3"/>
        <v/>
      </c>
      <c r="B8865" s="38"/>
      <c r="C8865" s="23"/>
      <c r="D8865" s="23"/>
      <c r="E8865" s="24"/>
      <c r="F8865" s="25"/>
      <c r="G8865" s="25"/>
      <c r="H8865" s="27"/>
      <c r="I8865" s="28"/>
      <c r="J8865" s="39"/>
      <c r="K8865" s="41"/>
      <c r="L8865" s="31" t="str">
        <f>IFERROR(__xludf.DUMMYFUNCTION("IF(OR(E8865="""",K8865=""""),"""",IFERROR(IF(K8865="""","""",query('tbl user'!$A$2:$D10975,""SELECT A WHERE D = '""&amp;K8865&amp;""'"")),""USER TIDAK DIKETAHUI""))"),"")</f>
        <v/>
      </c>
    </row>
    <row r="8866">
      <c r="A8866" s="21" t="str">
        <f t="shared" si="3"/>
        <v/>
      </c>
      <c r="B8866" s="38"/>
      <c r="C8866" s="23"/>
      <c r="D8866" s="23"/>
      <c r="E8866" s="24"/>
      <c r="F8866" s="25"/>
      <c r="G8866" s="25"/>
      <c r="H8866" s="27"/>
      <c r="I8866" s="28"/>
      <c r="J8866" s="39"/>
      <c r="K8866" s="41"/>
      <c r="L8866" s="31" t="str">
        <f>IFERROR(__xludf.DUMMYFUNCTION("IF(OR(E8866="""",K8866=""""),"""",IFERROR(IF(K8866="""","""",query('tbl user'!$A$2:$D10975,""SELECT A WHERE D = '""&amp;K8866&amp;""'"")),""USER TIDAK DIKETAHUI""))"),"")</f>
        <v/>
      </c>
    </row>
    <row r="8867">
      <c r="A8867" s="21" t="str">
        <f t="shared" si="3"/>
        <v/>
      </c>
      <c r="B8867" s="38"/>
      <c r="C8867" s="23"/>
      <c r="D8867" s="23"/>
      <c r="E8867" s="24"/>
      <c r="F8867" s="25"/>
      <c r="G8867" s="25"/>
      <c r="H8867" s="27"/>
      <c r="I8867" s="28"/>
      <c r="J8867" s="39"/>
      <c r="K8867" s="41"/>
      <c r="L8867" s="31" t="str">
        <f>IFERROR(__xludf.DUMMYFUNCTION("IF(OR(E8867="""",K8867=""""),"""",IFERROR(IF(K8867="""","""",query('tbl user'!$A$2:$D10975,""SELECT A WHERE D = '""&amp;K8867&amp;""'"")),""USER TIDAK DIKETAHUI""))"),"")</f>
        <v/>
      </c>
    </row>
    <row r="8868">
      <c r="A8868" s="21" t="str">
        <f t="shared" si="3"/>
        <v/>
      </c>
      <c r="B8868" s="38"/>
      <c r="C8868" s="23"/>
      <c r="D8868" s="23"/>
      <c r="E8868" s="24"/>
      <c r="F8868" s="25"/>
      <c r="G8868" s="25"/>
      <c r="H8868" s="27"/>
      <c r="I8868" s="28"/>
      <c r="J8868" s="39"/>
      <c r="K8868" s="41"/>
      <c r="L8868" s="31" t="str">
        <f>IFERROR(__xludf.DUMMYFUNCTION("IF(OR(E8868="""",K8868=""""),"""",IFERROR(IF(K8868="""","""",query('tbl user'!$A$2:$D10975,""SELECT A WHERE D = '""&amp;K8868&amp;""'"")),""USER TIDAK DIKETAHUI""))"),"")</f>
        <v/>
      </c>
    </row>
    <row r="8869">
      <c r="A8869" s="21" t="str">
        <f t="shared" si="3"/>
        <v/>
      </c>
      <c r="B8869" s="38"/>
      <c r="C8869" s="23"/>
      <c r="D8869" s="23"/>
      <c r="E8869" s="24"/>
      <c r="F8869" s="25"/>
      <c r="G8869" s="25"/>
      <c r="H8869" s="27"/>
      <c r="I8869" s="28"/>
      <c r="J8869" s="39"/>
      <c r="K8869" s="41"/>
      <c r="L8869" s="31" t="str">
        <f>IFERROR(__xludf.DUMMYFUNCTION("IF(OR(E8869="""",K8869=""""),"""",IFERROR(IF(K8869="""","""",query('tbl user'!$A$2:$D10975,""SELECT A WHERE D = '""&amp;K8869&amp;""'"")),""USER TIDAK DIKETAHUI""))"),"")</f>
        <v/>
      </c>
    </row>
    <row r="8870">
      <c r="A8870" s="21" t="str">
        <f t="shared" si="3"/>
        <v/>
      </c>
      <c r="B8870" s="38"/>
      <c r="C8870" s="23"/>
      <c r="D8870" s="23"/>
      <c r="E8870" s="24"/>
      <c r="F8870" s="25"/>
      <c r="G8870" s="25"/>
      <c r="H8870" s="27"/>
      <c r="I8870" s="28"/>
      <c r="J8870" s="39"/>
      <c r="K8870" s="41"/>
      <c r="L8870" s="31" t="str">
        <f>IFERROR(__xludf.DUMMYFUNCTION("IF(OR(E8870="""",K8870=""""),"""",IFERROR(IF(K8870="""","""",query('tbl user'!$A$2:$D10975,""SELECT A WHERE D = '""&amp;K8870&amp;""'"")),""USER TIDAK DIKETAHUI""))"),"")</f>
        <v/>
      </c>
    </row>
    <row r="8871">
      <c r="A8871" s="21" t="str">
        <f t="shared" si="3"/>
        <v/>
      </c>
      <c r="B8871" s="38"/>
      <c r="C8871" s="23"/>
      <c r="D8871" s="23"/>
      <c r="E8871" s="24"/>
      <c r="F8871" s="25"/>
      <c r="G8871" s="25"/>
      <c r="H8871" s="27"/>
      <c r="I8871" s="28"/>
      <c r="J8871" s="39"/>
      <c r="K8871" s="41"/>
      <c r="L8871" s="31" t="str">
        <f>IFERROR(__xludf.DUMMYFUNCTION("IF(OR(E8871="""",K8871=""""),"""",IFERROR(IF(K8871="""","""",query('tbl user'!$A$2:$D10975,""SELECT A WHERE D = '""&amp;K8871&amp;""'"")),""USER TIDAK DIKETAHUI""))"),"")</f>
        <v/>
      </c>
    </row>
    <row r="8872">
      <c r="A8872" s="21" t="str">
        <f t="shared" si="3"/>
        <v/>
      </c>
      <c r="B8872" s="38"/>
      <c r="C8872" s="23"/>
      <c r="D8872" s="23"/>
      <c r="E8872" s="24"/>
      <c r="F8872" s="25"/>
      <c r="G8872" s="25"/>
      <c r="H8872" s="27"/>
      <c r="I8872" s="28"/>
      <c r="J8872" s="39"/>
      <c r="K8872" s="41"/>
      <c r="L8872" s="31" t="str">
        <f>IFERROR(__xludf.DUMMYFUNCTION("IF(OR(E8872="""",K8872=""""),"""",IFERROR(IF(K8872="""","""",query('tbl user'!$A$2:$D10975,""SELECT A WHERE D = '""&amp;K8872&amp;""'"")),""USER TIDAK DIKETAHUI""))"),"")</f>
        <v/>
      </c>
    </row>
    <row r="8873">
      <c r="A8873" s="21" t="str">
        <f t="shared" si="3"/>
        <v/>
      </c>
      <c r="B8873" s="38"/>
      <c r="C8873" s="23"/>
      <c r="D8873" s="23"/>
      <c r="E8873" s="24"/>
      <c r="F8873" s="25"/>
      <c r="G8873" s="25"/>
      <c r="H8873" s="27"/>
      <c r="I8873" s="28"/>
      <c r="J8873" s="39"/>
      <c r="K8873" s="41"/>
      <c r="L8873" s="31" t="str">
        <f>IFERROR(__xludf.DUMMYFUNCTION("IF(OR(E8873="""",K8873=""""),"""",IFERROR(IF(K8873="""","""",query('tbl user'!$A$2:$D10975,""SELECT A WHERE D = '""&amp;K8873&amp;""'"")),""USER TIDAK DIKETAHUI""))"),"")</f>
        <v/>
      </c>
    </row>
    <row r="8874">
      <c r="A8874" s="21" t="str">
        <f t="shared" si="3"/>
        <v/>
      </c>
      <c r="B8874" s="38"/>
      <c r="C8874" s="23"/>
      <c r="D8874" s="23"/>
      <c r="E8874" s="24"/>
      <c r="F8874" s="25"/>
      <c r="G8874" s="25"/>
      <c r="H8874" s="27"/>
      <c r="I8874" s="28"/>
      <c r="J8874" s="39"/>
      <c r="K8874" s="41"/>
      <c r="L8874" s="31" t="str">
        <f>IFERROR(__xludf.DUMMYFUNCTION("IF(OR(E8874="""",K8874=""""),"""",IFERROR(IF(K8874="""","""",query('tbl user'!$A$2:$D10975,""SELECT A WHERE D = '""&amp;K8874&amp;""'"")),""USER TIDAK DIKETAHUI""))"),"")</f>
        <v/>
      </c>
    </row>
    <row r="8875">
      <c r="A8875" s="21" t="str">
        <f t="shared" si="3"/>
        <v/>
      </c>
      <c r="B8875" s="38"/>
      <c r="C8875" s="23"/>
      <c r="D8875" s="23"/>
      <c r="E8875" s="24"/>
      <c r="F8875" s="25"/>
      <c r="G8875" s="25"/>
      <c r="H8875" s="27"/>
      <c r="I8875" s="28"/>
      <c r="J8875" s="39"/>
      <c r="K8875" s="41"/>
      <c r="L8875" s="31" t="str">
        <f>IFERROR(__xludf.DUMMYFUNCTION("IF(OR(E8875="""",K8875=""""),"""",IFERROR(IF(K8875="""","""",query('tbl user'!$A$2:$D10975,""SELECT A WHERE D = '""&amp;K8875&amp;""'"")),""USER TIDAK DIKETAHUI""))"),"")</f>
        <v/>
      </c>
    </row>
    <row r="8876">
      <c r="A8876" s="21" t="str">
        <f t="shared" si="3"/>
        <v/>
      </c>
      <c r="B8876" s="38"/>
      <c r="C8876" s="23"/>
      <c r="D8876" s="23"/>
      <c r="E8876" s="24"/>
      <c r="F8876" s="25"/>
      <c r="G8876" s="25"/>
      <c r="H8876" s="27"/>
      <c r="I8876" s="28"/>
      <c r="J8876" s="39"/>
      <c r="K8876" s="41"/>
      <c r="L8876" s="31" t="str">
        <f>IFERROR(__xludf.DUMMYFUNCTION("IF(OR(E8876="""",K8876=""""),"""",IFERROR(IF(K8876="""","""",query('tbl user'!$A$2:$D10975,""SELECT A WHERE D = '""&amp;K8876&amp;""'"")),""USER TIDAK DIKETAHUI""))"),"")</f>
        <v/>
      </c>
    </row>
    <row r="8877">
      <c r="A8877" s="21" t="str">
        <f t="shared" si="3"/>
        <v/>
      </c>
      <c r="B8877" s="38"/>
      <c r="C8877" s="23"/>
      <c r="D8877" s="23"/>
      <c r="E8877" s="24"/>
      <c r="F8877" s="25"/>
      <c r="G8877" s="25"/>
      <c r="H8877" s="27"/>
      <c r="I8877" s="28"/>
      <c r="J8877" s="39"/>
      <c r="K8877" s="41"/>
      <c r="L8877" s="31" t="str">
        <f>IFERROR(__xludf.DUMMYFUNCTION("IF(OR(E8877="""",K8877=""""),"""",IFERROR(IF(K8877="""","""",query('tbl user'!$A$2:$D10975,""SELECT A WHERE D = '""&amp;K8877&amp;""'"")),""USER TIDAK DIKETAHUI""))"),"")</f>
        <v/>
      </c>
    </row>
    <row r="8878">
      <c r="A8878" s="21" t="str">
        <f t="shared" si="3"/>
        <v/>
      </c>
      <c r="B8878" s="38"/>
      <c r="C8878" s="23"/>
      <c r="D8878" s="23"/>
      <c r="E8878" s="24"/>
      <c r="F8878" s="25"/>
      <c r="G8878" s="25"/>
      <c r="H8878" s="27"/>
      <c r="I8878" s="28"/>
      <c r="J8878" s="39"/>
      <c r="K8878" s="41"/>
      <c r="L8878" s="31" t="str">
        <f>IFERROR(__xludf.DUMMYFUNCTION("IF(OR(E8878="""",K8878=""""),"""",IFERROR(IF(K8878="""","""",query('tbl user'!$A$2:$D10975,""SELECT A WHERE D = '""&amp;K8878&amp;""'"")),""USER TIDAK DIKETAHUI""))"),"")</f>
        <v/>
      </c>
    </row>
    <row r="8879">
      <c r="A8879" s="21" t="str">
        <f t="shared" si="3"/>
        <v/>
      </c>
      <c r="B8879" s="38"/>
      <c r="C8879" s="23"/>
      <c r="D8879" s="23"/>
      <c r="E8879" s="24"/>
      <c r="F8879" s="25"/>
      <c r="G8879" s="25"/>
      <c r="H8879" s="27"/>
      <c r="I8879" s="28"/>
      <c r="J8879" s="39"/>
      <c r="K8879" s="41"/>
      <c r="L8879" s="31" t="str">
        <f>IFERROR(__xludf.DUMMYFUNCTION("IF(OR(E8879="""",K8879=""""),"""",IFERROR(IF(K8879="""","""",query('tbl user'!$A$2:$D10975,""SELECT A WHERE D = '""&amp;K8879&amp;""'"")),""USER TIDAK DIKETAHUI""))"),"")</f>
        <v/>
      </c>
    </row>
    <row r="8880">
      <c r="A8880" s="21" t="str">
        <f t="shared" si="3"/>
        <v/>
      </c>
      <c r="B8880" s="38"/>
      <c r="C8880" s="23"/>
      <c r="D8880" s="23"/>
      <c r="E8880" s="24"/>
      <c r="F8880" s="25"/>
      <c r="G8880" s="25"/>
      <c r="H8880" s="27"/>
      <c r="I8880" s="28"/>
      <c r="J8880" s="39"/>
      <c r="K8880" s="41"/>
      <c r="L8880" s="31" t="str">
        <f>IFERROR(__xludf.DUMMYFUNCTION("IF(OR(E8880="""",K8880=""""),"""",IFERROR(IF(K8880="""","""",query('tbl user'!$A$2:$D10975,""SELECT A WHERE D = '""&amp;K8880&amp;""'"")),""USER TIDAK DIKETAHUI""))"),"")</f>
        <v/>
      </c>
    </row>
    <row r="8881">
      <c r="A8881" s="21" t="str">
        <f t="shared" si="3"/>
        <v/>
      </c>
      <c r="B8881" s="38"/>
      <c r="C8881" s="23"/>
      <c r="D8881" s="23"/>
      <c r="E8881" s="24"/>
      <c r="F8881" s="25"/>
      <c r="G8881" s="25"/>
      <c r="H8881" s="27"/>
      <c r="I8881" s="28"/>
      <c r="J8881" s="39"/>
      <c r="K8881" s="41"/>
      <c r="L8881" s="31" t="str">
        <f>IFERROR(__xludf.DUMMYFUNCTION("IF(OR(E8881="""",K8881=""""),"""",IFERROR(IF(K8881="""","""",query('tbl user'!$A$2:$D10975,""SELECT A WHERE D = '""&amp;K8881&amp;""'"")),""USER TIDAK DIKETAHUI""))"),"")</f>
        <v/>
      </c>
    </row>
    <row r="8882">
      <c r="A8882" s="21" t="str">
        <f t="shared" si="3"/>
        <v/>
      </c>
      <c r="B8882" s="38"/>
      <c r="C8882" s="23"/>
      <c r="D8882" s="23"/>
      <c r="E8882" s="24"/>
      <c r="F8882" s="25"/>
      <c r="G8882" s="25"/>
      <c r="H8882" s="27"/>
      <c r="I8882" s="28"/>
      <c r="J8882" s="39"/>
      <c r="K8882" s="41"/>
      <c r="L8882" s="31" t="str">
        <f>IFERROR(__xludf.DUMMYFUNCTION("IF(OR(E8882="""",K8882=""""),"""",IFERROR(IF(K8882="""","""",query('tbl user'!$A$2:$D10975,""SELECT A WHERE D = '""&amp;K8882&amp;""'"")),""USER TIDAK DIKETAHUI""))"),"")</f>
        <v/>
      </c>
    </row>
    <row r="8883">
      <c r="A8883" s="21" t="str">
        <f t="shared" si="3"/>
        <v/>
      </c>
      <c r="B8883" s="38"/>
      <c r="C8883" s="23"/>
      <c r="D8883" s="23"/>
      <c r="E8883" s="24"/>
      <c r="F8883" s="25"/>
      <c r="G8883" s="25"/>
      <c r="H8883" s="27"/>
      <c r="I8883" s="28"/>
      <c r="J8883" s="39"/>
      <c r="K8883" s="41"/>
      <c r="L8883" s="31" t="str">
        <f>IFERROR(__xludf.DUMMYFUNCTION("IF(OR(E8883="""",K8883=""""),"""",IFERROR(IF(K8883="""","""",query('tbl user'!$A$2:$D10975,""SELECT A WHERE D = '""&amp;K8883&amp;""'"")),""USER TIDAK DIKETAHUI""))"),"")</f>
        <v/>
      </c>
    </row>
    <row r="8884">
      <c r="A8884" s="21" t="str">
        <f t="shared" si="3"/>
        <v/>
      </c>
      <c r="B8884" s="38"/>
      <c r="C8884" s="23"/>
      <c r="D8884" s="23"/>
      <c r="E8884" s="24"/>
      <c r="F8884" s="25"/>
      <c r="G8884" s="25"/>
      <c r="H8884" s="27"/>
      <c r="I8884" s="28"/>
      <c r="J8884" s="39"/>
      <c r="K8884" s="41"/>
      <c r="L8884" s="31" t="str">
        <f>IFERROR(__xludf.DUMMYFUNCTION("IF(OR(E8884="""",K8884=""""),"""",IFERROR(IF(K8884="""","""",query('tbl user'!$A$2:$D10975,""SELECT A WHERE D = '""&amp;K8884&amp;""'"")),""USER TIDAK DIKETAHUI""))"),"")</f>
        <v/>
      </c>
    </row>
    <row r="8885">
      <c r="A8885" s="21" t="str">
        <f t="shared" si="3"/>
        <v/>
      </c>
      <c r="B8885" s="38"/>
      <c r="C8885" s="23"/>
      <c r="D8885" s="23"/>
      <c r="E8885" s="24"/>
      <c r="F8885" s="25"/>
      <c r="G8885" s="25"/>
      <c r="H8885" s="27"/>
      <c r="I8885" s="28"/>
      <c r="J8885" s="39"/>
      <c r="K8885" s="41"/>
      <c r="L8885" s="31" t="str">
        <f>IFERROR(__xludf.DUMMYFUNCTION("IF(OR(E8885="""",K8885=""""),"""",IFERROR(IF(K8885="""","""",query('tbl user'!$A$2:$D10975,""SELECT A WHERE D = '""&amp;K8885&amp;""'"")),""USER TIDAK DIKETAHUI""))"),"")</f>
        <v/>
      </c>
    </row>
    <row r="8886">
      <c r="A8886" s="21" t="str">
        <f t="shared" si="3"/>
        <v/>
      </c>
      <c r="B8886" s="38"/>
      <c r="C8886" s="23"/>
      <c r="D8886" s="23"/>
      <c r="E8886" s="24"/>
      <c r="F8886" s="25"/>
      <c r="G8886" s="25"/>
      <c r="H8886" s="27"/>
      <c r="I8886" s="28"/>
      <c r="J8886" s="39"/>
      <c r="K8886" s="41"/>
      <c r="L8886" s="31" t="str">
        <f>IFERROR(__xludf.DUMMYFUNCTION("IF(OR(E8886="""",K8886=""""),"""",IFERROR(IF(K8886="""","""",query('tbl user'!$A$2:$D10975,""SELECT A WHERE D = '""&amp;K8886&amp;""'"")),""USER TIDAK DIKETAHUI""))"),"")</f>
        <v/>
      </c>
    </row>
    <row r="8887">
      <c r="A8887" s="21" t="str">
        <f t="shared" si="3"/>
        <v/>
      </c>
      <c r="B8887" s="38"/>
      <c r="C8887" s="23"/>
      <c r="D8887" s="23"/>
      <c r="E8887" s="24"/>
      <c r="F8887" s="25"/>
      <c r="G8887" s="25"/>
      <c r="H8887" s="27"/>
      <c r="I8887" s="28"/>
      <c r="J8887" s="39"/>
      <c r="K8887" s="41"/>
      <c r="L8887" s="31" t="str">
        <f>IFERROR(__xludf.DUMMYFUNCTION("IF(OR(E8887="""",K8887=""""),"""",IFERROR(IF(K8887="""","""",query('tbl user'!$A$2:$D10975,""SELECT A WHERE D = '""&amp;K8887&amp;""'"")),""USER TIDAK DIKETAHUI""))"),"")</f>
        <v/>
      </c>
    </row>
    <row r="8888">
      <c r="A8888" s="21" t="str">
        <f t="shared" si="3"/>
        <v/>
      </c>
      <c r="B8888" s="38"/>
      <c r="C8888" s="23"/>
      <c r="D8888" s="23"/>
      <c r="E8888" s="24"/>
      <c r="F8888" s="25"/>
      <c r="G8888" s="25"/>
      <c r="H8888" s="27"/>
      <c r="I8888" s="28"/>
      <c r="J8888" s="39"/>
      <c r="K8888" s="41"/>
      <c r="L8888" s="31" t="str">
        <f>IFERROR(__xludf.DUMMYFUNCTION("IF(OR(E8888="""",K8888=""""),"""",IFERROR(IF(K8888="""","""",query('tbl user'!$A$2:$D10975,""SELECT A WHERE D = '""&amp;K8888&amp;""'"")),""USER TIDAK DIKETAHUI""))"),"")</f>
        <v/>
      </c>
    </row>
    <row r="8889">
      <c r="A8889" s="21" t="str">
        <f t="shared" si="3"/>
        <v/>
      </c>
      <c r="B8889" s="38"/>
      <c r="C8889" s="23"/>
      <c r="D8889" s="23"/>
      <c r="E8889" s="24"/>
      <c r="F8889" s="25"/>
      <c r="G8889" s="25"/>
      <c r="H8889" s="27"/>
      <c r="I8889" s="28"/>
      <c r="J8889" s="39"/>
      <c r="K8889" s="41"/>
      <c r="L8889" s="31" t="str">
        <f>IFERROR(__xludf.DUMMYFUNCTION("IF(OR(E8889="""",K8889=""""),"""",IFERROR(IF(K8889="""","""",query('tbl user'!$A$2:$D10975,""SELECT A WHERE D = '""&amp;K8889&amp;""'"")),""USER TIDAK DIKETAHUI""))"),"")</f>
        <v/>
      </c>
    </row>
    <row r="8890">
      <c r="A8890" s="21" t="str">
        <f t="shared" si="3"/>
        <v/>
      </c>
      <c r="B8890" s="38"/>
      <c r="C8890" s="23"/>
      <c r="D8890" s="23"/>
      <c r="E8890" s="24"/>
      <c r="F8890" s="25"/>
      <c r="G8890" s="25"/>
      <c r="H8890" s="27"/>
      <c r="I8890" s="28"/>
      <c r="J8890" s="39"/>
      <c r="K8890" s="41"/>
      <c r="L8890" s="31" t="str">
        <f>IFERROR(__xludf.DUMMYFUNCTION("IF(OR(E8890="""",K8890=""""),"""",IFERROR(IF(K8890="""","""",query('tbl user'!$A$2:$D10975,""SELECT A WHERE D = '""&amp;K8890&amp;""'"")),""USER TIDAK DIKETAHUI""))"),"")</f>
        <v/>
      </c>
    </row>
    <row r="8891">
      <c r="A8891" s="21" t="str">
        <f t="shared" si="3"/>
        <v/>
      </c>
      <c r="B8891" s="38"/>
      <c r="C8891" s="23"/>
      <c r="D8891" s="23"/>
      <c r="E8891" s="24"/>
      <c r="F8891" s="25"/>
      <c r="G8891" s="25"/>
      <c r="H8891" s="27"/>
      <c r="I8891" s="28"/>
      <c r="J8891" s="39"/>
      <c r="K8891" s="41"/>
      <c r="L8891" s="31" t="str">
        <f>IFERROR(__xludf.DUMMYFUNCTION("IF(OR(E8891="""",K8891=""""),"""",IFERROR(IF(K8891="""","""",query('tbl user'!$A$2:$D10975,""SELECT A WHERE D = '""&amp;K8891&amp;""'"")),""USER TIDAK DIKETAHUI""))"),"")</f>
        <v/>
      </c>
    </row>
    <row r="8892">
      <c r="A8892" s="21" t="str">
        <f t="shared" si="3"/>
        <v/>
      </c>
      <c r="B8892" s="38"/>
      <c r="C8892" s="23"/>
      <c r="D8892" s="23"/>
      <c r="E8892" s="24"/>
      <c r="F8892" s="25"/>
      <c r="G8892" s="25"/>
      <c r="H8892" s="27"/>
      <c r="I8892" s="28"/>
      <c r="J8892" s="39"/>
      <c r="K8892" s="41"/>
      <c r="L8892" s="31" t="str">
        <f>IFERROR(__xludf.DUMMYFUNCTION("IF(OR(E8892="""",K8892=""""),"""",IFERROR(IF(K8892="""","""",query('tbl user'!$A$2:$D10975,""SELECT A WHERE D = '""&amp;K8892&amp;""'"")),""USER TIDAK DIKETAHUI""))"),"")</f>
        <v/>
      </c>
    </row>
    <row r="8893">
      <c r="A8893" s="21" t="str">
        <f t="shared" si="3"/>
        <v/>
      </c>
      <c r="B8893" s="38"/>
      <c r="C8893" s="23"/>
      <c r="D8893" s="23"/>
      <c r="E8893" s="24"/>
      <c r="F8893" s="25"/>
      <c r="G8893" s="25"/>
      <c r="H8893" s="27"/>
      <c r="I8893" s="28"/>
      <c r="J8893" s="39"/>
      <c r="K8893" s="41"/>
      <c r="L8893" s="31" t="str">
        <f>IFERROR(__xludf.DUMMYFUNCTION("IF(OR(E8893="""",K8893=""""),"""",IFERROR(IF(K8893="""","""",query('tbl user'!$A$2:$D10975,""SELECT A WHERE D = '""&amp;K8893&amp;""'"")),""USER TIDAK DIKETAHUI""))"),"")</f>
        <v/>
      </c>
    </row>
    <row r="8894">
      <c r="A8894" s="21" t="str">
        <f t="shared" si="3"/>
        <v/>
      </c>
      <c r="B8894" s="38"/>
      <c r="C8894" s="23"/>
      <c r="D8894" s="23"/>
      <c r="E8894" s="24"/>
      <c r="F8894" s="25"/>
      <c r="G8894" s="25"/>
      <c r="H8894" s="27"/>
      <c r="I8894" s="28"/>
      <c r="J8894" s="39"/>
      <c r="K8894" s="41"/>
      <c r="L8894" s="31" t="str">
        <f>IFERROR(__xludf.DUMMYFUNCTION("IF(OR(E8894="""",K8894=""""),"""",IFERROR(IF(K8894="""","""",query('tbl user'!$A$2:$D10975,""SELECT A WHERE D = '""&amp;K8894&amp;""'"")),""USER TIDAK DIKETAHUI""))"),"")</f>
        <v/>
      </c>
    </row>
    <row r="8895">
      <c r="A8895" s="21" t="str">
        <f t="shared" si="3"/>
        <v/>
      </c>
      <c r="B8895" s="38"/>
      <c r="C8895" s="23"/>
      <c r="D8895" s="23"/>
      <c r="E8895" s="24"/>
      <c r="F8895" s="25"/>
      <c r="G8895" s="25"/>
      <c r="H8895" s="27"/>
      <c r="I8895" s="28"/>
      <c r="J8895" s="39"/>
      <c r="K8895" s="41"/>
      <c r="L8895" s="31" t="str">
        <f>IFERROR(__xludf.DUMMYFUNCTION("IF(OR(E8895="""",K8895=""""),"""",IFERROR(IF(K8895="""","""",query('tbl user'!$A$2:$D10975,""SELECT A WHERE D = '""&amp;K8895&amp;""'"")),""USER TIDAK DIKETAHUI""))"),"")</f>
        <v/>
      </c>
    </row>
    <row r="8896">
      <c r="A8896" s="21" t="str">
        <f t="shared" si="3"/>
        <v/>
      </c>
      <c r="B8896" s="38"/>
      <c r="C8896" s="23"/>
      <c r="D8896" s="23"/>
      <c r="E8896" s="24"/>
      <c r="F8896" s="25"/>
      <c r="G8896" s="25"/>
      <c r="H8896" s="27"/>
      <c r="I8896" s="28"/>
      <c r="J8896" s="39"/>
      <c r="K8896" s="41"/>
      <c r="L8896" s="31" t="str">
        <f>IFERROR(__xludf.DUMMYFUNCTION("IF(OR(E8896="""",K8896=""""),"""",IFERROR(IF(K8896="""","""",query('tbl user'!$A$2:$D10975,""SELECT A WHERE D = '""&amp;K8896&amp;""'"")),""USER TIDAK DIKETAHUI""))"),"")</f>
        <v/>
      </c>
    </row>
    <row r="8897">
      <c r="A8897" s="21" t="str">
        <f t="shared" si="3"/>
        <v/>
      </c>
      <c r="B8897" s="38"/>
      <c r="C8897" s="23"/>
      <c r="D8897" s="23"/>
      <c r="E8897" s="24"/>
      <c r="F8897" s="25"/>
      <c r="G8897" s="25"/>
      <c r="H8897" s="27"/>
      <c r="I8897" s="28"/>
      <c r="J8897" s="39"/>
      <c r="K8897" s="41"/>
      <c r="L8897" s="31" t="str">
        <f>IFERROR(__xludf.DUMMYFUNCTION("IF(OR(E8897="""",K8897=""""),"""",IFERROR(IF(K8897="""","""",query('tbl user'!$A$2:$D10975,""SELECT A WHERE D = '""&amp;K8897&amp;""'"")),""USER TIDAK DIKETAHUI""))"),"")</f>
        <v/>
      </c>
    </row>
    <row r="8898">
      <c r="A8898" s="21" t="str">
        <f t="shared" si="3"/>
        <v/>
      </c>
      <c r="B8898" s="38"/>
      <c r="C8898" s="23"/>
      <c r="D8898" s="23"/>
      <c r="E8898" s="24"/>
      <c r="F8898" s="25"/>
      <c r="G8898" s="25"/>
      <c r="H8898" s="27"/>
      <c r="I8898" s="28"/>
      <c r="J8898" s="39"/>
      <c r="K8898" s="41"/>
      <c r="L8898" s="31" t="str">
        <f>IFERROR(__xludf.DUMMYFUNCTION("IF(OR(E8898="""",K8898=""""),"""",IFERROR(IF(K8898="""","""",query('tbl user'!$A$2:$D10975,""SELECT A WHERE D = '""&amp;K8898&amp;""'"")),""USER TIDAK DIKETAHUI""))"),"")</f>
        <v/>
      </c>
    </row>
    <row r="8899">
      <c r="A8899" s="21" t="str">
        <f t="shared" si="3"/>
        <v/>
      </c>
      <c r="B8899" s="38"/>
      <c r="C8899" s="23"/>
      <c r="D8899" s="23"/>
      <c r="E8899" s="24"/>
      <c r="F8899" s="25"/>
      <c r="G8899" s="25"/>
      <c r="H8899" s="27"/>
      <c r="I8899" s="28"/>
      <c r="J8899" s="39"/>
      <c r="K8899" s="41"/>
      <c r="L8899" s="31" t="str">
        <f>IFERROR(__xludf.DUMMYFUNCTION("IF(OR(E8899="""",K8899=""""),"""",IFERROR(IF(K8899="""","""",query('tbl user'!$A$2:$D10975,""SELECT A WHERE D = '""&amp;K8899&amp;""'"")),""USER TIDAK DIKETAHUI""))"),"")</f>
        <v/>
      </c>
    </row>
    <row r="8900">
      <c r="A8900" s="21" t="str">
        <f t="shared" si="3"/>
        <v/>
      </c>
      <c r="B8900" s="38"/>
      <c r="C8900" s="23"/>
      <c r="D8900" s="23"/>
      <c r="E8900" s="24"/>
      <c r="F8900" s="25"/>
      <c r="G8900" s="25"/>
      <c r="H8900" s="27"/>
      <c r="I8900" s="28"/>
      <c r="J8900" s="39"/>
      <c r="K8900" s="41"/>
      <c r="L8900" s="31" t="str">
        <f>IFERROR(__xludf.DUMMYFUNCTION("IF(OR(E8900="""",K8900=""""),"""",IFERROR(IF(K8900="""","""",query('tbl user'!$A$2:$D10975,""SELECT A WHERE D = '""&amp;K8900&amp;""'"")),""USER TIDAK DIKETAHUI""))"),"")</f>
        <v/>
      </c>
    </row>
    <row r="8901">
      <c r="A8901" s="21" t="str">
        <f t="shared" si="3"/>
        <v/>
      </c>
      <c r="B8901" s="38"/>
      <c r="C8901" s="23"/>
      <c r="D8901" s="23"/>
      <c r="E8901" s="24"/>
      <c r="F8901" s="25"/>
      <c r="G8901" s="25"/>
      <c r="H8901" s="27"/>
      <c r="I8901" s="28"/>
      <c r="J8901" s="39"/>
      <c r="K8901" s="41"/>
      <c r="L8901" s="31" t="str">
        <f>IFERROR(__xludf.DUMMYFUNCTION("IF(OR(E8901="""",K8901=""""),"""",IFERROR(IF(K8901="""","""",query('tbl user'!$A$2:$D10975,""SELECT A WHERE D = '""&amp;K8901&amp;""'"")),""USER TIDAK DIKETAHUI""))"),"")</f>
        <v/>
      </c>
    </row>
    <row r="8902">
      <c r="A8902" s="21" t="str">
        <f t="shared" si="3"/>
        <v/>
      </c>
      <c r="B8902" s="38"/>
      <c r="C8902" s="23"/>
      <c r="D8902" s="23"/>
      <c r="E8902" s="24"/>
      <c r="F8902" s="25"/>
      <c r="G8902" s="25"/>
      <c r="H8902" s="27"/>
      <c r="I8902" s="28"/>
      <c r="J8902" s="39"/>
      <c r="K8902" s="41"/>
      <c r="L8902" s="31" t="str">
        <f>IFERROR(__xludf.DUMMYFUNCTION("IF(OR(E8902="""",K8902=""""),"""",IFERROR(IF(K8902="""","""",query('tbl user'!$A$2:$D10975,""SELECT A WHERE D = '""&amp;K8902&amp;""'"")),""USER TIDAK DIKETAHUI""))"),"")</f>
        <v/>
      </c>
    </row>
    <row r="8903">
      <c r="A8903" s="21" t="str">
        <f t="shared" si="3"/>
        <v/>
      </c>
      <c r="B8903" s="38"/>
      <c r="C8903" s="23"/>
      <c r="D8903" s="23"/>
      <c r="E8903" s="24"/>
      <c r="F8903" s="25"/>
      <c r="G8903" s="25"/>
      <c r="H8903" s="27"/>
      <c r="I8903" s="28"/>
      <c r="J8903" s="39"/>
      <c r="K8903" s="41"/>
      <c r="L8903" s="31" t="str">
        <f>IFERROR(__xludf.DUMMYFUNCTION("IF(OR(E8903="""",K8903=""""),"""",IFERROR(IF(K8903="""","""",query('tbl user'!$A$2:$D10975,""SELECT A WHERE D = '""&amp;K8903&amp;""'"")),""USER TIDAK DIKETAHUI""))"),"")</f>
        <v/>
      </c>
    </row>
    <row r="8904">
      <c r="A8904" s="21" t="str">
        <f t="shared" si="3"/>
        <v/>
      </c>
      <c r="B8904" s="38"/>
      <c r="C8904" s="23"/>
      <c r="D8904" s="23"/>
      <c r="E8904" s="24"/>
      <c r="F8904" s="25"/>
      <c r="G8904" s="25"/>
      <c r="H8904" s="27"/>
      <c r="I8904" s="28"/>
      <c r="J8904" s="39"/>
      <c r="K8904" s="41"/>
      <c r="L8904" s="31" t="str">
        <f>IFERROR(__xludf.DUMMYFUNCTION("IF(OR(E8904="""",K8904=""""),"""",IFERROR(IF(K8904="""","""",query('tbl user'!$A$2:$D10975,""SELECT A WHERE D = '""&amp;K8904&amp;""'"")),""USER TIDAK DIKETAHUI""))"),"")</f>
        <v/>
      </c>
    </row>
    <row r="8905">
      <c r="A8905" s="21" t="str">
        <f t="shared" si="3"/>
        <v/>
      </c>
      <c r="B8905" s="38"/>
      <c r="C8905" s="23"/>
      <c r="D8905" s="23"/>
      <c r="E8905" s="24"/>
      <c r="F8905" s="25"/>
      <c r="G8905" s="25"/>
      <c r="H8905" s="27"/>
      <c r="I8905" s="28"/>
      <c r="J8905" s="39"/>
      <c r="K8905" s="41"/>
      <c r="L8905" s="31" t="str">
        <f>IFERROR(__xludf.DUMMYFUNCTION("IF(OR(E8905="""",K8905=""""),"""",IFERROR(IF(K8905="""","""",query('tbl user'!$A$2:$D10975,""SELECT A WHERE D = '""&amp;K8905&amp;""'"")),""USER TIDAK DIKETAHUI""))"),"")</f>
        <v/>
      </c>
    </row>
    <row r="8906">
      <c r="A8906" s="21" t="str">
        <f t="shared" si="3"/>
        <v/>
      </c>
      <c r="B8906" s="38"/>
      <c r="C8906" s="23"/>
      <c r="D8906" s="23"/>
      <c r="E8906" s="24"/>
      <c r="F8906" s="25"/>
      <c r="G8906" s="25"/>
      <c r="H8906" s="27"/>
      <c r="I8906" s="28"/>
      <c r="J8906" s="39"/>
      <c r="K8906" s="41"/>
      <c r="L8906" s="31" t="str">
        <f>IFERROR(__xludf.DUMMYFUNCTION("IF(OR(E8906="""",K8906=""""),"""",IFERROR(IF(K8906="""","""",query('tbl user'!$A$2:$D10975,""SELECT A WHERE D = '""&amp;K8906&amp;""'"")),""USER TIDAK DIKETAHUI""))"),"")</f>
        <v/>
      </c>
    </row>
    <row r="8907">
      <c r="A8907" s="21" t="str">
        <f t="shared" si="3"/>
        <v/>
      </c>
      <c r="B8907" s="38"/>
      <c r="C8907" s="23"/>
      <c r="D8907" s="23"/>
      <c r="E8907" s="24"/>
      <c r="F8907" s="25"/>
      <c r="G8907" s="25"/>
      <c r="H8907" s="27"/>
      <c r="I8907" s="28"/>
      <c r="J8907" s="39"/>
      <c r="K8907" s="41"/>
      <c r="L8907" s="31" t="str">
        <f>IFERROR(__xludf.DUMMYFUNCTION("IF(OR(E8907="""",K8907=""""),"""",IFERROR(IF(K8907="""","""",query('tbl user'!$A$2:$D10975,""SELECT A WHERE D = '""&amp;K8907&amp;""'"")),""USER TIDAK DIKETAHUI""))"),"")</f>
        <v/>
      </c>
    </row>
    <row r="8908">
      <c r="A8908" s="21" t="str">
        <f t="shared" si="3"/>
        <v/>
      </c>
      <c r="B8908" s="38"/>
      <c r="C8908" s="23"/>
      <c r="D8908" s="23"/>
      <c r="E8908" s="24"/>
      <c r="F8908" s="25"/>
      <c r="G8908" s="25"/>
      <c r="H8908" s="27"/>
      <c r="I8908" s="28"/>
      <c r="J8908" s="39"/>
      <c r="K8908" s="41"/>
      <c r="L8908" s="31" t="str">
        <f>IFERROR(__xludf.DUMMYFUNCTION("IF(OR(E8908="""",K8908=""""),"""",IFERROR(IF(K8908="""","""",query('tbl user'!$A$2:$D10975,""SELECT A WHERE D = '""&amp;K8908&amp;""'"")),""USER TIDAK DIKETAHUI""))"),"")</f>
        <v/>
      </c>
    </row>
    <row r="8909">
      <c r="A8909" s="21" t="str">
        <f t="shared" si="3"/>
        <v/>
      </c>
      <c r="B8909" s="38"/>
      <c r="C8909" s="23"/>
      <c r="D8909" s="23"/>
      <c r="E8909" s="24"/>
      <c r="F8909" s="25"/>
      <c r="G8909" s="25"/>
      <c r="H8909" s="27"/>
      <c r="I8909" s="28"/>
      <c r="J8909" s="39"/>
      <c r="K8909" s="41"/>
      <c r="L8909" s="31" t="str">
        <f>IFERROR(__xludf.DUMMYFUNCTION("IF(OR(E8909="""",K8909=""""),"""",IFERROR(IF(K8909="""","""",query('tbl user'!$A$2:$D10975,""SELECT A WHERE D = '""&amp;K8909&amp;""'"")),""USER TIDAK DIKETAHUI""))"),"")</f>
        <v/>
      </c>
    </row>
    <row r="8910">
      <c r="A8910" s="21" t="str">
        <f t="shared" si="3"/>
        <v/>
      </c>
      <c r="B8910" s="38"/>
      <c r="C8910" s="23"/>
      <c r="D8910" s="23"/>
      <c r="E8910" s="24"/>
      <c r="F8910" s="25"/>
      <c r="G8910" s="25"/>
      <c r="H8910" s="27"/>
      <c r="I8910" s="28"/>
      <c r="J8910" s="39"/>
      <c r="K8910" s="41"/>
      <c r="L8910" s="31" t="str">
        <f>IFERROR(__xludf.DUMMYFUNCTION("IF(OR(E8910="""",K8910=""""),"""",IFERROR(IF(K8910="""","""",query('tbl user'!$A$2:$D10975,""SELECT A WHERE D = '""&amp;K8910&amp;""'"")),""USER TIDAK DIKETAHUI""))"),"")</f>
        <v/>
      </c>
    </row>
    <row r="8911">
      <c r="A8911" s="21" t="str">
        <f t="shared" si="3"/>
        <v/>
      </c>
      <c r="B8911" s="38"/>
      <c r="C8911" s="23"/>
      <c r="D8911" s="23"/>
      <c r="E8911" s="24"/>
      <c r="F8911" s="25"/>
      <c r="G8911" s="25"/>
      <c r="H8911" s="27"/>
      <c r="I8911" s="28"/>
      <c r="J8911" s="39"/>
      <c r="K8911" s="41"/>
      <c r="L8911" s="31" t="str">
        <f>IFERROR(__xludf.DUMMYFUNCTION("IF(OR(E8911="""",K8911=""""),"""",IFERROR(IF(K8911="""","""",query('tbl user'!$A$2:$D10975,""SELECT A WHERE D = '""&amp;K8911&amp;""'"")),""USER TIDAK DIKETAHUI""))"),"")</f>
        <v/>
      </c>
    </row>
    <row r="8912">
      <c r="A8912" s="21" t="str">
        <f t="shared" si="3"/>
        <v/>
      </c>
      <c r="B8912" s="38"/>
      <c r="C8912" s="23"/>
      <c r="D8912" s="23"/>
      <c r="E8912" s="24"/>
      <c r="F8912" s="25"/>
      <c r="G8912" s="25"/>
      <c r="H8912" s="27"/>
      <c r="I8912" s="28"/>
      <c r="J8912" s="39"/>
      <c r="K8912" s="41"/>
      <c r="L8912" s="31" t="str">
        <f>IFERROR(__xludf.DUMMYFUNCTION("IF(OR(E8912="""",K8912=""""),"""",IFERROR(IF(K8912="""","""",query('tbl user'!$A$2:$D10975,""SELECT A WHERE D = '""&amp;K8912&amp;""'"")),""USER TIDAK DIKETAHUI""))"),"")</f>
        <v/>
      </c>
    </row>
    <row r="8913">
      <c r="A8913" s="21" t="str">
        <f t="shared" si="3"/>
        <v/>
      </c>
      <c r="B8913" s="38"/>
      <c r="C8913" s="23"/>
      <c r="D8913" s="23"/>
      <c r="E8913" s="24"/>
      <c r="F8913" s="25"/>
      <c r="G8913" s="25"/>
      <c r="H8913" s="27"/>
      <c r="I8913" s="28"/>
      <c r="J8913" s="39"/>
      <c r="K8913" s="41"/>
      <c r="L8913" s="31" t="str">
        <f>IFERROR(__xludf.DUMMYFUNCTION("IF(OR(E8913="""",K8913=""""),"""",IFERROR(IF(K8913="""","""",query('tbl user'!$A$2:$D10975,""SELECT A WHERE D = '""&amp;K8913&amp;""'"")),""USER TIDAK DIKETAHUI""))"),"")</f>
        <v/>
      </c>
    </row>
    <row r="8914">
      <c r="A8914" s="21" t="str">
        <f t="shared" si="3"/>
        <v/>
      </c>
      <c r="B8914" s="38"/>
      <c r="C8914" s="23"/>
      <c r="D8914" s="23"/>
      <c r="E8914" s="24"/>
      <c r="F8914" s="25"/>
      <c r="G8914" s="25"/>
      <c r="H8914" s="27"/>
      <c r="I8914" s="28"/>
      <c r="J8914" s="39"/>
      <c r="K8914" s="41"/>
      <c r="L8914" s="31" t="str">
        <f>IFERROR(__xludf.DUMMYFUNCTION("IF(OR(E8914="""",K8914=""""),"""",IFERROR(IF(K8914="""","""",query('tbl user'!$A$2:$D10975,""SELECT A WHERE D = '""&amp;K8914&amp;""'"")),""USER TIDAK DIKETAHUI""))"),"")</f>
        <v/>
      </c>
    </row>
    <row r="8915">
      <c r="A8915" s="21" t="str">
        <f t="shared" si="3"/>
        <v/>
      </c>
      <c r="B8915" s="38"/>
      <c r="C8915" s="23"/>
      <c r="D8915" s="23"/>
      <c r="E8915" s="24"/>
      <c r="F8915" s="25"/>
      <c r="G8915" s="25"/>
      <c r="H8915" s="27"/>
      <c r="I8915" s="28"/>
      <c r="J8915" s="39"/>
      <c r="K8915" s="41"/>
      <c r="L8915" s="31" t="str">
        <f>IFERROR(__xludf.DUMMYFUNCTION("IF(OR(E8915="""",K8915=""""),"""",IFERROR(IF(K8915="""","""",query('tbl user'!$A$2:$D10975,""SELECT A WHERE D = '""&amp;K8915&amp;""'"")),""USER TIDAK DIKETAHUI""))"),"")</f>
        <v/>
      </c>
    </row>
    <row r="8916">
      <c r="A8916" s="21" t="str">
        <f t="shared" si="3"/>
        <v/>
      </c>
      <c r="B8916" s="38"/>
      <c r="C8916" s="23"/>
      <c r="D8916" s="23"/>
      <c r="E8916" s="24"/>
      <c r="F8916" s="25"/>
      <c r="G8916" s="25"/>
      <c r="H8916" s="27"/>
      <c r="I8916" s="28"/>
      <c r="J8916" s="39"/>
      <c r="K8916" s="41"/>
      <c r="L8916" s="31" t="str">
        <f>IFERROR(__xludf.DUMMYFUNCTION("IF(OR(E8916="""",K8916=""""),"""",IFERROR(IF(K8916="""","""",query('tbl user'!$A$2:$D10975,""SELECT A WHERE D = '""&amp;K8916&amp;""'"")),""USER TIDAK DIKETAHUI""))"),"")</f>
        <v/>
      </c>
    </row>
    <row r="8917">
      <c r="A8917" s="21" t="str">
        <f t="shared" si="3"/>
        <v/>
      </c>
      <c r="B8917" s="38"/>
      <c r="C8917" s="23"/>
      <c r="D8917" s="23"/>
      <c r="E8917" s="24"/>
      <c r="F8917" s="25"/>
      <c r="G8917" s="25"/>
      <c r="H8917" s="27"/>
      <c r="I8917" s="28"/>
      <c r="J8917" s="39"/>
      <c r="K8917" s="41"/>
      <c r="L8917" s="31" t="str">
        <f>IFERROR(__xludf.DUMMYFUNCTION("IF(OR(E8917="""",K8917=""""),"""",IFERROR(IF(K8917="""","""",query('tbl user'!$A$2:$D10975,""SELECT A WHERE D = '""&amp;K8917&amp;""'"")),""USER TIDAK DIKETAHUI""))"),"")</f>
        <v/>
      </c>
    </row>
    <row r="8918">
      <c r="A8918" s="21" t="str">
        <f t="shared" si="3"/>
        <v/>
      </c>
      <c r="B8918" s="38"/>
      <c r="C8918" s="23"/>
      <c r="D8918" s="23"/>
      <c r="E8918" s="24"/>
      <c r="F8918" s="25"/>
      <c r="G8918" s="25"/>
      <c r="H8918" s="27"/>
      <c r="I8918" s="28"/>
      <c r="J8918" s="39"/>
      <c r="K8918" s="41"/>
      <c r="L8918" s="31" t="str">
        <f>IFERROR(__xludf.DUMMYFUNCTION("IF(OR(E8918="""",K8918=""""),"""",IFERROR(IF(K8918="""","""",query('tbl user'!$A$2:$D10975,""SELECT A WHERE D = '""&amp;K8918&amp;""'"")),""USER TIDAK DIKETAHUI""))"),"")</f>
        <v/>
      </c>
    </row>
    <row r="8919">
      <c r="A8919" s="21" t="str">
        <f t="shared" si="3"/>
        <v/>
      </c>
      <c r="B8919" s="38"/>
      <c r="C8919" s="23"/>
      <c r="D8919" s="23"/>
      <c r="E8919" s="24"/>
      <c r="F8919" s="25"/>
      <c r="G8919" s="25"/>
      <c r="H8919" s="27"/>
      <c r="I8919" s="28"/>
      <c r="J8919" s="39"/>
      <c r="K8919" s="41"/>
      <c r="L8919" s="31" t="str">
        <f>IFERROR(__xludf.DUMMYFUNCTION("IF(OR(E8919="""",K8919=""""),"""",IFERROR(IF(K8919="""","""",query('tbl user'!$A$2:$D10975,""SELECT A WHERE D = '""&amp;K8919&amp;""'"")),""USER TIDAK DIKETAHUI""))"),"")</f>
        <v/>
      </c>
    </row>
    <row r="8920">
      <c r="A8920" s="21" t="str">
        <f t="shared" si="3"/>
        <v/>
      </c>
      <c r="B8920" s="38"/>
      <c r="C8920" s="23"/>
      <c r="D8920" s="23"/>
      <c r="E8920" s="24"/>
      <c r="F8920" s="25"/>
      <c r="G8920" s="25"/>
      <c r="H8920" s="27"/>
      <c r="I8920" s="28"/>
      <c r="J8920" s="39"/>
      <c r="K8920" s="41"/>
      <c r="L8920" s="31" t="str">
        <f>IFERROR(__xludf.DUMMYFUNCTION("IF(OR(E8920="""",K8920=""""),"""",IFERROR(IF(K8920="""","""",query('tbl user'!$A$2:$D10975,""SELECT A WHERE D = '""&amp;K8920&amp;""'"")),""USER TIDAK DIKETAHUI""))"),"")</f>
        <v/>
      </c>
    </row>
    <row r="8921">
      <c r="A8921" s="21" t="str">
        <f t="shared" si="3"/>
        <v/>
      </c>
      <c r="B8921" s="38"/>
      <c r="C8921" s="23"/>
      <c r="D8921" s="23"/>
      <c r="E8921" s="24"/>
      <c r="F8921" s="25"/>
      <c r="G8921" s="25"/>
      <c r="H8921" s="27"/>
      <c r="I8921" s="28"/>
      <c r="J8921" s="39"/>
      <c r="K8921" s="41"/>
      <c r="L8921" s="31" t="str">
        <f>IFERROR(__xludf.DUMMYFUNCTION("IF(OR(E8921="""",K8921=""""),"""",IFERROR(IF(K8921="""","""",query('tbl user'!$A$2:$D10975,""SELECT A WHERE D = '""&amp;K8921&amp;""'"")),""USER TIDAK DIKETAHUI""))"),"")</f>
        <v/>
      </c>
    </row>
    <row r="8922">
      <c r="A8922" s="21" t="str">
        <f t="shared" si="3"/>
        <v/>
      </c>
      <c r="B8922" s="38"/>
      <c r="C8922" s="23"/>
      <c r="D8922" s="23"/>
      <c r="E8922" s="24"/>
      <c r="F8922" s="25"/>
      <c r="G8922" s="25"/>
      <c r="H8922" s="27"/>
      <c r="I8922" s="28"/>
      <c r="J8922" s="39"/>
      <c r="K8922" s="41"/>
      <c r="L8922" s="31" t="str">
        <f>IFERROR(__xludf.DUMMYFUNCTION("IF(OR(E8922="""",K8922=""""),"""",IFERROR(IF(K8922="""","""",query('tbl user'!$A$2:$D10975,""SELECT A WHERE D = '""&amp;K8922&amp;""'"")),""USER TIDAK DIKETAHUI""))"),"")</f>
        <v/>
      </c>
    </row>
    <row r="8923">
      <c r="A8923" s="21" t="str">
        <f t="shared" si="3"/>
        <v/>
      </c>
      <c r="B8923" s="38"/>
      <c r="C8923" s="23"/>
      <c r="D8923" s="23"/>
      <c r="E8923" s="24"/>
      <c r="F8923" s="25"/>
      <c r="G8923" s="25"/>
      <c r="H8923" s="27"/>
      <c r="I8923" s="28"/>
      <c r="J8923" s="39"/>
      <c r="K8923" s="41"/>
      <c r="L8923" s="31" t="str">
        <f>IFERROR(__xludf.DUMMYFUNCTION("IF(OR(E8923="""",K8923=""""),"""",IFERROR(IF(K8923="""","""",query('tbl user'!$A$2:$D10975,""SELECT A WHERE D = '""&amp;K8923&amp;""'"")),""USER TIDAK DIKETAHUI""))"),"")</f>
        <v/>
      </c>
    </row>
    <row r="8924">
      <c r="A8924" s="21" t="str">
        <f t="shared" si="3"/>
        <v/>
      </c>
      <c r="B8924" s="38"/>
      <c r="C8924" s="23"/>
      <c r="D8924" s="23"/>
      <c r="E8924" s="24"/>
      <c r="F8924" s="25"/>
      <c r="G8924" s="25"/>
      <c r="H8924" s="27"/>
      <c r="I8924" s="28"/>
      <c r="J8924" s="39"/>
      <c r="K8924" s="41"/>
      <c r="L8924" s="31" t="str">
        <f>IFERROR(__xludf.DUMMYFUNCTION("IF(OR(E8924="""",K8924=""""),"""",IFERROR(IF(K8924="""","""",query('tbl user'!$A$2:$D10975,""SELECT A WHERE D = '""&amp;K8924&amp;""'"")),""USER TIDAK DIKETAHUI""))"),"")</f>
        <v/>
      </c>
    </row>
    <row r="8925">
      <c r="A8925" s="21" t="str">
        <f t="shared" si="3"/>
        <v/>
      </c>
      <c r="B8925" s="38"/>
      <c r="C8925" s="23"/>
      <c r="D8925" s="23"/>
      <c r="E8925" s="24"/>
      <c r="F8925" s="25"/>
      <c r="G8925" s="25"/>
      <c r="H8925" s="27"/>
      <c r="I8925" s="28"/>
      <c r="J8925" s="39"/>
      <c r="K8925" s="41"/>
      <c r="L8925" s="31" t="str">
        <f>IFERROR(__xludf.DUMMYFUNCTION("IF(OR(E8925="""",K8925=""""),"""",IFERROR(IF(K8925="""","""",query('tbl user'!$A$2:$D10975,""SELECT A WHERE D = '""&amp;K8925&amp;""'"")),""USER TIDAK DIKETAHUI""))"),"")</f>
        <v/>
      </c>
    </row>
    <row r="8926">
      <c r="A8926" s="21" t="str">
        <f t="shared" si="3"/>
        <v/>
      </c>
      <c r="B8926" s="38"/>
      <c r="C8926" s="23"/>
      <c r="D8926" s="23"/>
      <c r="E8926" s="24"/>
      <c r="F8926" s="25"/>
      <c r="G8926" s="25"/>
      <c r="H8926" s="27"/>
      <c r="I8926" s="28"/>
      <c r="J8926" s="39"/>
      <c r="K8926" s="41"/>
      <c r="L8926" s="31" t="str">
        <f>IFERROR(__xludf.DUMMYFUNCTION("IF(OR(E8926="""",K8926=""""),"""",IFERROR(IF(K8926="""","""",query('tbl user'!$A$2:$D10975,""SELECT A WHERE D = '""&amp;K8926&amp;""'"")),""USER TIDAK DIKETAHUI""))"),"")</f>
        <v/>
      </c>
    </row>
    <row r="8927">
      <c r="A8927" s="21" t="str">
        <f t="shared" si="3"/>
        <v/>
      </c>
      <c r="B8927" s="38"/>
      <c r="C8927" s="23"/>
      <c r="D8927" s="23"/>
      <c r="E8927" s="24"/>
      <c r="F8927" s="25"/>
      <c r="G8927" s="25"/>
      <c r="H8927" s="27"/>
      <c r="I8927" s="28"/>
      <c r="J8927" s="39"/>
      <c r="K8927" s="41"/>
      <c r="L8927" s="31" t="str">
        <f>IFERROR(__xludf.DUMMYFUNCTION("IF(OR(E8927="""",K8927=""""),"""",IFERROR(IF(K8927="""","""",query('tbl user'!$A$2:$D10975,""SELECT A WHERE D = '""&amp;K8927&amp;""'"")),""USER TIDAK DIKETAHUI""))"),"")</f>
        <v/>
      </c>
    </row>
    <row r="8928">
      <c r="A8928" s="21" t="str">
        <f t="shared" si="3"/>
        <v/>
      </c>
      <c r="B8928" s="38"/>
      <c r="C8928" s="23"/>
      <c r="D8928" s="23"/>
      <c r="E8928" s="24"/>
      <c r="F8928" s="25"/>
      <c r="G8928" s="25"/>
      <c r="H8928" s="27"/>
      <c r="I8928" s="28"/>
      <c r="J8928" s="39"/>
      <c r="K8928" s="41"/>
      <c r="L8928" s="31" t="str">
        <f>IFERROR(__xludf.DUMMYFUNCTION("IF(OR(E8928="""",K8928=""""),"""",IFERROR(IF(K8928="""","""",query('tbl user'!$A$2:$D10975,""SELECT A WHERE D = '""&amp;K8928&amp;""'"")),""USER TIDAK DIKETAHUI""))"),"")</f>
        <v/>
      </c>
    </row>
    <row r="8929">
      <c r="A8929" s="21" t="str">
        <f t="shared" si="3"/>
        <v/>
      </c>
      <c r="B8929" s="38"/>
      <c r="C8929" s="23"/>
      <c r="D8929" s="23"/>
      <c r="E8929" s="24"/>
      <c r="F8929" s="25"/>
      <c r="G8929" s="25"/>
      <c r="H8929" s="27"/>
      <c r="I8929" s="28"/>
      <c r="J8929" s="39"/>
      <c r="K8929" s="41"/>
      <c r="L8929" s="31" t="str">
        <f>IFERROR(__xludf.DUMMYFUNCTION("IF(OR(E8929="""",K8929=""""),"""",IFERROR(IF(K8929="""","""",query('tbl user'!$A$2:$D10975,""SELECT A WHERE D = '""&amp;K8929&amp;""'"")),""USER TIDAK DIKETAHUI""))"),"")</f>
        <v/>
      </c>
    </row>
    <row r="8930">
      <c r="A8930" s="21" t="str">
        <f t="shared" si="3"/>
        <v/>
      </c>
      <c r="B8930" s="38"/>
      <c r="C8930" s="23"/>
      <c r="D8930" s="23"/>
      <c r="E8930" s="24"/>
      <c r="F8930" s="25"/>
      <c r="G8930" s="25"/>
      <c r="H8930" s="27"/>
      <c r="I8930" s="28"/>
      <c r="J8930" s="39"/>
      <c r="K8930" s="41"/>
      <c r="L8930" s="31" t="str">
        <f>IFERROR(__xludf.DUMMYFUNCTION("IF(OR(E8930="""",K8930=""""),"""",IFERROR(IF(K8930="""","""",query('tbl user'!$A$2:$D10975,""SELECT A WHERE D = '""&amp;K8930&amp;""'"")),""USER TIDAK DIKETAHUI""))"),"")</f>
        <v/>
      </c>
    </row>
    <row r="8931">
      <c r="A8931" s="21" t="str">
        <f t="shared" si="3"/>
        <v/>
      </c>
      <c r="B8931" s="38"/>
      <c r="C8931" s="23"/>
      <c r="D8931" s="23"/>
      <c r="E8931" s="24"/>
      <c r="F8931" s="25"/>
      <c r="G8931" s="25"/>
      <c r="H8931" s="27"/>
      <c r="I8931" s="28"/>
      <c r="J8931" s="39"/>
      <c r="K8931" s="41"/>
      <c r="L8931" s="31" t="str">
        <f>IFERROR(__xludf.DUMMYFUNCTION("IF(OR(E8931="""",K8931=""""),"""",IFERROR(IF(K8931="""","""",query('tbl user'!$A$2:$D10975,""SELECT A WHERE D = '""&amp;K8931&amp;""'"")),""USER TIDAK DIKETAHUI""))"),"")</f>
        <v/>
      </c>
    </row>
    <row r="8932">
      <c r="A8932" s="21" t="str">
        <f t="shared" si="3"/>
        <v/>
      </c>
      <c r="B8932" s="38"/>
      <c r="C8932" s="23"/>
      <c r="D8932" s="23"/>
      <c r="E8932" s="24"/>
      <c r="F8932" s="25"/>
      <c r="G8932" s="25"/>
      <c r="H8932" s="27"/>
      <c r="I8932" s="28"/>
      <c r="J8932" s="39"/>
      <c r="K8932" s="41"/>
      <c r="L8932" s="31" t="str">
        <f>IFERROR(__xludf.DUMMYFUNCTION("IF(OR(E8932="""",K8932=""""),"""",IFERROR(IF(K8932="""","""",query('tbl user'!$A$2:$D10975,""SELECT A WHERE D = '""&amp;K8932&amp;""'"")),""USER TIDAK DIKETAHUI""))"),"")</f>
        <v/>
      </c>
    </row>
    <row r="8933">
      <c r="A8933" s="21" t="str">
        <f t="shared" si="3"/>
        <v/>
      </c>
      <c r="B8933" s="38"/>
      <c r="C8933" s="23"/>
      <c r="D8933" s="23"/>
      <c r="E8933" s="24"/>
      <c r="F8933" s="25"/>
      <c r="G8933" s="25"/>
      <c r="H8933" s="27"/>
      <c r="I8933" s="28"/>
      <c r="J8933" s="39"/>
      <c r="K8933" s="41"/>
      <c r="L8933" s="31" t="str">
        <f>IFERROR(__xludf.DUMMYFUNCTION("IF(OR(E8933="""",K8933=""""),"""",IFERROR(IF(K8933="""","""",query('tbl user'!$A$2:$D10975,""SELECT A WHERE D = '""&amp;K8933&amp;""'"")),""USER TIDAK DIKETAHUI""))"),"")</f>
        <v/>
      </c>
    </row>
    <row r="8934">
      <c r="A8934" s="21" t="str">
        <f t="shared" si="3"/>
        <v/>
      </c>
      <c r="B8934" s="38"/>
      <c r="C8934" s="23"/>
      <c r="D8934" s="23"/>
      <c r="E8934" s="24"/>
      <c r="F8934" s="25"/>
      <c r="G8934" s="25"/>
      <c r="H8934" s="27"/>
      <c r="I8934" s="28"/>
      <c r="J8934" s="39"/>
      <c r="K8934" s="41"/>
      <c r="L8934" s="31" t="str">
        <f>IFERROR(__xludf.DUMMYFUNCTION("IF(OR(E8934="""",K8934=""""),"""",IFERROR(IF(K8934="""","""",query('tbl user'!$A$2:$D10975,""SELECT A WHERE D = '""&amp;K8934&amp;""'"")),""USER TIDAK DIKETAHUI""))"),"")</f>
        <v/>
      </c>
    </row>
    <row r="8935">
      <c r="A8935" s="21" t="str">
        <f t="shared" si="3"/>
        <v/>
      </c>
      <c r="B8935" s="38"/>
      <c r="C8935" s="23"/>
      <c r="D8935" s="23"/>
      <c r="E8935" s="24"/>
      <c r="F8935" s="25"/>
      <c r="G8935" s="25"/>
      <c r="H8935" s="27"/>
      <c r="I8935" s="28"/>
      <c r="J8935" s="39"/>
      <c r="K8935" s="41"/>
      <c r="L8935" s="31" t="str">
        <f>IFERROR(__xludf.DUMMYFUNCTION("IF(OR(E8935="""",K8935=""""),"""",IFERROR(IF(K8935="""","""",query('tbl user'!$A$2:$D10975,""SELECT A WHERE D = '""&amp;K8935&amp;""'"")),""USER TIDAK DIKETAHUI""))"),"")</f>
        <v/>
      </c>
    </row>
    <row r="8936">
      <c r="A8936" s="21" t="str">
        <f t="shared" si="3"/>
        <v/>
      </c>
      <c r="B8936" s="38"/>
      <c r="C8936" s="23"/>
      <c r="D8936" s="23"/>
      <c r="E8936" s="24"/>
      <c r="F8936" s="25"/>
      <c r="G8936" s="25"/>
      <c r="H8936" s="27"/>
      <c r="I8936" s="28"/>
      <c r="J8936" s="39"/>
      <c r="K8936" s="41"/>
      <c r="L8936" s="31" t="str">
        <f>IFERROR(__xludf.DUMMYFUNCTION("IF(OR(E8936="""",K8936=""""),"""",IFERROR(IF(K8936="""","""",query('tbl user'!$A$2:$D10975,""SELECT A WHERE D = '""&amp;K8936&amp;""'"")),""USER TIDAK DIKETAHUI""))"),"")</f>
        <v/>
      </c>
    </row>
    <row r="8937">
      <c r="A8937" s="21" t="str">
        <f t="shared" si="3"/>
        <v/>
      </c>
      <c r="B8937" s="38"/>
      <c r="C8937" s="23"/>
      <c r="D8937" s="23"/>
      <c r="E8937" s="24"/>
      <c r="F8937" s="25"/>
      <c r="G8937" s="25"/>
      <c r="H8937" s="27"/>
      <c r="I8937" s="28"/>
      <c r="J8937" s="39"/>
      <c r="K8937" s="41"/>
      <c r="L8937" s="31" t="str">
        <f>IFERROR(__xludf.DUMMYFUNCTION("IF(OR(E8937="""",K8937=""""),"""",IFERROR(IF(K8937="""","""",query('tbl user'!$A$2:$D10975,""SELECT A WHERE D = '""&amp;K8937&amp;""'"")),""USER TIDAK DIKETAHUI""))"),"")</f>
        <v/>
      </c>
    </row>
    <row r="8938">
      <c r="A8938" s="21" t="str">
        <f t="shared" si="3"/>
        <v/>
      </c>
      <c r="B8938" s="38"/>
      <c r="C8938" s="23"/>
      <c r="D8938" s="23"/>
      <c r="E8938" s="24"/>
      <c r="F8938" s="25"/>
      <c r="G8938" s="25"/>
      <c r="H8938" s="27"/>
      <c r="I8938" s="28"/>
      <c r="J8938" s="39"/>
      <c r="K8938" s="41"/>
      <c r="L8938" s="31" t="str">
        <f>IFERROR(__xludf.DUMMYFUNCTION("IF(OR(E8938="""",K8938=""""),"""",IFERROR(IF(K8938="""","""",query('tbl user'!$A$2:$D10975,""SELECT A WHERE D = '""&amp;K8938&amp;""'"")),""USER TIDAK DIKETAHUI""))"),"")</f>
        <v/>
      </c>
    </row>
    <row r="8939">
      <c r="A8939" s="21" t="str">
        <f t="shared" si="3"/>
        <v/>
      </c>
      <c r="B8939" s="38"/>
      <c r="C8939" s="23"/>
      <c r="D8939" s="23"/>
      <c r="E8939" s="24"/>
      <c r="F8939" s="25"/>
      <c r="G8939" s="25"/>
      <c r="H8939" s="27"/>
      <c r="I8939" s="28"/>
      <c r="J8939" s="39"/>
      <c r="K8939" s="41"/>
      <c r="L8939" s="31" t="str">
        <f>IFERROR(__xludf.DUMMYFUNCTION("IF(OR(E8939="""",K8939=""""),"""",IFERROR(IF(K8939="""","""",query('tbl user'!$A$2:$D10975,""SELECT A WHERE D = '""&amp;K8939&amp;""'"")),""USER TIDAK DIKETAHUI""))"),"")</f>
        <v/>
      </c>
    </row>
    <row r="8940">
      <c r="A8940" s="21" t="str">
        <f t="shared" si="3"/>
        <v/>
      </c>
      <c r="B8940" s="38"/>
      <c r="C8940" s="23"/>
      <c r="D8940" s="23"/>
      <c r="E8940" s="24"/>
      <c r="F8940" s="25"/>
      <c r="G8940" s="25"/>
      <c r="H8940" s="27"/>
      <c r="I8940" s="28"/>
      <c r="J8940" s="39"/>
      <c r="K8940" s="41"/>
      <c r="L8940" s="31" t="str">
        <f>IFERROR(__xludf.DUMMYFUNCTION("IF(OR(E8940="""",K8940=""""),"""",IFERROR(IF(K8940="""","""",query('tbl user'!$A$2:$D10975,""SELECT A WHERE D = '""&amp;K8940&amp;""'"")),""USER TIDAK DIKETAHUI""))"),"")</f>
        <v/>
      </c>
    </row>
    <row r="8941">
      <c r="A8941" s="21" t="str">
        <f t="shared" si="3"/>
        <v/>
      </c>
      <c r="B8941" s="38"/>
      <c r="C8941" s="23"/>
      <c r="D8941" s="23"/>
      <c r="E8941" s="24"/>
      <c r="F8941" s="25"/>
      <c r="G8941" s="25"/>
      <c r="H8941" s="27"/>
      <c r="I8941" s="28"/>
      <c r="J8941" s="39"/>
      <c r="K8941" s="41"/>
      <c r="L8941" s="31" t="str">
        <f>IFERROR(__xludf.DUMMYFUNCTION("IF(OR(E8941="""",K8941=""""),"""",IFERROR(IF(K8941="""","""",query('tbl user'!$A$2:$D10975,""SELECT A WHERE D = '""&amp;K8941&amp;""'"")),""USER TIDAK DIKETAHUI""))"),"")</f>
        <v/>
      </c>
    </row>
    <row r="8942">
      <c r="A8942" s="21" t="str">
        <f t="shared" si="3"/>
        <v/>
      </c>
      <c r="B8942" s="38"/>
      <c r="C8942" s="23"/>
      <c r="D8942" s="23"/>
      <c r="E8942" s="24"/>
      <c r="F8942" s="25"/>
      <c r="G8942" s="25"/>
      <c r="H8942" s="27"/>
      <c r="I8942" s="28"/>
      <c r="J8942" s="39"/>
      <c r="K8942" s="41"/>
      <c r="L8942" s="31" t="str">
        <f>IFERROR(__xludf.DUMMYFUNCTION("IF(OR(E8942="""",K8942=""""),"""",IFERROR(IF(K8942="""","""",query('tbl user'!$A$2:$D10975,""SELECT A WHERE D = '""&amp;K8942&amp;""'"")),""USER TIDAK DIKETAHUI""))"),"")</f>
        <v/>
      </c>
    </row>
    <row r="8943">
      <c r="A8943" s="21" t="str">
        <f t="shared" si="3"/>
        <v/>
      </c>
      <c r="B8943" s="38"/>
      <c r="C8943" s="23"/>
      <c r="D8943" s="23"/>
      <c r="E8943" s="24"/>
      <c r="F8943" s="25"/>
      <c r="G8943" s="25"/>
      <c r="H8943" s="27"/>
      <c r="I8943" s="28"/>
      <c r="J8943" s="39"/>
      <c r="K8943" s="41"/>
      <c r="L8943" s="31" t="str">
        <f>IFERROR(__xludf.DUMMYFUNCTION("IF(OR(E8943="""",K8943=""""),"""",IFERROR(IF(K8943="""","""",query('tbl user'!$A$2:$D10975,""SELECT A WHERE D = '""&amp;K8943&amp;""'"")),""USER TIDAK DIKETAHUI""))"),"")</f>
        <v/>
      </c>
    </row>
    <row r="8944">
      <c r="A8944" s="21" t="str">
        <f t="shared" si="3"/>
        <v/>
      </c>
      <c r="B8944" s="38"/>
      <c r="C8944" s="23"/>
      <c r="D8944" s="23"/>
      <c r="E8944" s="24"/>
      <c r="F8944" s="25"/>
      <c r="G8944" s="25"/>
      <c r="H8944" s="27"/>
      <c r="I8944" s="28"/>
      <c r="J8944" s="39"/>
      <c r="K8944" s="41"/>
      <c r="L8944" s="31" t="str">
        <f>IFERROR(__xludf.DUMMYFUNCTION("IF(OR(E8944="""",K8944=""""),"""",IFERROR(IF(K8944="""","""",query('tbl user'!$A$2:$D10975,""SELECT A WHERE D = '""&amp;K8944&amp;""'"")),""USER TIDAK DIKETAHUI""))"),"")</f>
        <v/>
      </c>
    </row>
    <row r="8945">
      <c r="A8945" s="21" t="str">
        <f t="shared" si="3"/>
        <v/>
      </c>
      <c r="B8945" s="38"/>
      <c r="C8945" s="23"/>
      <c r="D8945" s="23"/>
      <c r="E8945" s="24"/>
      <c r="F8945" s="25"/>
      <c r="G8945" s="25"/>
      <c r="H8945" s="27"/>
      <c r="I8945" s="28"/>
      <c r="J8945" s="39"/>
      <c r="K8945" s="41"/>
      <c r="L8945" s="31" t="str">
        <f>IFERROR(__xludf.DUMMYFUNCTION("IF(OR(E8945="""",K8945=""""),"""",IFERROR(IF(K8945="""","""",query('tbl user'!$A$2:$D10975,""SELECT A WHERE D = '""&amp;K8945&amp;""'"")),""USER TIDAK DIKETAHUI""))"),"")</f>
        <v/>
      </c>
    </row>
    <row r="8946">
      <c r="A8946" s="21" t="str">
        <f t="shared" si="3"/>
        <v/>
      </c>
      <c r="B8946" s="38"/>
      <c r="C8946" s="23"/>
      <c r="D8946" s="23"/>
      <c r="E8946" s="24"/>
      <c r="F8946" s="25"/>
      <c r="G8946" s="25"/>
      <c r="H8946" s="27"/>
      <c r="I8946" s="28"/>
      <c r="J8946" s="39"/>
      <c r="K8946" s="41"/>
      <c r="L8946" s="31" t="str">
        <f>IFERROR(__xludf.DUMMYFUNCTION("IF(OR(E8946="""",K8946=""""),"""",IFERROR(IF(K8946="""","""",query('tbl user'!$A$2:$D10975,""SELECT A WHERE D = '""&amp;K8946&amp;""'"")),""USER TIDAK DIKETAHUI""))"),"")</f>
        <v/>
      </c>
    </row>
    <row r="8947">
      <c r="A8947" s="21" t="str">
        <f t="shared" si="3"/>
        <v/>
      </c>
      <c r="B8947" s="38"/>
      <c r="C8947" s="23"/>
      <c r="D8947" s="23"/>
      <c r="E8947" s="24"/>
      <c r="F8947" s="25"/>
      <c r="G8947" s="25"/>
      <c r="H8947" s="27"/>
      <c r="I8947" s="28"/>
      <c r="J8947" s="39"/>
      <c r="K8947" s="41"/>
      <c r="L8947" s="31" t="str">
        <f>IFERROR(__xludf.DUMMYFUNCTION("IF(OR(E8947="""",K8947=""""),"""",IFERROR(IF(K8947="""","""",query('tbl user'!$A$2:$D10975,""SELECT A WHERE D = '""&amp;K8947&amp;""'"")),""USER TIDAK DIKETAHUI""))"),"")</f>
        <v/>
      </c>
    </row>
    <row r="8948">
      <c r="A8948" s="21" t="str">
        <f t="shared" si="3"/>
        <v/>
      </c>
      <c r="B8948" s="38"/>
      <c r="C8948" s="23"/>
      <c r="D8948" s="23"/>
      <c r="E8948" s="24"/>
      <c r="F8948" s="25"/>
      <c r="G8948" s="25"/>
      <c r="H8948" s="27"/>
      <c r="I8948" s="28"/>
      <c r="J8948" s="39"/>
      <c r="K8948" s="41"/>
      <c r="L8948" s="31" t="str">
        <f>IFERROR(__xludf.DUMMYFUNCTION("IF(OR(E8948="""",K8948=""""),"""",IFERROR(IF(K8948="""","""",query('tbl user'!$A$2:$D10975,""SELECT A WHERE D = '""&amp;K8948&amp;""'"")),""USER TIDAK DIKETAHUI""))"),"")</f>
        <v/>
      </c>
    </row>
    <row r="8949">
      <c r="A8949" s="21" t="str">
        <f t="shared" si="3"/>
        <v/>
      </c>
      <c r="B8949" s="38"/>
      <c r="C8949" s="23"/>
      <c r="D8949" s="23"/>
      <c r="E8949" s="24"/>
      <c r="F8949" s="25"/>
      <c r="G8949" s="25"/>
      <c r="H8949" s="27"/>
      <c r="I8949" s="28"/>
      <c r="J8949" s="39"/>
      <c r="K8949" s="41"/>
      <c r="L8949" s="31" t="str">
        <f>IFERROR(__xludf.DUMMYFUNCTION("IF(OR(E8949="""",K8949=""""),"""",IFERROR(IF(K8949="""","""",query('tbl user'!$A$2:$D10975,""SELECT A WHERE D = '""&amp;K8949&amp;""'"")),""USER TIDAK DIKETAHUI""))"),"")</f>
        <v/>
      </c>
    </row>
    <row r="8950">
      <c r="A8950" s="21" t="str">
        <f t="shared" si="3"/>
        <v/>
      </c>
      <c r="B8950" s="38"/>
      <c r="C8950" s="23"/>
      <c r="D8950" s="23"/>
      <c r="E8950" s="24"/>
      <c r="F8950" s="25"/>
      <c r="G8950" s="25"/>
      <c r="H8950" s="27"/>
      <c r="I8950" s="28"/>
      <c r="J8950" s="39"/>
      <c r="K8950" s="41"/>
      <c r="L8950" s="31" t="str">
        <f>IFERROR(__xludf.DUMMYFUNCTION("IF(OR(E8950="""",K8950=""""),"""",IFERROR(IF(K8950="""","""",query('tbl user'!$A$2:$D10975,""SELECT A WHERE D = '""&amp;K8950&amp;""'"")),""USER TIDAK DIKETAHUI""))"),"")</f>
        <v/>
      </c>
    </row>
    <row r="8951">
      <c r="A8951" s="21" t="str">
        <f t="shared" si="3"/>
        <v/>
      </c>
      <c r="B8951" s="38"/>
      <c r="C8951" s="23"/>
      <c r="D8951" s="23"/>
      <c r="E8951" s="24"/>
      <c r="F8951" s="25"/>
      <c r="G8951" s="25"/>
      <c r="H8951" s="27"/>
      <c r="I8951" s="28"/>
      <c r="J8951" s="39"/>
      <c r="K8951" s="41"/>
      <c r="L8951" s="31" t="str">
        <f>IFERROR(__xludf.DUMMYFUNCTION("IF(OR(E8951="""",K8951=""""),"""",IFERROR(IF(K8951="""","""",query('tbl user'!$A$2:$D10975,""SELECT A WHERE D = '""&amp;K8951&amp;""'"")),""USER TIDAK DIKETAHUI""))"),"")</f>
        <v/>
      </c>
    </row>
    <row r="8952">
      <c r="A8952" s="21" t="str">
        <f t="shared" si="3"/>
        <v/>
      </c>
      <c r="B8952" s="38"/>
      <c r="C8952" s="23"/>
      <c r="D8952" s="23"/>
      <c r="E8952" s="24"/>
      <c r="F8952" s="25"/>
      <c r="G8952" s="25"/>
      <c r="H8952" s="27"/>
      <c r="I8952" s="28"/>
      <c r="J8952" s="39"/>
      <c r="K8952" s="41"/>
      <c r="L8952" s="31" t="str">
        <f>IFERROR(__xludf.DUMMYFUNCTION("IF(OR(E8952="""",K8952=""""),"""",IFERROR(IF(K8952="""","""",query('tbl user'!$A$2:$D10975,""SELECT A WHERE D = '""&amp;K8952&amp;""'"")),""USER TIDAK DIKETAHUI""))"),"")</f>
        <v/>
      </c>
    </row>
    <row r="8953">
      <c r="A8953" s="21" t="str">
        <f t="shared" si="3"/>
        <v/>
      </c>
      <c r="B8953" s="38"/>
      <c r="C8953" s="23"/>
      <c r="D8953" s="23"/>
      <c r="E8953" s="24"/>
      <c r="F8953" s="25"/>
      <c r="G8953" s="25"/>
      <c r="H8953" s="27"/>
      <c r="I8953" s="28"/>
      <c r="J8953" s="39"/>
      <c r="K8953" s="41"/>
      <c r="L8953" s="31" t="str">
        <f>IFERROR(__xludf.DUMMYFUNCTION("IF(OR(E8953="""",K8953=""""),"""",IFERROR(IF(K8953="""","""",query('tbl user'!$A$2:$D10975,""SELECT A WHERE D = '""&amp;K8953&amp;""'"")),""USER TIDAK DIKETAHUI""))"),"")</f>
        <v/>
      </c>
    </row>
    <row r="8954">
      <c r="A8954" s="21" t="str">
        <f t="shared" si="3"/>
        <v/>
      </c>
      <c r="B8954" s="38"/>
      <c r="C8954" s="23"/>
      <c r="D8954" s="23"/>
      <c r="E8954" s="24"/>
      <c r="F8954" s="25"/>
      <c r="G8954" s="25"/>
      <c r="H8954" s="27"/>
      <c r="I8954" s="28"/>
      <c r="J8954" s="39"/>
      <c r="K8954" s="41"/>
      <c r="L8954" s="31" t="str">
        <f>IFERROR(__xludf.DUMMYFUNCTION("IF(OR(E8954="""",K8954=""""),"""",IFERROR(IF(K8954="""","""",query('tbl user'!$A$2:$D10975,""SELECT A WHERE D = '""&amp;K8954&amp;""'"")),""USER TIDAK DIKETAHUI""))"),"")</f>
        <v/>
      </c>
    </row>
    <row r="8955">
      <c r="A8955" s="21" t="str">
        <f t="shared" si="3"/>
        <v/>
      </c>
      <c r="B8955" s="38"/>
      <c r="C8955" s="23"/>
      <c r="D8955" s="23"/>
      <c r="E8955" s="24"/>
      <c r="F8955" s="25"/>
      <c r="G8955" s="25"/>
      <c r="H8955" s="27"/>
      <c r="I8955" s="28"/>
      <c r="J8955" s="39"/>
      <c r="K8955" s="41"/>
      <c r="L8955" s="31" t="str">
        <f>IFERROR(__xludf.DUMMYFUNCTION("IF(OR(E8955="""",K8955=""""),"""",IFERROR(IF(K8955="""","""",query('tbl user'!$A$2:$D10975,""SELECT A WHERE D = '""&amp;K8955&amp;""'"")),""USER TIDAK DIKETAHUI""))"),"")</f>
        <v/>
      </c>
    </row>
    <row r="8956">
      <c r="A8956" s="21" t="str">
        <f t="shared" si="3"/>
        <v/>
      </c>
      <c r="B8956" s="38"/>
      <c r="C8956" s="23"/>
      <c r="D8956" s="23"/>
      <c r="E8956" s="24"/>
      <c r="F8956" s="25"/>
      <c r="G8956" s="25"/>
      <c r="H8956" s="27"/>
      <c r="I8956" s="28"/>
      <c r="J8956" s="39"/>
      <c r="K8956" s="41"/>
      <c r="L8956" s="31" t="str">
        <f>IFERROR(__xludf.DUMMYFUNCTION("IF(OR(E8956="""",K8956=""""),"""",IFERROR(IF(K8956="""","""",query('tbl user'!$A$2:$D10975,""SELECT A WHERE D = '""&amp;K8956&amp;""'"")),""USER TIDAK DIKETAHUI""))"),"")</f>
        <v/>
      </c>
    </row>
    <row r="8957">
      <c r="A8957" s="21" t="str">
        <f t="shared" si="3"/>
        <v/>
      </c>
      <c r="B8957" s="38"/>
      <c r="C8957" s="23"/>
      <c r="D8957" s="23"/>
      <c r="E8957" s="24"/>
      <c r="F8957" s="25"/>
      <c r="G8957" s="25"/>
      <c r="H8957" s="27"/>
      <c r="I8957" s="28"/>
      <c r="J8957" s="39"/>
      <c r="K8957" s="41"/>
      <c r="L8957" s="31" t="str">
        <f>IFERROR(__xludf.DUMMYFUNCTION("IF(OR(E8957="""",K8957=""""),"""",IFERROR(IF(K8957="""","""",query('tbl user'!$A$2:$D10975,""SELECT A WHERE D = '""&amp;K8957&amp;""'"")),""USER TIDAK DIKETAHUI""))"),"")</f>
        <v/>
      </c>
    </row>
    <row r="8958">
      <c r="A8958" s="21" t="str">
        <f t="shared" si="3"/>
        <v/>
      </c>
      <c r="B8958" s="38"/>
      <c r="C8958" s="23"/>
      <c r="D8958" s="23"/>
      <c r="E8958" s="24"/>
      <c r="F8958" s="25"/>
      <c r="G8958" s="25"/>
      <c r="H8958" s="27"/>
      <c r="I8958" s="28"/>
      <c r="J8958" s="39"/>
      <c r="K8958" s="41"/>
      <c r="L8958" s="31" t="str">
        <f>IFERROR(__xludf.DUMMYFUNCTION("IF(OR(E8958="""",K8958=""""),"""",IFERROR(IF(K8958="""","""",query('tbl user'!$A$2:$D10975,""SELECT A WHERE D = '""&amp;K8958&amp;""'"")),""USER TIDAK DIKETAHUI""))"),"")</f>
        <v/>
      </c>
    </row>
    <row r="8959">
      <c r="A8959" s="21" t="str">
        <f t="shared" si="3"/>
        <v/>
      </c>
      <c r="B8959" s="38"/>
      <c r="C8959" s="23"/>
      <c r="D8959" s="23"/>
      <c r="E8959" s="24"/>
      <c r="F8959" s="25"/>
      <c r="G8959" s="25"/>
      <c r="H8959" s="27"/>
      <c r="I8959" s="28"/>
      <c r="J8959" s="39"/>
      <c r="K8959" s="41"/>
      <c r="L8959" s="31" t="str">
        <f>IFERROR(__xludf.DUMMYFUNCTION("IF(OR(E8959="""",K8959=""""),"""",IFERROR(IF(K8959="""","""",query('tbl user'!$A$2:$D10975,""SELECT A WHERE D = '""&amp;K8959&amp;""'"")),""USER TIDAK DIKETAHUI""))"),"")</f>
        <v/>
      </c>
    </row>
    <row r="8960">
      <c r="A8960" s="21" t="str">
        <f t="shared" si="3"/>
        <v/>
      </c>
      <c r="B8960" s="38"/>
      <c r="C8960" s="23"/>
      <c r="D8960" s="23"/>
      <c r="E8960" s="24"/>
      <c r="F8960" s="25"/>
      <c r="G8960" s="25"/>
      <c r="H8960" s="27"/>
      <c r="I8960" s="28"/>
      <c r="J8960" s="39"/>
      <c r="K8960" s="41"/>
      <c r="L8960" s="31" t="str">
        <f>IFERROR(__xludf.DUMMYFUNCTION("IF(OR(E8960="""",K8960=""""),"""",IFERROR(IF(K8960="""","""",query('tbl user'!$A$2:$D10975,""SELECT A WHERE D = '""&amp;K8960&amp;""'"")),""USER TIDAK DIKETAHUI""))"),"")</f>
        <v/>
      </c>
    </row>
    <row r="8961">
      <c r="A8961" s="21" t="str">
        <f t="shared" si="3"/>
        <v/>
      </c>
      <c r="B8961" s="38"/>
      <c r="C8961" s="23"/>
      <c r="D8961" s="23"/>
      <c r="E8961" s="24"/>
      <c r="F8961" s="25"/>
      <c r="G8961" s="25"/>
      <c r="H8961" s="27"/>
      <c r="I8961" s="28"/>
      <c r="J8961" s="39"/>
      <c r="K8961" s="41"/>
      <c r="L8961" s="31" t="str">
        <f>IFERROR(__xludf.DUMMYFUNCTION("IF(OR(E8961="""",K8961=""""),"""",IFERROR(IF(K8961="""","""",query('tbl user'!$A$2:$D10975,""SELECT A WHERE D = '""&amp;K8961&amp;""'"")),""USER TIDAK DIKETAHUI""))"),"")</f>
        <v/>
      </c>
    </row>
    <row r="8962">
      <c r="A8962" s="21" t="str">
        <f t="shared" si="3"/>
        <v/>
      </c>
      <c r="B8962" s="38"/>
      <c r="C8962" s="23"/>
      <c r="D8962" s="23"/>
      <c r="E8962" s="24"/>
      <c r="F8962" s="25"/>
      <c r="G8962" s="25"/>
      <c r="H8962" s="27"/>
      <c r="I8962" s="28"/>
      <c r="J8962" s="39"/>
      <c r="K8962" s="41"/>
      <c r="L8962" s="31" t="str">
        <f>IFERROR(__xludf.DUMMYFUNCTION("IF(OR(E8962="""",K8962=""""),"""",IFERROR(IF(K8962="""","""",query('tbl user'!$A$2:$D10975,""SELECT A WHERE D = '""&amp;K8962&amp;""'"")),""USER TIDAK DIKETAHUI""))"),"")</f>
        <v/>
      </c>
    </row>
    <row r="8963">
      <c r="A8963" s="21" t="str">
        <f t="shared" si="3"/>
        <v/>
      </c>
      <c r="B8963" s="38"/>
      <c r="C8963" s="23"/>
      <c r="D8963" s="23"/>
      <c r="E8963" s="24"/>
      <c r="F8963" s="25"/>
      <c r="G8963" s="25"/>
      <c r="H8963" s="27"/>
      <c r="I8963" s="28"/>
      <c r="J8963" s="39"/>
      <c r="K8963" s="41"/>
      <c r="L8963" s="31" t="str">
        <f>IFERROR(__xludf.DUMMYFUNCTION("IF(OR(E8963="""",K8963=""""),"""",IFERROR(IF(K8963="""","""",query('tbl user'!$A$2:$D10975,""SELECT A WHERE D = '""&amp;K8963&amp;""'"")),""USER TIDAK DIKETAHUI""))"),"")</f>
        <v/>
      </c>
    </row>
    <row r="8964">
      <c r="A8964" s="21" t="str">
        <f t="shared" si="3"/>
        <v/>
      </c>
      <c r="B8964" s="38"/>
      <c r="C8964" s="23"/>
      <c r="D8964" s="23"/>
      <c r="E8964" s="24"/>
      <c r="F8964" s="25"/>
      <c r="G8964" s="25"/>
      <c r="H8964" s="27"/>
      <c r="I8964" s="28"/>
      <c r="J8964" s="39"/>
      <c r="K8964" s="41"/>
      <c r="L8964" s="31" t="str">
        <f>IFERROR(__xludf.DUMMYFUNCTION("IF(OR(E8964="""",K8964=""""),"""",IFERROR(IF(K8964="""","""",query('tbl user'!$A$2:$D10975,""SELECT A WHERE D = '""&amp;K8964&amp;""'"")),""USER TIDAK DIKETAHUI""))"),"")</f>
        <v/>
      </c>
    </row>
    <row r="8965">
      <c r="A8965" s="21" t="str">
        <f t="shared" si="3"/>
        <v/>
      </c>
      <c r="B8965" s="38"/>
      <c r="C8965" s="23"/>
      <c r="D8965" s="23"/>
      <c r="E8965" s="24"/>
      <c r="F8965" s="25"/>
      <c r="G8965" s="25"/>
      <c r="H8965" s="27"/>
      <c r="I8965" s="28"/>
      <c r="J8965" s="39"/>
      <c r="K8965" s="41"/>
      <c r="L8965" s="31" t="str">
        <f>IFERROR(__xludf.DUMMYFUNCTION("IF(OR(E8965="""",K8965=""""),"""",IFERROR(IF(K8965="""","""",query('tbl user'!$A$2:$D10975,""SELECT A WHERE D = '""&amp;K8965&amp;""'"")),""USER TIDAK DIKETAHUI""))"),"")</f>
        <v/>
      </c>
    </row>
    <row r="8966">
      <c r="A8966" s="21" t="str">
        <f t="shared" si="3"/>
        <v/>
      </c>
      <c r="B8966" s="38"/>
      <c r="C8966" s="23"/>
      <c r="D8966" s="23"/>
      <c r="E8966" s="24"/>
      <c r="F8966" s="25"/>
      <c r="G8966" s="25"/>
      <c r="H8966" s="27"/>
      <c r="I8966" s="28"/>
      <c r="J8966" s="39"/>
      <c r="K8966" s="41"/>
      <c r="L8966" s="31" t="str">
        <f>IFERROR(__xludf.DUMMYFUNCTION("IF(OR(E8966="""",K8966=""""),"""",IFERROR(IF(K8966="""","""",query('tbl user'!$A$2:$D10975,""SELECT A WHERE D = '""&amp;K8966&amp;""'"")),""USER TIDAK DIKETAHUI""))"),"")</f>
        <v/>
      </c>
    </row>
    <row r="8967">
      <c r="A8967" s="21" t="str">
        <f t="shared" si="3"/>
        <v/>
      </c>
      <c r="B8967" s="38"/>
      <c r="C8967" s="23"/>
      <c r="D8967" s="23"/>
      <c r="E8967" s="24"/>
      <c r="F8967" s="25"/>
      <c r="G8967" s="25"/>
      <c r="H8967" s="27"/>
      <c r="I8967" s="28"/>
      <c r="J8967" s="39"/>
      <c r="K8967" s="41"/>
      <c r="L8967" s="31" t="str">
        <f>IFERROR(__xludf.DUMMYFUNCTION("IF(OR(E8967="""",K8967=""""),"""",IFERROR(IF(K8967="""","""",query('tbl user'!$A$2:$D10975,""SELECT A WHERE D = '""&amp;K8967&amp;""'"")),""USER TIDAK DIKETAHUI""))"),"")</f>
        <v/>
      </c>
    </row>
    <row r="8968">
      <c r="A8968" s="21" t="str">
        <f t="shared" si="3"/>
        <v/>
      </c>
      <c r="B8968" s="38"/>
      <c r="C8968" s="23"/>
      <c r="D8968" s="23"/>
      <c r="E8968" s="24"/>
      <c r="F8968" s="25"/>
      <c r="G8968" s="25"/>
      <c r="H8968" s="27"/>
      <c r="I8968" s="28"/>
      <c r="J8968" s="39"/>
      <c r="K8968" s="41"/>
      <c r="L8968" s="31" t="str">
        <f>IFERROR(__xludf.DUMMYFUNCTION("IF(OR(E8968="""",K8968=""""),"""",IFERROR(IF(K8968="""","""",query('tbl user'!$A$2:$D10975,""SELECT A WHERE D = '""&amp;K8968&amp;""'"")),""USER TIDAK DIKETAHUI""))"),"")</f>
        <v/>
      </c>
    </row>
    <row r="8969">
      <c r="A8969" s="21" t="str">
        <f t="shared" si="3"/>
        <v/>
      </c>
      <c r="B8969" s="38"/>
      <c r="C8969" s="23"/>
      <c r="D8969" s="23"/>
      <c r="E8969" s="24"/>
      <c r="F8969" s="25"/>
      <c r="G8969" s="25"/>
      <c r="H8969" s="27"/>
      <c r="I8969" s="28"/>
      <c r="J8969" s="39"/>
      <c r="K8969" s="41"/>
      <c r="L8969" s="31" t="str">
        <f>IFERROR(__xludf.DUMMYFUNCTION("IF(OR(E8969="""",K8969=""""),"""",IFERROR(IF(K8969="""","""",query('tbl user'!$A$2:$D10975,""SELECT A WHERE D = '""&amp;K8969&amp;""'"")),""USER TIDAK DIKETAHUI""))"),"")</f>
        <v/>
      </c>
    </row>
    <row r="8970">
      <c r="A8970" s="21" t="str">
        <f t="shared" si="3"/>
        <v/>
      </c>
      <c r="B8970" s="38"/>
      <c r="C8970" s="23"/>
      <c r="D8970" s="23"/>
      <c r="E8970" s="24"/>
      <c r="F8970" s="25"/>
      <c r="G8970" s="25"/>
      <c r="H8970" s="27"/>
      <c r="I8970" s="28"/>
      <c r="J8970" s="39"/>
      <c r="K8970" s="41"/>
      <c r="L8970" s="31" t="str">
        <f>IFERROR(__xludf.DUMMYFUNCTION("IF(OR(E8970="""",K8970=""""),"""",IFERROR(IF(K8970="""","""",query('tbl user'!$A$2:$D10975,""SELECT A WHERE D = '""&amp;K8970&amp;""'"")),""USER TIDAK DIKETAHUI""))"),"")</f>
        <v/>
      </c>
    </row>
    <row r="8971">
      <c r="A8971" s="21" t="str">
        <f t="shared" si="3"/>
        <v/>
      </c>
      <c r="B8971" s="38"/>
      <c r="C8971" s="23"/>
      <c r="D8971" s="23"/>
      <c r="E8971" s="24"/>
      <c r="F8971" s="25"/>
      <c r="G8971" s="25"/>
      <c r="H8971" s="27"/>
      <c r="I8971" s="28"/>
      <c r="J8971" s="39"/>
      <c r="K8971" s="41"/>
      <c r="L8971" s="31" t="str">
        <f>IFERROR(__xludf.DUMMYFUNCTION("IF(OR(E8971="""",K8971=""""),"""",IFERROR(IF(K8971="""","""",query('tbl user'!$A$2:$D10975,""SELECT A WHERE D = '""&amp;K8971&amp;""'"")),""USER TIDAK DIKETAHUI""))"),"")</f>
        <v/>
      </c>
    </row>
    <row r="8972">
      <c r="A8972" s="21" t="str">
        <f t="shared" si="3"/>
        <v/>
      </c>
      <c r="B8972" s="38"/>
      <c r="C8972" s="23"/>
      <c r="D8972" s="23"/>
      <c r="E8972" s="24"/>
      <c r="F8972" s="25"/>
      <c r="G8972" s="25"/>
      <c r="H8972" s="27"/>
      <c r="I8972" s="28"/>
      <c r="J8972" s="39"/>
      <c r="K8972" s="41"/>
      <c r="L8972" s="31" t="str">
        <f>IFERROR(__xludf.DUMMYFUNCTION("IF(OR(E8972="""",K8972=""""),"""",IFERROR(IF(K8972="""","""",query('tbl user'!$A$2:$D10975,""SELECT A WHERE D = '""&amp;K8972&amp;""'"")),""USER TIDAK DIKETAHUI""))"),"")</f>
        <v/>
      </c>
    </row>
    <row r="8973">
      <c r="A8973" s="21" t="str">
        <f t="shared" si="3"/>
        <v/>
      </c>
      <c r="B8973" s="38"/>
      <c r="C8973" s="23"/>
      <c r="D8973" s="23"/>
      <c r="E8973" s="24"/>
      <c r="F8973" s="25"/>
      <c r="G8973" s="25"/>
      <c r="H8973" s="27"/>
      <c r="I8973" s="28"/>
      <c r="J8973" s="39"/>
      <c r="K8973" s="41"/>
      <c r="L8973" s="31" t="str">
        <f>IFERROR(__xludf.DUMMYFUNCTION("IF(OR(E8973="""",K8973=""""),"""",IFERROR(IF(K8973="""","""",query('tbl user'!$A$2:$D10975,""SELECT A WHERE D = '""&amp;K8973&amp;""'"")),""USER TIDAK DIKETAHUI""))"),"")</f>
        <v/>
      </c>
    </row>
    <row r="8974">
      <c r="A8974" s="21" t="str">
        <f t="shared" si="3"/>
        <v/>
      </c>
      <c r="B8974" s="38"/>
      <c r="C8974" s="23"/>
      <c r="D8974" s="23"/>
      <c r="E8974" s="24"/>
      <c r="F8974" s="25"/>
      <c r="G8974" s="25"/>
      <c r="H8974" s="27"/>
      <c r="I8974" s="28"/>
      <c r="J8974" s="39"/>
      <c r="K8974" s="41"/>
      <c r="L8974" s="31" t="str">
        <f>IFERROR(__xludf.DUMMYFUNCTION("IF(OR(E8974="""",K8974=""""),"""",IFERROR(IF(K8974="""","""",query('tbl user'!$A$2:$D10975,""SELECT A WHERE D = '""&amp;K8974&amp;""'"")),""USER TIDAK DIKETAHUI""))"),"")</f>
        <v/>
      </c>
    </row>
    <row r="8975">
      <c r="A8975" s="21" t="str">
        <f t="shared" si="3"/>
        <v/>
      </c>
      <c r="B8975" s="38"/>
      <c r="C8975" s="23"/>
      <c r="D8975" s="23"/>
      <c r="E8975" s="24"/>
      <c r="F8975" s="25"/>
      <c r="G8975" s="25"/>
      <c r="H8975" s="27"/>
      <c r="I8975" s="28"/>
      <c r="J8975" s="39"/>
      <c r="K8975" s="41"/>
      <c r="L8975" s="31" t="str">
        <f>IFERROR(__xludf.DUMMYFUNCTION("IF(OR(E8975="""",K8975=""""),"""",IFERROR(IF(K8975="""","""",query('tbl user'!$A$2:$D10975,""SELECT A WHERE D = '""&amp;K8975&amp;""'"")),""USER TIDAK DIKETAHUI""))"),"")</f>
        <v/>
      </c>
    </row>
    <row r="8976">
      <c r="A8976" s="21" t="str">
        <f t="shared" si="3"/>
        <v/>
      </c>
      <c r="B8976" s="38"/>
      <c r="C8976" s="23"/>
      <c r="D8976" s="23"/>
      <c r="E8976" s="24"/>
      <c r="F8976" s="25"/>
      <c r="G8976" s="25"/>
      <c r="H8976" s="27"/>
      <c r="I8976" s="28"/>
      <c r="J8976" s="39"/>
      <c r="K8976" s="41"/>
      <c r="L8976" s="31" t="str">
        <f>IFERROR(__xludf.DUMMYFUNCTION("IF(OR(E8976="""",K8976=""""),"""",IFERROR(IF(K8976="""","""",query('tbl user'!$A$2:$D10975,""SELECT A WHERE D = '""&amp;K8976&amp;""'"")),""USER TIDAK DIKETAHUI""))"),"")</f>
        <v/>
      </c>
    </row>
    <row r="8977">
      <c r="A8977" s="21" t="str">
        <f t="shared" si="3"/>
        <v/>
      </c>
      <c r="B8977" s="38"/>
      <c r="C8977" s="23"/>
      <c r="D8977" s="23"/>
      <c r="E8977" s="24"/>
      <c r="F8977" s="25"/>
      <c r="G8977" s="25"/>
      <c r="H8977" s="27"/>
      <c r="I8977" s="28"/>
      <c r="J8977" s="39"/>
      <c r="K8977" s="41"/>
      <c r="L8977" s="31" t="str">
        <f>IFERROR(__xludf.DUMMYFUNCTION("IF(OR(E8977="""",K8977=""""),"""",IFERROR(IF(K8977="""","""",query('tbl user'!$A$2:$D10975,""SELECT A WHERE D = '""&amp;K8977&amp;""'"")),""USER TIDAK DIKETAHUI""))"),"")</f>
        <v/>
      </c>
    </row>
    <row r="8978">
      <c r="A8978" s="21" t="str">
        <f t="shared" si="3"/>
        <v/>
      </c>
      <c r="B8978" s="38"/>
      <c r="C8978" s="23"/>
      <c r="D8978" s="23"/>
      <c r="E8978" s="24"/>
      <c r="F8978" s="25"/>
      <c r="G8978" s="25"/>
      <c r="H8978" s="27"/>
      <c r="I8978" s="28"/>
      <c r="J8978" s="39"/>
      <c r="K8978" s="41"/>
      <c r="L8978" s="31" t="str">
        <f>IFERROR(__xludf.DUMMYFUNCTION("IF(OR(E8978="""",K8978=""""),"""",IFERROR(IF(K8978="""","""",query('tbl user'!$A$2:$D10975,""SELECT A WHERE D = '""&amp;K8978&amp;""'"")),""USER TIDAK DIKETAHUI""))"),"")</f>
        <v/>
      </c>
    </row>
    <row r="8979">
      <c r="A8979" s="21" t="str">
        <f t="shared" si="3"/>
        <v/>
      </c>
      <c r="B8979" s="38"/>
      <c r="C8979" s="23"/>
      <c r="D8979" s="23"/>
      <c r="E8979" s="24"/>
      <c r="F8979" s="25"/>
      <c r="G8979" s="25"/>
      <c r="H8979" s="27"/>
      <c r="I8979" s="28"/>
      <c r="J8979" s="39"/>
      <c r="K8979" s="41"/>
      <c r="L8979" s="31" t="str">
        <f>IFERROR(__xludf.DUMMYFUNCTION("IF(OR(E8979="""",K8979=""""),"""",IFERROR(IF(K8979="""","""",query('tbl user'!$A$2:$D10975,""SELECT A WHERE D = '""&amp;K8979&amp;""'"")),""USER TIDAK DIKETAHUI""))"),"")</f>
        <v/>
      </c>
    </row>
    <row r="8980">
      <c r="A8980" s="21" t="str">
        <f t="shared" si="3"/>
        <v/>
      </c>
      <c r="B8980" s="38"/>
      <c r="C8980" s="23"/>
      <c r="D8980" s="23"/>
      <c r="E8980" s="24"/>
      <c r="F8980" s="25"/>
      <c r="G8980" s="25"/>
      <c r="H8980" s="27"/>
      <c r="I8980" s="28"/>
      <c r="J8980" s="39"/>
      <c r="K8980" s="41"/>
      <c r="L8980" s="31" t="str">
        <f>IFERROR(__xludf.DUMMYFUNCTION("IF(OR(E8980="""",K8980=""""),"""",IFERROR(IF(K8980="""","""",query('tbl user'!$A$2:$D10975,""SELECT A WHERE D = '""&amp;K8980&amp;""'"")),""USER TIDAK DIKETAHUI""))"),"")</f>
        <v/>
      </c>
    </row>
    <row r="8981">
      <c r="A8981" s="21" t="str">
        <f t="shared" si="3"/>
        <v/>
      </c>
      <c r="B8981" s="38"/>
      <c r="C8981" s="23"/>
      <c r="D8981" s="23"/>
      <c r="E8981" s="24"/>
      <c r="F8981" s="25"/>
      <c r="G8981" s="25"/>
      <c r="H8981" s="27"/>
      <c r="I8981" s="28"/>
      <c r="J8981" s="39"/>
      <c r="K8981" s="41"/>
      <c r="L8981" s="31" t="str">
        <f>IFERROR(__xludf.DUMMYFUNCTION("IF(OR(E8981="""",K8981=""""),"""",IFERROR(IF(K8981="""","""",query('tbl user'!$A$2:$D10975,""SELECT A WHERE D = '""&amp;K8981&amp;""'"")),""USER TIDAK DIKETAHUI""))"),"")</f>
        <v/>
      </c>
    </row>
    <row r="8982">
      <c r="A8982" s="21" t="str">
        <f t="shared" si="3"/>
        <v/>
      </c>
      <c r="B8982" s="38"/>
      <c r="C8982" s="23"/>
      <c r="D8982" s="23"/>
      <c r="E8982" s="24"/>
      <c r="F8982" s="25"/>
      <c r="G8982" s="25"/>
      <c r="H8982" s="27"/>
      <c r="I8982" s="28"/>
      <c r="J8982" s="39"/>
      <c r="K8982" s="41"/>
      <c r="L8982" s="31" t="str">
        <f>IFERROR(__xludf.DUMMYFUNCTION("IF(OR(E8982="""",K8982=""""),"""",IFERROR(IF(K8982="""","""",query('tbl user'!$A$2:$D10975,""SELECT A WHERE D = '""&amp;K8982&amp;""'"")),""USER TIDAK DIKETAHUI""))"),"")</f>
        <v/>
      </c>
    </row>
    <row r="8983">
      <c r="A8983" s="21" t="str">
        <f t="shared" si="3"/>
        <v/>
      </c>
      <c r="B8983" s="38"/>
      <c r="C8983" s="23"/>
      <c r="D8983" s="23"/>
      <c r="E8983" s="24"/>
      <c r="F8983" s="25"/>
      <c r="G8983" s="25"/>
      <c r="H8983" s="27"/>
      <c r="I8983" s="28"/>
      <c r="J8983" s="39"/>
      <c r="K8983" s="41"/>
      <c r="L8983" s="31" t="str">
        <f>IFERROR(__xludf.DUMMYFUNCTION("IF(OR(E8983="""",K8983=""""),"""",IFERROR(IF(K8983="""","""",query('tbl user'!$A$2:$D10975,""SELECT A WHERE D = '""&amp;K8983&amp;""'"")),""USER TIDAK DIKETAHUI""))"),"")</f>
        <v/>
      </c>
    </row>
    <row r="8984">
      <c r="A8984" s="21" t="str">
        <f t="shared" si="3"/>
        <v/>
      </c>
      <c r="B8984" s="38"/>
      <c r="C8984" s="23"/>
      <c r="D8984" s="23"/>
      <c r="E8984" s="24"/>
      <c r="F8984" s="25"/>
      <c r="G8984" s="25"/>
      <c r="H8984" s="27"/>
      <c r="I8984" s="28"/>
      <c r="J8984" s="39"/>
      <c r="K8984" s="41"/>
      <c r="L8984" s="31" t="str">
        <f>IFERROR(__xludf.DUMMYFUNCTION("IF(OR(E8984="""",K8984=""""),"""",IFERROR(IF(K8984="""","""",query('tbl user'!$A$2:$D10975,""SELECT A WHERE D = '""&amp;K8984&amp;""'"")),""USER TIDAK DIKETAHUI""))"),"")</f>
        <v/>
      </c>
    </row>
    <row r="8985">
      <c r="A8985" s="21" t="str">
        <f t="shared" si="3"/>
        <v/>
      </c>
      <c r="B8985" s="38"/>
      <c r="C8985" s="23"/>
      <c r="D8985" s="23"/>
      <c r="E8985" s="24"/>
      <c r="F8985" s="25"/>
      <c r="G8985" s="25"/>
      <c r="H8985" s="27"/>
      <c r="I8985" s="28"/>
      <c r="J8985" s="39"/>
      <c r="K8985" s="41"/>
      <c r="L8985" s="31" t="str">
        <f>IFERROR(__xludf.DUMMYFUNCTION("IF(OR(E8985="""",K8985=""""),"""",IFERROR(IF(K8985="""","""",query('tbl user'!$A$2:$D10975,""SELECT A WHERE D = '""&amp;K8985&amp;""'"")),""USER TIDAK DIKETAHUI""))"),"")</f>
        <v/>
      </c>
    </row>
    <row r="8986">
      <c r="A8986" s="21" t="str">
        <f t="shared" si="3"/>
        <v/>
      </c>
      <c r="B8986" s="38"/>
      <c r="C8986" s="23"/>
      <c r="D8986" s="23"/>
      <c r="E8986" s="24"/>
      <c r="F8986" s="25"/>
      <c r="G8986" s="25"/>
      <c r="H8986" s="27"/>
      <c r="I8986" s="28"/>
      <c r="J8986" s="39"/>
      <c r="K8986" s="41"/>
      <c r="L8986" s="31" t="str">
        <f>IFERROR(__xludf.DUMMYFUNCTION("IF(OR(E8986="""",K8986=""""),"""",IFERROR(IF(K8986="""","""",query('tbl user'!$A$2:$D10975,""SELECT A WHERE D = '""&amp;K8986&amp;""'"")),""USER TIDAK DIKETAHUI""))"),"")</f>
        <v/>
      </c>
    </row>
    <row r="8987">
      <c r="A8987" s="21" t="str">
        <f t="shared" si="3"/>
        <v/>
      </c>
      <c r="B8987" s="38"/>
      <c r="C8987" s="23"/>
      <c r="D8987" s="23"/>
      <c r="E8987" s="24"/>
      <c r="F8987" s="25"/>
      <c r="G8987" s="25"/>
      <c r="H8987" s="27"/>
      <c r="I8987" s="28"/>
      <c r="J8987" s="39"/>
      <c r="K8987" s="41"/>
      <c r="L8987" s="31" t="str">
        <f>IFERROR(__xludf.DUMMYFUNCTION("IF(OR(E8987="""",K8987=""""),"""",IFERROR(IF(K8987="""","""",query('tbl user'!$A$2:$D10975,""SELECT A WHERE D = '""&amp;K8987&amp;""'"")),""USER TIDAK DIKETAHUI""))"),"")</f>
        <v/>
      </c>
    </row>
    <row r="8988">
      <c r="A8988" s="21" t="str">
        <f t="shared" si="3"/>
        <v/>
      </c>
      <c r="B8988" s="38"/>
      <c r="C8988" s="23"/>
      <c r="D8988" s="23"/>
      <c r="E8988" s="24"/>
      <c r="F8988" s="25"/>
      <c r="G8988" s="25"/>
      <c r="H8988" s="27"/>
      <c r="I8988" s="28"/>
      <c r="J8988" s="39"/>
      <c r="K8988" s="41"/>
      <c r="L8988" s="31" t="str">
        <f>IFERROR(__xludf.DUMMYFUNCTION("IF(OR(E8988="""",K8988=""""),"""",IFERROR(IF(K8988="""","""",query('tbl user'!$A$2:$D10975,""SELECT A WHERE D = '""&amp;K8988&amp;""'"")),""USER TIDAK DIKETAHUI""))"),"")</f>
        <v/>
      </c>
    </row>
    <row r="8989">
      <c r="A8989" s="21" t="str">
        <f t="shared" si="3"/>
        <v/>
      </c>
      <c r="B8989" s="38"/>
      <c r="C8989" s="23"/>
      <c r="D8989" s="23"/>
      <c r="E8989" s="24"/>
      <c r="F8989" s="25"/>
      <c r="G8989" s="25"/>
      <c r="H8989" s="27"/>
      <c r="I8989" s="28"/>
      <c r="J8989" s="39"/>
      <c r="K8989" s="41"/>
      <c r="L8989" s="31" t="str">
        <f>IFERROR(__xludf.DUMMYFUNCTION("IF(OR(E8989="""",K8989=""""),"""",IFERROR(IF(K8989="""","""",query('tbl user'!$A$2:$D10975,""SELECT A WHERE D = '""&amp;K8989&amp;""'"")),""USER TIDAK DIKETAHUI""))"),"")</f>
        <v/>
      </c>
    </row>
    <row r="8990">
      <c r="A8990" s="21" t="str">
        <f t="shared" si="3"/>
        <v/>
      </c>
      <c r="B8990" s="38"/>
      <c r="C8990" s="23"/>
      <c r="D8990" s="23"/>
      <c r="E8990" s="24"/>
      <c r="F8990" s="25"/>
      <c r="G8990" s="25"/>
      <c r="H8990" s="27"/>
      <c r="I8990" s="28"/>
      <c r="J8990" s="39"/>
      <c r="K8990" s="41"/>
      <c r="L8990" s="31" t="str">
        <f>IFERROR(__xludf.DUMMYFUNCTION("IF(OR(E8990="""",K8990=""""),"""",IFERROR(IF(K8990="""","""",query('tbl user'!$A$2:$D10975,""SELECT A WHERE D = '""&amp;K8990&amp;""'"")),""USER TIDAK DIKETAHUI""))"),"")</f>
        <v/>
      </c>
    </row>
    <row r="8991">
      <c r="A8991" s="21" t="str">
        <f t="shared" si="3"/>
        <v/>
      </c>
      <c r="B8991" s="38"/>
      <c r="C8991" s="23"/>
      <c r="D8991" s="23"/>
      <c r="E8991" s="24"/>
      <c r="F8991" s="25"/>
      <c r="G8991" s="25"/>
      <c r="H8991" s="27"/>
      <c r="I8991" s="28"/>
      <c r="J8991" s="39"/>
      <c r="K8991" s="41"/>
      <c r="L8991" s="31" t="str">
        <f>IFERROR(__xludf.DUMMYFUNCTION("IF(OR(E8991="""",K8991=""""),"""",IFERROR(IF(K8991="""","""",query('tbl user'!$A$2:$D10975,""SELECT A WHERE D = '""&amp;K8991&amp;""'"")),""USER TIDAK DIKETAHUI""))"),"")</f>
        <v/>
      </c>
    </row>
    <row r="8992">
      <c r="A8992" s="21" t="str">
        <f t="shared" si="3"/>
        <v/>
      </c>
      <c r="B8992" s="38"/>
      <c r="C8992" s="23"/>
      <c r="D8992" s="23"/>
      <c r="E8992" s="24"/>
      <c r="F8992" s="25"/>
      <c r="G8992" s="25"/>
      <c r="H8992" s="27"/>
      <c r="I8992" s="28"/>
      <c r="J8992" s="39"/>
      <c r="K8992" s="41"/>
      <c r="L8992" s="31" t="str">
        <f>IFERROR(__xludf.DUMMYFUNCTION("IF(OR(E8992="""",K8992=""""),"""",IFERROR(IF(K8992="""","""",query('tbl user'!$A$2:$D10975,""SELECT A WHERE D = '""&amp;K8992&amp;""'"")),""USER TIDAK DIKETAHUI""))"),"")</f>
        <v/>
      </c>
    </row>
    <row r="8993">
      <c r="A8993" s="21" t="str">
        <f t="shared" si="3"/>
        <v/>
      </c>
      <c r="B8993" s="38"/>
      <c r="C8993" s="23"/>
      <c r="D8993" s="23"/>
      <c r="E8993" s="24"/>
      <c r="F8993" s="25"/>
      <c r="G8993" s="25"/>
      <c r="H8993" s="27"/>
      <c r="I8993" s="28"/>
      <c r="J8993" s="39"/>
      <c r="K8993" s="41"/>
      <c r="L8993" s="31" t="str">
        <f>IFERROR(__xludf.DUMMYFUNCTION("IF(OR(E8993="""",K8993=""""),"""",IFERROR(IF(K8993="""","""",query('tbl user'!$A$2:$D10975,""SELECT A WHERE D = '""&amp;K8993&amp;""'"")),""USER TIDAK DIKETAHUI""))"),"")</f>
        <v/>
      </c>
    </row>
    <row r="8994">
      <c r="A8994" s="21" t="str">
        <f t="shared" si="3"/>
        <v/>
      </c>
      <c r="B8994" s="38"/>
      <c r="C8994" s="23"/>
      <c r="D8994" s="23"/>
      <c r="E8994" s="24"/>
      <c r="F8994" s="25"/>
      <c r="G8994" s="25"/>
      <c r="H8994" s="27"/>
      <c r="I8994" s="28"/>
      <c r="J8994" s="39"/>
      <c r="K8994" s="41"/>
      <c r="L8994" s="31" t="str">
        <f>IFERROR(__xludf.DUMMYFUNCTION("IF(OR(E8994="""",K8994=""""),"""",IFERROR(IF(K8994="""","""",query('tbl user'!$A$2:$D10975,""SELECT A WHERE D = '""&amp;K8994&amp;""'"")),""USER TIDAK DIKETAHUI""))"),"")</f>
        <v/>
      </c>
    </row>
    <row r="8995">
      <c r="A8995" s="21" t="str">
        <f t="shared" si="3"/>
        <v/>
      </c>
      <c r="B8995" s="38"/>
      <c r="C8995" s="23"/>
      <c r="D8995" s="23"/>
      <c r="E8995" s="24"/>
      <c r="F8995" s="25"/>
      <c r="G8995" s="25"/>
      <c r="H8995" s="27"/>
      <c r="I8995" s="28"/>
      <c r="J8995" s="39"/>
      <c r="K8995" s="41"/>
      <c r="L8995" s="31" t="str">
        <f>IFERROR(__xludf.DUMMYFUNCTION("IF(OR(E8995="""",K8995=""""),"""",IFERROR(IF(K8995="""","""",query('tbl user'!$A$2:$D10975,""SELECT A WHERE D = '""&amp;K8995&amp;""'"")),""USER TIDAK DIKETAHUI""))"),"")</f>
        <v/>
      </c>
    </row>
    <row r="8996">
      <c r="A8996" s="21" t="str">
        <f t="shared" si="3"/>
        <v/>
      </c>
      <c r="B8996" s="38"/>
      <c r="C8996" s="23"/>
      <c r="D8996" s="23"/>
      <c r="E8996" s="24"/>
      <c r="F8996" s="25"/>
      <c r="G8996" s="25"/>
      <c r="H8996" s="27"/>
      <c r="I8996" s="28"/>
      <c r="J8996" s="39"/>
      <c r="K8996" s="41"/>
      <c r="L8996" s="31" t="str">
        <f>IFERROR(__xludf.DUMMYFUNCTION("IF(OR(E8996="""",K8996=""""),"""",IFERROR(IF(K8996="""","""",query('tbl user'!$A$2:$D10975,""SELECT A WHERE D = '""&amp;K8996&amp;""'"")),""USER TIDAK DIKETAHUI""))"),"")</f>
        <v/>
      </c>
    </row>
    <row r="8997">
      <c r="A8997" s="21" t="str">
        <f t="shared" si="3"/>
        <v/>
      </c>
      <c r="B8997" s="38"/>
      <c r="C8997" s="23"/>
      <c r="D8997" s="23"/>
      <c r="E8997" s="24"/>
      <c r="F8997" s="25"/>
      <c r="G8997" s="25"/>
      <c r="H8997" s="27"/>
      <c r="I8997" s="28"/>
      <c r="J8997" s="39"/>
      <c r="K8997" s="41"/>
      <c r="L8997" s="31" t="str">
        <f>IFERROR(__xludf.DUMMYFUNCTION("IF(OR(E8997="""",K8997=""""),"""",IFERROR(IF(K8997="""","""",query('tbl user'!$A$2:$D10975,""SELECT A WHERE D = '""&amp;K8997&amp;""'"")),""USER TIDAK DIKETAHUI""))"),"")</f>
        <v/>
      </c>
    </row>
    <row r="8998">
      <c r="A8998" s="21" t="str">
        <f t="shared" si="3"/>
        <v/>
      </c>
      <c r="B8998" s="38"/>
      <c r="C8998" s="23"/>
      <c r="D8998" s="23"/>
      <c r="E8998" s="24"/>
      <c r="F8998" s="25"/>
      <c r="G8998" s="25"/>
      <c r="H8998" s="27"/>
      <c r="I8998" s="28"/>
      <c r="J8998" s="39"/>
      <c r="K8998" s="41"/>
      <c r="L8998" s="31" t="str">
        <f>IFERROR(__xludf.DUMMYFUNCTION("IF(OR(E8998="""",K8998=""""),"""",IFERROR(IF(K8998="""","""",query('tbl user'!$A$2:$D10975,""SELECT A WHERE D = '""&amp;K8998&amp;""'"")),""USER TIDAK DIKETAHUI""))"),"")</f>
        <v/>
      </c>
    </row>
    <row r="8999">
      <c r="A8999" s="21" t="str">
        <f t="shared" si="3"/>
        <v/>
      </c>
      <c r="B8999" s="38"/>
      <c r="C8999" s="23"/>
      <c r="D8999" s="23"/>
      <c r="E8999" s="24"/>
      <c r="F8999" s="25"/>
      <c r="G8999" s="25"/>
      <c r="H8999" s="27"/>
      <c r="I8999" s="28"/>
      <c r="J8999" s="39"/>
      <c r="K8999" s="41"/>
      <c r="L8999" s="31" t="str">
        <f>IFERROR(__xludf.DUMMYFUNCTION("IF(OR(E8999="""",K8999=""""),"""",IFERROR(IF(K8999="""","""",query('tbl user'!$A$2:$D10975,""SELECT A WHERE D = '""&amp;K8999&amp;""'"")),""USER TIDAK DIKETAHUI""))"),"")</f>
        <v/>
      </c>
    </row>
    <row r="9000">
      <c r="A9000" s="21" t="str">
        <f t="shared" si="3"/>
        <v/>
      </c>
      <c r="B9000" s="38"/>
      <c r="C9000" s="23"/>
      <c r="D9000" s="23"/>
      <c r="E9000" s="24"/>
      <c r="F9000" s="25"/>
      <c r="G9000" s="25"/>
      <c r="H9000" s="27"/>
      <c r="I9000" s="28"/>
      <c r="J9000" s="39"/>
      <c r="K9000" s="41"/>
      <c r="L9000" s="31" t="str">
        <f>IFERROR(__xludf.DUMMYFUNCTION("IF(OR(E9000="""",K9000=""""),"""",IFERROR(IF(K9000="""","""",query('tbl user'!$A$2:$D10975,""SELECT A WHERE D = '""&amp;K9000&amp;""'"")),""USER TIDAK DIKETAHUI""))"),"")</f>
        <v/>
      </c>
    </row>
    <row r="9001">
      <c r="A9001" s="21" t="str">
        <f t="shared" si="3"/>
        <v/>
      </c>
      <c r="B9001" s="38"/>
      <c r="C9001" s="23"/>
      <c r="D9001" s="23"/>
      <c r="E9001" s="24"/>
      <c r="F9001" s="25"/>
      <c r="G9001" s="25"/>
      <c r="H9001" s="27"/>
      <c r="I9001" s="28"/>
      <c r="J9001" s="39"/>
      <c r="K9001" s="41"/>
      <c r="L9001" s="31" t="str">
        <f>IFERROR(__xludf.DUMMYFUNCTION("IF(OR(E9001="""",K9001=""""),"""",IFERROR(IF(K9001="""","""",query('tbl user'!$A$2:$D10975,""SELECT A WHERE D = '""&amp;K9001&amp;""'"")),""USER TIDAK DIKETAHUI""))"),"")</f>
        <v/>
      </c>
    </row>
    <row r="9002">
      <c r="A9002" s="21" t="str">
        <f t="shared" si="3"/>
        <v/>
      </c>
      <c r="B9002" s="38"/>
      <c r="C9002" s="23"/>
      <c r="D9002" s="23"/>
      <c r="E9002" s="24"/>
      <c r="F9002" s="25"/>
      <c r="G9002" s="25"/>
      <c r="H9002" s="27"/>
      <c r="I9002" s="28"/>
      <c r="J9002" s="39"/>
      <c r="K9002" s="41"/>
      <c r="L9002" s="31" t="str">
        <f>IFERROR(__xludf.DUMMYFUNCTION("IF(OR(E9002="""",K9002=""""),"""",IFERROR(IF(K9002="""","""",query('tbl user'!$A$2:$D10975,""SELECT A WHERE D = '""&amp;K9002&amp;""'"")),""USER TIDAK DIKETAHUI""))"),"")</f>
        <v/>
      </c>
    </row>
    <row r="9003">
      <c r="A9003" s="21" t="str">
        <f t="shared" si="3"/>
        <v/>
      </c>
      <c r="B9003" s="38"/>
      <c r="C9003" s="23"/>
      <c r="D9003" s="23"/>
      <c r="E9003" s="24"/>
      <c r="F9003" s="25"/>
      <c r="G9003" s="25"/>
      <c r="H9003" s="27"/>
      <c r="I9003" s="28"/>
      <c r="J9003" s="39"/>
      <c r="K9003" s="41"/>
      <c r="L9003" s="31" t="str">
        <f>IFERROR(__xludf.DUMMYFUNCTION("IF(OR(E9003="""",K9003=""""),"""",IFERROR(IF(K9003="""","""",query('tbl user'!$A$2:$D10975,""SELECT A WHERE D = '""&amp;K9003&amp;""'"")),""USER TIDAK DIKETAHUI""))"),"")</f>
        <v/>
      </c>
    </row>
    <row r="9004">
      <c r="A9004" s="21" t="str">
        <f t="shared" si="3"/>
        <v/>
      </c>
      <c r="B9004" s="38"/>
      <c r="C9004" s="23"/>
      <c r="D9004" s="23"/>
      <c r="E9004" s="24"/>
      <c r="F9004" s="25"/>
      <c r="G9004" s="25"/>
      <c r="H9004" s="27"/>
      <c r="I9004" s="28"/>
      <c r="J9004" s="39"/>
      <c r="K9004" s="41"/>
      <c r="L9004" s="31" t="str">
        <f>IFERROR(__xludf.DUMMYFUNCTION("IF(OR(E9004="""",K9004=""""),"""",IFERROR(IF(K9004="""","""",query('tbl user'!$A$2:$D10975,""SELECT A WHERE D = '""&amp;K9004&amp;""'"")),""USER TIDAK DIKETAHUI""))"),"")</f>
        <v/>
      </c>
    </row>
    <row r="9005">
      <c r="A9005" s="21" t="str">
        <f t="shared" si="3"/>
        <v/>
      </c>
      <c r="B9005" s="38"/>
      <c r="C9005" s="23"/>
      <c r="D9005" s="23"/>
      <c r="E9005" s="24"/>
      <c r="F9005" s="25"/>
      <c r="G9005" s="25"/>
      <c r="H9005" s="27"/>
      <c r="I9005" s="28"/>
      <c r="J9005" s="39"/>
      <c r="K9005" s="41"/>
      <c r="L9005" s="31" t="str">
        <f>IFERROR(__xludf.DUMMYFUNCTION("IF(OR(E9005="""",K9005=""""),"""",IFERROR(IF(K9005="""","""",query('tbl user'!$A$2:$D10975,""SELECT A WHERE D = '""&amp;K9005&amp;""'"")),""USER TIDAK DIKETAHUI""))"),"")</f>
        <v/>
      </c>
    </row>
    <row r="9006">
      <c r="A9006" s="21" t="str">
        <f t="shared" si="3"/>
        <v/>
      </c>
      <c r="B9006" s="38"/>
      <c r="C9006" s="23"/>
      <c r="D9006" s="23"/>
      <c r="E9006" s="24"/>
      <c r="F9006" s="25"/>
      <c r="G9006" s="25"/>
      <c r="H9006" s="27"/>
      <c r="I9006" s="28"/>
      <c r="J9006" s="39"/>
      <c r="K9006" s="41"/>
      <c r="L9006" s="31" t="str">
        <f>IFERROR(__xludf.DUMMYFUNCTION("IF(OR(E9006="""",K9006=""""),"""",IFERROR(IF(K9006="""","""",query('tbl user'!$A$2:$D10975,""SELECT A WHERE D = '""&amp;K9006&amp;""'"")),""USER TIDAK DIKETAHUI""))"),"")</f>
        <v/>
      </c>
    </row>
    <row r="9007">
      <c r="A9007" s="21" t="str">
        <f t="shared" si="3"/>
        <v/>
      </c>
      <c r="B9007" s="38"/>
      <c r="C9007" s="23"/>
      <c r="D9007" s="23"/>
      <c r="E9007" s="24"/>
      <c r="F9007" s="25"/>
      <c r="G9007" s="25"/>
      <c r="H9007" s="27"/>
      <c r="I9007" s="28"/>
      <c r="J9007" s="39"/>
      <c r="K9007" s="41"/>
      <c r="L9007" s="31" t="str">
        <f>IFERROR(__xludf.DUMMYFUNCTION("IF(OR(E9007="""",K9007=""""),"""",IFERROR(IF(K9007="""","""",query('tbl user'!$A$2:$D10975,""SELECT A WHERE D = '""&amp;K9007&amp;""'"")),""USER TIDAK DIKETAHUI""))"),"")</f>
        <v/>
      </c>
    </row>
    <row r="9008">
      <c r="A9008" s="21" t="str">
        <f t="shared" si="3"/>
        <v/>
      </c>
      <c r="B9008" s="38"/>
      <c r="C9008" s="23"/>
      <c r="D9008" s="23"/>
      <c r="E9008" s="24"/>
      <c r="F9008" s="25"/>
      <c r="G9008" s="25"/>
      <c r="H9008" s="27"/>
      <c r="I9008" s="28"/>
      <c r="J9008" s="39"/>
      <c r="K9008" s="41"/>
      <c r="L9008" s="31" t="str">
        <f>IFERROR(__xludf.DUMMYFUNCTION("IF(OR(E9008="""",K9008=""""),"""",IFERROR(IF(K9008="""","""",query('tbl user'!$A$2:$D10975,""SELECT A WHERE D = '""&amp;K9008&amp;""'"")),""USER TIDAK DIKETAHUI""))"),"")</f>
        <v/>
      </c>
    </row>
    <row r="9009">
      <c r="A9009" s="21" t="str">
        <f t="shared" si="3"/>
        <v/>
      </c>
      <c r="B9009" s="38"/>
      <c r="C9009" s="23"/>
      <c r="D9009" s="23"/>
      <c r="E9009" s="24"/>
      <c r="F9009" s="25"/>
      <c r="G9009" s="25"/>
      <c r="H9009" s="27"/>
      <c r="I9009" s="28"/>
      <c r="J9009" s="39"/>
      <c r="K9009" s="41"/>
      <c r="L9009" s="31" t="str">
        <f>IFERROR(__xludf.DUMMYFUNCTION("IF(OR(E9009="""",K9009=""""),"""",IFERROR(IF(K9009="""","""",query('tbl user'!$A$2:$D10975,""SELECT A WHERE D = '""&amp;K9009&amp;""'"")),""USER TIDAK DIKETAHUI""))"),"")</f>
        <v/>
      </c>
    </row>
    <row r="9010">
      <c r="A9010" s="21" t="str">
        <f t="shared" si="3"/>
        <v/>
      </c>
      <c r="B9010" s="38"/>
      <c r="C9010" s="23"/>
      <c r="D9010" s="23"/>
      <c r="E9010" s="24"/>
      <c r="F9010" s="25"/>
      <c r="G9010" s="25"/>
      <c r="H9010" s="27"/>
      <c r="I9010" s="28"/>
      <c r="J9010" s="39"/>
      <c r="K9010" s="41"/>
      <c r="L9010" s="31" t="str">
        <f>IFERROR(__xludf.DUMMYFUNCTION("IF(OR(E9010="""",K9010=""""),"""",IFERROR(IF(K9010="""","""",query('tbl user'!$A$2:$D10975,""SELECT A WHERE D = '""&amp;K9010&amp;""'"")),""USER TIDAK DIKETAHUI""))"),"")</f>
        <v/>
      </c>
    </row>
    <row r="9011">
      <c r="A9011" s="21" t="str">
        <f t="shared" si="3"/>
        <v/>
      </c>
      <c r="B9011" s="38"/>
      <c r="C9011" s="23"/>
      <c r="D9011" s="23"/>
      <c r="E9011" s="24"/>
      <c r="F9011" s="25"/>
      <c r="G9011" s="25"/>
      <c r="H9011" s="27"/>
      <c r="I9011" s="28"/>
      <c r="J9011" s="39"/>
      <c r="K9011" s="41"/>
      <c r="L9011" s="31" t="str">
        <f>IFERROR(__xludf.DUMMYFUNCTION("IF(OR(E9011="""",K9011=""""),"""",IFERROR(IF(K9011="""","""",query('tbl user'!$A$2:$D10975,""SELECT A WHERE D = '""&amp;K9011&amp;""'"")),""USER TIDAK DIKETAHUI""))"),"")</f>
        <v/>
      </c>
    </row>
    <row r="9012">
      <c r="A9012" s="21" t="str">
        <f t="shared" si="3"/>
        <v/>
      </c>
      <c r="B9012" s="38"/>
      <c r="C9012" s="23"/>
      <c r="D9012" s="23"/>
      <c r="E9012" s="24"/>
      <c r="F9012" s="25"/>
      <c r="G9012" s="25"/>
      <c r="H9012" s="27"/>
      <c r="I9012" s="28"/>
      <c r="J9012" s="39"/>
      <c r="K9012" s="41"/>
      <c r="L9012" s="31" t="str">
        <f>IFERROR(__xludf.DUMMYFUNCTION("IF(OR(E9012="""",K9012=""""),"""",IFERROR(IF(K9012="""","""",query('tbl user'!$A$2:$D10975,""SELECT A WHERE D = '""&amp;K9012&amp;""'"")),""USER TIDAK DIKETAHUI""))"),"")</f>
        <v/>
      </c>
    </row>
    <row r="9013">
      <c r="A9013" s="21" t="str">
        <f t="shared" si="3"/>
        <v/>
      </c>
      <c r="B9013" s="38"/>
      <c r="C9013" s="23"/>
      <c r="D9013" s="23"/>
      <c r="E9013" s="24"/>
      <c r="F9013" s="25"/>
      <c r="G9013" s="25"/>
      <c r="H9013" s="27"/>
      <c r="I9013" s="28"/>
      <c r="J9013" s="39"/>
      <c r="K9013" s="41"/>
      <c r="L9013" s="31" t="str">
        <f>IFERROR(__xludf.DUMMYFUNCTION("IF(OR(E9013="""",K9013=""""),"""",IFERROR(IF(K9013="""","""",query('tbl user'!$A$2:$D10975,""SELECT A WHERE D = '""&amp;K9013&amp;""'"")),""USER TIDAK DIKETAHUI""))"),"")</f>
        <v/>
      </c>
    </row>
    <row r="9014">
      <c r="A9014" s="21" t="str">
        <f t="shared" si="3"/>
        <v/>
      </c>
      <c r="B9014" s="38"/>
      <c r="C9014" s="23"/>
      <c r="D9014" s="23"/>
      <c r="E9014" s="24"/>
      <c r="F9014" s="25"/>
      <c r="G9014" s="25"/>
      <c r="H9014" s="27"/>
      <c r="I9014" s="28"/>
      <c r="J9014" s="39"/>
      <c r="K9014" s="41"/>
      <c r="L9014" s="31" t="str">
        <f>IFERROR(__xludf.DUMMYFUNCTION("IF(OR(E9014="""",K9014=""""),"""",IFERROR(IF(K9014="""","""",query('tbl user'!$A$2:$D10975,""SELECT A WHERE D = '""&amp;K9014&amp;""'"")),""USER TIDAK DIKETAHUI""))"),"")</f>
        <v/>
      </c>
    </row>
    <row r="9015">
      <c r="A9015" s="21" t="str">
        <f t="shared" si="3"/>
        <v/>
      </c>
      <c r="B9015" s="38"/>
      <c r="C9015" s="23"/>
      <c r="D9015" s="23"/>
      <c r="E9015" s="24"/>
      <c r="F9015" s="25"/>
      <c r="G9015" s="25"/>
      <c r="H9015" s="27"/>
      <c r="I9015" s="28"/>
      <c r="J9015" s="39"/>
      <c r="K9015" s="41"/>
      <c r="L9015" s="31" t="str">
        <f>IFERROR(__xludf.DUMMYFUNCTION("IF(OR(E9015="""",K9015=""""),"""",IFERROR(IF(K9015="""","""",query('tbl user'!$A$2:$D10975,""SELECT A WHERE D = '""&amp;K9015&amp;""'"")),""USER TIDAK DIKETAHUI""))"),"")</f>
        <v/>
      </c>
    </row>
    <row r="9016">
      <c r="A9016" s="21" t="str">
        <f t="shared" si="3"/>
        <v/>
      </c>
      <c r="B9016" s="38"/>
      <c r="C9016" s="23"/>
      <c r="D9016" s="23"/>
      <c r="E9016" s="24"/>
      <c r="F9016" s="25"/>
      <c r="G9016" s="25"/>
      <c r="H9016" s="27"/>
      <c r="I9016" s="28"/>
      <c r="J9016" s="39"/>
      <c r="K9016" s="41"/>
      <c r="L9016" s="31" t="str">
        <f>IFERROR(__xludf.DUMMYFUNCTION("IF(OR(E9016="""",K9016=""""),"""",IFERROR(IF(K9016="""","""",query('tbl user'!$A$2:$D10975,""SELECT A WHERE D = '""&amp;K9016&amp;""'"")),""USER TIDAK DIKETAHUI""))"),"")</f>
        <v/>
      </c>
    </row>
    <row r="9017">
      <c r="A9017" s="21" t="str">
        <f t="shared" si="3"/>
        <v/>
      </c>
      <c r="B9017" s="38"/>
      <c r="C9017" s="23"/>
      <c r="D9017" s="23"/>
      <c r="E9017" s="24"/>
      <c r="F9017" s="25"/>
      <c r="G9017" s="25"/>
      <c r="H9017" s="27"/>
      <c r="I9017" s="28"/>
      <c r="J9017" s="39"/>
      <c r="K9017" s="41"/>
      <c r="L9017" s="31" t="str">
        <f>IFERROR(__xludf.DUMMYFUNCTION("IF(OR(E9017="""",K9017=""""),"""",IFERROR(IF(K9017="""","""",query('tbl user'!$A$2:$D10975,""SELECT A WHERE D = '""&amp;K9017&amp;""'"")),""USER TIDAK DIKETAHUI""))"),"")</f>
        <v/>
      </c>
    </row>
    <row r="9018">
      <c r="A9018" s="21" t="str">
        <f t="shared" si="3"/>
        <v/>
      </c>
      <c r="B9018" s="38"/>
      <c r="C9018" s="23"/>
      <c r="D9018" s="23"/>
      <c r="E9018" s="24"/>
      <c r="F9018" s="25"/>
      <c r="G9018" s="25"/>
      <c r="H9018" s="27"/>
      <c r="I9018" s="28"/>
      <c r="J9018" s="39"/>
      <c r="K9018" s="41"/>
      <c r="L9018" s="31" t="str">
        <f>IFERROR(__xludf.DUMMYFUNCTION("IF(OR(E9018="""",K9018=""""),"""",IFERROR(IF(K9018="""","""",query('tbl user'!$A$2:$D10975,""SELECT A WHERE D = '""&amp;K9018&amp;""'"")),""USER TIDAK DIKETAHUI""))"),"")</f>
        <v/>
      </c>
    </row>
    <row r="9019">
      <c r="A9019" s="21" t="str">
        <f t="shared" si="3"/>
        <v/>
      </c>
      <c r="B9019" s="38"/>
      <c r="C9019" s="23"/>
      <c r="D9019" s="23"/>
      <c r="E9019" s="24"/>
      <c r="F9019" s="25"/>
      <c r="G9019" s="25"/>
      <c r="H9019" s="27"/>
      <c r="I9019" s="28"/>
      <c r="J9019" s="39"/>
      <c r="K9019" s="41"/>
      <c r="L9019" s="31" t="str">
        <f>IFERROR(__xludf.DUMMYFUNCTION("IF(OR(E9019="""",K9019=""""),"""",IFERROR(IF(K9019="""","""",query('tbl user'!$A$2:$D10975,""SELECT A WHERE D = '""&amp;K9019&amp;""'"")),""USER TIDAK DIKETAHUI""))"),"")</f>
        <v/>
      </c>
    </row>
    <row r="9020">
      <c r="A9020" s="21" t="str">
        <f t="shared" si="3"/>
        <v/>
      </c>
      <c r="B9020" s="38"/>
      <c r="C9020" s="23"/>
      <c r="D9020" s="23"/>
      <c r="E9020" s="24"/>
      <c r="F9020" s="25"/>
      <c r="G9020" s="25"/>
      <c r="H9020" s="27"/>
      <c r="I9020" s="28"/>
      <c r="J9020" s="39"/>
      <c r="K9020" s="41"/>
      <c r="L9020" s="31" t="str">
        <f>IFERROR(__xludf.DUMMYFUNCTION("IF(OR(E9020="""",K9020=""""),"""",IFERROR(IF(K9020="""","""",query('tbl user'!$A$2:$D10975,""SELECT A WHERE D = '""&amp;K9020&amp;""'"")),""USER TIDAK DIKETAHUI""))"),"")</f>
        <v/>
      </c>
    </row>
    <row r="9021">
      <c r="A9021" s="21" t="str">
        <f t="shared" si="3"/>
        <v/>
      </c>
      <c r="B9021" s="38"/>
      <c r="C9021" s="23"/>
      <c r="D9021" s="23"/>
      <c r="E9021" s="24"/>
      <c r="F9021" s="25"/>
      <c r="G9021" s="25"/>
      <c r="H9021" s="27"/>
      <c r="I9021" s="28"/>
      <c r="J9021" s="39"/>
      <c r="K9021" s="41"/>
      <c r="L9021" s="31" t="str">
        <f>IFERROR(__xludf.DUMMYFUNCTION("IF(OR(E9021="""",K9021=""""),"""",IFERROR(IF(K9021="""","""",query('tbl user'!$A$2:$D10975,""SELECT A WHERE D = '""&amp;K9021&amp;""'"")),""USER TIDAK DIKETAHUI""))"),"")</f>
        <v/>
      </c>
    </row>
    <row r="9022">
      <c r="A9022" s="21" t="str">
        <f t="shared" si="3"/>
        <v/>
      </c>
      <c r="B9022" s="38"/>
      <c r="C9022" s="23"/>
      <c r="D9022" s="23"/>
      <c r="E9022" s="24"/>
      <c r="F9022" s="25"/>
      <c r="G9022" s="25"/>
      <c r="H9022" s="27"/>
      <c r="I9022" s="28"/>
      <c r="J9022" s="39"/>
      <c r="K9022" s="41"/>
      <c r="L9022" s="31" t="str">
        <f>IFERROR(__xludf.DUMMYFUNCTION("IF(OR(E9022="""",K9022=""""),"""",IFERROR(IF(K9022="""","""",query('tbl user'!$A$2:$D10975,""SELECT A WHERE D = '""&amp;K9022&amp;""'"")),""USER TIDAK DIKETAHUI""))"),"")</f>
        <v/>
      </c>
    </row>
    <row r="9023">
      <c r="A9023" s="21" t="str">
        <f t="shared" si="3"/>
        <v/>
      </c>
      <c r="B9023" s="38"/>
      <c r="C9023" s="23"/>
      <c r="D9023" s="23"/>
      <c r="E9023" s="24"/>
      <c r="F9023" s="25"/>
      <c r="G9023" s="25"/>
      <c r="H9023" s="27"/>
      <c r="I9023" s="28"/>
      <c r="J9023" s="39"/>
      <c r="K9023" s="41"/>
      <c r="L9023" s="31" t="str">
        <f>IFERROR(__xludf.DUMMYFUNCTION("IF(OR(E9023="""",K9023=""""),"""",IFERROR(IF(K9023="""","""",query('tbl user'!$A$2:$D10975,""SELECT A WHERE D = '""&amp;K9023&amp;""'"")),""USER TIDAK DIKETAHUI""))"),"")</f>
        <v/>
      </c>
    </row>
    <row r="9024">
      <c r="A9024" s="21" t="str">
        <f t="shared" si="3"/>
        <v/>
      </c>
      <c r="B9024" s="38"/>
      <c r="C9024" s="23"/>
      <c r="D9024" s="23"/>
      <c r="E9024" s="24"/>
      <c r="F9024" s="25"/>
      <c r="G9024" s="25"/>
      <c r="H9024" s="27"/>
      <c r="I9024" s="28"/>
      <c r="J9024" s="39"/>
      <c r="K9024" s="41"/>
      <c r="L9024" s="31" t="str">
        <f>IFERROR(__xludf.DUMMYFUNCTION("IF(OR(E9024="""",K9024=""""),"""",IFERROR(IF(K9024="""","""",query('tbl user'!$A$2:$D10975,""SELECT A WHERE D = '""&amp;K9024&amp;""'"")),""USER TIDAK DIKETAHUI""))"),"")</f>
        <v/>
      </c>
    </row>
    <row r="9025">
      <c r="A9025" s="21" t="str">
        <f t="shared" si="3"/>
        <v/>
      </c>
      <c r="B9025" s="38"/>
      <c r="C9025" s="23"/>
      <c r="D9025" s="23"/>
      <c r="E9025" s="24"/>
      <c r="F9025" s="25"/>
      <c r="G9025" s="25"/>
      <c r="H9025" s="27"/>
      <c r="I9025" s="28"/>
      <c r="J9025" s="39"/>
      <c r="K9025" s="41"/>
      <c r="L9025" s="31" t="str">
        <f>IFERROR(__xludf.DUMMYFUNCTION("IF(OR(E9025="""",K9025=""""),"""",IFERROR(IF(K9025="""","""",query('tbl user'!$A$2:$D10975,""SELECT A WHERE D = '""&amp;K9025&amp;""'"")),""USER TIDAK DIKETAHUI""))"),"")</f>
        <v/>
      </c>
    </row>
    <row r="9026">
      <c r="A9026" s="21" t="str">
        <f t="shared" si="3"/>
        <v/>
      </c>
      <c r="B9026" s="38"/>
      <c r="C9026" s="23"/>
      <c r="D9026" s="23"/>
      <c r="E9026" s="24"/>
      <c r="F9026" s="25"/>
      <c r="G9026" s="25"/>
      <c r="H9026" s="27"/>
      <c r="I9026" s="28"/>
      <c r="J9026" s="39"/>
      <c r="K9026" s="41"/>
      <c r="L9026" s="31" t="str">
        <f>IFERROR(__xludf.DUMMYFUNCTION("IF(OR(E9026="""",K9026=""""),"""",IFERROR(IF(K9026="""","""",query('tbl user'!$A$2:$D10975,""SELECT A WHERE D = '""&amp;K9026&amp;""'"")),""USER TIDAK DIKETAHUI""))"),"")</f>
        <v/>
      </c>
    </row>
    <row r="9027">
      <c r="A9027" s="21" t="str">
        <f t="shared" si="3"/>
        <v/>
      </c>
      <c r="B9027" s="38"/>
      <c r="C9027" s="23"/>
      <c r="D9027" s="23"/>
      <c r="E9027" s="24"/>
      <c r="F9027" s="25"/>
      <c r="G9027" s="25"/>
      <c r="H9027" s="27"/>
      <c r="I9027" s="28"/>
      <c r="J9027" s="39"/>
      <c r="K9027" s="41"/>
      <c r="L9027" s="31" t="str">
        <f>IFERROR(__xludf.DUMMYFUNCTION("IF(OR(E9027="""",K9027=""""),"""",IFERROR(IF(K9027="""","""",query('tbl user'!$A$2:$D10975,""SELECT A WHERE D = '""&amp;K9027&amp;""'"")),""USER TIDAK DIKETAHUI""))"),"")</f>
        <v/>
      </c>
    </row>
    <row r="9028">
      <c r="A9028" s="21" t="str">
        <f t="shared" si="3"/>
        <v/>
      </c>
      <c r="B9028" s="38"/>
      <c r="C9028" s="23"/>
      <c r="D9028" s="23"/>
      <c r="E9028" s="24"/>
      <c r="F9028" s="25"/>
      <c r="G9028" s="25"/>
      <c r="H9028" s="27"/>
      <c r="I9028" s="28"/>
      <c r="J9028" s="39"/>
      <c r="K9028" s="41"/>
      <c r="L9028" s="31" t="str">
        <f>IFERROR(__xludf.DUMMYFUNCTION("IF(OR(E9028="""",K9028=""""),"""",IFERROR(IF(K9028="""","""",query('tbl user'!$A$2:$D10975,""SELECT A WHERE D = '""&amp;K9028&amp;""'"")),""USER TIDAK DIKETAHUI""))"),"")</f>
        <v/>
      </c>
    </row>
    <row r="9029">
      <c r="A9029" s="21" t="str">
        <f t="shared" si="3"/>
        <v/>
      </c>
      <c r="B9029" s="38"/>
      <c r="C9029" s="23"/>
      <c r="D9029" s="23"/>
      <c r="E9029" s="24"/>
      <c r="F9029" s="25"/>
      <c r="G9029" s="25"/>
      <c r="H9029" s="27"/>
      <c r="I9029" s="28"/>
      <c r="J9029" s="39"/>
      <c r="K9029" s="41"/>
      <c r="L9029" s="31" t="str">
        <f>IFERROR(__xludf.DUMMYFUNCTION("IF(OR(E9029="""",K9029=""""),"""",IFERROR(IF(K9029="""","""",query('tbl user'!$A$2:$D10975,""SELECT A WHERE D = '""&amp;K9029&amp;""'"")),""USER TIDAK DIKETAHUI""))"),"")</f>
        <v/>
      </c>
    </row>
    <row r="9030">
      <c r="A9030" s="21" t="str">
        <f t="shared" si="3"/>
        <v/>
      </c>
      <c r="B9030" s="38"/>
      <c r="C9030" s="23"/>
      <c r="D9030" s="23"/>
      <c r="E9030" s="24"/>
      <c r="F9030" s="25"/>
      <c r="G9030" s="25"/>
      <c r="H9030" s="27"/>
      <c r="I9030" s="28"/>
      <c r="J9030" s="39"/>
      <c r="K9030" s="41"/>
      <c r="L9030" s="31" t="str">
        <f>IFERROR(__xludf.DUMMYFUNCTION("IF(OR(E9030="""",K9030=""""),"""",IFERROR(IF(K9030="""","""",query('tbl user'!$A$2:$D10975,""SELECT A WHERE D = '""&amp;K9030&amp;""'"")),""USER TIDAK DIKETAHUI""))"),"")</f>
        <v/>
      </c>
    </row>
    <row r="9031">
      <c r="A9031" s="21" t="str">
        <f t="shared" si="3"/>
        <v/>
      </c>
      <c r="B9031" s="38"/>
      <c r="C9031" s="23"/>
      <c r="D9031" s="23"/>
      <c r="E9031" s="24"/>
      <c r="F9031" s="25"/>
      <c r="G9031" s="25"/>
      <c r="H9031" s="27"/>
      <c r="I9031" s="28"/>
      <c r="J9031" s="39"/>
      <c r="K9031" s="41"/>
      <c r="L9031" s="31" t="str">
        <f>IFERROR(__xludf.DUMMYFUNCTION("IF(OR(E9031="""",K9031=""""),"""",IFERROR(IF(K9031="""","""",query('tbl user'!$A$2:$D10975,""SELECT A WHERE D = '""&amp;K9031&amp;""'"")),""USER TIDAK DIKETAHUI""))"),"")</f>
        <v/>
      </c>
    </row>
    <row r="9032">
      <c r="A9032" s="21" t="str">
        <f t="shared" si="3"/>
        <v/>
      </c>
      <c r="B9032" s="38"/>
      <c r="C9032" s="23"/>
      <c r="D9032" s="23"/>
      <c r="E9032" s="24"/>
      <c r="F9032" s="25"/>
      <c r="G9032" s="25"/>
      <c r="H9032" s="27"/>
      <c r="I9032" s="28"/>
      <c r="J9032" s="39"/>
      <c r="K9032" s="41"/>
      <c r="L9032" s="31" t="str">
        <f>IFERROR(__xludf.DUMMYFUNCTION("IF(OR(E9032="""",K9032=""""),"""",IFERROR(IF(K9032="""","""",query('tbl user'!$A$2:$D10975,""SELECT A WHERE D = '""&amp;K9032&amp;""'"")),""USER TIDAK DIKETAHUI""))"),"")</f>
        <v/>
      </c>
    </row>
    <row r="9033">
      <c r="A9033" s="21" t="str">
        <f t="shared" si="3"/>
        <v/>
      </c>
      <c r="B9033" s="38"/>
      <c r="C9033" s="23"/>
      <c r="D9033" s="23"/>
      <c r="E9033" s="24"/>
      <c r="F9033" s="25"/>
      <c r="G9033" s="25"/>
      <c r="H9033" s="27"/>
      <c r="I9033" s="28"/>
      <c r="J9033" s="39"/>
      <c r="K9033" s="41"/>
      <c r="L9033" s="31" t="str">
        <f>IFERROR(__xludf.DUMMYFUNCTION("IF(OR(E9033="""",K9033=""""),"""",IFERROR(IF(K9033="""","""",query('tbl user'!$A$2:$D10975,""SELECT A WHERE D = '""&amp;K9033&amp;""'"")),""USER TIDAK DIKETAHUI""))"),"")</f>
        <v/>
      </c>
    </row>
    <row r="9034">
      <c r="A9034" s="21" t="str">
        <f t="shared" si="3"/>
        <v/>
      </c>
      <c r="B9034" s="38"/>
      <c r="C9034" s="23"/>
      <c r="D9034" s="23"/>
      <c r="E9034" s="24"/>
      <c r="F9034" s="25"/>
      <c r="G9034" s="25"/>
      <c r="H9034" s="27"/>
      <c r="I9034" s="28"/>
      <c r="J9034" s="39"/>
      <c r="K9034" s="41"/>
      <c r="L9034" s="31" t="str">
        <f>IFERROR(__xludf.DUMMYFUNCTION("IF(OR(E9034="""",K9034=""""),"""",IFERROR(IF(K9034="""","""",query('tbl user'!$A$2:$D10975,""SELECT A WHERE D = '""&amp;K9034&amp;""'"")),""USER TIDAK DIKETAHUI""))"),"")</f>
        <v/>
      </c>
    </row>
    <row r="9035">
      <c r="A9035" s="21" t="str">
        <f t="shared" si="3"/>
        <v/>
      </c>
      <c r="B9035" s="38"/>
      <c r="C9035" s="23"/>
      <c r="D9035" s="23"/>
      <c r="E9035" s="24"/>
      <c r="F9035" s="25"/>
      <c r="G9035" s="25"/>
      <c r="H9035" s="27"/>
      <c r="I9035" s="28"/>
      <c r="J9035" s="39"/>
      <c r="K9035" s="41"/>
      <c r="L9035" s="31" t="str">
        <f>IFERROR(__xludf.DUMMYFUNCTION("IF(OR(E9035="""",K9035=""""),"""",IFERROR(IF(K9035="""","""",query('tbl user'!$A$2:$D10975,""SELECT A WHERE D = '""&amp;K9035&amp;""'"")),""USER TIDAK DIKETAHUI""))"),"")</f>
        <v/>
      </c>
    </row>
    <row r="9036">
      <c r="A9036" s="21" t="str">
        <f t="shared" si="3"/>
        <v/>
      </c>
      <c r="B9036" s="38"/>
      <c r="C9036" s="23"/>
      <c r="D9036" s="23"/>
      <c r="E9036" s="24"/>
      <c r="F9036" s="25"/>
      <c r="G9036" s="25"/>
      <c r="H9036" s="27"/>
      <c r="I9036" s="28"/>
      <c r="J9036" s="39"/>
      <c r="K9036" s="41"/>
      <c r="L9036" s="31" t="str">
        <f>IFERROR(__xludf.DUMMYFUNCTION("IF(OR(E9036="""",K9036=""""),"""",IFERROR(IF(K9036="""","""",query('tbl user'!$A$2:$D10975,""SELECT A WHERE D = '""&amp;K9036&amp;""'"")),""USER TIDAK DIKETAHUI""))"),"")</f>
        <v/>
      </c>
    </row>
    <row r="9037">
      <c r="A9037" s="21" t="str">
        <f t="shared" si="3"/>
        <v/>
      </c>
      <c r="B9037" s="38"/>
      <c r="C9037" s="23"/>
      <c r="D9037" s="23"/>
      <c r="E9037" s="24"/>
      <c r="F9037" s="25"/>
      <c r="G9037" s="25"/>
      <c r="H9037" s="27"/>
      <c r="I9037" s="28"/>
      <c r="J9037" s="39"/>
      <c r="K9037" s="41"/>
      <c r="L9037" s="31" t="str">
        <f>IFERROR(__xludf.DUMMYFUNCTION("IF(OR(E9037="""",K9037=""""),"""",IFERROR(IF(K9037="""","""",query('tbl user'!$A$2:$D10975,""SELECT A WHERE D = '""&amp;K9037&amp;""'"")),""USER TIDAK DIKETAHUI""))"),"")</f>
        <v/>
      </c>
    </row>
    <row r="9038">
      <c r="A9038" s="21" t="str">
        <f t="shared" si="3"/>
        <v/>
      </c>
      <c r="B9038" s="38"/>
      <c r="C9038" s="23"/>
      <c r="D9038" s="23"/>
      <c r="E9038" s="24"/>
      <c r="F9038" s="25"/>
      <c r="G9038" s="25"/>
      <c r="H9038" s="27"/>
      <c r="I9038" s="28"/>
      <c r="J9038" s="39"/>
      <c r="K9038" s="41"/>
      <c r="L9038" s="31" t="str">
        <f>IFERROR(__xludf.DUMMYFUNCTION("IF(OR(E9038="""",K9038=""""),"""",IFERROR(IF(K9038="""","""",query('tbl user'!$A$2:$D10975,""SELECT A WHERE D = '""&amp;K9038&amp;""'"")),""USER TIDAK DIKETAHUI""))"),"")</f>
        <v/>
      </c>
    </row>
    <row r="9039">
      <c r="A9039" s="21" t="str">
        <f t="shared" si="3"/>
        <v/>
      </c>
      <c r="B9039" s="38"/>
      <c r="C9039" s="23"/>
      <c r="D9039" s="23"/>
      <c r="E9039" s="24"/>
      <c r="F9039" s="25"/>
      <c r="G9039" s="25"/>
      <c r="H9039" s="27"/>
      <c r="I9039" s="28"/>
      <c r="J9039" s="39"/>
      <c r="K9039" s="41"/>
      <c r="L9039" s="31" t="str">
        <f>IFERROR(__xludf.DUMMYFUNCTION("IF(OR(E9039="""",K9039=""""),"""",IFERROR(IF(K9039="""","""",query('tbl user'!$A$2:$D10975,""SELECT A WHERE D = '""&amp;K9039&amp;""'"")),""USER TIDAK DIKETAHUI""))"),"")</f>
        <v/>
      </c>
    </row>
    <row r="9040">
      <c r="A9040" s="21" t="str">
        <f t="shared" si="3"/>
        <v/>
      </c>
      <c r="B9040" s="38"/>
      <c r="C9040" s="23"/>
      <c r="D9040" s="23"/>
      <c r="E9040" s="24"/>
      <c r="F9040" s="25"/>
      <c r="G9040" s="25"/>
      <c r="H9040" s="27"/>
      <c r="I9040" s="28"/>
      <c r="J9040" s="39"/>
      <c r="K9040" s="41"/>
      <c r="L9040" s="31" t="str">
        <f>IFERROR(__xludf.DUMMYFUNCTION("IF(OR(E9040="""",K9040=""""),"""",IFERROR(IF(K9040="""","""",query('tbl user'!$A$2:$D10975,""SELECT A WHERE D = '""&amp;K9040&amp;""'"")),""USER TIDAK DIKETAHUI""))"),"")</f>
        <v/>
      </c>
    </row>
    <row r="9041">
      <c r="A9041" s="21" t="str">
        <f t="shared" si="3"/>
        <v/>
      </c>
      <c r="B9041" s="38"/>
      <c r="C9041" s="23"/>
      <c r="D9041" s="23"/>
      <c r="E9041" s="24"/>
      <c r="F9041" s="25"/>
      <c r="G9041" s="25"/>
      <c r="H9041" s="27"/>
      <c r="I9041" s="28"/>
      <c r="J9041" s="39"/>
      <c r="K9041" s="41"/>
      <c r="L9041" s="31" t="str">
        <f>IFERROR(__xludf.DUMMYFUNCTION("IF(OR(E9041="""",K9041=""""),"""",IFERROR(IF(K9041="""","""",query('tbl user'!$A$2:$D10975,""SELECT A WHERE D = '""&amp;K9041&amp;""'"")),""USER TIDAK DIKETAHUI""))"),"")</f>
        <v/>
      </c>
    </row>
    <row r="9042">
      <c r="A9042" s="21" t="str">
        <f t="shared" si="3"/>
        <v/>
      </c>
      <c r="B9042" s="38"/>
      <c r="C9042" s="23"/>
      <c r="D9042" s="23"/>
      <c r="E9042" s="24"/>
      <c r="F9042" s="25"/>
      <c r="G9042" s="25"/>
      <c r="H9042" s="27"/>
      <c r="I9042" s="28"/>
      <c r="J9042" s="39"/>
      <c r="K9042" s="41"/>
      <c r="L9042" s="31" t="str">
        <f>IFERROR(__xludf.DUMMYFUNCTION("IF(OR(E9042="""",K9042=""""),"""",IFERROR(IF(K9042="""","""",query('tbl user'!$A$2:$D10975,""SELECT A WHERE D = '""&amp;K9042&amp;""'"")),""USER TIDAK DIKETAHUI""))"),"")</f>
        <v/>
      </c>
    </row>
    <row r="9043">
      <c r="A9043" s="21" t="str">
        <f t="shared" si="3"/>
        <v/>
      </c>
      <c r="B9043" s="38"/>
      <c r="C9043" s="23"/>
      <c r="D9043" s="23"/>
      <c r="E9043" s="24"/>
      <c r="F9043" s="25"/>
      <c r="G9043" s="25"/>
      <c r="H9043" s="27"/>
      <c r="I9043" s="28"/>
      <c r="J9043" s="39"/>
      <c r="K9043" s="41"/>
      <c r="L9043" s="31" t="str">
        <f>IFERROR(__xludf.DUMMYFUNCTION("IF(OR(E9043="""",K9043=""""),"""",IFERROR(IF(K9043="""","""",query('tbl user'!$A$2:$D10975,""SELECT A WHERE D = '""&amp;K9043&amp;""'"")),""USER TIDAK DIKETAHUI""))"),"")</f>
        <v/>
      </c>
    </row>
    <row r="9044">
      <c r="A9044" s="21" t="str">
        <f t="shared" si="3"/>
        <v/>
      </c>
      <c r="B9044" s="38"/>
      <c r="C9044" s="23"/>
      <c r="D9044" s="23"/>
      <c r="E9044" s="24"/>
      <c r="F9044" s="25"/>
      <c r="G9044" s="25"/>
      <c r="H9044" s="27"/>
      <c r="I9044" s="28"/>
      <c r="J9044" s="39"/>
      <c r="K9044" s="41"/>
      <c r="L9044" s="31" t="str">
        <f>IFERROR(__xludf.DUMMYFUNCTION("IF(OR(E9044="""",K9044=""""),"""",IFERROR(IF(K9044="""","""",query('tbl user'!$A$2:$D10975,""SELECT A WHERE D = '""&amp;K9044&amp;""'"")),""USER TIDAK DIKETAHUI""))"),"")</f>
        <v/>
      </c>
    </row>
    <row r="9045">
      <c r="A9045" s="21" t="str">
        <f t="shared" si="3"/>
        <v/>
      </c>
      <c r="B9045" s="38"/>
      <c r="C9045" s="23"/>
      <c r="D9045" s="23"/>
      <c r="E9045" s="24"/>
      <c r="F9045" s="25"/>
      <c r="G9045" s="25"/>
      <c r="H9045" s="27"/>
      <c r="I9045" s="28"/>
      <c r="J9045" s="39"/>
      <c r="K9045" s="41"/>
      <c r="L9045" s="31" t="str">
        <f>IFERROR(__xludf.DUMMYFUNCTION("IF(OR(E9045="""",K9045=""""),"""",IFERROR(IF(K9045="""","""",query('tbl user'!$A$2:$D10975,""SELECT A WHERE D = '""&amp;K9045&amp;""'"")),""USER TIDAK DIKETAHUI""))"),"")</f>
        <v/>
      </c>
    </row>
    <row r="9046">
      <c r="A9046" s="21" t="str">
        <f t="shared" si="3"/>
        <v/>
      </c>
      <c r="B9046" s="38"/>
      <c r="C9046" s="23"/>
      <c r="D9046" s="23"/>
      <c r="E9046" s="24"/>
      <c r="F9046" s="25"/>
      <c r="G9046" s="25"/>
      <c r="H9046" s="27"/>
      <c r="I9046" s="28"/>
      <c r="J9046" s="39"/>
      <c r="K9046" s="41"/>
      <c r="L9046" s="31" t="str">
        <f>IFERROR(__xludf.DUMMYFUNCTION("IF(OR(E9046="""",K9046=""""),"""",IFERROR(IF(K9046="""","""",query('tbl user'!$A$2:$D10975,""SELECT A WHERE D = '""&amp;K9046&amp;""'"")),""USER TIDAK DIKETAHUI""))"),"")</f>
        <v/>
      </c>
    </row>
    <row r="9047">
      <c r="A9047" s="21" t="str">
        <f t="shared" si="3"/>
        <v/>
      </c>
      <c r="B9047" s="38"/>
      <c r="C9047" s="23"/>
      <c r="D9047" s="23"/>
      <c r="E9047" s="24"/>
      <c r="F9047" s="25"/>
      <c r="G9047" s="25"/>
      <c r="H9047" s="27"/>
      <c r="I9047" s="28"/>
      <c r="J9047" s="39"/>
      <c r="K9047" s="41"/>
      <c r="L9047" s="31" t="str">
        <f>IFERROR(__xludf.DUMMYFUNCTION("IF(OR(E9047="""",K9047=""""),"""",IFERROR(IF(K9047="""","""",query('tbl user'!$A$2:$D10975,""SELECT A WHERE D = '""&amp;K9047&amp;""'"")),""USER TIDAK DIKETAHUI""))"),"")</f>
        <v/>
      </c>
    </row>
    <row r="9048">
      <c r="A9048" s="21" t="str">
        <f t="shared" si="3"/>
        <v/>
      </c>
      <c r="B9048" s="38"/>
      <c r="C9048" s="23"/>
      <c r="D9048" s="23"/>
      <c r="E9048" s="24"/>
      <c r="F9048" s="25"/>
      <c r="G9048" s="25"/>
      <c r="H9048" s="27"/>
      <c r="I9048" s="28"/>
      <c r="J9048" s="39"/>
      <c r="K9048" s="41"/>
      <c r="L9048" s="31" t="str">
        <f>IFERROR(__xludf.DUMMYFUNCTION("IF(OR(E9048="""",K9048=""""),"""",IFERROR(IF(K9048="""","""",query('tbl user'!$A$2:$D10975,""SELECT A WHERE D = '""&amp;K9048&amp;""'"")),""USER TIDAK DIKETAHUI""))"),"")</f>
        <v/>
      </c>
    </row>
    <row r="9049">
      <c r="A9049" s="21" t="str">
        <f t="shared" si="3"/>
        <v/>
      </c>
      <c r="B9049" s="38"/>
      <c r="C9049" s="23"/>
      <c r="D9049" s="23"/>
      <c r="E9049" s="24"/>
      <c r="F9049" s="25"/>
      <c r="G9049" s="25"/>
      <c r="H9049" s="27"/>
      <c r="I9049" s="28"/>
      <c r="J9049" s="39"/>
      <c r="K9049" s="41"/>
      <c r="L9049" s="31" t="str">
        <f>IFERROR(__xludf.DUMMYFUNCTION("IF(OR(E9049="""",K9049=""""),"""",IFERROR(IF(K9049="""","""",query('tbl user'!$A$2:$D10975,""SELECT A WHERE D = '""&amp;K9049&amp;""'"")),""USER TIDAK DIKETAHUI""))"),"")</f>
        <v/>
      </c>
    </row>
    <row r="9050">
      <c r="A9050" s="21" t="str">
        <f t="shared" si="3"/>
        <v/>
      </c>
      <c r="B9050" s="38"/>
      <c r="C9050" s="23"/>
      <c r="D9050" s="23"/>
      <c r="E9050" s="24"/>
      <c r="F9050" s="25"/>
      <c r="G9050" s="25"/>
      <c r="H9050" s="27"/>
      <c r="I9050" s="28"/>
      <c r="J9050" s="39"/>
      <c r="K9050" s="41"/>
      <c r="L9050" s="31" t="str">
        <f>IFERROR(__xludf.DUMMYFUNCTION("IF(OR(E9050="""",K9050=""""),"""",IFERROR(IF(K9050="""","""",query('tbl user'!$A$2:$D10975,""SELECT A WHERE D = '""&amp;K9050&amp;""'"")),""USER TIDAK DIKETAHUI""))"),"")</f>
        <v/>
      </c>
    </row>
    <row r="9051">
      <c r="A9051" s="21" t="str">
        <f t="shared" si="3"/>
        <v/>
      </c>
      <c r="B9051" s="38"/>
      <c r="C9051" s="23"/>
      <c r="D9051" s="23"/>
      <c r="E9051" s="24"/>
      <c r="F9051" s="25"/>
      <c r="G9051" s="25"/>
      <c r="H9051" s="27"/>
      <c r="I9051" s="28"/>
      <c r="J9051" s="39"/>
      <c r="K9051" s="41"/>
      <c r="L9051" s="31" t="str">
        <f>IFERROR(__xludf.DUMMYFUNCTION("IF(OR(E9051="""",K9051=""""),"""",IFERROR(IF(K9051="""","""",query('tbl user'!$A$2:$D10975,""SELECT A WHERE D = '""&amp;K9051&amp;""'"")),""USER TIDAK DIKETAHUI""))"),"")</f>
        <v/>
      </c>
    </row>
    <row r="9052">
      <c r="A9052" s="21" t="str">
        <f t="shared" si="3"/>
        <v/>
      </c>
      <c r="B9052" s="38"/>
      <c r="C9052" s="23"/>
      <c r="D9052" s="23"/>
      <c r="E9052" s="24"/>
      <c r="F9052" s="25"/>
      <c r="G9052" s="25"/>
      <c r="H9052" s="27"/>
      <c r="I9052" s="28"/>
      <c r="J9052" s="39"/>
      <c r="K9052" s="41"/>
      <c r="L9052" s="31" t="str">
        <f>IFERROR(__xludf.DUMMYFUNCTION("IF(OR(E9052="""",K9052=""""),"""",IFERROR(IF(K9052="""","""",query('tbl user'!$A$2:$D10975,""SELECT A WHERE D = '""&amp;K9052&amp;""'"")),""USER TIDAK DIKETAHUI""))"),"")</f>
        <v/>
      </c>
    </row>
    <row r="9053">
      <c r="A9053" s="21" t="str">
        <f t="shared" si="3"/>
        <v/>
      </c>
      <c r="B9053" s="38"/>
      <c r="C9053" s="23"/>
      <c r="D9053" s="23"/>
      <c r="E9053" s="24"/>
      <c r="F9053" s="25"/>
      <c r="G9053" s="25"/>
      <c r="H9053" s="27"/>
      <c r="I9053" s="28"/>
      <c r="J9053" s="39"/>
      <c r="K9053" s="41"/>
      <c r="L9053" s="31" t="str">
        <f>IFERROR(__xludf.DUMMYFUNCTION("IF(OR(E9053="""",K9053=""""),"""",IFERROR(IF(K9053="""","""",query('tbl user'!$A$2:$D10975,""SELECT A WHERE D = '""&amp;K9053&amp;""'"")),""USER TIDAK DIKETAHUI""))"),"")</f>
        <v/>
      </c>
    </row>
    <row r="9054">
      <c r="A9054" s="21" t="str">
        <f t="shared" si="3"/>
        <v/>
      </c>
      <c r="B9054" s="38"/>
      <c r="C9054" s="23"/>
      <c r="D9054" s="23"/>
      <c r="E9054" s="24"/>
      <c r="F9054" s="25"/>
      <c r="G9054" s="25"/>
      <c r="H9054" s="27"/>
      <c r="I9054" s="28"/>
      <c r="J9054" s="39"/>
      <c r="K9054" s="41"/>
      <c r="L9054" s="31" t="str">
        <f>IFERROR(__xludf.DUMMYFUNCTION("IF(OR(E9054="""",K9054=""""),"""",IFERROR(IF(K9054="""","""",query('tbl user'!$A$2:$D10975,""SELECT A WHERE D = '""&amp;K9054&amp;""'"")),""USER TIDAK DIKETAHUI""))"),"")</f>
        <v/>
      </c>
    </row>
    <row r="9055">
      <c r="A9055" s="21" t="str">
        <f t="shared" si="3"/>
        <v/>
      </c>
      <c r="B9055" s="38"/>
      <c r="C9055" s="23"/>
      <c r="D9055" s="23"/>
      <c r="E9055" s="24"/>
      <c r="F9055" s="25"/>
      <c r="G9055" s="25"/>
      <c r="H9055" s="27"/>
      <c r="I9055" s="28"/>
      <c r="J9055" s="39"/>
      <c r="K9055" s="41"/>
      <c r="L9055" s="31" t="str">
        <f>IFERROR(__xludf.DUMMYFUNCTION("IF(OR(E9055="""",K9055=""""),"""",IFERROR(IF(K9055="""","""",query('tbl user'!$A$2:$D10975,""SELECT A WHERE D = '""&amp;K9055&amp;""'"")),""USER TIDAK DIKETAHUI""))"),"")</f>
        <v/>
      </c>
    </row>
    <row r="9056">
      <c r="A9056" s="21" t="str">
        <f t="shared" si="3"/>
        <v/>
      </c>
      <c r="B9056" s="38"/>
      <c r="C9056" s="23"/>
      <c r="D9056" s="23"/>
      <c r="E9056" s="24"/>
      <c r="F9056" s="25"/>
      <c r="G9056" s="25"/>
      <c r="H9056" s="27"/>
      <c r="I9056" s="28"/>
      <c r="J9056" s="39"/>
      <c r="K9056" s="41"/>
      <c r="L9056" s="31" t="str">
        <f>IFERROR(__xludf.DUMMYFUNCTION("IF(OR(E9056="""",K9056=""""),"""",IFERROR(IF(K9056="""","""",query('tbl user'!$A$2:$D10975,""SELECT A WHERE D = '""&amp;K9056&amp;""'"")),""USER TIDAK DIKETAHUI""))"),"")</f>
        <v/>
      </c>
    </row>
    <row r="9057">
      <c r="A9057" s="21" t="str">
        <f t="shared" si="3"/>
        <v/>
      </c>
      <c r="B9057" s="38"/>
      <c r="C9057" s="23"/>
      <c r="D9057" s="23"/>
      <c r="E9057" s="24"/>
      <c r="F9057" s="25"/>
      <c r="G9057" s="25"/>
      <c r="H9057" s="27"/>
      <c r="I9057" s="28"/>
      <c r="J9057" s="39"/>
      <c r="K9057" s="41"/>
      <c r="L9057" s="31" t="str">
        <f>IFERROR(__xludf.DUMMYFUNCTION("IF(OR(E9057="""",K9057=""""),"""",IFERROR(IF(K9057="""","""",query('tbl user'!$A$2:$D10975,""SELECT A WHERE D = '""&amp;K9057&amp;""'"")),""USER TIDAK DIKETAHUI""))"),"")</f>
        <v/>
      </c>
    </row>
    <row r="9058">
      <c r="A9058" s="21" t="str">
        <f t="shared" si="3"/>
        <v/>
      </c>
      <c r="B9058" s="38"/>
      <c r="C9058" s="23"/>
      <c r="D9058" s="23"/>
      <c r="E9058" s="24"/>
      <c r="F9058" s="25"/>
      <c r="G9058" s="25"/>
      <c r="H9058" s="27"/>
      <c r="I9058" s="28"/>
      <c r="J9058" s="39"/>
      <c r="K9058" s="41"/>
      <c r="L9058" s="31" t="str">
        <f>IFERROR(__xludf.DUMMYFUNCTION("IF(OR(E9058="""",K9058=""""),"""",IFERROR(IF(K9058="""","""",query('tbl user'!$A$2:$D10975,""SELECT A WHERE D = '""&amp;K9058&amp;""'"")),""USER TIDAK DIKETAHUI""))"),"")</f>
        <v/>
      </c>
    </row>
    <row r="9059">
      <c r="A9059" s="21" t="str">
        <f t="shared" si="3"/>
        <v/>
      </c>
      <c r="B9059" s="38"/>
      <c r="C9059" s="23"/>
      <c r="D9059" s="23"/>
      <c r="E9059" s="24"/>
      <c r="F9059" s="25"/>
      <c r="G9059" s="25"/>
      <c r="H9059" s="27"/>
      <c r="I9059" s="28"/>
      <c r="J9059" s="39"/>
      <c r="K9059" s="41"/>
      <c r="L9059" s="31" t="str">
        <f>IFERROR(__xludf.DUMMYFUNCTION("IF(OR(E9059="""",K9059=""""),"""",IFERROR(IF(K9059="""","""",query('tbl user'!$A$2:$D10975,""SELECT A WHERE D = '""&amp;K9059&amp;""'"")),""USER TIDAK DIKETAHUI""))"),"")</f>
        <v/>
      </c>
    </row>
    <row r="9060">
      <c r="A9060" s="21" t="str">
        <f t="shared" si="3"/>
        <v/>
      </c>
      <c r="B9060" s="38"/>
      <c r="C9060" s="23"/>
      <c r="D9060" s="23"/>
      <c r="E9060" s="24"/>
      <c r="F9060" s="25"/>
      <c r="G9060" s="25"/>
      <c r="H9060" s="27"/>
      <c r="I9060" s="28"/>
      <c r="J9060" s="39"/>
      <c r="K9060" s="41"/>
      <c r="L9060" s="31" t="str">
        <f>IFERROR(__xludf.DUMMYFUNCTION("IF(OR(E9060="""",K9060=""""),"""",IFERROR(IF(K9060="""","""",query('tbl user'!$A$2:$D10975,""SELECT A WHERE D = '""&amp;K9060&amp;""'"")),""USER TIDAK DIKETAHUI""))"),"")</f>
        <v/>
      </c>
    </row>
    <row r="9061">
      <c r="A9061" s="21" t="str">
        <f t="shared" si="3"/>
        <v/>
      </c>
      <c r="B9061" s="38"/>
      <c r="C9061" s="23"/>
      <c r="D9061" s="23"/>
      <c r="E9061" s="24"/>
      <c r="F9061" s="25"/>
      <c r="G9061" s="25"/>
      <c r="H9061" s="27"/>
      <c r="I9061" s="28"/>
      <c r="J9061" s="39"/>
      <c r="K9061" s="41"/>
      <c r="L9061" s="31" t="str">
        <f>IFERROR(__xludf.DUMMYFUNCTION("IF(OR(E9061="""",K9061=""""),"""",IFERROR(IF(K9061="""","""",query('tbl user'!$A$2:$D10975,""SELECT A WHERE D = '""&amp;K9061&amp;""'"")),""USER TIDAK DIKETAHUI""))"),"")</f>
        <v/>
      </c>
    </row>
    <row r="9062">
      <c r="A9062" s="21" t="str">
        <f t="shared" si="3"/>
        <v/>
      </c>
      <c r="B9062" s="38"/>
      <c r="C9062" s="23"/>
      <c r="D9062" s="23"/>
      <c r="E9062" s="24"/>
      <c r="F9062" s="25"/>
      <c r="G9062" s="25"/>
      <c r="H9062" s="27"/>
      <c r="I9062" s="28"/>
      <c r="J9062" s="39"/>
      <c r="K9062" s="41"/>
      <c r="L9062" s="31" t="str">
        <f>IFERROR(__xludf.DUMMYFUNCTION("IF(OR(E9062="""",K9062=""""),"""",IFERROR(IF(K9062="""","""",query('tbl user'!$A$2:$D10975,""SELECT A WHERE D = '""&amp;K9062&amp;""'"")),""USER TIDAK DIKETAHUI""))"),"")</f>
        <v/>
      </c>
    </row>
    <row r="9063">
      <c r="A9063" s="21" t="str">
        <f t="shared" si="3"/>
        <v/>
      </c>
      <c r="B9063" s="38"/>
      <c r="C9063" s="23"/>
      <c r="D9063" s="23"/>
      <c r="E9063" s="24"/>
      <c r="F9063" s="25"/>
      <c r="G9063" s="25"/>
      <c r="H9063" s="27"/>
      <c r="I9063" s="28"/>
      <c r="J9063" s="39"/>
      <c r="K9063" s="41"/>
      <c r="L9063" s="31" t="str">
        <f>IFERROR(__xludf.DUMMYFUNCTION("IF(OR(E9063="""",K9063=""""),"""",IFERROR(IF(K9063="""","""",query('tbl user'!$A$2:$D10975,""SELECT A WHERE D = '""&amp;K9063&amp;""'"")),""USER TIDAK DIKETAHUI""))"),"")</f>
        <v/>
      </c>
    </row>
    <row r="9064">
      <c r="A9064" s="21" t="str">
        <f t="shared" si="3"/>
        <v/>
      </c>
      <c r="B9064" s="38"/>
      <c r="C9064" s="23"/>
      <c r="D9064" s="23"/>
      <c r="E9064" s="24"/>
      <c r="F9064" s="25"/>
      <c r="G9064" s="25"/>
      <c r="H9064" s="27"/>
      <c r="I9064" s="28"/>
      <c r="J9064" s="39"/>
      <c r="K9064" s="41"/>
      <c r="L9064" s="31" t="str">
        <f>IFERROR(__xludf.DUMMYFUNCTION("IF(OR(E9064="""",K9064=""""),"""",IFERROR(IF(K9064="""","""",query('tbl user'!$A$2:$D10975,""SELECT A WHERE D = '""&amp;K9064&amp;""'"")),""USER TIDAK DIKETAHUI""))"),"")</f>
        <v/>
      </c>
    </row>
    <row r="9065">
      <c r="A9065" s="21" t="str">
        <f t="shared" si="3"/>
        <v/>
      </c>
      <c r="B9065" s="38"/>
      <c r="C9065" s="23"/>
      <c r="D9065" s="23"/>
      <c r="E9065" s="24"/>
      <c r="F9065" s="25"/>
      <c r="G9065" s="25"/>
      <c r="H9065" s="27"/>
      <c r="I9065" s="28"/>
      <c r="J9065" s="39"/>
      <c r="K9065" s="41"/>
      <c r="L9065" s="31" t="str">
        <f>IFERROR(__xludf.DUMMYFUNCTION("IF(OR(E9065="""",K9065=""""),"""",IFERROR(IF(K9065="""","""",query('tbl user'!$A$2:$D10975,""SELECT A WHERE D = '""&amp;K9065&amp;""'"")),""USER TIDAK DIKETAHUI""))"),"")</f>
        <v/>
      </c>
    </row>
    <row r="9066">
      <c r="A9066" s="21" t="str">
        <f t="shared" si="3"/>
        <v/>
      </c>
      <c r="B9066" s="38"/>
      <c r="C9066" s="23"/>
      <c r="D9066" s="23"/>
      <c r="E9066" s="24"/>
      <c r="F9066" s="25"/>
      <c r="G9066" s="25"/>
      <c r="H9066" s="27"/>
      <c r="I9066" s="28"/>
      <c r="J9066" s="39"/>
      <c r="K9066" s="41"/>
      <c r="L9066" s="31" t="str">
        <f>IFERROR(__xludf.DUMMYFUNCTION("IF(OR(E9066="""",K9066=""""),"""",IFERROR(IF(K9066="""","""",query('tbl user'!$A$2:$D10975,""SELECT A WHERE D = '""&amp;K9066&amp;""'"")),""USER TIDAK DIKETAHUI""))"),"")</f>
        <v/>
      </c>
    </row>
    <row r="9067">
      <c r="A9067" s="21" t="str">
        <f t="shared" si="3"/>
        <v/>
      </c>
      <c r="B9067" s="38"/>
      <c r="C9067" s="23"/>
      <c r="D9067" s="23"/>
      <c r="E9067" s="24"/>
      <c r="F9067" s="25"/>
      <c r="G9067" s="25"/>
      <c r="H9067" s="27"/>
      <c r="I9067" s="28"/>
      <c r="J9067" s="39"/>
      <c r="K9067" s="41"/>
      <c r="L9067" s="31" t="str">
        <f>IFERROR(__xludf.DUMMYFUNCTION("IF(OR(E9067="""",K9067=""""),"""",IFERROR(IF(K9067="""","""",query('tbl user'!$A$2:$D10975,""SELECT A WHERE D = '""&amp;K9067&amp;""'"")),""USER TIDAK DIKETAHUI""))"),"")</f>
        <v/>
      </c>
    </row>
    <row r="9068">
      <c r="A9068" s="21" t="str">
        <f t="shared" si="3"/>
        <v/>
      </c>
      <c r="B9068" s="38"/>
      <c r="C9068" s="23"/>
      <c r="D9068" s="23"/>
      <c r="E9068" s="24"/>
      <c r="F9068" s="25"/>
      <c r="G9068" s="25"/>
      <c r="H9068" s="27"/>
      <c r="I9068" s="28"/>
      <c r="J9068" s="39"/>
      <c r="K9068" s="41"/>
      <c r="L9068" s="31" t="str">
        <f>IFERROR(__xludf.DUMMYFUNCTION("IF(OR(E9068="""",K9068=""""),"""",IFERROR(IF(K9068="""","""",query('tbl user'!$A$2:$D10975,""SELECT A WHERE D = '""&amp;K9068&amp;""'"")),""USER TIDAK DIKETAHUI""))"),"")</f>
        <v/>
      </c>
    </row>
    <row r="9069">
      <c r="A9069" s="21" t="str">
        <f t="shared" si="3"/>
        <v/>
      </c>
      <c r="B9069" s="38"/>
      <c r="C9069" s="23"/>
      <c r="D9069" s="23"/>
      <c r="E9069" s="24"/>
      <c r="F9069" s="25"/>
      <c r="G9069" s="25"/>
      <c r="H9069" s="27"/>
      <c r="I9069" s="28"/>
      <c r="J9069" s="39"/>
      <c r="K9069" s="41"/>
      <c r="L9069" s="31" t="str">
        <f>IFERROR(__xludf.DUMMYFUNCTION("IF(OR(E9069="""",K9069=""""),"""",IFERROR(IF(K9069="""","""",query('tbl user'!$A$2:$D10975,""SELECT A WHERE D = '""&amp;K9069&amp;""'"")),""USER TIDAK DIKETAHUI""))"),"")</f>
        <v/>
      </c>
    </row>
    <row r="9070">
      <c r="A9070" s="21" t="str">
        <f t="shared" si="3"/>
        <v/>
      </c>
      <c r="B9070" s="38"/>
      <c r="C9070" s="23"/>
      <c r="D9070" s="23"/>
      <c r="E9070" s="24"/>
      <c r="F9070" s="25"/>
      <c r="G9070" s="25"/>
      <c r="H9070" s="27"/>
      <c r="I9070" s="28"/>
      <c r="J9070" s="39"/>
      <c r="K9070" s="41"/>
      <c r="L9070" s="31" t="str">
        <f>IFERROR(__xludf.DUMMYFUNCTION("IF(OR(E9070="""",K9070=""""),"""",IFERROR(IF(K9070="""","""",query('tbl user'!$A$2:$D10975,""SELECT A WHERE D = '""&amp;K9070&amp;""'"")),""USER TIDAK DIKETAHUI""))"),"")</f>
        <v/>
      </c>
    </row>
    <row r="9071">
      <c r="A9071" s="21" t="str">
        <f t="shared" si="3"/>
        <v/>
      </c>
      <c r="B9071" s="38"/>
      <c r="C9071" s="23"/>
      <c r="D9071" s="23"/>
      <c r="E9071" s="24"/>
      <c r="F9071" s="25"/>
      <c r="G9071" s="25"/>
      <c r="H9071" s="27"/>
      <c r="I9071" s="28"/>
      <c r="J9071" s="39"/>
      <c r="K9071" s="41"/>
      <c r="L9071" s="31" t="str">
        <f>IFERROR(__xludf.DUMMYFUNCTION("IF(OR(E9071="""",K9071=""""),"""",IFERROR(IF(K9071="""","""",query('tbl user'!$A$2:$D10975,""SELECT A WHERE D = '""&amp;K9071&amp;""'"")),""USER TIDAK DIKETAHUI""))"),"")</f>
        <v/>
      </c>
    </row>
    <row r="9072">
      <c r="A9072" s="21" t="str">
        <f t="shared" si="3"/>
        <v/>
      </c>
      <c r="B9072" s="38"/>
      <c r="C9072" s="23"/>
      <c r="D9072" s="23"/>
      <c r="E9072" s="24"/>
      <c r="F9072" s="25"/>
      <c r="G9072" s="25"/>
      <c r="H9072" s="27"/>
      <c r="I9072" s="28"/>
      <c r="J9072" s="39"/>
      <c r="K9072" s="41"/>
      <c r="L9072" s="31" t="str">
        <f>IFERROR(__xludf.DUMMYFUNCTION("IF(OR(E9072="""",K9072=""""),"""",IFERROR(IF(K9072="""","""",query('tbl user'!$A$2:$D10975,""SELECT A WHERE D = '""&amp;K9072&amp;""'"")),""USER TIDAK DIKETAHUI""))"),"")</f>
        <v/>
      </c>
    </row>
    <row r="9073">
      <c r="A9073" s="21" t="str">
        <f t="shared" si="3"/>
        <v/>
      </c>
      <c r="B9073" s="38"/>
      <c r="C9073" s="23"/>
      <c r="D9073" s="23"/>
      <c r="E9073" s="24"/>
      <c r="F9073" s="25"/>
      <c r="G9073" s="25"/>
      <c r="H9073" s="27"/>
      <c r="I9073" s="28"/>
      <c r="J9073" s="39"/>
      <c r="K9073" s="41"/>
      <c r="L9073" s="31" t="str">
        <f>IFERROR(__xludf.DUMMYFUNCTION("IF(OR(E9073="""",K9073=""""),"""",IFERROR(IF(K9073="""","""",query('tbl user'!$A$2:$D10975,""SELECT A WHERE D = '""&amp;K9073&amp;""'"")),""USER TIDAK DIKETAHUI""))"),"")</f>
        <v/>
      </c>
    </row>
    <row r="9074">
      <c r="A9074" s="21" t="str">
        <f t="shared" si="3"/>
        <v/>
      </c>
      <c r="B9074" s="38"/>
      <c r="C9074" s="23"/>
      <c r="D9074" s="23"/>
      <c r="E9074" s="24"/>
      <c r="F9074" s="25"/>
      <c r="G9074" s="25"/>
      <c r="H9074" s="27"/>
      <c r="I9074" s="28"/>
      <c r="J9074" s="39"/>
      <c r="K9074" s="41"/>
      <c r="L9074" s="31" t="str">
        <f>IFERROR(__xludf.DUMMYFUNCTION("IF(OR(E9074="""",K9074=""""),"""",IFERROR(IF(K9074="""","""",query('tbl user'!$A$2:$D10975,""SELECT A WHERE D = '""&amp;K9074&amp;""'"")),""USER TIDAK DIKETAHUI""))"),"")</f>
        <v/>
      </c>
    </row>
    <row r="9075">
      <c r="A9075" s="21" t="str">
        <f t="shared" si="3"/>
        <v/>
      </c>
      <c r="B9075" s="38"/>
      <c r="C9075" s="23"/>
      <c r="D9075" s="23"/>
      <c r="E9075" s="24"/>
      <c r="F9075" s="25"/>
      <c r="G9075" s="25"/>
      <c r="H9075" s="27"/>
      <c r="I9075" s="28"/>
      <c r="J9075" s="39"/>
      <c r="K9075" s="41"/>
      <c r="L9075" s="31" t="str">
        <f>IFERROR(__xludf.DUMMYFUNCTION("IF(OR(E9075="""",K9075=""""),"""",IFERROR(IF(K9075="""","""",query('tbl user'!$A$2:$D10975,""SELECT A WHERE D = '""&amp;K9075&amp;""'"")),""USER TIDAK DIKETAHUI""))"),"")</f>
        <v/>
      </c>
    </row>
    <row r="9076">
      <c r="A9076" s="21" t="str">
        <f t="shared" si="3"/>
        <v/>
      </c>
      <c r="B9076" s="38"/>
      <c r="C9076" s="23"/>
      <c r="D9076" s="23"/>
      <c r="E9076" s="24"/>
      <c r="F9076" s="25"/>
      <c r="G9076" s="25"/>
      <c r="H9076" s="27"/>
      <c r="I9076" s="28"/>
      <c r="J9076" s="39"/>
      <c r="K9076" s="41"/>
      <c r="L9076" s="31" t="str">
        <f>IFERROR(__xludf.DUMMYFUNCTION("IF(OR(E9076="""",K9076=""""),"""",IFERROR(IF(K9076="""","""",query('tbl user'!$A$2:$D10975,""SELECT A WHERE D = '""&amp;K9076&amp;""'"")),""USER TIDAK DIKETAHUI""))"),"")</f>
        <v/>
      </c>
    </row>
    <row r="9077">
      <c r="A9077" s="21" t="str">
        <f t="shared" si="3"/>
        <v/>
      </c>
      <c r="B9077" s="38"/>
      <c r="C9077" s="23"/>
      <c r="D9077" s="23"/>
      <c r="E9077" s="24"/>
      <c r="F9077" s="25"/>
      <c r="G9077" s="25"/>
      <c r="H9077" s="27"/>
      <c r="I9077" s="28"/>
      <c r="J9077" s="39"/>
      <c r="K9077" s="41"/>
      <c r="L9077" s="31" t="str">
        <f>IFERROR(__xludf.DUMMYFUNCTION("IF(OR(E9077="""",K9077=""""),"""",IFERROR(IF(K9077="""","""",query('tbl user'!$A$2:$D10975,""SELECT A WHERE D = '""&amp;K9077&amp;""'"")),""USER TIDAK DIKETAHUI""))"),"")</f>
        <v/>
      </c>
    </row>
    <row r="9078">
      <c r="A9078" s="21" t="str">
        <f t="shared" si="3"/>
        <v/>
      </c>
      <c r="B9078" s="38"/>
      <c r="C9078" s="23"/>
      <c r="D9078" s="23"/>
      <c r="E9078" s="24"/>
      <c r="F9078" s="25"/>
      <c r="G9078" s="25"/>
      <c r="H9078" s="27"/>
      <c r="I9078" s="28"/>
      <c r="J9078" s="39"/>
      <c r="K9078" s="41"/>
      <c r="L9078" s="31" t="str">
        <f>IFERROR(__xludf.DUMMYFUNCTION("IF(OR(E9078="""",K9078=""""),"""",IFERROR(IF(K9078="""","""",query('tbl user'!$A$2:$D10975,""SELECT A WHERE D = '""&amp;K9078&amp;""'"")),""USER TIDAK DIKETAHUI""))"),"")</f>
        <v/>
      </c>
    </row>
    <row r="9079">
      <c r="A9079" s="21" t="str">
        <f t="shared" si="3"/>
        <v/>
      </c>
      <c r="B9079" s="38"/>
      <c r="C9079" s="23"/>
      <c r="D9079" s="23"/>
      <c r="E9079" s="24"/>
      <c r="F9079" s="25"/>
      <c r="G9079" s="25"/>
      <c r="H9079" s="27"/>
      <c r="I9079" s="28"/>
      <c r="J9079" s="39"/>
      <c r="K9079" s="41"/>
      <c r="L9079" s="31" t="str">
        <f>IFERROR(__xludf.DUMMYFUNCTION("IF(OR(E9079="""",K9079=""""),"""",IFERROR(IF(K9079="""","""",query('tbl user'!$A$2:$D10975,""SELECT A WHERE D = '""&amp;K9079&amp;""'"")),""USER TIDAK DIKETAHUI""))"),"")</f>
        <v/>
      </c>
    </row>
    <row r="9080">
      <c r="A9080" s="21" t="str">
        <f t="shared" si="3"/>
        <v/>
      </c>
      <c r="B9080" s="38"/>
      <c r="C9080" s="23"/>
      <c r="D9080" s="23"/>
      <c r="E9080" s="24"/>
      <c r="F9080" s="25"/>
      <c r="G9080" s="25"/>
      <c r="H9080" s="27"/>
      <c r="I9080" s="28"/>
      <c r="J9080" s="39"/>
      <c r="K9080" s="41"/>
      <c r="L9080" s="31" t="str">
        <f>IFERROR(__xludf.DUMMYFUNCTION("IF(OR(E9080="""",K9080=""""),"""",IFERROR(IF(K9080="""","""",query('tbl user'!$A$2:$D10975,""SELECT A WHERE D = '""&amp;K9080&amp;""'"")),""USER TIDAK DIKETAHUI""))"),"")</f>
        <v/>
      </c>
    </row>
    <row r="9081">
      <c r="A9081" s="21" t="str">
        <f t="shared" si="3"/>
        <v/>
      </c>
      <c r="B9081" s="38"/>
      <c r="C9081" s="23"/>
      <c r="D9081" s="23"/>
      <c r="E9081" s="24"/>
      <c r="F9081" s="25"/>
      <c r="G9081" s="25"/>
      <c r="H9081" s="27"/>
      <c r="I9081" s="28"/>
      <c r="J9081" s="39"/>
      <c r="K9081" s="41"/>
      <c r="L9081" s="31" t="str">
        <f>IFERROR(__xludf.DUMMYFUNCTION("IF(OR(E9081="""",K9081=""""),"""",IFERROR(IF(K9081="""","""",query('tbl user'!$A$2:$D10975,""SELECT A WHERE D = '""&amp;K9081&amp;""'"")),""USER TIDAK DIKETAHUI""))"),"")</f>
        <v/>
      </c>
    </row>
    <row r="9082">
      <c r="A9082" s="21" t="str">
        <f t="shared" si="3"/>
        <v/>
      </c>
      <c r="B9082" s="38"/>
      <c r="C9082" s="23"/>
      <c r="D9082" s="23"/>
      <c r="E9082" s="24"/>
      <c r="F9082" s="25"/>
      <c r="G9082" s="25"/>
      <c r="H9082" s="27"/>
      <c r="I9082" s="28"/>
      <c r="J9082" s="39"/>
      <c r="K9082" s="41"/>
      <c r="L9082" s="31" t="str">
        <f>IFERROR(__xludf.DUMMYFUNCTION("IF(OR(E9082="""",K9082=""""),"""",IFERROR(IF(K9082="""","""",query('tbl user'!$A$2:$D10975,""SELECT A WHERE D = '""&amp;K9082&amp;""'"")),""USER TIDAK DIKETAHUI""))"),"")</f>
        <v/>
      </c>
    </row>
    <row r="9083">
      <c r="A9083" s="21" t="str">
        <f t="shared" si="3"/>
        <v/>
      </c>
      <c r="B9083" s="38"/>
      <c r="C9083" s="23"/>
      <c r="D9083" s="23"/>
      <c r="E9083" s="24"/>
      <c r="F9083" s="25"/>
      <c r="G9083" s="25"/>
      <c r="H9083" s="27"/>
      <c r="I9083" s="28"/>
      <c r="J9083" s="39"/>
      <c r="K9083" s="41"/>
      <c r="L9083" s="31" t="str">
        <f>IFERROR(__xludf.DUMMYFUNCTION("IF(OR(E9083="""",K9083=""""),"""",IFERROR(IF(K9083="""","""",query('tbl user'!$A$2:$D10975,""SELECT A WHERE D = '""&amp;K9083&amp;""'"")),""USER TIDAK DIKETAHUI""))"),"")</f>
        <v/>
      </c>
    </row>
    <row r="9084">
      <c r="A9084" s="21" t="str">
        <f t="shared" si="3"/>
        <v/>
      </c>
      <c r="B9084" s="38"/>
      <c r="C9084" s="23"/>
      <c r="D9084" s="23"/>
      <c r="E9084" s="24"/>
      <c r="F9084" s="25"/>
      <c r="G9084" s="25"/>
      <c r="H9084" s="27"/>
      <c r="I9084" s="28"/>
      <c r="J9084" s="39"/>
      <c r="K9084" s="41"/>
      <c r="L9084" s="31" t="str">
        <f>IFERROR(__xludf.DUMMYFUNCTION("IF(OR(E9084="""",K9084=""""),"""",IFERROR(IF(K9084="""","""",query('tbl user'!$A$2:$D10975,""SELECT A WHERE D = '""&amp;K9084&amp;""'"")),""USER TIDAK DIKETAHUI""))"),"")</f>
        <v/>
      </c>
    </row>
    <row r="9085">
      <c r="A9085" s="21" t="str">
        <f t="shared" si="3"/>
        <v/>
      </c>
      <c r="B9085" s="38"/>
      <c r="C9085" s="23"/>
      <c r="D9085" s="23"/>
      <c r="E9085" s="24"/>
      <c r="F9085" s="25"/>
      <c r="G9085" s="25"/>
      <c r="H9085" s="27"/>
      <c r="I9085" s="28"/>
      <c r="J9085" s="39"/>
      <c r="K9085" s="41"/>
      <c r="L9085" s="31" t="str">
        <f>IFERROR(__xludf.DUMMYFUNCTION("IF(OR(E9085="""",K9085=""""),"""",IFERROR(IF(K9085="""","""",query('tbl user'!$A$2:$D10975,""SELECT A WHERE D = '""&amp;K9085&amp;""'"")),""USER TIDAK DIKETAHUI""))"),"")</f>
        <v/>
      </c>
    </row>
    <row r="9086">
      <c r="A9086" s="21" t="str">
        <f t="shared" si="3"/>
        <v/>
      </c>
      <c r="B9086" s="38"/>
      <c r="C9086" s="23"/>
      <c r="D9086" s="23"/>
      <c r="E9086" s="24"/>
      <c r="F9086" s="25"/>
      <c r="G9086" s="25"/>
      <c r="H9086" s="27"/>
      <c r="I9086" s="28"/>
      <c r="J9086" s="39"/>
      <c r="K9086" s="41"/>
      <c r="L9086" s="31" t="str">
        <f>IFERROR(__xludf.DUMMYFUNCTION("IF(OR(E9086="""",K9086=""""),"""",IFERROR(IF(K9086="""","""",query('tbl user'!$A$2:$D10975,""SELECT A WHERE D = '""&amp;K9086&amp;""'"")),""USER TIDAK DIKETAHUI""))"),"")</f>
        <v/>
      </c>
    </row>
    <row r="9087">
      <c r="A9087" s="21" t="str">
        <f t="shared" si="3"/>
        <v/>
      </c>
      <c r="B9087" s="38"/>
      <c r="C9087" s="23"/>
      <c r="D9087" s="23"/>
      <c r="E9087" s="24"/>
      <c r="F9087" s="25"/>
      <c r="G9087" s="25"/>
      <c r="H9087" s="27"/>
      <c r="I9087" s="28"/>
      <c r="J9087" s="39"/>
      <c r="K9087" s="41"/>
      <c r="L9087" s="31" t="str">
        <f>IFERROR(__xludf.DUMMYFUNCTION("IF(OR(E9087="""",K9087=""""),"""",IFERROR(IF(K9087="""","""",query('tbl user'!$A$2:$D10975,""SELECT A WHERE D = '""&amp;K9087&amp;""'"")),""USER TIDAK DIKETAHUI""))"),"")</f>
        <v/>
      </c>
    </row>
    <row r="9088">
      <c r="A9088" s="21" t="str">
        <f t="shared" si="3"/>
        <v/>
      </c>
      <c r="B9088" s="38"/>
      <c r="C9088" s="23"/>
      <c r="D9088" s="23"/>
      <c r="E9088" s="24"/>
      <c r="F9088" s="25"/>
      <c r="G9088" s="25"/>
      <c r="H9088" s="27"/>
      <c r="I9088" s="28"/>
      <c r="J9088" s="39"/>
      <c r="K9088" s="41"/>
      <c r="L9088" s="31" t="str">
        <f>IFERROR(__xludf.DUMMYFUNCTION("IF(OR(E9088="""",K9088=""""),"""",IFERROR(IF(K9088="""","""",query('tbl user'!$A$2:$D10975,""SELECT A WHERE D = '""&amp;K9088&amp;""'"")),""USER TIDAK DIKETAHUI""))"),"")</f>
        <v/>
      </c>
    </row>
    <row r="9089">
      <c r="A9089" s="21" t="str">
        <f t="shared" si="3"/>
        <v/>
      </c>
      <c r="B9089" s="38"/>
      <c r="C9089" s="23"/>
      <c r="D9089" s="23"/>
      <c r="E9089" s="24"/>
      <c r="F9089" s="25"/>
      <c r="G9089" s="25"/>
      <c r="H9089" s="27"/>
      <c r="I9089" s="28"/>
      <c r="J9089" s="39"/>
      <c r="K9089" s="41"/>
      <c r="L9089" s="31" t="str">
        <f>IFERROR(__xludf.DUMMYFUNCTION("IF(OR(E9089="""",K9089=""""),"""",IFERROR(IF(K9089="""","""",query('tbl user'!$A$2:$D10975,""SELECT A WHERE D = '""&amp;K9089&amp;""'"")),""USER TIDAK DIKETAHUI""))"),"")</f>
        <v/>
      </c>
    </row>
    <row r="9090">
      <c r="A9090" s="21" t="str">
        <f t="shared" si="3"/>
        <v/>
      </c>
      <c r="B9090" s="38"/>
      <c r="C9090" s="23"/>
      <c r="D9090" s="23"/>
      <c r="E9090" s="24"/>
      <c r="F9090" s="25"/>
      <c r="G9090" s="25"/>
      <c r="H9090" s="27"/>
      <c r="I9090" s="28"/>
      <c r="J9090" s="39"/>
      <c r="K9090" s="41"/>
      <c r="L9090" s="31" t="str">
        <f>IFERROR(__xludf.DUMMYFUNCTION("IF(OR(E9090="""",K9090=""""),"""",IFERROR(IF(K9090="""","""",query('tbl user'!$A$2:$D10975,""SELECT A WHERE D = '""&amp;K9090&amp;""'"")),""USER TIDAK DIKETAHUI""))"),"")</f>
        <v/>
      </c>
    </row>
    <row r="9091">
      <c r="A9091" s="21" t="str">
        <f t="shared" si="3"/>
        <v/>
      </c>
      <c r="B9091" s="38"/>
      <c r="C9091" s="23"/>
      <c r="D9091" s="23"/>
      <c r="E9091" s="24"/>
      <c r="F9091" s="25"/>
      <c r="G9091" s="25"/>
      <c r="H9091" s="27"/>
      <c r="I9091" s="28"/>
      <c r="J9091" s="39"/>
      <c r="K9091" s="41"/>
      <c r="L9091" s="31" t="str">
        <f>IFERROR(__xludf.DUMMYFUNCTION("IF(OR(E9091="""",K9091=""""),"""",IFERROR(IF(K9091="""","""",query('tbl user'!$A$2:$D10975,""SELECT A WHERE D = '""&amp;K9091&amp;""'"")),""USER TIDAK DIKETAHUI""))"),"")</f>
        <v/>
      </c>
    </row>
    <row r="9092">
      <c r="A9092" s="21" t="str">
        <f t="shared" si="3"/>
        <v/>
      </c>
      <c r="B9092" s="38"/>
      <c r="C9092" s="23"/>
      <c r="D9092" s="23"/>
      <c r="E9092" s="24"/>
      <c r="F9092" s="25"/>
      <c r="G9092" s="25"/>
      <c r="H9092" s="27"/>
      <c r="I9092" s="28"/>
      <c r="J9092" s="39"/>
      <c r="K9092" s="41"/>
      <c r="L9092" s="31" t="str">
        <f>IFERROR(__xludf.DUMMYFUNCTION("IF(OR(E9092="""",K9092=""""),"""",IFERROR(IF(K9092="""","""",query('tbl user'!$A$2:$D10975,""SELECT A WHERE D = '""&amp;K9092&amp;""'"")),""USER TIDAK DIKETAHUI""))"),"")</f>
        <v/>
      </c>
    </row>
    <row r="9093">
      <c r="A9093" s="21" t="str">
        <f t="shared" si="3"/>
        <v/>
      </c>
      <c r="B9093" s="38"/>
      <c r="C9093" s="23"/>
      <c r="D9093" s="23"/>
      <c r="E9093" s="24"/>
      <c r="F9093" s="25"/>
      <c r="G9093" s="25"/>
      <c r="H9093" s="27"/>
      <c r="I9093" s="28"/>
      <c r="J9093" s="39"/>
      <c r="K9093" s="41"/>
      <c r="L9093" s="31" t="str">
        <f>IFERROR(__xludf.DUMMYFUNCTION("IF(OR(E9093="""",K9093=""""),"""",IFERROR(IF(K9093="""","""",query('tbl user'!$A$2:$D10975,""SELECT A WHERE D = '""&amp;K9093&amp;""'"")),""USER TIDAK DIKETAHUI""))"),"")</f>
        <v/>
      </c>
    </row>
    <row r="9094">
      <c r="A9094" s="21" t="str">
        <f t="shared" si="3"/>
        <v/>
      </c>
      <c r="B9094" s="38"/>
      <c r="C9094" s="23"/>
      <c r="D9094" s="23"/>
      <c r="E9094" s="24"/>
      <c r="F9094" s="25"/>
      <c r="G9094" s="25"/>
      <c r="H9094" s="27"/>
      <c r="I9094" s="28"/>
      <c r="J9094" s="39"/>
      <c r="K9094" s="41"/>
      <c r="L9094" s="31" t="str">
        <f>IFERROR(__xludf.DUMMYFUNCTION("IF(OR(E9094="""",K9094=""""),"""",IFERROR(IF(K9094="""","""",query('tbl user'!$A$2:$D10975,""SELECT A WHERE D = '""&amp;K9094&amp;""'"")),""USER TIDAK DIKETAHUI""))"),"")</f>
        <v/>
      </c>
    </row>
    <row r="9095">
      <c r="A9095" s="21" t="str">
        <f t="shared" si="3"/>
        <v/>
      </c>
      <c r="B9095" s="38"/>
      <c r="C9095" s="23"/>
      <c r="D9095" s="23"/>
      <c r="E9095" s="24"/>
      <c r="F9095" s="25"/>
      <c r="G9095" s="25"/>
      <c r="H9095" s="27"/>
      <c r="I9095" s="28"/>
      <c r="J9095" s="39"/>
      <c r="K9095" s="41"/>
      <c r="L9095" s="31" t="str">
        <f>IFERROR(__xludf.DUMMYFUNCTION("IF(OR(E9095="""",K9095=""""),"""",IFERROR(IF(K9095="""","""",query('tbl user'!$A$2:$D10975,""SELECT A WHERE D = '""&amp;K9095&amp;""'"")),""USER TIDAK DIKETAHUI""))"),"")</f>
        <v/>
      </c>
    </row>
    <row r="9096">
      <c r="A9096" s="21" t="str">
        <f t="shared" si="3"/>
        <v/>
      </c>
      <c r="B9096" s="38"/>
      <c r="C9096" s="23"/>
      <c r="D9096" s="23"/>
      <c r="E9096" s="24"/>
      <c r="F9096" s="25"/>
      <c r="G9096" s="25"/>
      <c r="H9096" s="27"/>
      <c r="I9096" s="28"/>
      <c r="J9096" s="39"/>
      <c r="K9096" s="41"/>
      <c r="L9096" s="31" t="str">
        <f>IFERROR(__xludf.DUMMYFUNCTION("IF(OR(E9096="""",K9096=""""),"""",IFERROR(IF(K9096="""","""",query('tbl user'!$A$2:$D10975,""SELECT A WHERE D = '""&amp;K9096&amp;""'"")),""USER TIDAK DIKETAHUI""))"),"")</f>
        <v/>
      </c>
    </row>
    <row r="9097">
      <c r="A9097" s="21" t="str">
        <f t="shared" si="3"/>
        <v/>
      </c>
      <c r="B9097" s="38"/>
      <c r="C9097" s="23"/>
      <c r="D9097" s="23"/>
      <c r="E9097" s="24"/>
      <c r="F9097" s="25"/>
      <c r="G9097" s="25"/>
      <c r="H9097" s="27"/>
      <c r="I9097" s="28"/>
      <c r="J9097" s="39"/>
      <c r="K9097" s="41"/>
      <c r="L9097" s="31" t="str">
        <f>IFERROR(__xludf.DUMMYFUNCTION("IF(OR(E9097="""",K9097=""""),"""",IFERROR(IF(K9097="""","""",query('tbl user'!$A$2:$D10975,""SELECT A WHERE D = '""&amp;K9097&amp;""'"")),""USER TIDAK DIKETAHUI""))"),"")</f>
        <v/>
      </c>
    </row>
    <row r="9098">
      <c r="A9098" s="21" t="str">
        <f t="shared" si="3"/>
        <v/>
      </c>
      <c r="B9098" s="38"/>
      <c r="C9098" s="23"/>
      <c r="D9098" s="23"/>
      <c r="E9098" s="24"/>
      <c r="F9098" s="25"/>
      <c r="G9098" s="25"/>
      <c r="H9098" s="27"/>
      <c r="I9098" s="28"/>
      <c r="J9098" s="39"/>
      <c r="K9098" s="41"/>
      <c r="L9098" s="31" t="str">
        <f>IFERROR(__xludf.DUMMYFUNCTION("IF(OR(E9098="""",K9098=""""),"""",IFERROR(IF(K9098="""","""",query('tbl user'!$A$2:$D10975,""SELECT A WHERE D = '""&amp;K9098&amp;""'"")),""USER TIDAK DIKETAHUI""))"),"")</f>
        <v/>
      </c>
    </row>
    <row r="9099">
      <c r="A9099" s="21" t="str">
        <f t="shared" si="3"/>
        <v/>
      </c>
      <c r="B9099" s="38"/>
      <c r="C9099" s="23"/>
      <c r="D9099" s="23"/>
      <c r="E9099" s="24"/>
      <c r="F9099" s="25"/>
      <c r="G9099" s="25"/>
      <c r="H9099" s="27"/>
      <c r="I9099" s="28"/>
      <c r="J9099" s="39"/>
      <c r="K9099" s="41"/>
      <c r="L9099" s="31" t="str">
        <f>IFERROR(__xludf.DUMMYFUNCTION("IF(OR(E9099="""",K9099=""""),"""",IFERROR(IF(K9099="""","""",query('tbl user'!$A$2:$D10975,""SELECT A WHERE D = '""&amp;K9099&amp;""'"")),""USER TIDAK DIKETAHUI""))"),"")</f>
        <v/>
      </c>
    </row>
    <row r="9100">
      <c r="A9100" s="21" t="str">
        <f t="shared" si="3"/>
        <v/>
      </c>
      <c r="B9100" s="38"/>
      <c r="C9100" s="23"/>
      <c r="D9100" s="23"/>
      <c r="E9100" s="24"/>
      <c r="F9100" s="25"/>
      <c r="G9100" s="25"/>
      <c r="H9100" s="27"/>
      <c r="I9100" s="28"/>
      <c r="J9100" s="39"/>
      <c r="K9100" s="41"/>
      <c r="L9100" s="31" t="str">
        <f>IFERROR(__xludf.DUMMYFUNCTION("IF(OR(E9100="""",K9100=""""),"""",IFERROR(IF(K9100="""","""",query('tbl user'!$A$2:$D10975,""SELECT A WHERE D = '""&amp;K9100&amp;""'"")),""USER TIDAK DIKETAHUI""))"),"")</f>
        <v/>
      </c>
    </row>
    <row r="9101">
      <c r="A9101" s="21" t="str">
        <f t="shared" si="3"/>
        <v/>
      </c>
      <c r="B9101" s="38"/>
      <c r="C9101" s="23"/>
      <c r="D9101" s="23"/>
      <c r="E9101" s="24"/>
      <c r="F9101" s="25"/>
      <c r="G9101" s="25"/>
      <c r="H9101" s="27"/>
      <c r="I9101" s="28"/>
      <c r="J9101" s="39"/>
      <c r="K9101" s="41"/>
      <c r="L9101" s="31" t="str">
        <f>IFERROR(__xludf.DUMMYFUNCTION("IF(OR(E9101="""",K9101=""""),"""",IFERROR(IF(K9101="""","""",query('tbl user'!$A$2:$D10975,""SELECT A WHERE D = '""&amp;K9101&amp;""'"")),""USER TIDAK DIKETAHUI""))"),"")</f>
        <v/>
      </c>
    </row>
    <row r="9102">
      <c r="A9102" s="21" t="str">
        <f t="shared" si="3"/>
        <v/>
      </c>
      <c r="B9102" s="38"/>
      <c r="C9102" s="23"/>
      <c r="D9102" s="23"/>
      <c r="E9102" s="24"/>
      <c r="F9102" s="25"/>
      <c r="G9102" s="25"/>
      <c r="H9102" s="27"/>
      <c r="I9102" s="28"/>
      <c r="J9102" s="39"/>
      <c r="K9102" s="41"/>
      <c r="L9102" s="31" t="str">
        <f>IFERROR(__xludf.DUMMYFUNCTION("IF(OR(E9102="""",K9102=""""),"""",IFERROR(IF(K9102="""","""",query('tbl user'!$A$2:$D10975,""SELECT A WHERE D = '""&amp;K9102&amp;""'"")),""USER TIDAK DIKETAHUI""))"),"")</f>
        <v/>
      </c>
    </row>
    <row r="9103">
      <c r="A9103" s="21" t="str">
        <f t="shared" si="3"/>
        <v/>
      </c>
      <c r="B9103" s="38"/>
      <c r="C9103" s="23"/>
      <c r="D9103" s="23"/>
      <c r="E9103" s="24"/>
      <c r="F9103" s="25"/>
      <c r="G9103" s="25"/>
      <c r="H9103" s="27"/>
      <c r="I9103" s="28"/>
      <c r="J9103" s="39"/>
      <c r="K9103" s="41"/>
      <c r="L9103" s="31" t="str">
        <f>IFERROR(__xludf.DUMMYFUNCTION("IF(OR(E9103="""",K9103=""""),"""",IFERROR(IF(K9103="""","""",query('tbl user'!$A$2:$D10975,""SELECT A WHERE D = '""&amp;K9103&amp;""'"")),""USER TIDAK DIKETAHUI""))"),"")</f>
        <v/>
      </c>
    </row>
    <row r="9104">
      <c r="A9104" s="21" t="str">
        <f t="shared" si="3"/>
        <v/>
      </c>
      <c r="B9104" s="38"/>
      <c r="C9104" s="23"/>
      <c r="D9104" s="23"/>
      <c r="E9104" s="24"/>
      <c r="F9104" s="25"/>
      <c r="G9104" s="25"/>
      <c r="H9104" s="27"/>
      <c r="I9104" s="28"/>
      <c r="J9104" s="39"/>
      <c r="K9104" s="41"/>
      <c r="L9104" s="31" t="str">
        <f>IFERROR(__xludf.DUMMYFUNCTION("IF(OR(E9104="""",K9104=""""),"""",IFERROR(IF(K9104="""","""",query('tbl user'!$A$2:$D10975,""SELECT A WHERE D = '""&amp;K9104&amp;""'"")),""USER TIDAK DIKETAHUI""))"),"")</f>
        <v/>
      </c>
    </row>
    <row r="9105">
      <c r="A9105" s="21" t="str">
        <f t="shared" si="3"/>
        <v/>
      </c>
      <c r="B9105" s="38"/>
      <c r="C9105" s="23"/>
      <c r="D9105" s="23"/>
      <c r="E9105" s="24"/>
      <c r="F9105" s="25"/>
      <c r="G9105" s="25"/>
      <c r="H9105" s="27"/>
      <c r="I9105" s="28"/>
      <c r="J9105" s="39"/>
      <c r="K9105" s="41"/>
      <c r="L9105" s="31" t="str">
        <f>IFERROR(__xludf.DUMMYFUNCTION("IF(OR(E9105="""",K9105=""""),"""",IFERROR(IF(K9105="""","""",query('tbl user'!$A$2:$D10975,""SELECT A WHERE D = '""&amp;K9105&amp;""'"")),""USER TIDAK DIKETAHUI""))"),"")</f>
        <v/>
      </c>
    </row>
    <row r="9106">
      <c r="A9106" s="21" t="str">
        <f t="shared" si="3"/>
        <v/>
      </c>
      <c r="B9106" s="38"/>
      <c r="C9106" s="23"/>
      <c r="D9106" s="23"/>
      <c r="E9106" s="24"/>
      <c r="F9106" s="25"/>
      <c r="G9106" s="25"/>
      <c r="H9106" s="27"/>
      <c r="I9106" s="28"/>
      <c r="J9106" s="39"/>
      <c r="K9106" s="41"/>
      <c r="L9106" s="31" t="str">
        <f>IFERROR(__xludf.DUMMYFUNCTION("IF(OR(E9106="""",K9106=""""),"""",IFERROR(IF(K9106="""","""",query('tbl user'!$A$2:$D10975,""SELECT A WHERE D = '""&amp;K9106&amp;""'"")),""USER TIDAK DIKETAHUI""))"),"")</f>
        <v/>
      </c>
    </row>
    <row r="9107">
      <c r="A9107" s="21" t="str">
        <f t="shared" si="3"/>
        <v/>
      </c>
      <c r="B9107" s="38"/>
      <c r="C9107" s="23"/>
      <c r="D9107" s="23"/>
      <c r="E9107" s="24"/>
      <c r="F9107" s="25"/>
      <c r="G9107" s="25"/>
      <c r="H9107" s="27"/>
      <c r="I9107" s="28"/>
      <c r="J9107" s="39"/>
      <c r="K9107" s="41"/>
      <c r="L9107" s="31" t="str">
        <f>IFERROR(__xludf.DUMMYFUNCTION("IF(OR(E9107="""",K9107=""""),"""",IFERROR(IF(K9107="""","""",query('tbl user'!$A$2:$D10975,""SELECT A WHERE D = '""&amp;K9107&amp;""'"")),""USER TIDAK DIKETAHUI""))"),"")</f>
        <v/>
      </c>
    </row>
    <row r="9108">
      <c r="A9108" s="21" t="str">
        <f t="shared" si="3"/>
        <v/>
      </c>
      <c r="B9108" s="38"/>
      <c r="C9108" s="23"/>
      <c r="D9108" s="23"/>
      <c r="E9108" s="24"/>
      <c r="F9108" s="25"/>
      <c r="G9108" s="25"/>
      <c r="H9108" s="27"/>
      <c r="I9108" s="28"/>
      <c r="J9108" s="39"/>
      <c r="K9108" s="41"/>
      <c r="L9108" s="31" t="str">
        <f>IFERROR(__xludf.DUMMYFUNCTION("IF(OR(E9108="""",K9108=""""),"""",IFERROR(IF(K9108="""","""",query('tbl user'!$A$2:$D10975,""SELECT A WHERE D = '""&amp;K9108&amp;""'"")),""USER TIDAK DIKETAHUI""))"),"")</f>
        <v/>
      </c>
    </row>
    <row r="9109">
      <c r="A9109" s="21" t="str">
        <f t="shared" si="3"/>
        <v/>
      </c>
      <c r="B9109" s="38"/>
      <c r="C9109" s="23"/>
      <c r="D9109" s="23"/>
      <c r="E9109" s="24"/>
      <c r="F9109" s="25"/>
      <c r="G9109" s="25"/>
      <c r="H9109" s="27"/>
      <c r="I9109" s="28"/>
      <c r="J9109" s="39"/>
      <c r="K9109" s="41"/>
      <c r="L9109" s="31" t="str">
        <f>IFERROR(__xludf.DUMMYFUNCTION("IF(OR(E9109="""",K9109=""""),"""",IFERROR(IF(K9109="""","""",query('tbl user'!$A$2:$D10975,""SELECT A WHERE D = '""&amp;K9109&amp;""'"")),""USER TIDAK DIKETAHUI""))"),"")</f>
        <v/>
      </c>
    </row>
    <row r="9110">
      <c r="A9110" s="21" t="str">
        <f t="shared" si="3"/>
        <v/>
      </c>
      <c r="B9110" s="38"/>
      <c r="C9110" s="23"/>
      <c r="D9110" s="23"/>
      <c r="E9110" s="24"/>
      <c r="F9110" s="25"/>
      <c r="G9110" s="25"/>
      <c r="H9110" s="27"/>
      <c r="I9110" s="28"/>
      <c r="J9110" s="39"/>
      <c r="K9110" s="41"/>
      <c r="L9110" s="31" t="str">
        <f>IFERROR(__xludf.DUMMYFUNCTION("IF(OR(E9110="""",K9110=""""),"""",IFERROR(IF(K9110="""","""",query('tbl user'!$A$2:$D10975,""SELECT A WHERE D = '""&amp;K9110&amp;""'"")),""USER TIDAK DIKETAHUI""))"),"")</f>
        <v/>
      </c>
    </row>
    <row r="9111">
      <c r="A9111" s="21" t="str">
        <f t="shared" si="3"/>
        <v/>
      </c>
      <c r="B9111" s="38"/>
      <c r="C9111" s="23"/>
      <c r="D9111" s="23"/>
      <c r="E9111" s="24"/>
      <c r="F9111" s="25"/>
      <c r="G9111" s="25"/>
      <c r="H9111" s="27"/>
      <c r="I9111" s="28"/>
      <c r="J9111" s="39"/>
      <c r="K9111" s="41"/>
      <c r="L9111" s="31" t="str">
        <f>IFERROR(__xludf.DUMMYFUNCTION("IF(OR(E9111="""",K9111=""""),"""",IFERROR(IF(K9111="""","""",query('tbl user'!$A$2:$D10975,""SELECT A WHERE D = '""&amp;K9111&amp;""'"")),""USER TIDAK DIKETAHUI""))"),"")</f>
        <v/>
      </c>
    </row>
    <row r="9112">
      <c r="A9112" s="21" t="str">
        <f t="shared" si="3"/>
        <v/>
      </c>
      <c r="B9112" s="38"/>
      <c r="C9112" s="23"/>
      <c r="D9112" s="23"/>
      <c r="E9112" s="24"/>
      <c r="F9112" s="25"/>
      <c r="G9112" s="25"/>
      <c r="H9112" s="27"/>
      <c r="I9112" s="28"/>
      <c r="J9112" s="39"/>
      <c r="K9112" s="41"/>
      <c r="L9112" s="31" t="str">
        <f>IFERROR(__xludf.DUMMYFUNCTION("IF(OR(E9112="""",K9112=""""),"""",IFERROR(IF(K9112="""","""",query('tbl user'!$A$2:$D10975,""SELECT A WHERE D = '""&amp;K9112&amp;""'"")),""USER TIDAK DIKETAHUI""))"),"")</f>
        <v/>
      </c>
    </row>
    <row r="9113">
      <c r="A9113" s="21" t="str">
        <f t="shared" si="3"/>
        <v/>
      </c>
      <c r="B9113" s="38"/>
      <c r="C9113" s="23"/>
      <c r="D9113" s="23"/>
      <c r="E9113" s="24"/>
      <c r="F9113" s="25"/>
      <c r="G9113" s="25"/>
      <c r="H9113" s="27"/>
      <c r="I9113" s="28"/>
      <c r="J9113" s="39"/>
      <c r="K9113" s="41"/>
      <c r="L9113" s="31" t="str">
        <f>IFERROR(__xludf.DUMMYFUNCTION("IF(OR(E9113="""",K9113=""""),"""",IFERROR(IF(K9113="""","""",query('tbl user'!$A$2:$D10975,""SELECT A WHERE D = '""&amp;K9113&amp;""'"")),""USER TIDAK DIKETAHUI""))"),"")</f>
        <v/>
      </c>
    </row>
    <row r="9114">
      <c r="A9114" s="21" t="str">
        <f t="shared" si="3"/>
        <v/>
      </c>
      <c r="B9114" s="38"/>
      <c r="C9114" s="23"/>
      <c r="D9114" s="23"/>
      <c r="E9114" s="24"/>
      <c r="F9114" s="25"/>
      <c r="G9114" s="25"/>
      <c r="H9114" s="27"/>
      <c r="I9114" s="28"/>
      <c r="J9114" s="39"/>
      <c r="K9114" s="41"/>
      <c r="L9114" s="31" t="str">
        <f>IFERROR(__xludf.DUMMYFUNCTION("IF(OR(E9114="""",K9114=""""),"""",IFERROR(IF(K9114="""","""",query('tbl user'!$A$2:$D10975,""SELECT A WHERE D = '""&amp;K9114&amp;""'"")),""USER TIDAK DIKETAHUI""))"),"")</f>
        <v/>
      </c>
    </row>
    <row r="9115">
      <c r="A9115" s="21" t="str">
        <f t="shared" si="3"/>
        <v/>
      </c>
      <c r="B9115" s="38"/>
      <c r="C9115" s="23"/>
      <c r="D9115" s="23"/>
      <c r="E9115" s="24"/>
      <c r="F9115" s="25"/>
      <c r="G9115" s="25"/>
      <c r="H9115" s="27"/>
      <c r="I9115" s="28"/>
      <c r="J9115" s="39"/>
      <c r="K9115" s="41"/>
      <c r="L9115" s="31" t="str">
        <f>IFERROR(__xludf.DUMMYFUNCTION("IF(OR(E9115="""",K9115=""""),"""",IFERROR(IF(K9115="""","""",query('tbl user'!$A$2:$D10975,""SELECT A WHERE D = '""&amp;K9115&amp;""'"")),""USER TIDAK DIKETAHUI""))"),"")</f>
        <v/>
      </c>
    </row>
    <row r="9116">
      <c r="A9116" s="21" t="str">
        <f t="shared" si="3"/>
        <v/>
      </c>
      <c r="B9116" s="38"/>
      <c r="C9116" s="23"/>
      <c r="D9116" s="23"/>
      <c r="E9116" s="24"/>
      <c r="F9116" s="25"/>
      <c r="G9116" s="25"/>
      <c r="H9116" s="27"/>
      <c r="I9116" s="28"/>
      <c r="J9116" s="39"/>
      <c r="K9116" s="41"/>
      <c r="L9116" s="31" t="str">
        <f>IFERROR(__xludf.DUMMYFUNCTION("IF(OR(E9116="""",K9116=""""),"""",IFERROR(IF(K9116="""","""",query('tbl user'!$A$2:$D10975,""SELECT A WHERE D = '""&amp;K9116&amp;""'"")),""USER TIDAK DIKETAHUI""))"),"")</f>
        <v/>
      </c>
    </row>
    <row r="9117">
      <c r="A9117" s="21" t="str">
        <f t="shared" si="3"/>
        <v/>
      </c>
      <c r="B9117" s="38"/>
      <c r="C9117" s="23"/>
      <c r="D9117" s="23"/>
      <c r="E9117" s="24"/>
      <c r="F9117" s="25"/>
      <c r="G9117" s="25"/>
      <c r="H9117" s="27"/>
      <c r="I9117" s="28"/>
      <c r="J9117" s="39"/>
      <c r="K9117" s="41"/>
      <c r="L9117" s="31" t="str">
        <f>IFERROR(__xludf.DUMMYFUNCTION("IF(OR(E9117="""",K9117=""""),"""",IFERROR(IF(K9117="""","""",query('tbl user'!$A$2:$D10975,""SELECT A WHERE D = '""&amp;K9117&amp;""'"")),""USER TIDAK DIKETAHUI""))"),"")</f>
        <v/>
      </c>
    </row>
    <row r="9118">
      <c r="A9118" s="21" t="str">
        <f t="shared" si="3"/>
        <v/>
      </c>
      <c r="B9118" s="38"/>
      <c r="C9118" s="23"/>
      <c r="D9118" s="23"/>
      <c r="E9118" s="24"/>
      <c r="F9118" s="25"/>
      <c r="G9118" s="25"/>
      <c r="H9118" s="27"/>
      <c r="I9118" s="28"/>
      <c r="J9118" s="39"/>
      <c r="K9118" s="41"/>
      <c r="L9118" s="31" t="str">
        <f>IFERROR(__xludf.DUMMYFUNCTION("IF(OR(E9118="""",K9118=""""),"""",IFERROR(IF(K9118="""","""",query('tbl user'!$A$2:$D10975,""SELECT A WHERE D = '""&amp;K9118&amp;""'"")),""USER TIDAK DIKETAHUI""))"),"")</f>
        <v/>
      </c>
    </row>
    <row r="9119">
      <c r="A9119" s="21" t="str">
        <f t="shared" si="3"/>
        <v/>
      </c>
      <c r="B9119" s="38"/>
      <c r="C9119" s="23"/>
      <c r="D9119" s="23"/>
      <c r="E9119" s="24"/>
      <c r="F9119" s="25"/>
      <c r="G9119" s="25"/>
      <c r="H9119" s="27"/>
      <c r="I9119" s="28"/>
      <c r="J9119" s="39"/>
      <c r="K9119" s="41"/>
      <c r="L9119" s="31" t="str">
        <f>IFERROR(__xludf.DUMMYFUNCTION("IF(OR(E9119="""",K9119=""""),"""",IFERROR(IF(K9119="""","""",query('tbl user'!$A$2:$D10975,""SELECT A WHERE D = '""&amp;K9119&amp;""'"")),""USER TIDAK DIKETAHUI""))"),"")</f>
        <v/>
      </c>
    </row>
    <row r="9120">
      <c r="A9120" s="21" t="str">
        <f t="shared" si="3"/>
        <v/>
      </c>
      <c r="B9120" s="38"/>
      <c r="C9120" s="23"/>
      <c r="D9120" s="23"/>
      <c r="E9120" s="24"/>
      <c r="F9120" s="25"/>
      <c r="G9120" s="25"/>
      <c r="H9120" s="27"/>
      <c r="I9120" s="28"/>
      <c r="J9120" s="39"/>
      <c r="K9120" s="41"/>
      <c r="L9120" s="31" t="str">
        <f>IFERROR(__xludf.DUMMYFUNCTION("IF(OR(E9120="""",K9120=""""),"""",IFERROR(IF(K9120="""","""",query('tbl user'!$A$2:$D10975,""SELECT A WHERE D = '""&amp;K9120&amp;""'"")),""USER TIDAK DIKETAHUI""))"),"")</f>
        <v/>
      </c>
    </row>
    <row r="9121">
      <c r="A9121" s="21" t="str">
        <f t="shared" si="3"/>
        <v/>
      </c>
      <c r="B9121" s="38"/>
      <c r="C9121" s="23"/>
      <c r="D9121" s="23"/>
      <c r="E9121" s="24"/>
      <c r="F9121" s="25"/>
      <c r="G9121" s="25"/>
      <c r="H9121" s="27"/>
      <c r="I9121" s="28"/>
      <c r="J9121" s="39"/>
      <c r="K9121" s="41"/>
      <c r="L9121" s="31" t="str">
        <f>IFERROR(__xludf.DUMMYFUNCTION("IF(OR(E9121="""",K9121=""""),"""",IFERROR(IF(K9121="""","""",query('tbl user'!$A$2:$D10975,""SELECT A WHERE D = '""&amp;K9121&amp;""'"")),""USER TIDAK DIKETAHUI""))"),"")</f>
        <v/>
      </c>
    </row>
    <row r="9122">
      <c r="A9122" s="21" t="str">
        <f t="shared" si="3"/>
        <v/>
      </c>
      <c r="B9122" s="38"/>
      <c r="C9122" s="23"/>
      <c r="D9122" s="23"/>
      <c r="E9122" s="24"/>
      <c r="F9122" s="25"/>
      <c r="G9122" s="25"/>
      <c r="H9122" s="27"/>
      <c r="I9122" s="28"/>
      <c r="J9122" s="39"/>
      <c r="K9122" s="41"/>
      <c r="L9122" s="31" t="str">
        <f>IFERROR(__xludf.DUMMYFUNCTION("IF(OR(E9122="""",K9122=""""),"""",IFERROR(IF(K9122="""","""",query('tbl user'!$A$2:$D10975,""SELECT A WHERE D = '""&amp;K9122&amp;""'"")),""USER TIDAK DIKETAHUI""))"),"")</f>
        <v/>
      </c>
    </row>
    <row r="9123">
      <c r="A9123" s="21" t="str">
        <f t="shared" si="3"/>
        <v/>
      </c>
      <c r="B9123" s="38"/>
      <c r="C9123" s="23"/>
      <c r="D9123" s="23"/>
      <c r="E9123" s="24"/>
      <c r="F9123" s="25"/>
      <c r="G9123" s="25"/>
      <c r="H9123" s="27"/>
      <c r="I9123" s="28"/>
      <c r="J9123" s="39"/>
      <c r="K9123" s="41"/>
      <c r="L9123" s="31" t="str">
        <f>IFERROR(__xludf.DUMMYFUNCTION("IF(OR(E9123="""",K9123=""""),"""",IFERROR(IF(K9123="""","""",query('tbl user'!$A$2:$D10975,""SELECT A WHERE D = '""&amp;K9123&amp;""'"")),""USER TIDAK DIKETAHUI""))"),"")</f>
        <v/>
      </c>
    </row>
    <row r="9124">
      <c r="A9124" s="21" t="str">
        <f t="shared" si="3"/>
        <v/>
      </c>
      <c r="B9124" s="38"/>
      <c r="C9124" s="23"/>
      <c r="D9124" s="23"/>
      <c r="E9124" s="24"/>
      <c r="F9124" s="25"/>
      <c r="G9124" s="25"/>
      <c r="H9124" s="27"/>
      <c r="I9124" s="28"/>
      <c r="J9124" s="39"/>
      <c r="K9124" s="41"/>
      <c r="L9124" s="31" t="str">
        <f>IFERROR(__xludf.DUMMYFUNCTION("IF(OR(E9124="""",K9124=""""),"""",IFERROR(IF(K9124="""","""",query('tbl user'!$A$2:$D10975,""SELECT A WHERE D = '""&amp;K9124&amp;""'"")),""USER TIDAK DIKETAHUI""))"),"")</f>
        <v/>
      </c>
    </row>
    <row r="9125">
      <c r="A9125" s="21" t="str">
        <f t="shared" si="3"/>
        <v/>
      </c>
      <c r="B9125" s="38"/>
      <c r="C9125" s="23"/>
      <c r="D9125" s="23"/>
      <c r="E9125" s="24"/>
      <c r="F9125" s="25"/>
      <c r="G9125" s="25"/>
      <c r="H9125" s="27"/>
      <c r="I9125" s="28"/>
      <c r="J9125" s="39"/>
      <c r="K9125" s="41"/>
      <c r="L9125" s="31" t="str">
        <f>IFERROR(__xludf.DUMMYFUNCTION("IF(OR(E9125="""",K9125=""""),"""",IFERROR(IF(K9125="""","""",query('tbl user'!$A$2:$D10975,""SELECT A WHERE D = '""&amp;K9125&amp;""'"")),""USER TIDAK DIKETAHUI""))"),"")</f>
        <v/>
      </c>
    </row>
    <row r="9126">
      <c r="A9126" s="21" t="str">
        <f t="shared" si="3"/>
        <v/>
      </c>
      <c r="B9126" s="38"/>
      <c r="C9126" s="23"/>
      <c r="D9126" s="23"/>
      <c r="E9126" s="24"/>
      <c r="F9126" s="25"/>
      <c r="G9126" s="25"/>
      <c r="H9126" s="27"/>
      <c r="I9126" s="28"/>
      <c r="J9126" s="39"/>
      <c r="K9126" s="41"/>
      <c r="L9126" s="31" t="str">
        <f>IFERROR(__xludf.DUMMYFUNCTION("IF(OR(E9126="""",K9126=""""),"""",IFERROR(IF(K9126="""","""",query('tbl user'!$A$2:$D10975,""SELECT A WHERE D = '""&amp;K9126&amp;""'"")),""USER TIDAK DIKETAHUI""))"),"")</f>
        <v/>
      </c>
    </row>
    <row r="9127">
      <c r="A9127" s="21" t="str">
        <f t="shared" si="3"/>
        <v/>
      </c>
      <c r="B9127" s="38"/>
      <c r="C9127" s="23"/>
      <c r="D9127" s="23"/>
      <c r="E9127" s="24"/>
      <c r="F9127" s="25"/>
      <c r="G9127" s="25"/>
      <c r="H9127" s="27"/>
      <c r="I9127" s="28"/>
      <c r="J9127" s="39"/>
      <c r="K9127" s="41"/>
      <c r="L9127" s="31" t="str">
        <f>IFERROR(__xludf.DUMMYFUNCTION("IF(OR(E9127="""",K9127=""""),"""",IFERROR(IF(K9127="""","""",query('tbl user'!$A$2:$D10975,""SELECT A WHERE D = '""&amp;K9127&amp;""'"")),""USER TIDAK DIKETAHUI""))"),"")</f>
        <v/>
      </c>
    </row>
    <row r="9128">
      <c r="A9128" s="21" t="str">
        <f t="shared" si="3"/>
        <v/>
      </c>
      <c r="B9128" s="38"/>
      <c r="C9128" s="23"/>
      <c r="D9128" s="23"/>
      <c r="E9128" s="24"/>
      <c r="F9128" s="25"/>
      <c r="G9128" s="25"/>
      <c r="H9128" s="27"/>
      <c r="I9128" s="28"/>
      <c r="J9128" s="39"/>
      <c r="K9128" s="41"/>
      <c r="L9128" s="31" t="str">
        <f>IFERROR(__xludf.DUMMYFUNCTION("IF(OR(E9128="""",K9128=""""),"""",IFERROR(IF(K9128="""","""",query('tbl user'!$A$2:$D10975,""SELECT A WHERE D = '""&amp;K9128&amp;""'"")),""USER TIDAK DIKETAHUI""))"),"")</f>
        <v/>
      </c>
    </row>
    <row r="9129">
      <c r="A9129" s="21" t="str">
        <f t="shared" si="3"/>
        <v/>
      </c>
      <c r="B9129" s="38"/>
      <c r="C9129" s="23"/>
      <c r="D9129" s="23"/>
      <c r="E9129" s="24"/>
      <c r="F9129" s="25"/>
      <c r="G9129" s="25"/>
      <c r="H9129" s="27"/>
      <c r="I9129" s="28"/>
      <c r="J9129" s="39"/>
      <c r="K9129" s="41"/>
      <c r="L9129" s="31" t="str">
        <f>IFERROR(__xludf.DUMMYFUNCTION("IF(OR(E9129="""",K9129=""""),"""",IFERROR(IF(K9129="""","""",query('tbl user'!$A$2:$D10975,""SELECT A WHERE D = '""&amp;K9129&amp;""'"")),""USER TIDAK DIKETAHUI""))"),"")</f>
        <v/>
      </c>
    </row>
    <row r="9130">
      <c r="A9130" s="21" t="str">
        <f t="shared" si="3"/>
        <v/>
      </c>
      <c r="B9130" s="38"/>
      <c r="C9130" s="23"/>
      <c r="D9130" s="23"/>
      <c r="E9130" s="24"/>
      <c r="F9130" s="25"/>
      <c r="G9130" s="25"/>
      <c r="H9130" s="27"/>
      <c r="I9130" s="28"/>
      <c r="J9130" s="39"/>
      <c r="K9130" s="41"/>
      <c r="L9130" s="31" t="str">
        <f>IFERROR(__xludf.DUMMYFUNCTION("IF(OR(E9130="""",K9130=""""),"""",IFERROR(IF(K9130="""","""",query('tbl user'!$A$2:$D10975,""SELECT A WHERE D = '""&amp;K9130&amp;""'"")),""USER TIDAK DIKETAHUI""))"),"")</f>
        <v/>
      </c>
    </row>
    <row r="9131">
      <c r="A9131" s="21" t="str">
        <f t="shared" si="3"/>
        <v/>
      </c>
      <c r="B9131" s="38"/>
      <c r="C9131" s="23"/>
      <c r="D9131" s="23"/>
      <c r="E9131" s="24"/>
      <c r="F9131" s="25"/>
      <c r="G9131" s="25"/>
      <c r="H9131" s="27"/>
      <c r="I9131" s="28"/>
      <c r="J9131" s="39"/>
      <c r="K9131" s="41"/>
      <c r="L9131" s="31" t="str">
        <f>IFERROR(__xludf.DUMMYFUNCTION("IF(OR(E9131="""",K9131=""""),"""",IFERROR(IF(K9131="""","""",query('tbl user'!$A$2:$D10975,""SELECT A WHERE D = '""&amp;K9131&amp;""'"")),""USER TIDAK DIKETAHUI""))"),"")</f>
        <v/>
      </c>
    </row>
    <row r="9132">
      <c r="A9132" s="21" t="str">
        <f t="shared" si="3"/>
        <v/>
      </c>
      <c r="B9132" s="38"/>
      <c r="C9132" s="23"/>
      <c r="D9132" s="23"/>
      <c r="E9132" s="24"/>
      <c r="F9132" s="25"/>
      <c r="G9132" s="25"/>
      <c r="H9132" s="27"/>
      <c r="I9132" s="28"/>
      <c r="J9132" s="39"/>
      <c r="K9132" s="41"/>
      <c r="L9132" s="31" t="str">
        <f>IFERROR(__xludf.DUMMYFUNCTION("IF(OR(E9132="""",K9132=""""),"""",IFERROR(IF(K9132="""","""",query('tbl user'!$A$2:$D10975,""SELECT A WHERE D = '""&amp;K9132&amp;""'"")),""USER TIDAK DIKETAHUI""))"),"")</f>
        <v/>
      </c>
    </row>
    <row r="9133">
      <c r="A9133" s="21" t="str">
        <f t="shared" si="3"/>
        <v/>
      </c>
      <c r="B9133" s="38"/>
      <c r="C9133" s="23"/>
      <c r="D9133" s="23"/>
      <c r="E9133" s="24"/>
      <c r="F9133" s="25"/>
      <c r="G9133" s="25"/>
      <c r="H9133" s="27"/>
      <c r="I9133" s="28"/>
      <c r="J9133" s="39"/>
      <c r="K9133" s="41"/>
      <c r="L9133" s="31" t="str">
        <f>IFERROR(__xludf.DUMMYFUNCTION("IF(OR(E9133="""",K9133=""""),"""",IFERROR(IF(K9133="""","""",query('tbl user'!$A$2:$D10975,""SELECT A WHERE D = '""&amp;K9133&amp;""'"")),""USER TIDAK DIKETAHUI""))"),"")</f>
        <v/>
      </c>
    </row>
    <row r="9134">
      <c r="A9134" s="21" t="str">
        <f t="shared" si="3"/>
        <v/>
      </c>
      <c r="B9134" s="38"/>
      <c r="C9134" s="23"/>
      <c r="D9134" s="23"/>
      <c r="E9134" s="24"/>
      <c r="F9134" s="25"/>
      <c r="G9134" s="25"/>
      <c r="H9134" s="27"/>
      <c r="I9134" s="28"/>
      <c r="J9134" s="39"/>
      <c r="K9134" s="41"/>
      <c r="L9134" s="31" t="str">
        <f>IFERROR(__xludf.DUMMYFUNCTION("IF(OR(E9134="""",K9134=""""),"""",IFERROR(IF(K9134="""","""",query('tbl user'!$A$2:$D10975,""SELECT A WHERE D = '""&amp;K9134&amp;""'"")),""USER TIDAK DIKETAHUI""))"),"")</f>
        <v/>
      </c>
    </row>
    <row r="9135">
      <c r="A9135" s="21" t="str">
        <f t="shared" si="3"/>
        <v/>
      </c>
      <c r="B9135" s="38"/>
      <c r="C9135" s="23"/>
      <c r="D9135" s="23"/>
      <c r="E9135" s="24"/>
      <c r="F9135" s="25"/>
      <c r="G9135" s="25"/>
      <c r="H9135" s="27"/>
      <c r="I9135" s="28"/>
      <c r="J9135" s="39"/>
      <c r="K9135" s="41"/>
      <c r="L9135" s="31" t="str">
        <f>IFERROR(__xludf.DUMMYFUNCTION("IF(OR(E9135="""",K9135=""""),"""",IFERROR(IF(K9135="""","""",query('tbl user'!$A$2:$D10975,""SELECT A WHERE D = '""&amp;K9135&amp;""'"")),""USER TIDAK DIKETAHUI""))"),"")</f>
        <v/>
      </c>
    </row>
    <row r="9136">
      <c r="A9136" s="21" t="str">
        <f t="shared" si="3"/>
        <v/>
      </c>
      <c r="B9136" s="38"/>
      <c r="C9136" s="23"/>
      <c r="D9136" s="23"/>
      <c r="E9136" s="24"/>
      <c r="F9136" s="25"/>
      <c r="G9136" s="25"/>
      <c r="H9136" s="27"/>
      <c r="I9136" s="28"/>
      <c r="J9136" s="39"/>
      <c r="K9136" s="41"/>
      <c r="L9136" s="31" t="str">
        <f>IFERROR(__xludf.DUMMYFUNCTION("IF(OR(E9136="""",K9136=""""),"""",IFERROR(IF(K9136="""","""",query('tbl user'!$A$2:$D10975,""SELECT A WHERE D = '""&amp;K9136&amp;""'"")),""USER TIDAK DIKETAHUI""))"),"")</f>
        <v/>
      </c>
    </row>
    <row r="9137">
      <c r="A9137" s="21" t="str">
        <f t="shared" si="3"/>
        <v/>
      </c>
      <c r="B9137" s="38"/>
      <c r="C9137" s="23"/>
      <c r="D9137" s="23"/>
      <c r="E9137" s="24"/>
      <c r="F9137" s="25"/>
      <c r="G9137" s="25"/>
      <c r="H9137" s="27"/>
      <c r="I9137" s="28"/>
      <c r="J9137" s="39"/>
      <c r="K9137" s="41"/>
      <c r="L9137" s="31" t="str">
        <f>IFERROR(__xludf.DUMMYFUNCTION("IF(OR(E9137="""",K9137=""""),"""",IFERROR(IF(K9137="""","""",query('tbl user'!$A$2:$D10975,""SELECT A WHERE D = '""&amp;K9137&amp;""'"")),""USER TIDAK DIKETAHUI""))"),"")</f>
        <v/>
      </c>
    </row>
    <row r="9138">
      <c r="A9138" s="21" t="str">
        <f t="shared" si="3"/>
        <v/>
      </c>
      <c r="B9138" s="38"/>
      <c r="C9138" s="23"/>
      <c r="D9138" s="23"/>
      <c r="E9138" s="24"/>
      <c r="F9138" s="25"/>
      <c r="G9138" s="25"/>
      <c r="H9138" s="27"/>
      <c r="I9138" s="28"/>
      <c r="J9138" s="39"/>
      <c r="K9138" s="41"/>
      <c r="L9138" s="31" t="str">
        <f>IFERROR(__xludf.DUMMYFUNCTION("IF(OR(E9138="""",K9138=""""),"""",IFERROR(IF(K9138="""","""",query('tbl user'!$A$2:$D10975,""SELECT A WHERE D = '""&amp;K9138&amp;""'"")),""USER TIDAK DIKETAHUI""))"),"")</f>
        <v/>
      </c>
    </row>
    <row r="9139">
      <c r="A9139" s="21" t="str">
        <f t="shared" si="3"/>
        <v/>
      </c>
      <c r="B9139" s="38"/>
      <c r="C9139" s="23"/>
      <c r="D9139" s="23"/>
      <c r="E9139" s="24"/>
      <c r="F9139" s="25"/>
      <c r="G9139" s="25"/>
      <c r="H9139" s="27"/>
      <c r="I9139" s="28"/>
      <c r="J9139" s="39"/>
      <c r="K9139" s="41"/>
      <c r="L9139" s="31" t="str">
        <f>IFERROR(__xludf.DUMMYFUNCTION("IF(OR(E9139="""",K9139=""""),"""",IFERROR(IF(K9139="""","""",query('tbl user'!$A$2:$D10975,""SELECT A WHERE D = '""&amp;K9139&amp;""'"")),""USER TIDAK DIKETAHUI""))"),"")</f>
        <v/>
      </c>
    </row>
    <row r="9140">
      <c r="A9140" s="21" t="str">
        <f t="shared" si="3"/>
        <v/>
      </c>
      <c r="B9140" s="38"/>
      <c r="C9140" s="23"/>
      <c r="D9140" s="23"/>
      <c r="E9140" s="24"/>
      <c r="F9140" s="25"/>
      <c r="G9140" s="25"/>
      <c r="H9140" s="27"/>
      <c r="I9140" s="28"/>
      <c r="J9140" s="39"/>
      <c r="K9140" s="41"/>
      <c r="L9140" s="31" t="str">
        <f>IFERROR(__xludf.DUMMYFUNCTION("IF(OR(E9140="""",K9140=""""),"""",IFERROR(IF(K9140="""","""",query('tbl user'!$A$2:$D10975,""SELECT A WHERE D = '""&amp;K9140&amp;""'"")),""USER TIDAK DIKETAHUI""))"),"")</f>
        <v/>
      </c>
    </row>
    <row r="9141">
      <c r="A9141" s="21" t="str">
        <f t="shared" si="3"/>
        <v/>
      </c>
      <c r="B9141" s="38"/>
      <c r="C9141" s="23"/>
      <c r="D9141" s="23"/>
      <c r="E9141" s="24"/>
      <c r="F9141" s="25"/>
      <c r="G9141" s="25"/>
      <c r="H9141" s="27"/>
      <c r="I9141" s="28"/>
      <c r="J9141" s="39"/>
      <c r="K9141" s="41"/>
      <c r="L9141" s="31" t="str">
        <f>IFERROR(__xludf.DUMMYFUNCTION("IF(OR(E9141="""",K9141=""""),"""",IFERROR(IF(K9141="""","""",query('tbl user'!$A$2:$D10975,""SELECT A WHERE D = '""&amp;K9141&amp;""'"")),""USER TIDAK DIKETAHUI""))"),"")</f>
        <v/>
      </c>
    </row>
    <row r="9142">
      <c r="A9142" s="21" t="str">
        <f t="shared" si="3"/>
        <v/>
      </c>
      <c r="B9142" s="38"/>
      <c r="C9142" s="23"/>
      <c r="D9142" s="23"/>
      <c r="E9142" s="24"/>
      <c r="F9142" s="25"/>
      <c r="G9142" s="25"/>
      <c r="H9142" s="27"/>
      <c r="I9142" s="28"/>
      <c r="J9142" s="39"/>
      <c r="K9142" s="41"/>
      <c r="L9142" s="31" t="str">
        <f>IFERROR(__xludf.DUMMYFUNCTION("IF(OR(E9142="""",K9142=""""),"""",IFERROR(IF(K9142="""","""",query('tbl user'!$A$2:$D10975,""SELECT A WHERE D = '""&amp;K9142&amp;""'"")),""USER TIDAK DIKETAHUI""))"),"")</f>
        <v/>
      </c>
    </row>
    <row r="9143">
      <c r="A9143" s="21" t="str">
        <f t="shared" si="3"/>
        <v/>
      </c>
      <c r="B9143" s="38"/>
      <c r="C9143" s="23"/>
      <c r="D9143" s="23"/>
      <c r="E9143" s="24"/>
      <c r="F9143" s="25"/>
      <c r="G9143" s="25"/>
      <c r="H9143" s="27"/>
      <c r="I9143" s="28"/>
      <c r="J9143" s="39"/>
      <c r="K9143" s="41"/>
      <c r="L9143" s="31" t="str">
        <f>IFERROR(__xludf.DUMMYFUNCTION("IF(OR(E9143="""",K9143=""""),"""",IFERROR(IF(K9143="""","""",query('tbl user'!$A$2:$D10975,""SELECT A WHERE D = '""&amp;K9143&amp;""'"")),""USER TIDAK DIKETAHUI""))"),"")</f>
        <v/>
      </c>
    </row>
    <row r="9144">
      <c r="A9144" s="21" t="str">
        <f t="shared" si="3"/>
        <v/>
      </c>
      <c r="B9144" s="38"/>
      <c r="C9144" s="23"/>
      <c r="D9144" s="23"/>
      <c r="E9144" s="24"/>
      <c r="F9144" s="25"/>
      <c r="G9144" s="25"/>
      <c r="H9144" s="27"/>
      <c r="I9144" s="28"/>
      <c r="J9144" s="39"/>
      <c r="K9144" s="41"/>
      <c r="L9144" s="31" t="str">
        <f>IFERROR(__xludf.DUMMYFUNCTION("IF(OR(E9144="""",K9144=""""),"""",IFERROR(IF(K9144="""","""",query('tbl user'!$A$2:$D10975,""SELECT A WHERE D = '""&amp;K9144&amp;""'"")),""USER TIDAK DIKETAHUI""))"),"")</f>
        <v/>
      </c>
    </row>
    <row r="9145">
      <c r="A9145" s="21" t="str">
        <f t="shared" si="3"/>
        <v/>
      </c>
      <c r="B9145" s="38"/>
      <c r="C9145" s="23"/>
      <c r="D9145" s="23"/>
      <c r="E9145" s="24"/>
      <c r="F9145" s="25"/>
      <c r="G9145" s="25"/>
      <c r="H9145" s="27"/>
      <c r="I9145" s="28"/>
      <c r="J9145" s="39"/>
      <c r="K9145" s="41"/>
      <c r="L9145" s="31" t="str">
        <f>IFERROR(__xludf.DUMMYFUNCTION("IF(OR(E9145="""",K9145=""""),"""",IFERROR(IF(K9145="""","""",query('tbl user'!$A$2:$D10975,""SELECT A WHERE D = '""&amp;K9145&amp;""'"")),""USER TIDAK DIKETAHUI""))"),"")</f>
        <v/>
      </c>
    </row>
    <row r="9146">
      <c r="A9146" s="21" t="str">
        <f t="shared" si="3"/>
        <v/>
      </c>
      <c r="B9146" s="38"/>
      <c r="C9146" s="23"/>
      <c r="D9146" s="23"/>
      <c r="E9146" s="24"/>
      <c r="F9146" s="25"/>
      <c r="G9146" s="25"/>
      <c r="H9146" s="27"/>
      <c r="I9146" s="28"/>
      <c r="J9146" s="39"/>
      <c r="K9146" s="41"/>
      <c r="L9146" s="31" t="str">
        <f>IFERROR(__xludf.DUMMYFUNCTION("IF(OR(E9146="""",K9146=""""),"""",IFERROR(IF(K9146="""","""",query('tbl user'!$A$2:$D10975,""SELECT A WHERE D = '""&amp;K9146&amp;""'"")),""USER TIDAK DIKETAHUI""))"),"")</f>
        <v/>
      </c>
    </row>
    <row r="9147">
      <c r="A9147" s="21" t="str">
        <f t="shared" si="3"/>
        <v/>
      </c>
      <c r="B9147" s="38"/>
      <c r="C9147" s="23"/>
      <c r="D9147" s="23"/>
      <c r="E9147" s="24"/>
      <c r="F9147" s="25"/>
      <c r="G9147" s="25"/>
      <c r="H9147" s="27"/>
      <c r="I9147" s="28"/>
      <c r="J9147" s="39"/>
      <c r="K9147" s="41"/>
      <c r="L9147" s="31" t="str">
        <f>IFERROR(__xludf.DUMMYFUNCTION("IF(OR(E9147="""",K9147=""""),"""",IFERROR(IF(K9147="""","""",query('tbl user'!$A$2:$D10975,""SELECT A WHERE D = '""&amp;K9147&amp;""'"")),""USER TIDAK DIKETAHUI""))"),"")</f>
        <v/>
      </c>
    </row>
    <row r="9148">
      <c r="A9148" s="21" t="str">
        <f t="shared" si="3"/>
        <v/>
      </c>
      <c r="B9148" s="38"/>
      <c r="C9148" s="23"/>
      <c r="D9148" s="23"/>
      <c r="E9148" s="24"/>
      <c r="F9148" s="25"/>
      <c r="G9148" s="25"/>
      <c r="H9148" s="27"/>
      <c r="I9148" s="28"/>
      <c r="J9148" s="39"/>
      <c r="K9148" s="41"/>
      <c r="L9148" s="31" t="str">
        <f>IFERROR(__xludf.DUMMYFUNCTION("IF(OR(E9148="""",K9148=""""),"""",IFERROR(IF(K9148="""","""",query('tbl user'!$A$2:$D10975,""SELECT A WHERE D = '""&amp;K9148&amp;""'"")),""USER TIDAK DIKETAHUI""))"),"")</f>
        <v/>
      </c>
    </row>
    <row r="9149">
      <c r="A9149" s="21" t="str">
        <f t="shared" si="3"/>
        <v/>
      </c>
      <c r="B9149" s="38"/>
      <c r="C9149" s="23"/>
      <c r="D9149" s="23"/>
      <c r="E9149" s="24"/>
      <c r="F9149" s="25"/>
      <c r="G9149" s="25"/>
      <c r="H9149" s="27"/>
      <c r="I9149" s="28"/>
      <c r="J9149" s="39"/>
      <c r="K9149" s="41"/>
      <c r="L9149" s="31" t="str">
        <f>IFERROR(__xludf.DUMMYFUNCTION("IF(OR(E9149="""",K9149=""""),"""",IFERROR(IF(K9149="""","""",query('tbl user'!$A$2:$D10975,""SELECT A WHERE D = '""&amp;K9149&amp;""'"")),""USER TIDAK DIKETAHUI""))"),"")</f>
        <v/>
      </c>
    </row>
    <row r="9150">
      <c r="A9150" s="21" t="str">
        <f t="shared" si="3"/>
        <v/>
      </c>
      <c r="B9150" s="38"/>
      <c r="C9150" s="23"/>
      <c r="D9150" s="23"/>
      <c r="E9150" s="24"/>
      <c r="F9150" s="25"/>
      <c r="G9150" s="25"/>
      <c r="H9150" s="27"/>
      <c r="I9150" s="28"/>
      <c r="J9150" s="39"/>
      <c r="K9150" s="41"/>
      <c r="L9150" s="31" t="str">
        <f>IFERROR(__xludf.DUMMYFUNCTION("IF(OR(E9150="""",K9150=""""),"""",IFERROR(IF(K9150="""","""",query('tbl user'!$A$2:$D10975,""SELECT A WHERE D = '""&amp;K9150&amp;""'"")),""USER TIDAK DIKETAHUI""))"),"")</f>
        <v/>
      </c>
    </row>
    <row r="9151">
      <c r="A9151" s="21" t="str">
        <f t="shared" si="3"/>
        <v/>
      </c>
      <c r="B9151" s="38"/>
      <c r="C9151" s="23"/>
      <c r="D9151" s="23"/>
      <c r="E9151" s="24"/>
      <c r="F9151" s="25"/>
      <c r="G9151" s="25"/>
      <c r="H9151" s="27"/>
      <c r="I9151" s="28"/>
      <c r="J9151" s="39"/>
      <c r="K9151" s="41"/>
      <c r="L9151" s="31" t="str">
        <f>IFERROR(__xludf.DUMMYFUNCTION("IF(OR(E9151="""",K9151=""""),"""",IFERROR(IF(K9151="""","""",query('tbl user'!$A$2:$D10975,""SELECT A WHERE D = '""&amp;K9151&amp;""'"")),""USER TIDAK DIKETAHUI""))"),"")</f>
        <v/>
      </c>
    </row>
    <row r="9152">
      <c r="A9152" s="21" t="str">
        <f t="shared" si="3"/>
        <v/>
      </c>
      <c r="B9152" s="38"/>
      <c r="C9152" s="23"/>
      <c r="D9152" s="23"/>
      <c r="E9152" s="24"/>
      <c r="F9152" s="25"/>
      <c r="G9152" s="25"/>
      <c r="H9152" s="27"/>
      <c r="I9152" s="28"/>
      <c r="J9152" s="39"/>
      <c r="K9152" s="41"/>
      <c r="L9152" s="31" t="str">
        <f>IFERROR(__xludf.DUMMYFUNCTION("IF(OR(E9152="""",K9152=""""),"""",IFERROR(IF(K9152="""","""",query('tbl user'!$A$2:$D10975,""SELECT A WHERE D = '""&amp;K9152&amp;""'"")),""USER TIDAK DIKETAHUI""))"),"")</f>
        <v/>
      </c>
    </row>
    <row r="9153">
      <c r="A9153" s="21" t="str">
        <f t="shared" si="3"/>
        <v/>
      </c>
      <c r="B9153" s="38"/>
      <c r="C9153" s="23"/>
      <c r="D9153" s="23"/>
      <c r="E9153" s="24"/>
      <c r="F9153" s="25"/>
      <c r="G9153" s="25"/>
      <c r="H9153" s="27"/>
      <c r="I9153" s="28"/>
      <c r="J9153" s="39"/>
      <c r="K9153" s="41"/>
      <c r="L9153" s="31" t="str">
        <f>IFERROR(__xludf.DUMMYFUNCTION("IF(OR(E9153="""",K9153=""""),"""",IFERROR(IF(K9153="""","""",query('tbl user'!$A$2:$D10975,""SELECT A WHERE D = '""&amp;K9153&amp;""'"")),""USER TIDAK DIKETAHUI""))"),"")</f>
        <v/>
      </c>
    </row>
    <row r="9154">
      <c r="A9154" s="21" t="str">
        <f t="shared" si="3"/>
        <v/>
      </c>
      <c r="B9154" s="38"/>
      <c r="C9154" s="23"/>
      <c r="D9154" s="23"/>
      <c r="E9154" s="24"/>
      <c r="F9154" s="25"/>
      <c r="G9154" s="25"/>
      <c r="H9154" s="27"/>
      <c r="I9154" s="28"/>
      <c r="J9154" s="39"/>
      <c r="K9154" s="41"/>
      <c r="L9154" s="31" t="str">
        <f>IFERROR(__xludf.DUMMYFUNCTION("IF(OR(E9154="""",K9154=""""),"""",IFERROR(IF(K9154="""","""",query('tbl user'!$A$2:$D10975,""SELECT A WHERE D = '""&amp;K9154&amp;""'"")),""USER TIDAK DIKETAHUI""))"),"")</f>
        <v/>
      </c>
    </row>
    <row r="9155">
      <c r="A9155" s="21" t="str">
        <f t="shared" si="3"/>
        <v/>
      </c>
      <c r="B9155" s="38"/>
      <c r="C9155" s="23"/>
      <c r="D9155" s="23"/>
      <c r="E9155" s="24"/>
      <c r="F9155" s="25"/>
      <c r="G9155" s="25"/>
      <c r="H9155" s="27"/>
      <c r="I9155" s="28"/>
      <c r="J9155" s="39"/>
      <c r="K9155" s="41"/>
      <c r="L9155" s="31" t="str">
        <f>IFERROR(__xludf.DUMMYFUNCTION("IF(OR(E9155="""",K9155=""""),"""",IFERROR(IF(K9155="""","""",query('tbl user'!$A$2:$D10975,""SELECT A WHERE D = '""&amp;K9155&amp;""'"")),""USER TIDAK DIKETAHUI""))"),"")</f>
        <v/>
      </c>
    </row>
    <row r="9156">
      <c r="A9156" s="21" t="str">
        <f t="shared" si="3"/>
        <v/>
      </c>
      <c r="B9156" s="38"/>
      <c r="C9156" s="23"/>
      <c r="D9156" s="23"/>
      <c r="E9156" s="24"/>
      <c r="F9156" s="25"/>
      <c r="G9156" s="25"/>
      <c r="H9156" s="27"/>
      <c r="I9156" s="28"/>
      <c r="J9156" s="39"/>
      <c r="K9156" s="41"/>
      <c r="L9156" s="31" t="str">
        <f>IFERROR(__xludf.DUMMYFUNCTION("IF(OR(E9156="""",K9156=""""),"""",IFERROR(IF(K9156="""","""",query('tbl user'!$A$2:$D10975,""SELECT A WHERE D = '""&amp;K9156&amp;""'"")),""USER TIDAK DIKETAHUI""))"),"")</f>
        <v/>
      </c>
    </row>
    <row r="9157">
      <c r="A9157" s="21" t="str">
        <f t="shared" si="3"/>
        <v/>
      </c>
      <c r="B9157" s="38"/>
      <c r="C9157" s="23"/>
      <c r="D9157" s="23"/>
      <c r="E9157" s="24"/>
      <c r="F9157" s="25"/>
      <c r="G9157" s="25"/>
      <c r="H9157" s="27"/>
      <c r="I9157" s="28"/>
      <c r="J9157" s="39"/>
      <c r="K9157" s="41"/>
      <c r="L9157" s="31" t="str">
        <f>IFERROR(__xludf.DUMMYFUNCTION("IF(OR(E9157="""",K9157=""""),"""",IFERROR(IF(K9157="""","""",query('tbl user'!$A$2:$D10975,""SELECT A WHERE D = '""&amp;K9157&amp;""'"")),""USER TIDAK DIKETAHUI""))"),"")</f>
        <v/>
      </c>
    </row>
    <row r="9158">
      <c r="A9158" s="21" t="str">
        <f t="shared" si="3"/>
        <v/>
      </c>
      <c r="B9158" s="38"/>
      <c r="C9158" s="23"/>
      <c r="D9158" s="23"/>
      <c r="E9158" s="24"/>
      <c r="F9158" s="25"/>
      <c r="G9158" s="25"/>
      <c r="H9158" s="27"/>
      <c r="I9158" s="28"/>
      <c r="J9158" s="39"/>
      <c r="K9158" s="41"/>
      <c r="L9158" s="31" t="str">
        <f>IFERROR(__xludf.DUMMYFUNCTION("IF(OR(E9158="""",K9158=""""),"""",IFERROR(IF(K9158="""","""",query('tbl user'!$A$2:$D10975,""SELECT A WHERE D = '""&amp;K9158&amp;""'"")),""USER TIDAK DIKETAHUI""))"),"")</f>
        <v/>
      </c>
    </row>
    <row r="9159">
      <c r="A9159" s="21" t="str">
        <f t="shared" si="3"/>
        <v/>
      </c>
      <c r="B9159" s="38"/>
      <c r="C9159" s="23"/>
      <c r="D9159" s="23"/>
      <c r="E9159" s="24"/>
      <c r="F9159" s="25"/>
      <c r="G9159" s="25"/>
      <c r="H9159" s="27"/>
      <c r="I9159" s="28"/>
      <c r="J9159" s="39"/>
      <c r="K9159" s="41"/>
      <c r="L9159" s="31" t="str">
        <f>IFERROR(__xludf.DUMMYFUNCTION("IF(OR(E9159="""",K9159=""""),"""",IFERROR(IF(K9159="""","""",query('tbl user'!$A$2:$D10975,""SELECT A WHERE D = '""&amp;K9159&amp;""'"")),""USER TIDAK DIKETAHUI""))"),"")</f>
        <v/>
      </c>
    </row>
    <row r="9160">
      <c r="A9160" s="21" t="str">
        <f t="shared" si="3"/>
        <v/>
      </c>
      <c r="B9160" s="38"/>
      <c r="C9160" s="23"/>
      <c r="D9160" s="23"/>
      <c r="E9160" s="24"/>
      <c r="F9160" s="25"/>
      <c r="G9160" s="25"/>
      <c r="H9160" s="27"/>
      <c r="I9160" s="28"/>
      <c r="J9160" s="39"/>
      <c r="K9160" s="41"/>
      <c r="L9160" s="31" t="str">
        <f>IFERROR(__xludf.DUMMYFUNCTION("IF(OR(E9160="""",K9160=""""),"""",IFERROR(IF(K9160="""","""",query('tbl user'!$A$2:$D10975,""SELECT A WHERE D = '""&amp;K9160&amp;""'"")),""USER TIDAK DIKETAHUI""))"),"")</f>
        <v/>
      </c>
    </row>
    <row r="9161">
      <c r="A9161" s="21" t="str">
        <f t="shared" si="3"/>
        <v/>
      </c>
      <c r="B9161" s="38"/>
      <c r="C9161" s="23"/>
      <c r="D9161" s="23"/>
      <c r="E9161" s="24"/>
      <c r="F9161" s="25"/>
      <c r="G9161" s="25"/>
      <c r="H9161" s="27"/>
      <c r="I9161" s="28"/>
      <c r="J9161" s="39"/>
      <c r="K9161" s="41"/>
      <c r="L9161" s="31" t="str">
        <f>IFERROR(__xludf.DUMMYFUNCTION("IF(OR(E9161="""",K9161=""""),"""",IFERROR(IF(K9161="""","""",query('tbl user'!$A$2:$D10975,""SELECT A WHERE D = '""&amp;K9161&amp;""'"")),""USER TIDAK DIKETAHUI""))"),"")</f>
        <v/>
      </c>
    </row>
    <row r="9162">
      <c r="A9162" s="21" t="str">
        <f t="shared" si="3"/>
        <v/>
      </c>
      <c r="B9162" s="38"/>
      <c r="C9162" s="23"/>
      <c r="D9162" s="23"/>
      <c r="E9162" s="24"/>
      <c r="F9162" s="25"/>
      <c r="G9162" s="25"/>
      <c r="H9162" s="27"/>
      <c r="I9162" s="28"/>
      <c r="J9162" s="39"/>
      <c r="K9162" s="41"/>
      <c r="L9162" s="31" t="str">
        <f>IFERROR(__xludf.DUMMYFUNCTION("IF(OR(E9162="""",K9162=""""),"""",IFERROR(IF(K9162="""","""",query('tbl user'!$A$2:$D10975,""SELECT A WHERE D = '""&amp;K9162&amp;""'"")),""USER TIDAK DIKETAHUI""))"),"")</f>
        <v/>
      </c>
    </row>
    <row r="9163">
      <c r="A9163" s="21" t="str">
        <f t="shared" si="3"/>
        <v/>
      </c>
      <c r="B9163" s="38"/>
      <c r="C9163" s="23"/>
      <c r="D9163" s="23"/>
      <c r="E9163" s="24"/>
      <c r="F9163" s="25"/>
      <c r="G9163" s="25"/>
      <c r="H9163" s="27"/>
      <c r="I9163" s="28"/>
      <c r="J9163" s="39"/>
      <c r="K9163" s="41"/>
      <c r="L9163" s="31" t="str">
        <f>IFERROR(__xludf.DUMMYFUNCTION("IF(OR(E9163="""",K9163=""""),"""",IFERROR(IF(K9163="""","""",query('tbl user'!$A$2:$D10975,""SELECT A WHERE D = '""&amp;K9163&amp;""'"")),""USER TIDAK DIKETAHUI""))"),"")</f>
        <v/>
      </c>
    </row>
    <row r="9164">
      <c r="A9164" s="21" t="str">
        <f t="shared" si="3"/>
        <v/>
      </c>
      <c r="B9164" s="38"/>
      <c r="C9164" s="23"/>
      <c r="D9164" s="23"/>
      <c r="E9164" s="24"/>
      <c r="F9164" s="25"/>
      <c r="G9164" s="25"/>
      <c r="H9164" s="27"/>
      <c r="I9164" s="28"/>
      <c r="J9164" s="39"/>
      <c r="K9164" s="41"/>
      <c r="L9164" s="31" t="str">
        <f>IFERROR(__xludf.DUMMYFUNCTION("IF(OR(E9164="""",K9164=""""),"""",IFERROR(IF(K9164="""","""",query('tbl user'!$A$2:$D10975,""SELECT A WHERE D = '""&amp;K9164&amp;""'"")),""USER TIDAK DIKETAHUI""))"),"")</f>
        <v/>
      </c>
    </row>
    <row r="9165">
      <c r="A9165" s="21" t="str">
        <f t="shared" si="3"/>
        <v/>
      </c>
      <c r="B9165" s="38"/>
      <c r="C9165" s="23"/>
      <c r="D9165" s="23"/>
      <c r="E9165" s="24"/>
      <c r="F9165" s="25"/>
      <c r="G9165" s="25"/>
      <c r="H9165" s="27"/>
      <c r="I9165" s="28"/>
      <c r="J9165" s="39"/>
      <c r="K9165" s="41"/>
      <c r="L9165" s="31" t="str">
        <f>IFERROR(__xludf.DUMMYFUNCTION("IF(OR(E9165="""",K9165=""""),"""",IFERROR(IF(K9165="""","""",query('tbl user'!$A$2:$D10975,""SELECT A WHERE D = '""&amp;K9165&amp;""'"")),""USER TIDAK DIKETAHUI""))"),"")</f>
        <v/>
      </c>
    </row>
    <row r="9166">
      <c r="A9166" s="21" t="str">
        <f t="shared" si="3"/>
        <v/>
      </c>
      <c r="B9166" s="38"/>
      <c r="C9166" s="23"/>
      <c r="D9166" s="23"/>
      <c r="E9166" s="24"/>
      <c r="F9166" s="25"/>
      <c r="G9166" s="25"/>
      <c r="H9166" s="27"/>
      <c r="I9166" s="28"/>
      <c r="J9166" s="39"/>
      <c r="K9166" s="41"/>
      <c r="L9166" s="31" t="str">
        <f>IFERROR(__xludf.DUMMYFUNCTION("IF(OR(E9166="""",K9166=""""),"""",IFERROR(IF(K9166="""","""",query('tbl user'!$A$2:$D10975,""SELECT A WHERE D = '""&amp;K9166&amp;""'"")),""USER TIDAK DIKETAHUI""))"),"")</f>
        <v/>
      </c>
    </row>
    <row r="9167">
      <c r="A9167" s="21" t="str">
        <f t="shared" si="3"/>
        <v/>
      </c>
      <c r="B9167" s="38"/>
      <c r="C9167" s="23"/>
      <c r="D9167" s="23"/>
      <c r="E9167" s="24"/>
      <c r="F9167" s="25"/>
      <c r="G9167" s="25"/>
      <c r="H9167" s="27"/>
      <c r="I9167" s="28"/>
      <c r="J9167" s="39"/>
      <c r="K9167" s="41"/>
      <c r="L9167" s="31" t="str">
        <f>IFERROR(__xludf.DUMMYFUNCTION("IF(OR(E9167="""",K9167=""""),"""",IFERROR(IF(K9167="""","""",query('tbl user'!$A$2:$D10975,""SELECT A WHERE D = '""&amp;K9167&amp;""'"")),""USER TIDAK DIKETAHUI""))"),"")</f>
        <v/>
      </c>
    </row>
    <row r="9168">
      <c r="A9168" s="21" t="str">
        <f t="shared" si="3"/>
        <v/>
      </c>
      <c r="B9168" s="38"/>
      <c r="C9168" s="23"/>
      <c r="D9168" s="23"/>
      <c r="E9168" s="24"/>
      <c r="F9168" s="25"/>
      <c r="G9168" s="25"/>
      <c r="H9168" s="27"/>
      <c r="I9168" s="28"/>
      <c r="J9168" s="39"/>
      <c r="K9168" s="41"/>
      <c r="L9168" s="31" t="str">
        <f>IFERROR(__xludf.DUMMYFUNCTION("IF(OR(E9168="""",K9168=""""),"""",IFERROR(IF(K9168="""","""",query('tbl user'!$A$2:$D10975,""SELECT A WHERE D = '""&amp;K9168&amp;""'"")),""USER TIDAK DIKETAHUI""))"),"")</f>
        <v/>
      </c>
    </row>
    <row r="9169">
      <c r="A9169" s="21" t="str">
        <f t="shared" si="3"/>
        <v/>
      </c>
      <c r="B9169" s="38"/>
      <c r="C9169" s="23"/>
      <c r="D9169" s="23"/>
      <c r="E9169" s="24"/>
      <c r="F9169" s="25"/>
      <c r="G9169" s="25"/>
      <c r="H9169" s="27"/>
      <c r="I9169" s="28"/>
      <c r="J9169" s="39"/>
      <c r="K9169" s="41"/>
      <c r="L9169" s="31" t="str">
        <f>IFERROR(__xludf.DUMMYFUNCTION("IF(OR(E9169="""",K9169=""""),"""",IFERROR(IF(K9169="""","""",query('tbl user'!$A$2:$D10975,""SELECT A WHERE D = '""&amp;K9169&amp;""'"")),""USER TIDAK DIKETAHUI""))"),"")</f>
        <v/>
      </c>
    </row>
    <row r="9170">
      <c r="A9170" s="21" t="str">
        <f t="shared" si="3"/>
        <v/>
      </c>
      <c r="B9170" s="38"/>
      <c r="C9170" s="23"/>
      <c r="D9170" s="23"/>
      <c r="E9170" s="24"/>
      <c r="F9170" s="25"/>
      <c r="G9170" s="25"/>
      <c r="H9170" s="27"/>
      <c r="I9170" s="28"/>
      <c r="J9170" s="39"/>
      <c r="K9170" s="41"/>
      <c r="L9170" s="31" t="str">
        <f>IFERROR(__xludf.DUMMYFUNCTION("IF(OR(E9170="""",K9170=""""),"""",IFERROR(IF(K9170="""","""",query('tbl user'!$A$2:$D10975,""SELECT A WHERE D = '""&amp;K9170&amp;""'"")),""USER TIDAK DIKETAHUI""))"),"")</f>
        <v/>
      </c>
    </row>
    <row r="9171">
      <c r="A9171" s="21" t="str">
        <f t="shared" si="3"/>
        <v/>
      </c>
      <c r="B9171" s="38"/>
      <c r="C9171" s="23"/>
      <c r="D9171" s="23"/>
      <c r="E9171" s="24"/>
      <c r="F9171" s="25"/>
      <c r="G9171" s="25"/>
      <c r="H9171" s="27"/>
      <c r="I9171" s="28"/>
      <c r="J9171" s="39"/>
      <c r="K9171" s="41"/>
      <c r="L9171" s="31" t="str">
        <f>IFERROR(__xludf.DUMMYFUNCTION("IF(OR(E9171="""",K9171=""""),"""",IFERROR(IF(K9171="""","""",query('tbl user'!$A$2:$D10975,""SELECT A WHERE D = '""&amp;K9171&amp;""'"")),""USER TIDAK DIKETAHUI""))"),"")</f>
        <v/>
      </c>
    </row>
    <row r="9172">
      <c r="A9172" s="21" t="str">
        <f t="shared" si="3"/>
        <v/>
      </c>
      <c r="B9172" s="38"/>
      <c r="C9172" s="23"/>
      <c r="D9172" s="23"/>
      <c r="E9172" s="24"/>
      <c r="F9172" s="25"/>
      <c r="G9172" s="25"/>
      <c r="H9172" s="27"/>
      <c r="I9172" s="28"/>
      <c r="J9172" s="39"/>
      <c r="K9172" s="41"/>
      <c r="L9172" s="31" t="str">
        <f>IFERROR(__xludf.DUMMYFUNCTION("IF(OR(E9172="""",K9172=""""),"""",IFERROR(IF(K9172="""","""",query('tbl user'!$A$2:$D10975,""SELECT A WHERE D = '""&amp;K9172&amp;""'"")),""USER TIDAK DIKETAHUI""))"),"")</f>
        <v/>
      </c>
    </row>
    <row r="9173">
      <c r="A9173" s="21" t="str">
        <f t="shared" si="3"/>
        <v/>
      </c>
      <c r="B9173" s="38"/>
      <c r="C9173" s="23"/>
      <c r="D9173" s="23"/>
      <c r="E9173" s="24"/>
      <c r="F9173" s="25"/>
      <c r="G9173" s="25"/>
      <c r="H9173" s="27"/>
      <c r="I9173" s="28"/>
      <c r="J9173" s="39"/>
      <c r="K9173" s="41"/>
      <c r="L9173" s="31" t="str">
        <f>IFERROR(__xludf.DUMMYFUNCTION("IF(OR(E9173="""",K9173=""""),"""",IFERROR(IF(K9173="""","""",query('tbl user'!$A$2:$D10975,""SELECT A WHERE D = '""&amp;K9173&amp;""'"")),""USER TIDAK DIKETAHUI""))"),"")</f>
        <v/>
      </c>
    </row>
    <row r="9174">
      <c r="A9174" s="21" t="str">
        <f t="shared" si="3"/>
        <v/>
      </c>
      <c r="B9174" s="38"/>
      <c r="C9174" s="23"/>
      <c r="D9174" s="23"/>
      <c r="E9174" s="24"/>
      <c r="F9174" s="25"/>
      <c r="G9174" s="25"/>
      <c r="H9174" s="27"/>
      <c r="I9174" s="28"/>
      <c r="J9174" s="39"/>
      <c r="K9174" s="41"/>
      <c r="L9174" s="31" t="str">
        <f>IFERROR(__xludf.DUMMYFUNCTION("IF(OR(E9174="""",K9174=""""),"""",IFERROR(IF(K9174="""","""",query('tbl user'!$A$2:$D10975,""SELECT A WHERE D = '""&amp;K9174&amp;""'"")),""USER TIDAK DIKETAHUI""))"),"")</f>
        <v/>
      </c>
    </row>
    <row r="9175">
      <c r="A9175" s="21" t="str">
        <f t="shared" si="3"/>
        <v/>
      </c>
      <c r="B9175" s="38"/>
      <c r="C9175" s="23"/>
      <c r="D9175" s="23"/>
      <c r="E9175" s="24"/>
      <c r="F9175" s="25"/>
      <c r="G9175" s="25"/>
      <c r="H9175" s="27"/>
      <c r="I9175" s="28"/>
      <c r="J9175" s="39"/>
      <c r="K9175" s="41"/>
      <c r="L9175" s="31" t="str">
        <f>IFERROR(__xludf.DUMMYFUNCTION("IF(OR(E9175="""",K9175=""""),"""",IFERROR(IF(K9175="""","""",query('tbl user'!$A$2:$D10975,""SELECT A WHERE D = '""&amp;K9175&amp;""'"")),""USER TIDAK DIKETAHUI""))"),"")</f>
        <v/>
      </c>
    </row>
    <row r="9176">
      <c r="A9176" s="21" t="str">
        <f t="shared" si="3"/>
        <v/>
      </c>
      <c r="B9176" s="38"/>
      <c r="C9176" s="23"/>
      <c r="D9176" s="23"/>
      <c r="E9176" s="24"/>
      <c r="F9176" s="25"/>
      <c r="G9176" s="25"/>
      <c r="H9176" s="27"/>
      <c r="I9176" s="28"/>
      <c r="J9176" s="39"/>
      <c r="K9176" s="41"/>
      <c r="L9176" s="31" t="str">
        <f>IFERROR(__xludf.DUMMYFUNCTION("IF(OR(E9176="""",K9176=""""),"""",IFERROR(IF(K9176="""","""",query('tbl user'!$A$2:$D10975,""SELECT A WHERE D = '""&amp;K9176&amp;""'"")),""USER TIDAK DIKETAHUI""))"),"")</f>
        <v/>
      </c>
    </row>
    <row r="9177">
      <c r="A9177" s="21" t="str">
        <f t="shared" si="3"/>
        <v/>
      </c>
      <c r="B9177" s="38"/>
      <c r="C9177" s="23"/>
      <c r="D9177" s="23"/>
      <c r="E9177" s="24"/>
      <c r="F9177" s="25"/>
      <c r="G9177" s="25"/>
      <c r="H9177" s="27"/>
      <c r="I9177" s="28"/>
      <c r="J9177" s="39"/>
      <c r="K9177" s="41"/>
      <c r="L9177" s="31" t="str">
        <f>IFERROR(__xludf.DUMMYFUNCTION("IF(OR(E9177="""",K9177=""""),"""",IFERROR(IF(K9177="""","""",query('tbl user'!$A$2:$D10975,""SELECT A WHERE D = '""&amp;K9177&amp;""'"")),""USER TIDAK DIKETAHUI""))"),"")</f>
        <v/>
      </c>
    </row>
    <row r="9178">
      <c r="A9178" s="21" t="str">
        <f t="shared" si="3"/>
        <v/>
      </c>
      <c r="B9178" s="38"/>
      <c r="C9178" s="23"/>
      <c r="D9178" s="23"/>
      <c r="E9178" s="24"/>
      <c r="F9178" s="25"/>
      <c r="G9178" s="25"/>
      <c r="H9178" s="27"/>
      <c r="I9178" s="28"/>
      <c r="J9178" s="39"/>
      <c r="K9178" s="41"/>
      <c r="L9178" s="31" t="str">
        <f>IFERROR(__xludf.DUMMYFUNCTION("IF(OR(E9178="""",K9178=""""),"""",IFERROR(IF(K9178="""","""",query('tbl user'!$A$2:$D10975,""SELECT A WHERE D = '""&amp;K9178&amp;""'"")),""USER TIDAK DIKETAHUI""))"),"")</f>
        <v/>
      </c>
    </row>
    <row r="9179">
      <c r="A9179" s="21" t="str">
        <f t="shared" si="3"/>
        <v/>
      </c>
      <c r="B9179" s="38"/>
      <c r="C9179" s="23"/>
      <c r="D9179" s="23"/>
      <c r="E9179" s="24"/>
      <c r="F9179" s="25"/>
      <c r="G9179" s="25"/>
      <c r="H9179" s="27"/>
      <c r="I9179" s="28"/>
      <c r="J9179" s="39"/>
      <c r="K9179" s="41"/>
      <c r="L9179" s="31" t="str">
        <f>IFERROR(__xludf.DUMMYFUNCTION("IF(OR(E9179="""",K9179=""""),"""",IFERROR(IF(K9179="""","""",query('tbl user'!$A$2:$D10975,""SELECT A WHERE D = '""&amp;K9179&amp;""'"")),""USER TIDAK DIKETAHUI""))"),"")</f>
        <v/>
      </c>
    </row>
    <row r="9180">
      <c r="A9180" s="21" t="str">
        <f t="shared" si="3"/>
        <v/>
      </c>
      <c r="B9180" s="38"/>
      <c r="C9180" s="23"/>
      <c r="D9180" s="23"/>
      <c r="E9180" s="24"/>
      <c r="F9180" s="25"/>
      <c r="G9180" s="25"/>
      <c r="H9180" s="27"/>
      <c r="I9180" s="28"/>
      <c r="J9180" s="39"/>
      <c r="K9180" s="41"/>
      <c r="L9180" s="31" t="str">
        <f>IFERROR(__xludf.DUMMYFUNCTION("IF(OR(E9180="""",K9180=""""),"""",IFERROR(IF(K9180="""","""",query('tbl user'!$A$2:$D10975,""SELECT A WHERE D = '""&amp;K9180&amp;""'"")),""USER TIDAK DIKETAHUI""))"),"")</f>
        <v/>
      </c>
    </row>
    <row r="9181">
      <c r="A9181" s="21" t="str">
        <f t="shared" si="3"/>
        <v/>
      </c>
      <c r="B9181" s="38"/>
      <c r="C9181" s="23"/>
      <c r="D9181" s="23"/>
      <c r="E9181" s="24"/>
      <c r="F9181" s="25"/>
      <c r="G9181" s="25"/>
      <c r="H9181" s="27"/>
      <c r="I9181" s="28"/>
      <c r="J9181" s="39"/>
      <c r="K9181" s="41"/>
      <c r="L9181" s="31" t="str">
        <f>IFERROR(__xludf.DUMMYFUNCTION("IF(OR(E9181="""",K9181=""""),"""",IFERROR(IF(K9181="""","""",query('tbl user'!$A$2:$D10975,""SELECT A WHERE D = '""&amp;K9181&amp;""'"")),""USER TIDAK DIKETAHUI""))"),"")</f>
        <v/>
      </c>
    </row>
    <row r="9182">
      <c r="A9182" s="21" t="str">
        <f t="shared" si="3"/>
        <v/>
      </c>
      <c r="B9182" s="38"/>
      <c r="C9182" s="23"/>
      <c r="D9182" s="23"/>
      <c r="E9182" s="24"/>
      <c r="F9182" s="25"/>
      <c r="G9182" s="25"/>
      <c r="H9182" s="27"/>
      <c r="I9182" s="28"/>
      <c r="J9182" s="39"/>
      <c r="K9182" s="41"/>
      <c r="L9182" s="31" t="str">
        <f>IFERROR(__xludf.DUMMYFUNCTION("IF(OR(E9182="""",K9182=""""),"""",IFERROR(IF(K9182="""","""",query('tbl user'!$A$2:$D10975,""SELECT A WHERE D = '""&amp;K9182&amp;""'"")),""USER TIDAK DIKETAHUI""))"),"")</f>
        <v/>
      </c>
    </row>
    <row r="9183">
      <c r="A9183" s="21" t="str">
        <f t="shared" si="3"/>
        <v/>
      </c>
      <c r="B9183" s="38"/>
      <c r="C9183" s="23"/>
      <c r="D9183" s="23"/>
      <c r="E9183" s="24"/>
      <c r="F9183" s="25"/>
      <c r="G9183" s="25"/>
      <c r="H9183" s="27"/>
      <c r="I9183" s="28"/>
      <c r="J9183" s="39"/>
      <c r="K9183" s="41"/>
      <c r="L9183" s="31" t="str">
        <f>IFERROR(__xludf.DUMMYFUNCTION("IF(OR(E9183="""",K9183=""""),"""",IFERROR(IF(K9183="""","""",query('tbl user'!$A$2:$D10975,""SELECT A WHERE D = '""&amp;K9183&amp;""'"")),""USER TIDAK DIKETAHUI""))"),"")</f>
        <v/>
      </c>
    </row>
    <row r="9184">
      <c r="A9184" s="21" t="str">
        <f t="shared" si="3"/>
        <v/>
      </c>
      <c r="B9184" s="38"/>
      <c r="C9184" s="23"/>
      <c r="D9184" s="23"/>
      <c r="E9184" s="24"/>
      <c r="F9184" s="25"/>
      <c r="G9184" s="25"/>
      <c r="H9184" s="27"/>
      <c r="I9184" s="28"/>
      <c r="J9184" s="39"/>
      <c r="K9184" s="41"/>
      <c r="L9184" s="31" t="str">
        <f>IFERROR(__xludf.DUMMYFUNCTION("IF(OR(E9184="""",K9184=""""),"""",IFERROR(IF(K9184="""","""",query('tbl user'!$A$2:$D10975,""SELECT A WHERE D = '""&amp;K9184&amp;""'"")),""USER TIDAK DIKETAHUI""))"),"")</f>
        <v/>
      </c>
    </row>
    <row r="9185">
      <c r="A9185" s="21" t="str">
        <f t="shared" si="3"/>
        <v/>
      </c>
      <c r="B9185" s="38"/>
      <c r="C9185" s="23"/>
      <c r="D9185" s="23"/>
      <c r="E9185" s="24"/>
      <c r="F9185" s="25"/>
      <c r="G9185" s="25"/>
      <c r="H9185" s="27"/>
      <c r="I9185" s="28"/>
      <c r="J9185" s="39"/>
      <c r="K9185" s="41"/>
      <c r="L9185" s="31" t="str">
        <f>IFERROR(__xludf.DUMMYFUNCTION("IF(OR(E9185="""",K9185=""""),"""",IFERROR(IF(K9185="""","""",query('tbl user'!$A$2:$D10975,""SELECT A WHERE D = '""&amp;K9185&amp;""'"")),""USER TIDAK DIKETAHUI""))"),"")</f>
        <v/>
      </c>
    </row>
    <row r="9186">
      <c r="A9186" s="21" t="str">
        <f t="shared" si="3"/>
        <v/>
      </c>
      <c r="B9186" s="38"/>
      <c r="C9186" s="23"/>
      <c r="D9186" s="23"/>
      <c r="E9186" s="24"/>
      <c r="F9186" s="25"/>
      <c r="G9186" s="25"/>
      <c r="H9186" s="27"/>
      <c r="I9186" s="28"/>
      <c r="J9186" s="39"/>
      <c r="K9186" s="41"/>
      <c r="L9186" s="31" t="str">
        <f>IFERROR(__xludf.DUMMYFUNCTION("IF(OR(E9186="""",K9186=""""),"""",IFERROR(IF(K9186="""","""",query('tbl user'!$A$2:$D10975,""SELECT A WHERE D = '""&amp;K9186&amp;""'"")),""USER TIDAK DIKETAHUI""))"),"")</f>
        <v/>
      </c>
    </row>
    <row r="9187">
      <c r="A9187" s="21" t="str">
        <f t="shared" si="3"/>
        <v/>
      </c>
      <c r="B9187" s="38"/>
      <c r="C9187" s="23"/>
      <c r="D9187" s="23"/>
      <c r="E9187" s="24"/>
      <c r="F9187" s="25"/>
      <c r="G9187" s="25"/>
      <c r="H9187" s="27"/>
      <c r="I9187" s="28"/>
      <c r="J9187" s="39"/>
      <c r="K9187" s="41"/>
      <c r="L9187" s="31" t="str">
        <f>IFERROR(__xludf.DUMMYFUNCTION("IF(OR(E9187="""",K9187=""""),"""",IFERROR(IF(K9187="""","""",query('tbl user'!$A$2:$D10975,""SELECT A WHERE D = '""&amp;K9187&amp;""'"")),""USER TIDAK DIKETAHUI""))"),"")</f>
        <v/>
      </c>
    </row>
    <row r="9188">
      <c r="A9188" s="21" t="str">
        <f t="shared" si="3"/>
        <v/>
      </c>
      <c r="B9188" s="38"/>
      <c r="C9188" s="23"/>
      <c r="D9188" s="23"/>
      <c r="E9188" s="24"/>
      <c r="F9188" s="25"/>
      <c r="G9188" s="25"/>
      <c r="H9188" s="27"/>
      <c r="I9188" s="28"/>
      <c r="J9188" s="39"/>
      <c r="K9188" s="41"/>
      <c r="L9188" s="31" t="str">
        <f>IFERROR(__xludf.DUMMYFUNCTION("IF(OR(E9188="""",K9188=""""),"""",IFERROR(IF(K9188="""","""",query('tbl user'!$A$2:$D10975,""SELECT A WHERE D = '""&amp;K9188&amp;""'"")),""USER TIDAK DIKETAHUI""))"),"")</f>
        <v/>
      </c>
    </row>
    <row r="9189">
      <c r="A9189" s="21" t="str">
        <f t="shared" si="3"/>
        <v/>
      </c>
      <c r="B9189" s="38"/>
      <c r="C9189" s="23"/>
      <c r="D9189" s="23"/>
      <c r="E9189" s="24"/>
      <c r="F9189" s="25"/>
      <c r="G9189" s="25"/>
      <c r="H9189" s="27"/>
      <c r="I9189" s="28"/>
      <c r="J9189" s="39"/>
      <c r="K9189" s="41"/>
      <c r="L9189" s="31" t="str">
        <f>IFERROR(__xludf.DUMMYFUNCTION("IF(OR(E9189="""",K9189=""""),"""",IFERROR(IF(K9189="""","""",query('tbl user'!$A$2:$D10975,""SELECT A WHERE D = '""&amp;K9189&amp;""'"")),""USER TIDAK DIKETAHUI""))"),"")</f>
        <v/>
      </c>
    </row>
    <row r="9190">
      <c r="A9190" s="21" t="str">
        <f t="shared" si="3"/>
        <v/>
      </c>
      <c r="B9190" s="38"/>
      <c r="C9190" s="23"/>
      <c r="D9190" s="23"/>
      <c r="E9190" s="24"/>
      <c r="F9190" s="25"/>
      <c r="G9190" s="25"/>
      <c r="H9190" s="27"/>
      <c r="I9190" s="28"/>
      <c r="J9190" s="39"/>
      <c r="K9190" s="41"/>
      <c r="L9190" s="31" t="str">
        <f>IFERROR(__xludf.DUMMYFUNCTION("IF(OR(E9190="""",K9190=""""),"""",IFERROR(IF(K9190="""","""",query('tbl user'!$A$2:$D10975,""SELECT A WHERE D = '""&amp;K9190&amp;""'"")),""USER TIDAK DIKETAHUI""))"),"")</f>
        <v/>
      </c>
    </row>
    <row r="9191">
      <c r="A9191" s="21" t="str">
        <f t="shared" si="3"/>
        <v/>
      </c>
      <c r="B9191" s="38"/>
      <c r="C9191" s="23"/>
      <c r="D9191" s="23"/>
      <c r="E9191" s="24"/>
      <c r="F9191" s="25"/>
      <c r="G9191" s="25"/>
      <c r="H9191" s="27"/>
      <c r="I9191" s="28"/>
      <c r="J9191" s="39"/>
      <c r="K9191" s="41"/>
      <c r="L9191" s="31" t="str">
        <f>IFERROR(__xludf.DUMMYFUNCTION("IF(OR(E9191="""",K9191=""""),"""",IFERROR(IF(K9191="""","""",query('tbl user'!$A$2:$D10975,""SELECT A WHERE D = '""&amp;K9191&amp;""'"")),""USER TIDAK DIKETAHUI""))"),"")</f>
        <v/>
      </c>
    </row>
    <row r="9192">
      <c r="A9192" s="21" t="str">
        <f t="shared" si="3"/>
        <v/>
      </c>
      <c r="B9192" s="38"/>
      <c r="C9192" s="23"/>
      <c r="D9192" s="23"/>
      <c r="E9192" s="24"/>
      <c r="F9192" s="25"/>
      <c r="G9192" s="25"/>
      <c r="H9192" s="27"/>
      <c r="I9192" s="28"/>
      <c r="J9192" s="39"/>
      <c r="K9192" s="41"/>
      <c r="L9192" s="31" t="str">
        <f>IFERROR(__xludf.DUMMYFUNCTION("IF(OR(E9192="""",K9192=""""),"""",IFERROR(IF(K9192="""","""",query('tbl user'!$A$2:$D10975,""SELECT A WHERE D = '""&amp;K9192&amp;""'"")),""USER TIDAK DIKETAHUI""))"),"")</f>
        <v/>
      </c>
    </row>
    <row r="9193">
      <c r="A9193" s="21" t="str">
        <f t="shared" si="3"/>
        <v/>
      </c>
      <c r="B9193" s="38"/>
      <c r="C9193" s="23"/>
      <c r="D9193" s="23"/>
      <c r="E9193" s="24"/>
      <c r="F9193" s="25"/>
      <c r="G9193" s="25"/>
      <c r="H9193" s="27"/>
      <c r="I9193" s="28"/>
      <c r="J9193" s="39"/>
      <c r="K9193" s="41"/>
      <c r="L9193" s="31" t="str">
        <f>IFERROR(__xludf.DUMMYFUNCTION("IF(OR(E9193="""",K9193=""""),"""",IFERROR(IF(K9193="""","""",query('tbl user'!$A$2:$D10975,""SELECT A WHERE D = '""&amp;K9193&amp;""'"")),""USER TIDAK DIKETAHUI""))"),"")</f>
        <v/>
      </c>
    </row>
    <row r="9194">
      <c r="A9194" s="21" t="str">
        <f t="shared" si="3"/>
        <v/>
      </c>
      <c r="B9194" s="38"/>
      <c r="C9194" s="23"/>
      <c r="D9194" s="23"/>
      <c r="E9194" s="24"/>
      <c r="F9194" s="25"/>
      <c r="G9194" s="25"/>
      <c r="H9194" s="27"/>
      <c r="I9194" s="28"/>
      <c r="J9194" s="39"/>
      <c r="K9194" s="41"/>
      <c r="L9194" s="31" t="str">
        <f>IFERROR(__xludf.DUMMYFUNCTION("IF(OR(E9194="""",K9194=""""),"""",IFERROR(IF(K9194="""","""",query('tbl user'!$A$2:$D10975,""SELECT A WHERE D = '""&amp;K9194&amp;""'"")),""USER TIDAK DIKETAHUI""))"),"")</f>
        <v/>
      </c>
    </row>
    <row r="9195">
      <c r="A9195" s="21" t="str">
        <f t="shared" si="3"/>
        <v/>
      </c>
      <c r="B9195" s="38"/>
      <c r="C9195" s="23"/>
      <c r="D9195" s="23"/>
      <c r="E9195" s="24"/>
      <c r="F9195" s="25"/>
      <c r="G9195" s="25"/>
      <c r="H9195" s="27"/>
      <c r="I9195" s="28"/>
      <c r="J9195" s="39"/>
      <c r="K9195" s="41"/>
      <c r="L9195" s="31" t="str">
        <f>IFERROR(__xludf.DUMMYFUNCTION("IF(OR(E9195="""",K9195=""""),"""",IFERROR(IF(K9195="""","""",query('tbl user'!$A$2:$D10975,""SELECT A WHERE D = '""&amp;K9195&amp;""'"")),""USER TIDAK DIKETAHUI""))"),"")</f>
        <v/>
      </c>
    </row>
    <row r="9196">
      <c r="A9196" s="21" t="str">
        <f t="shared" si="3"/>
        <v/>
      </c>
      <c r="B9196" s="38"/>
      <c r="C9196" s="23"/>
      <c r="D9196" s="23"/>
      <c r="E9196" s="24"/>
      <c r="F9196" s="25"/>
      <c r="G9196" s="25"/>
      <c r="H9196" s="27"/>
      <c r="I9196" s="28"/>
      <c r="J9196" s="39"/>
      <c r="K9196" s="41"/>
      <c r="L9196" s="31" t="str">
        <f>IFERROR(__xludf.DUMMYFUNCTION("IF(OR(E9196="""",K9196=""""),"""",IFERROR(IF(K9196="""","""",query('tbl user'!$A$2:$D10975,""SELECT A WHERE D = '""&amp;K9196&amp;""'"")),""USER TIDAK DIKETAHUI""))"),"")</f>
        <v/>
      </c>
    </row>
    <row r="9197">
      <c r="A9197" s="21" t="str">
        <f t="shared" si="3"/>
        <v/>
      </c>
      <c r="B9197" s="38"/>
      <c r="C9197" s="23"/>
      <c r="D9197" s="23"/>
      <c r="E9197" s="24"/>
      <c r="F9197" s="25"/>
      <c r="G9197" s="25"/>
      <c r="H9197" s="27"/>
      <c r="I9197" s="28"/>
      <c r="J9197" s="39"/>
      <c r="K9197" s="41"/>
      <c r="L9197" s="31" t="str">
        <f>IFERROR(__xludf.DUMMYFUNCTION("IF(OR(E9197="""",K9197=""""),"""",IFERROR(IF(K9197="""","""",query('tbl user'!$A$2:$D10975,""SELECT A WHERE D = '""&amp;K9197&amp;""'"")),""USER TIDAK DIKETAHUI""))"),"")</f>
        <v/>
      </c>
    </row>
    <row r="9198">
      <c r="A9198" s="21" t="str">
        <f t="shared" si="3"/>
        <v/>
      </c>
      <c r="B9198" s="38"/>
      <c r="C9198" s="23"/>
      <c r="D9198" s="23"/>
      <c r="E9198" s="24"/>
      <c r="F9198" s="25"/>
      <c r="G9198" s="25"/>
      <c r="H9198" s="27"/>
      <c r="I9198" s="28"/>
      <c r="J9198" s="39"/>
      <c r="K9198" s="41"/>
      <c r="L9198" s="31" t="str">
        <f>IFERROR(__xludf.DUMMYFUNCTION("IF(OR(E9198="""",K9198=""""),"""",IFERROR(IF(K9198="""","""",query('tbl user'!$A$2:$D10975,""SELECT A WHERE D = '""&amp;K9198&amp;""'"")),""USER TIDAK DIKETAHUI""))"),"")</f>
        <v/>
      </c>
    </row>
    <row r="9199">
      <c r="A9199" s="21" t="str">
        <f t="shared" si="3"/>
        <v/>
      </c>
      <c r="B9199" s="38"/>
      <c r="C9199" s="23"/>
      <c r="D9199" s="23"/>
      <c r="E9199" s="24"/>
      <c r="F9199" s="25"/>
      <c r="G9199" s="25"/>
      <c r="H9199" s="27"/>
      <c r="I9199" s="28"/>
      <c r="J9199" s="39"/>
      <c r="K9199" s="41"/>
      <c r="L9199" s="31" t="str">
        <f>IFERROR(__xludf.DUMMYFUNCTION("IF(OR(E9199="""",K9199=""""),"""",IFERROR(IF(K9199="""","""",query('tbl user'!$A$2:$D10975,""SELECT A WHERE D = '""&amp;K9199&amp;""'"")),""USER TIDAK DIKETAHUI""))"),"")</f>
        <v/>
      </c>
    </row>
    <row r="9200">
      <c r="A9200" s="21" t="str">
        <f t="shared" si="3"/>
        <v/>
      </c>
      <c r="B9200" s="38"/>
      <c r="C9200" s="23"/>
      <c r="D9200" s="23"/>
      <c r="E9200" s="24"/>
      <c r="F9200" s="25"/>
      <c r="G9200" s="25"/>
      <c r="H9200" s="27"/>
      <c r="I9200" s="28"/>
      <c r="J9200" s="39"/>
      <c r="K9200" s="41"/>
      <c r="L9200" s="31" t="str">
        <f>IFERROR(__xludf.DUMMYFUNCTION("IF(OR(E9200="""",K9200=""""),"""",IFERROR(IF(K9200="""","""",query('tbl user'!$A$2:$D10975,""SELECT A WHERE D = '""&amp;K9200&amp;""'"")),""USER TIDAK DIKETAHUI""))"),"")</f>
        <v/>
      </c>
    </row>
    <row r="9201">
      <c r="A9201" s="21" t="str">
        <f t="shared" si="3"/>
        <v/>
      </c>
      <c r="B9201" s="38"/>
      <c r="C9201" s="23"/>
      <c r="D9201" s="23"/>
      <c r="E9201" s="24"/>
      <c r="F9201" s="25"/>
      <c r="G9201" s="25"/>
      <c r="H9201" s="27"/>
      <c r="I9201" s="28"/>
      <c r="J9201" s="39"/>
      <c r="K9201" s="41"/>
      <c r="L9201" s="31" t="str">
        <f>IFERROR(__xludf.DUMMYFUNCTION("IF(OR(E9201="""",K9201=""""),"""",IFERROR(IF(K9201="""","""",query('tbl user'!$A$2:$D10975,""SELECT A WHERE D = '""&amp;K9201&amp;""'"")),""USER TIDAK DIKETAHUI""))"),"")</f>
        <v/>
      </c>
    </row>
    <row r="9202">
      <c r="A9202" s="21" t="str">
        <f t="shared" si="3"/>
        <v/>
      </c>
      <c r="B9202" s="38"/>
      <c r="C9202" s="23"/>
      <c r="D9202" s="23"/>
      <c r="E9202" s="24"/>
      <c r="F9202" s="25"/>
      <c r="G9202" s="25"/>
      <c r="H9202" s="27"/>
      <c r="I9202" s="28"/>
      <c r="J9202" s="39"/>
      <c r="K9202" s="41"/>
      <c r="L9202" s="31" t="str">
        <f>IFERROR(__xludf.DUMMYFUNCTION("IF(OR(E9202="""",K9202=""""),"""",IFERROR(IF(K9202="""","""",query('tbl user'!$A$2:$D10975,""SELECT A WHERE D = '""&amp;K9202&amp;""'"")),""USER TIDAK DIKETAHUI""))"),"")</f>
        <v/>
      </c>
    </row>
    <row r="9203">
      <c r="A9203" s="21" t="str">
        <f t="shared" si="3"/>
        <v/>
      </c>
      <c r="B9203" s="38"/>
      <c r="C9203" s="23"/>
      <c r="D9203" s="23"/>
      <c r="E9203" s="24"/>
      <c r="F9203" s="25"/>
      <c r="G9203" s="25"/>
      <c r="H9203" s="27"/>
      <c r="I9203" s="28"/>
      <c r="J9203" s="39"/>
      <c r="K9203" s="41"/>
      <c r="L9203" s="31" t="str">
        <f>IFERROR(__xludf.DUMMYFUNCTION("IF(OR(E9203="""",K9203=""""),"""",IFERROR(IF(K9203="""","""",query('tbl user'!$A$2:$D10975,""SELECT A WHERE D = '""&amp;K9203&amp;""'"")),""USER TIDAK DIKETAHUI""))"),"")</f>
        <v/>
      </c>
    </row>
    <row r="9204">
      <c r="A9204" s="21" t="str">
        <f t="shared" si="3"/>
        <v/>
      </c>
      <c r="B9204" s="38"/>
      <c r="C9204" s="23"/>
      <c r="D9204" s="23"/>
      <c r="E9204" s="24"/>
      <c r="F9204" s="25"/>
      <c r="G9204" s="25"/>
      <c r="H9204" s="27"/>
      <c r="I9204" s="28"/>
      <c r="J9204" s="39"/>
      <c r="K9204" s="41"/>
      <c r="L9204" s="31" t="str">
        <f>IFERROR(__xludf.DUMMYFUNCTION("IF(OR(E9204="""",K9204=""""),"""",IFERROR(IF(K9204="""","""",query('tbl user'!$A$2:$D10975,""SELECT A WHERE D = '""&amp;K9204&amp;""'"")),""USER TIDAK DIKETAHUI""))"),"")</f>
        <v/>
      </c>
    </row>
    <row r="9205">
      <c r="A9205" s="21" t="str">
        <f t="shared" si="3"/>
        <v/>
      </c>
      <c r="B9205" s="38"/>
      <c r="C9205" s="23"/>
      <c r="D9205" s="23"/>
      <c r="E9205" s="24"/>
      <c r="F9205" s="25"/>
      <c r="G9205" s="25"/>
      <c r="H9205" s="27"/>
      <c r="I9205" s="28"/>
      <c r="J9205" s="39"/>
      <c r="K9205" s="41"/>
      <c r="L9205" s="31" t="str">
        <f>IFERROR(__xludf.DUMMYFUNCTION("IF(OR(E9205="""",K9205=""""),"""",IFERROR(IF(K9205="""","""",query('tbl user'!$A$2:$D10975,""SELECT A WHERE D = '""&amp;K9205&amp;""'"")),""USER TIDAK DIKETAHUI""))"),"")</f>
        <v/>
      </c>
    </row>
    <row r="9206">
      <c r="A9206" s="21" t="str">
        <f t="shared" si="3"/>
        <v/>
      </c>
      <c r="B9206" s="38"/>
      <c r="C9206" s="23"/>
      <c r="D9206" s="23"/>
      <c r="E9206" s="24"/>
      <c r="F9206" s="25"/>
      <c r="G9206" s="25"/>
      <c r="H9206" s="27"/>
      <c r="I9206" s="28"/>
      <c r="J9206" s="39"/>
      <c r="K9206" s="41"/>
      <c r="L9206" s="31" t="str">
        <f>IFERROR(__xludf.DUMMYFUNCTION("IF(OR(E9206="""",K9206=""""),"""",IFERROR(IF(K9206="""","""",query('tbl user'!$A$2:$D10975,""SELECT A WHERE D = '""&amp;K9206&amp;""'"")),""USER TIDAK DIKETAHUI""))"),"")</f>
        <v/>
      </c>
    </row>
    <row r="9207">
      <c r="A9207" s="21" t="str">
        <f t="shared" si="3"/>
        <v/>
      </c>
      <c r="B9207" s="38"/>
      <c r="C9207" s="23"/>
      <c r="D9207" s="23"/>
      <c r="E9207" s="24"/>
      <c r="F9207" s="25"/>
      <c r="G9207" s="25"/>
      <c r="H9207" s="27"/>
      <c r="I9207" s="28"/>
      <c r="J9207" s="39"/>
      <c r="K9207" s="41"/>
      <c r="L9207" s="31" t="str">
        <f>IFERROR(__xludf.DUMMYFUNCTION("IF(OR(E9207="""",K9207=""""),"""",IFERROR(IF(K9207="""","""",query('tbl user'!$A$2:$D10975,""SELECT A WHERE D = '""&amp;K9207&amp;""'"")),""USER TIDAK DIKETAHUI""))"),"")</f>
        <v/>
      </c>
    </row>
    <row r="9208">
      <c r="A9208" s="21" t="str">
        <f t="shared" si="3"/>
        <v/>
      </c>
      <c r="B9208" s="38"/>
      <c r="C9208" s="23"/>
      <c r="D9208" s="23"/>
      <c r="E9208" s="24"/>
      <c r="F9208" s="25"/>
      <c r="G9208" s="25"/>
      <c r="H9208" s="27"/>
      <c r="I9208" s="28"/>
      <c r="J9208" s="39"/>
      <c r="K9208" s="41"/>
      <c r="L9208" s="31" t="str">
        <f>IFERROR(__xludf.DUMMYFUNCTION("IF(OR(E9208="""",K9208=""""),"""",IFERROR(IF(K9208="""","""",query('tbl user'!$A$2:$D10975,""SELECT A WHERE D = '""&amp;K9208&amp;""'"")),""USER TIDAK DIKETAHUI""))"),"")</f>
        <v/>
      </c>
    </row>
    <row r="9209">
      <c r="A9209" s="21" t="str">
        <f t="shared" si="3"/>
        <v/>
      </c>
      <c r="B9209" s="38"/>
      <c r="C9209" s="23"/>
      <c r="D9209" s="23"/>
      <c r="E9209" s="24"/>
      <c r="F9209" s="25"/>
      <c r="G9209" s="25"/>
      <c r="H9209" s="27"/>
      <c r="I9209" s="28"/>
      <c r="J9209" s="39"/>
      <c r="K9209" s="41"/>
      <c r="L9209" s="31" t="str">
        <f>IFERROR(__xludf.DUMMYFUNCTION("IF(OR(E9209="""",K9209=""""),"""",IFERROR(IF(K9209="""","""",query('tbl user'!$A$2:$D10975,""SELECT A WHERE D = '""&amp;K9209&amp;""'"")),""USER TIDAK DIKETAHUI""))"),"")</f>
        <v/>
      </c>
    </row>
    <row r="9210">
      <c r="A9210" s="21" t="str">
        <f t="shared" si="3"/>
        <v/>
      </c>
      <c r="B9210" s="38"/>
      <c r="C9210" s="23"/>
      <c r="D9210" s="23"/>
      <c r="E9210" s="24"/>
      <c r="F9210" s="25"/>
      <c r="G9210" s="25"/>
      <c r="H9210" s="27"/>
      <c r="I9210" s="28"/>
      <c r="J9210" s="39"/>
      <c r="K9210" s="41"/>
      <c r="L9210" s="31" t="str">
        <f>IFERROR(__xludf.DUMMYFUNCTION("IF(OR(E9210="""",K9210=""""),"""",IFERROR(IF(K9210="""","""",query('tbl user'!$A$2:$D10975,""SELECT A WHERE D = '""&amp;K9210&amp;""'"")),""USER TIDAK DIKETAHUI""))"),"")</f>
        <v/>
      </c>
    </row>
    <row r="9211">
      <c r="A9211" s="21" t="str">
        <f t="shared" si="3"/>
        <v/>
      </c>
      <c r="B9211" s="38"/>
      <c r="C9211" s="23"/>
      <c r="D9211" s="23"/>
      <c r="E9211" s="24"/>
      <c r="F9211" s="25"/>
      <c r="G9211" s="25"/>
      <c r="H9211" s="27"/>
      <c r="I9211" s="28"/>
      <c r="J9211" s="39"/>
      <c r="K9211" s="41"/>
      <c r="L9211" s="31" t="str">
        <f>IFERROR(__xludf.DUMMYFUNCTION("IF(OR(E9211="""",K9211=""""),"""",IFERROR(IF(K9211="""","""",query('tbl user'!$A$2:$D10975,""SELECT A WHERE D = '""&amp;K9211&amp;""'"")),""USER TIDAK DIKETAHUI""))"),"")</f>
        <v/>
      </c>
    </row>
    <row r="9212">
      <c r="A9212" s="21" t="str">
        <f t="shared" si="3"/>
        <v/>
      </c>
      <c r="B9212" s="38"/>
      <c r="C9212" s="23"/>
      <c r="D9212" s="23"/>
      <c r="E9212" s="24"/>
      <c r="F9212" s="25"/>
      <c r="G9212" s="25"/>
      <c r="H9212" s="27"/>
      <c r="I9212" s="28"/>
      <c r="J9212" s="39"/>
      <c r="K9212" s="41"/>
      <c r="L9212" s="31" t="str">
        <f>IFERROR(__xludf.DUMMYFUNCTION("IF(OR(E9212="""",K9212=""""),"""",IFERROR(IF(K9212="""","""",query('tbl user'!$A$2:$D10975,""SELECT A WHERE D = '""&amp;K9212&amp;""'"")),""USER TIDAK DIKETAHUI""))"),"")</f>
        <v/>
      </c>
    </row>
    <row r="9213">
      <c r="A9213" s="21" t="str">
        <f t="shared" si="3"/>
        <v/>
      </c>
      <c r="B9213" s="38"/>
      <c r="C9213" s="23"/>
      <c r="D9213" s="23"/>
      <c r="E9213" s="24"/>
      <c r="F9213" s="25"/>
      <c r="G9213" s="25"/>
      <c r="H9213" s="27"/>
      <c r="I9213" s="28"/>
      <c r="J9213" s="39"/>
      <c r="K9213" s="41"/>
      <c r="L9213" s="31" t="str">
        <f>IFERROR(__xludf.DUMMYFUNCTION("IF(OR(E9213="""",K9213=""""),"""",IFERROR(IF(K9213="""","""",query('tbl user'!$A$2:$D10975,""SELECT A WHERE D = '""&amp;K9213&amp;""'"")),""USER TIDAK DIKETAHUI""))"),"")</f>
        <v/>
      </c>
    </row>
    <row r="9214">
      <c r="A9214" s="21" t="str">
        <f t="shared" si="3"/>
        <v/>
      </c>
      <c r="B9214" s="38"/>
      <c r="C9214" s="23"/>
      <c r="D9214" s="23"/>
      <c r="E9214" s="24"/>
      <c r="F9214" s="25"/>
      <c r="G9214" s="25"/>
      <c r="H9214" s="27"/>
      <c r="I9214" s="28"/>
      <c r="J9214" s="39"/>
      <c r="K9214" s="41"/>
      <c r="L9214" s="31" t="str">
        <f>IFERROR(__xludf.DUMMYFUNCTION("IF(OR(E9214="""",K9214=""""),"""",IFERROR(IF(K9214="""","""",query('tbl user'!$A$2:$D10975,""SELECT A WHERE D = '""&amp;K9214&amp;""'"")),""USER TIDAK DIKETAHUI""))"),"")</f>
        <v/>
      </c>
    </row>
    <row r="9215">
      <c r="A9215" s="21" t="str">
        <f t="shared" si="3"/>
        <v/>
      </c>
      <c r="B9215" s="38"/>
      <c r="C9215" s="23"/>
      <c r="D9215" s="23"/>
      <c r="E9215" s="24"/>
      <c r="F9215" s="25"/>
      <c r="G9215" s="25"/>
      <c r="H9215" s="27"/>
      <c r="I9215" s="28"/>
      <c r="J9215" s="39"/>
      <c r="K9215" s="41"/>
      <c r="L9215" s="31" t="str">
        <f>IFERROR(__xludf.DUMMYFUNCTION("IF(OR(E9215="""",K9215=""""),"""",IFERROR(IF(K9215="""","""",query('tbl user'!$A$2:$D10975,""SELECT A WHERE D = '""&amp;K9215&amp;""'"")),""USER TIDAK DIKETAHUI""))"),"")</f>
        <v/>
      </c>
    </row>
    <row r="9216">
      <c r="A9216" s="21" t="str">
        <f t="shared" si="3"/>
        <v/>
      </c>
      <c r="B9216" s="38"/>
      <c r="C9216" s="23"/>
      <c r="D9216" s="23"/>
      <c r="E9216" s="24"/>
      <c r="F9216" s="25"/>
      <c r="G9216" s="25"/>
      <c r="H9216" s="27"/>
      <c r="I9216" s="28"/>
      <c r="J9216" s="39"/>
      <c r="K9216" s="41"/>
      <c r="L9216" s="31" t="str">
        <f>IFERROR(__xludf.DUMMYFUNCTION("IF(OR(E9216="""",K9216=""""),"""",IFERROR(IF(K9216="""","""",query('tbl user'!$A$2:$D10975,""SELECT A WHERE D = '""&amp;K9216&amp;""'"")),""USER TIDAK DIKETAHUI""))"),"")</f>
        <v/>
      </c>
    </row>
    <row r="9217">
      <c r="A9217" s="21" t="str">
        <f t="shared" si="3"/>
        <v/>
      </c>
      <c r="B9217" s="38"/>
      <c r="C9217" s="23"/>
      <c r="D9217" s="23"/>
      <c r="E9217" s="24"/>
      <c r="F9217" s="25"/>
      <c r="G9217" s="25"/>
      <c r="H9217" s="27"/>
      <c r="I9217" s="28"/>
      <c r="J9217" s="39"/>
      <c r="K9217" s="41"/>
      <c r="L9217" s="31" t="str">
        <f>IFERROR(__xludf.DUMMYFUNCTION("IF(OR(E9217="""",K9217=""""),"""",IFERROR(IF(K9217="""","""",query('tbl user'!$A$2:$D10975,""SELECT A WHERE D = '""&amp;K9217&amp;""'"")),""USER TIDAK DIKETAHUI""))"),"")</f>
        <v/>
      </c>
    </row>
    <row r="9218">
      <c r="A9218" s="21" t="str">
        <f t="shared" si="3"/>
        <v/>
      </c>
      <c r="B9218" s="38"/>
      <c r="C9218" s="23"/>
      <c r="D9218" s="23"/>
      <c r="E9218" s="24"/>
      <c r="F9218" s="25"/>
      <c r="G9218" s="25"/>
      <c r="H9218" s="27"/>
      <c r="I9218" s="28"/>
      <c r="J9218" s="39"/>
      <c r="K9218" s="41"/>
      <c r="L9218" s="31" t="str">
        <f>IFERROR(__xludf.DUMMYFUNCTION("IF(OR(E9218="""",K9218=""""),"""",IFERROR(IF(K9218="""","""",query('tbl user'!$A$2:$D10975,""SELECT A WHERE D = '""&amp;K9218&amp;""'"")),""USER TIDAK DIKETAHUI""))"),"")</f>
        <v/>
      </c>
    </row>
    <row r="9219">
      <c r="A9219" s="21" t="str">
        <f t="shared" si="3"/>
        <v/>
      </c>
      <c r="B9219" s="38"/>
      <c r="C9219" s="23"/>
      <c r="D9219" s="23"/>
      <c r="E9219" s="24"/>
      <c r="F9219" s="25"/>
      <c r="G9219" s="25"/>
      <c r="H9219" s="27"/>
      <c r="I9219" s="28"/>
      <c r="J9219" s="39"/>
      <c r="K9219" s="41"/>
      <c r="L9219" s="31" t="str">
        <f>IFERROR(__xludf.DUMMYFUNCTION("IF(OR(E9219="""",K9219=""""),"""",IFERROR(IF(K9219="""","""",query('tbl user'!$A$2:$D10975,""SELECT A WHERE D = '""&amp;K9219&amp;""'"")),""USER TIDAK DIKETAHUI""))"),"")</f>
        <v/>
      </c>
    </row>
    <row r="9220">
      <c r="A9220" s="21" t="str">
        <f t="shared" si="3"/>
        <v/>
      </c>
      <c r="B9220" s="38"/>
      <c r="C9220" s="23"/>
      <c r="D9220" s="23"/>
      <c r="E9220" s="24"/>
      <c r="F9220" s="25"/>
      <c r="G9220" s="25"/>
      <c r="H9220" s="27"/>
      <c r="I9220" s="28"/>
      <c r="J9220" s="39"/>
      <c r="K9220" s="41"/>
      <c r="L9220" s="31" t="str">
        <f>IFERROR(__xludf.DUMMYFUNCTION("IF(OR(E9220="""",K9220=""""),"""",IFERROR(IF(K9220="""","""",query('tbl user'!$A$2:$D10975,""SELECT A WHERE D = '""&amp;K9220&amp;""'"")),""USER TIDAK DIKETAHUI""))"),"")</f>
        <v/>
      </c>
    </row>
    <row r="9221">
      <c r="A9221" s="21" t="str">
        <f t="shared" si="3"/>
        <v/>
      </c>
      <c r="B9221" s="38"/>
      <c r="C9221" s="23"/>
      <c r="D9221" s="23"/>
      <c r="E9221" s="24"/>
      <c r="F9221" s="25"/>
      <c r="G9221" s="25"/>
      <c r="H9221" s="27"/>
      <c r="I9221" s="28"/>
      <c r="J9221" s="39"/>
      <c r="K9221" s="41"/>
      <c r="L9221" s="31" t="str">
        <f>IFERROR(__xludf.DUMMYFUNCTION("IF(OR(E9221="""",K9221=""""),"""",IFERROR(IF(K9221="""","""",query('tbl user'!$A$2:$D10975,""SELECT A WHERE D = '""&amp;K9221&amp;""'"")),""USER TIDAK DIKETAHUI""))"),"")</f>
        <v/>
      </c>
    </row>
    <row r="9222">
      <c r="A9222" s="21" t="str">
        <f t="shared" si="3"/>
        <v/>
      </c>
      <c r="B9222" s="38"/>
      <c r="C9222" s="23"/>
      <c r="D9222" s="23"/>
      <c r="E9222" s="24"/>
      <c r="F9222" s="25"/>
      <c r="G9222" s="25"/>
      <c r="H9222" s="27"/>
      <c r="I9222" s="28"/>
      <c r="J9222" s="39"/>
      <c r="K9222" s="41"/>
      <c r="L9222" s="31" t="str">
        <f>IFERROR(__xludf.DUMMYFUNCTION("IF(OR(E9222="""",K9222=""""),"""",IFERROR(IF(K9222="""","""",query('tbl user'!$A$2:$D10975,""SELECT A WHERE D = '""&amp;K9222&amp;""'"")),""USER TIDAK DIKETAHUI""))"),"")</f>
        <v/>
      </c>
    </row>
    <row r="9223">
      <c r="A9223" s="21" t="str">
        <f t="shared" si="3"/>
        <v/>
      </c>
      <c r="B9223" s="38"/>
      <c r="C9223" s="23"/>
      <c r="D9223" s="23"/>
      <c r="E9223" s="24"/>
      <c r="F9223" s="25"/>
      <c r="G9223" s="25"/>
      <c r="H9223" s="27"/>
      <c r="I9223" s="28"/>
      <c r="J9223" s="39"/>
      <c r="K9223" s="41"/>
      <c r="L9223" s="31" t="str">
        <f>IFERROR(__xludf.DUMMYFUNCTION("IF(OR(E9223="""",K9223=""""),"""",IFERROR(IF(K9223="""","""",query('tbl user'!$A$2:$D10975,""SELECT A WHERE D = '""&amp;K9223&amp;""'"")),""USER TIDAK DIKETAHUI""))"),"")</f>
        <v/>
      </c>
    </row>
    <row r="9224">
      <c r="A9224" s="21" t="str">
        <f t="shared" si="3"/>
        <v/>
      </c>
      <c r="B9224" s="38"/>
      <c r="C9224" s="23"/>
      <c r="D9224" s="23"/>
      <c r="E9224" s="24"/>
      <c r="F9224" s="25"/>
      <c r="G9224" s="25"/>
      <c r="H9224" s="27"/>
      <c r="I9224" s="28"/>
      <c r="J9224" s="39"/>
      <c r="K9224" s="41"/>
      <c r="L9224" s="31" t="str">
        <f>IFERROR(__xludf.DUMMYFUNCTION("IF(OR(E9224="""",K9224=""""),"""",IFERROR(IF(K9224="""","""",query('tbl user'!$A$2:$D10975,""SELECT A WHERE D = '""&amp;K9224&amp;""'"")),""USER TIDAK DIKETAHUI""))"),"")</f>
        <v/>
      </c>
    </row>
    <row r="9225">
      <c r="A9225" s="21" t="str">
        <f t="shared" si="3"/>
        <v/>
      </c>
      <c r="B9225" s="38"/>
      <c r="C9225" s="23"/>
      <c r="D9225" s="23"/>
      <c r="E9225" s="24"/>
      <c r="F9225" s="25"/>
      <c r="G9225" s="25"/>
      <c r="H9225" s="27"/>
      <c r="I9225" s="28"/>
      <c r="J9225" s="39"/>
      <c r="K9225" s="41"/>
      <c r="L9225" s="31" t="str">
        <f>IFERROR(__xludf.DUMMYFUNCTION("IF(OR(E9225="""",K9225=""""),"""",IFERROR(IF(K9225="""","""",query('tbl user'!$A$2:$D10975,""SELECT A WHERE D = '""&amp;K9225&amp;""'"")),""USER TIDAK DIKETAHUI""))"),"")</f>
        <v/>
      </c>
    </row>
    <row r="9226">
      <c r="A9226" s="21" t="str">
        <f t="shared" si="3"/>
        <v/>
      </c>
      <c r="B9226" s="38"/>
      <c r="C9226" s="23"/>
      <c r="D9226" s="23"/>
      <c r="E9226" s="24"/>
      <c r="F9226" s="25"/>
      <c r="G9226" s="25"/>
      <c r="H9226" s="27"/>
      <c r="I9226" s="28"/>
      <c r="J9226" s="39"/>
      <c r="K9226" s="41"/>
      <c r="L9226" s="31" t="str">
        <f>IFERROR(__xludf.DUMMYFUNCTION("IF(OR(E9226="""",K9226=""""),"""",IFERROR(IF(K9226="""","""",query('tbl user'!$A$2:$D10975,""SELECT A WHERE D = '""&amp;K9226&amp;""'"")),""USER TIDAK DIKETAHUI""))"),"")</f>
        <v/>
      </c>
    </row>
    <row r="9227">
      <c r="A9227" s="21" t="str">
        <f t="shared" si="3"/>
        <v/>
      </c>
      <c r="B9227" s="38"/>
      <c r="C9227" s="23"/>
      <c r="D9227" s="23"/>
      <c r="E9227" s="24"/>
      <c r="F9227" s="25"/>
      <c r="G9227" s="25"/>
      <c r="H9227" s="27"/>
      <c r="I9227" s="28"/>
      <c r="J9227" s="39"/>
      <c r="K9227" s="41"/>
      <c r="L9227" s="31" t="str">
        <f>IFERROR(__xludf.DUMMYFUNCTION("IF(OR(E9227="""",K9227=""""),"""",IFERROR(IF(K9227="""","""",query('tbl user'!$A$2:$D10975,""SELECT A WHERE D = '""&amp;K9227&amp;""'"")),""USER TIDAK DIKETAHUI""))"),"")</f>
        <v/>
      </c>
    </row>
    <row r="9228">
      <c r="A9228" s="21" t="str">
        <f t="shared" si="3"/>
        <v/>
      </c>
      <c r="B9228" s="38"/>
      <c r="C9228" s="23"/>
      <c r="D9228" s="23"/>
      <c r="E9228" s="24"/>
      <c r="F9228" s="25"/>
      <c r="G9228" s="25"/>
      <c r="H9228" s="27"/>
      <c r="I9228" s="28"/>
      <c r="J9228" s="39"/>
      <c r="K9228" s="41"/>
      <c r="L9228" s="31" t="str">
        <f>IFERROR(__xludf.DUMMYFUNCTION("IF(OR(E9228="""",K9228=""""),"""",IFERROR(IF(K9228="""","""",query('tbl user'!$A$2:$D10975,""SELECT A WHERE D = '""&amp;K9228&amp;""'"")),""USER TIDAK DIKETAHUI""))"),"")</f>
        <v/>
      </c>
    </row>
    <row r="9229">
      <c r="A9229" s="21" t="str">
        <f t="shared" si="3"/>
        <v/>
      </c>
      <c r="B9229" s="38"/>
      <c r="C9229" s="23"/>
      <c r="D9229" s="23"/>
      <c r="E9229" s="24"/>
      <c r="F9229" s="25"/>
      <c r="G9229" s="25"/>
      <c r="H9229" s="27"/>
      <c r="I9229" s="28"/>
      <c r="J9229" s="39"/>
      <c r="K9229" s="41"/>
      <c r="L9229" s="31" t="str">
        <f>IFERROR(__xludf.DUMMYFUNCTION("IF(OR(E9229="""",K9229=""""),"""",IFERROR(IF(K9229="""","""",query('tbl user'!$A$2:$D10975,""SELECT A WHERE D = '""&amp;K9229&amp;""'"")),""USER TIDAK DIKETAHUI""))"),"")</f>
        <v/>
      </c>
    </row>
    <row r="9230">
      <c r="A9230" s="21" t="str">
        <f t="shared" si="3"/>
        <v/>
      </c>
      <c r="B9230" s="38"/>
      <c r="C9230" s="23"/>
      <c r="D9230" s="23"/>
      <c r="E9230" s="24"/>
      <c r="F9230" s="25"/>
      <c r="G9230" s="25"/>
      <c r="H9230" s="27"/>
      <c r="I9230" s="28"/>
      <c r="J9230" s="39"/>
      <c r="K9230" s="41"/>
      <c r="L9230" s="31" t="str">
        <f>IFERROR(__xludf.DUMMYFUNCTION("IF(OR(E9230="""",K9230=""""),"""",IFERROR(IF(K9230="""","""",query('tbl user'!$A$2:$D10975,""SELECT A WHERE D = '""&amp;K9230&amp;""'"")),""USER TIDAK DIKETAHUI""))"),"")</f>
        <v/>
      </c>
    </row>
    <row r="9231">
      <c r="A9231" s="21" t="str">
        <f t="shared" si="3"/>
        <v/>
      </c>
      <c r="B9231" s="38"/>
      <c r="C9231" s="23"/>
      <c r="D9231" s="23"/>
      <c r="E9231" s="24"/>
      <c r="F9231" s="25"/>
      <c r="G9231" s="25"/>
      <c r="H9231" s="27"/>
      <c r="I9231" s="28"/>
      <c r="J9231" s="39"/>
      <c r="K9231" s="41"/>
      <c r="L9231" s="31" t="str">
        <f>IFERROR(__xludf.DUMMYFUNCTION("IF(OR(E9231="""",K9231=""""),"""",IFERROR(IF(K9231="""","""",query('tbl user'!$A$2:$D10975,""SELECT A WHERE D = '""&amp;K9231&amp;""'"")),""USER TIDAK DIKETAHUI""))"),"")</f>
        <v/>
      </c>
    </row>
    <row r="9232">
      <c r="A9232" s="21" t="str">
        <f t="shared" si="3"/>
        <v/>
      </c>
      <c r="B9232" s="38"/>
      <c r="C9232" s="23"/>
      <c r="D9232" s="23"/>
      <c r="E9232" s="24"/>
      <c r="F9232" s="25"/>
      <c r="G9232" s="25"/>
      <c r="H9232" s="27"/>
      <c r="I9232" s="28"/>
      <c r="J9232" s="39"/>
      <c r="K9232" s="41"/>
      <c r="L9232" s="31" t="str">
        <f>IFERROR(__xludf.DUMMYFUNCTION("IF(OR(E9232="""",K9232=""""),"""",IFERROR(IF(K9232="""","""",query('tbl user'!$A$2:$D10975,""SELECT A WHERE D = '""&amp;K9232&amp;""'"")),""USER TIDAK DIKETAHUI""))"),"")</f>
        <v/>
      </c>
    </row>
    <row r="9233">
      <c r="A9233" s="21" t="str">
        <f t="shared" si="3"/>
        <v/>
      </c>
      <c r="B9233" s="38"/>
      <c r="C9233" s="23"/>
      <c r="D9233" s="23"/>
      <c r="E9233" s="24"/>
      <c r="F9233" s="25"/>
      <c r="G9233" s="25"/>
      <c r="H9233" s="27"/>
      <c r="I9233" s="28"/>
      <c r="J9233" s="39"/>
      <c r="K9233" s="41"/>
      <c r="L9233" s="31" t="str">
        <f>IFERROR(__xludf.DUMMYFUNCTION("IF(OR(E9233="""",K9233=""""),"""",IFERROR(IF(K9233="""","""",query('tbl user'!$A$2:$D10975,""SELECT A WHERE D = '""&amp;K9233&amp;""'"")),""USER TIDAK DIKETAHUI""))"),"")</f>
        <v/>
      </c>
    </row>
    <row r="9234">
      <c r="A9234" s="21" t="str">
        <f t="shared" si="3"/>
        <v/>
      </c>
      <c r="B9234" s="38"/>
      <c r="C9234" s="23"/>
      <c r="D9234" s="23"/>
      <c r="E9234" s="24"/>
      <c r="F9234" s="25"/>
      <c r="G9234" s="25"/>
      <c r="H9234" s="27"/>
      <c r="I9234" s="28"/>
      <c r="J9234" s="39"/>
      <c r="K9234" s="41"/>
      <c r="L9234" s="31" t="str">
        <f>IFERROR(__xludf.DUMMYFUNCTION("IF(OR(E9234="""",K9234=""""),"""",IFERROR(IF(K9234="""","""",query('tbl user'!$A$2:$D10975,""SELECT A WHERE D = '""&amp;K9234&amp;""'"")),""USER TIDAK DIKETAHUI""))"),"")</f>
        <v/>
      </c>
    </row>
    <row r="9235">
      <c r="A9235" s="21" t="str">
        <f t="shared" si="3"/>
        <v/>
      </c>
      <c r="B9235" s="38"/>
      <c r="C9235" s="23"/>
      <c r="D9235" s="23"/>
      <c r="E9235" s="24"/>
      <c r="F9235" s="25"/>
      <c r="G9235" s="25"/>
      <c r="H9235" s="27"/>
      <c r="I9235" s="28"/>
      <c r="J9235" s="39"/>
      <c r="K9235" s="41"/>
      <c r="L9235" s="31" t="str">
        <f>IFERROR(__xludf.DUMMYFUNCTION("IF(OR(E9235="""",K9235=""""),"""",IFERROR(IF(K9235="""","""",query('tbl user'!$A$2:$D10975,""SELECT A WHERE D = '""&amp;K9235&amp;""'"")),""USER TIDAK DIKETAHUI""))"),"")</f>
        <v/>
      </c>
    </row>
    <row r="9236">
      <c r="A9236" s="21" t="str">
        <f t="shared" si="3"/>
        <v/>
      </c>
      <c r="B9236" s="38"/>
      <c r="C9236" s="23"/>
      <c r="D9236" s="23"/>
      <c r="E9236" s="24"/>
      <c r="F9236" s="25"/>
      <c r="G9236" s="25"/>
      <c r="H9236" s="27"/>
      <c r="I9236" s="28"/>
      <c r="J9236" s="39"/>
      <c r="K9236" s="41"/>
      <c r="L9236" s="31" t="str">
        <f>IFERROR(__xludf.DUMMYFUNCTION("IF(OR(E9236="""",K9236=""""),"""",IFERROR(IF(K9236="""","""",query('tbl user'!$A$2:$D10975,""SELECT A WHERE D = '""&amp;K9236&amp;""'"")),""USER TIDAK DIKETAHUI""))"),"")</f>
        <v/>
      </c>
    </row>
    <row r="9237">
      <c r="A9237" s="21" t="str">
        <f t="shared" si="3"/>
        <v/>
      </c>
      <c r="B9237" s="38"/>
      <c r="C9237" s="23"/>
      <c r="D9237" s="23"/>
      <c r="E9237" s="24"/>
      <c r="F9237" s="25"/>
      <c r="G9237" s="25"/>
      <c r="H9237" s="27"/>
      <c r="I9237" s="28"/>
      <c r="J9237" s="39"/>
      <c r="K9237" s="41"/>
      <c r="L9237" s="31" t="str">
        <f>IFERROR(__xludf.DUMMYFUNCTION("IF(OR(E9237="""",K9237=""""),"""",IFERROR(IF(K9237="""","""",query('tbl user'!$A$2:$D10975,""SELECT A WHERE D = '""&amp;K9237&amp;""'"")),""USER TIDAK DIKETAHUI""))"),"")</f>
        <v/>
      </c>
    </row>
    <row r="9238">
      <c r="A9238" s="21" t="str">
        <f t="shared" si="3"/>
        <v/>
      </c>
      <c r="B9238" s="38"/>
      <c r="C9238" s="23"/>
      <c r="D9238" s="23"/>
      <c r="E9238" s="24"/>
      <c r="F9238" s="25"/>
      <c r="G9238" s="25"/>
      <c r="H9238" s="27"/>
      <c r="I9238" s="28"/>
      <c r="J9238" s="39"/>
      <c r="K9238" s="41"/>
      <c r="L9238" s="31" t="str">
        <f>IFERROR(__xludf.DUMMYFUNCTION("IF(OR(E9238="""",K9238=""""),"""",IFERROR(IF(K9238="""","""",query('tbl user'!$A$2:$D10975,""SELECT A WHERE D = '""&amp;K9238&amp;""'"")),""USER TIDAK DIKETAHUI""))"),"")</f>
        <v/>
      </c>
    </row>
    <row r="9239">
      <c r="A9239" s="21" t="str">
        <f t="shared" si="3"/>
        <v/>
      </c>
      <c r="B9239" s="38"/>
      <c r="C9239" s="23"/>
      <c r="D9239" s="23"/>
      <c r="E9239" s="24"/>
      <c r="F9239" s="25"/>
      <c r="G9239" s="25"/>
      <c r="H9239" s="27"/>
      <c r="I9239" s="28"/>
      <c r="J9239" s="39"/>
      <c r="K9239" s="41"/>
      <c r="L9239" s="31" t="str">
        <f>IFERROR(__xludf.DUMMYFUNCTION("IF(OR(E9239="""",K9239=""""),"""",IFERROR(IF(K9239="""","""",query('tbl user'!$A$2:$D10975,""SELECT A WHERE D = '""&amp;K9239&amp;""'"")),""USER TIDAK DIKETAHUI""))"),"")</f>
        <v/>
      </c>
    </row>
    <row r="9240">
      <c r="A9240" s="21" t="str">
        <f t="shared" si="3"/>
        <v/>
      </c>
      <c r="B9240" s="38"/>
      <c r="C9240" s="23"/>
      <c r="D9240" s="23"/>
      <c r="E9240" s="24"/>
      <c r="F9240" s="25"/>
      <c r="G9240" s="25"/>
      <c r="H9240" s="27"/>
      <c r="I9240" s="28"/>
      <c r="J9240" s="39"/>
      <c r="K9240" s="41"/>
      <c r="L9240" s="31" t="str">
        <f>IFERROR(__xludf.DUMMYFUNCTION("IF(OR(E9240="""",K9240=""""),"""",IFERROR(IF(K9240="""","""",query('tbl user'!$A$2:$D10975,""SELECT A WHERE D = '""&amp;K9240&amp;""'"")),""USER TIDAK DIKETAHUI""))"),"")</f>
        <v/>
      </c>
    </row>
    <row r="9241">
      <c r="A9241" s="21" t="str">
        <f t="shared" si="3"/>
        <v/>
      </c>
      <c r="B9241" s="38"/>
      <c r="C9241" s="23"/>
      <c r="D9241" s="23"/>
      <c r="E9241" s="24"/>
      <c r="F9241" s="25"/>
      <c r="G9241" s="25"/>
      <c r="H9241" s="27"/>
      <c r="I9241" s="28"/>
      <c r="J9241" s="39"/>
      <c r="K9241" s="41"/>
      <c r="L9241" s="31" t="str">
        <f>IFERROR(__xludf.DUMMYFUNCTION("IF(OR(E9241="""",K9241=""""),"""",IFERROR(IF(K9241="""","""",query('tbl user'!$A$2:$D10975,""SELECT A WHERE D = '""&amp;K9241&amp;""'"")),""USER TIDAK DIKETAHUI""))"),"")</f>
        <v/>
      </c>
    </row>
    <row r="9242">
      <c r="A9242" s="21" t="str">
        <f t="shared" si="3"/>
        <v/>
      </c>
      <c r="B9242" s="38"/>
      <c r="C9242" s="23"/>
      <c r="D9242" s="23"/>
      <c r="E9242" s="24"/>
      <c r="F9242" s="25"/>
      <c r="G9242" s="25"/>
      <c r="H9242" s="27"/>
      <c r="I9242" s="28"/>
      <c r="J9242" s="39"/>
      <c r="K9242" s="41"/>
      <c r="L9242" s="31" t="str">
        <f>IFERROR(__xludf.DUMMYFUNCTION("IF(OR(E9242="""",K9242=""""),"""",IFERROR(IF(K9242="""","""",query('tbl user'!$A$2:$D10975,""SELECT A WHERE D = '""&amp;K9242&amp;""'"")),""USER TIDAK DIKETAHUI""))"),"")</f>
        <v/>
      </c>
    </row>
    <row r="9243">
      <c r="A9243" s="21" t="str">
        <f t="shared" si="3"/>
        <v/>
      </c>
      <c r="B9243" s="38"/>
      <c r="C9243" s="23"/>
      <c r="D9243" s="23"/>
      <c r="E9243" s="24"/>
      <c r="F9243" s="25"/>
      <c r="G9243" s="25"/>
      <c r="H9243" s="27"/>
      <c r="I9243" s="28"/>
      <c r="J9243" s="39"/>
      <c r="K9243" s="41"/>
      <c r="L9243" s="31" t="str">
        <f>IFERROR(__xludf.DUMMYFUNCTION("IF(OR(E9243="""",K9243=""""),"""",IFERROR(IF(K9243="""","""",query('tbl user'!$A$2:$D10975,""SELECT A WHERE D = '""&amp;K9243&amp;""'"")),""USER TIDAK DIKETAHUI""))"),"")</f>
        <v/>
      </c>
    </row>
    <row r="9244">
      <c r="A9244" s="21" t="str">
        <f t="shared" si="3"/>
        <v/>
      </c>
      <c r="B9244" s="38"/>
      <c r="C9244" s="23"/>
      <c r="D9244" s="23"/>
      <c r="E9244" s="24"/>
      <c r="F9244" s="25"/>
      <c r="G9244" s="25"/>
      <c r="H9244" s="27"/>
      <c r="I9244" s="28"/>
      <c r="J9244" s="39"/>
      <c r="K9244" s="41"/>
      <c r="L9244" s="31" t="str">
        <f>IFERROR(__xludf.DUMMYFUNCTION("IF(OR(E9244="""",K9244=""""),"""",IFERROR(IF(K9244="""","""",query('tbl user'!$A$2:$D10975,""SELECT A WHERE D = '""&amp;K9244&amp;""'"")),""USER TIDAK DIKETAHUI""))"),"")</f>
        <v/>
      </c>
    </row>
    <row r="9245">
      <c r="A9245" s="21" t="str">
        <f t="shared" si="3"/>
        <v/>
      </c>
      <c r="B9245" s="38"/>
      <c r="C9245" s="23"/>
      <c r="D9245" s="23"/>
      <c r="E9245" s="24"/>
      <c r="F9245" s="25"/>
      <c r="G9245" s="25"/>
      <c r="H9245" s="27"/>
      <c r="I9245" s="28"/>
      <c r="J9245" s="39"/>
      <c r="K9245" s="41"/>
      <c r="L9245" s="31" t="str">
        <f>IFERROR(__xludf.DUMMYFUNCTION("IF(OR(E9245="""",K9245=""""),"""",IFERROR(IF(K9245="""","""",query('tbl user'!$A$2:$D10975,""SELECT A WHERE D = '""&amp;K9245&amp;""'"")),""USER TIDAK DIKETAHUI""))"),"")</f>
        <v/>
      </c>
    </row>
    <row r="9246">
      <c r="A9246" s="21" t="str">
        <f t="shared" si="3"/>
        <v/>
      </c>
      <c r="B9246" s="38"/>
      <c r="C9246" s="23"/>
      <c r="D9246" s="23"/>
      <c r="E9246" s="24"/>
      <c r="F9246" s="25"/>
      <c r="G9246" s="25"/>
      <c r="H9246" s="27"/>
      <c r="I9246" s="28"/>
      <c r="J9246" s="39"/>
      <c r="K9246" s="41"/>
      <c r="L9246" s="31" t="str">
        <f>IFERROR(__xludf.DUMMYFUNCTION("IF(OR(E9246="""",K9246=""""),"""",IFERROR(IF(K9246="""","""",query('tbl user'!$A$2:$D10975,""SELECT A WHERE D = '""&amp;K9246&amp;""'"")),""USER TIDAK DIKETAHUI""))"),"")</f>
        <v/>
      </c>
    </row>
    <row r="9247">
      <c r="A9247" s="21" t="str">
        <f t="shared" si="3"/>
        <v/>
      </c>
      <c r="B9247" s="38"/>
      <c r="C9247" s="23"/>
      <c r="D9247" s="23"/>
      <c r="E9247" s="24"/>
      <c r="F9247" s="25"/>
      <c r="G9247" s="25"/>
      <c r="H9247" s="27"/>
      <c r="I9247" s="28"/>
      <c r="J9247" s="39"/>
      <c r="K9247" s="41"/>
      <c r="L9247" s="31" t="str">
        <f>IFERROR(__xludf.DUMMYFUNCTION("IF(OR(E9247="""",K9247=""""),"""",IFERROR(IF(K9247="""","""",query('tbl user'!$A$2:$D10975,""SELECT A WHERE D = '""&amp;K9247&amp;""'"")),""USER TIDAK DIKETAHUI""))"),"")</f>
        <v/>
      </c>
    </row>
    <row r="9248">
      <c r="A9248" s="21" t="str">
        <f t="shared" si="3"/>
        <v/>
      </c>
      <c r="B9248" s="38"/>
      <c r="C9248" s="23"/>
      <c r="D9248" s="23"/>
      <c r="E9248" s="24"/>
      <c r="F9248" s="25"/>
      <c r="G9248" s="25"/>
      <c r="H9248" s="27"/>
      <c r="I9248" s="28"/>
      <c r="J9248" s="39"/>
      <c r="K9248" s="41"/>
      <c r="L9248" s="31" t="str">
        <f>IFERROR(__xludf.DUMMYFUNCTION("IF(OR(E9248="""",K9248=""""),"""",IFERROR(IF(K9248="""","""",query('tbl user'!$A$2:$D10975,""SELECT A WHERE D = '""&amp;K9248&amp;""'"")),""USER TIDAK DIKETAHUI""))"),"")</f>
        <v/>
      </c>
    </row>
    <row r="9249">
      <c r="A9249" s="21" t="str">
        <f t="shared" si="3"/>
        <v/>
      </c>
      <c r="B9249" s="38"/>
      <c r="C9249" s="23"/>
      <c r="D9249" s="23"/>
      <c r="E9249" s="24"/>
      <c r="F9249" s="25"/>
      <c r="G9249" s="25"/>
      <c r="H9249" s="27"/>
      <c r="I9249" s="28"/>
      <c r="J9249" s="39"/>
      <c r="K9249" s="41"/>
      <c r="L9249" s="31" t="str">
        <f>IFERROR(__xludf.DUMMYFUNCTION("IF(OR(E9249="""",K9249=""""),"""",IFERROR(IF(K9249="""","""",query('tbl user'!$A$2:$D10975,""SELECT A WHERE D = '""&amp;K9249&amp;""'"")),""USER TIDAK DIKETAHUI""))"),"")</f>
        <v/>
      </c>
    </row>
    <row r="9250">
      <c r="A9250" s="21" t="str">
        <f t="shared" si="3"/>
        <v/>
      </c>
      <c r="B9250" s="38"/>
      <c r="C9250" s="23"/>
      <c r="D9250" s="23"/>
      <c r="E9250" s="24"/>
      <c r="F9250" s="25"/>
      <c r="G9250" s="25"/>
      <c r="H9250" s="27"/>
      <c r="I9250" s="28"/>
      <c r="J9250" s="39"/>
      <c r="K9250" s="41"/>
      <c r="L9250" s="31" t="str">
        <f>IFERROR(__xludf.DUMMYFUNCTION("IF(OR(E9250="""",K9250=""""),"""",IFERROR(IF(K9250="""","""",query('tbl user'!$A$2:$D10975,""SELECT A WHERE D = '""&amp;K9250&amp;""'"")),""USER TIDAK DIKETAHUI""))"),"")</f>
        <v/>
      </c>
    </row>
    <row r="9251">
      <c r="A9251" s="21" t="str">
        <f t="shared" si="3"/>
        <v/>
      </c>
      <c r="B9251" s="38"/>
      <c r="C9251" s="23"/>
      <c r="D9251" s="23"/>
      <c r="E9251" s="24"/>
      <c r="F9251" s="25"/>
      <c r="G9251" s="25"/>
      <c r="H9251" s="27"/>
      <c r="I9251" s="28"/>
      <c r="J9251" s="39"/>
      <c r="K9251" s="41"/>
      <c r="L9251" s="31" t="str">
        <f>IFERROR(__xludf.DUMMYFUNCTION("IF(OR(E9251="""",K9251=""""),"""",IFERROR(IF(K9251="""","""",query('tbl user'!$A$2:$D10975,""SELECT A WHERE D = '""&amp;K9251&amp;""'"")),""USER TIDAK DIKETAHUI""))"),"")</f>
        <v/>
      </c>
    </row>
    <row r="9252">
      <c r="A9252" s="21" t="str">
        <f t="shared" si="3"/>
        <v/>
      </c>
      <c r="B9252" s="38"/>
      <c r="C9252" s="23"/>
      <c r="D9252" s="23"/>
      <c r="E9252" s="24"/>
      <c r="F9252" s="25"/>
      <c r="G9252" s="25"/>
      <c r="H9252" s="27"/>
      <c r="I9252" s="28"/>
      <c r="J9252" s="39"/>
      <c r="K9252" s="41"/>
      <c r="L9252" s="31" t="str">
        <f>IFERROR(__xludf.DUMMYFUNCTION("IF(OR(E9252="""",K9252=""""),"""",IFERROR(IF(K9252="""","""",query('tbl user'!$A$2:$D10975,""SELECT A WHERE D = '""&amp;K9252&amp;""'"")),""USER TIDAK DIKETAHUI""))"),"")</f>
        <v/>
      </c>
    </row>
    <row r="9253">
      <c r="A9253" s="21" t="str">
        <f t="shared" si="3"/>
        <v/>
      </c>
      <c r="B9253" s="38"/>
      <c r="C9253" s="23"/>
      <c r="D9253" s="23"/>
      <c r="E9253" s="24"/>
      <c r="F9253" s="25"/>
      <c r="G9253" s="25"/>
      <c r="H9253" s="27"/>
      <c r="I9253" s="28"/>
      <c r="J9253" s="39"/>
      <c r="K9253" s="41"/>
      <c r="L9253" s="31" t="str">
        <f>IFERROR(__xludf.DUMMYFUNCTION("IF(OR(E9253="""",K9253=""""),"""",IFERROR(IF(K9253="""","""",query('tbl user'!$A$2:$D10975,""SELECT A WHERE D = '""&amp;K9253&amp;""'"")),""USER TIDAK DIKETAHUI""))"),"")</f>
        <v/>
      </c>
    </row>
    <row r="9254">
      <c r="A9254" s="21" t="str">
        <f t="shared" si="3"/>
        <v/>
      </c>
      <c r="B9254" s="38"/>
      <c r="C9254" s="23"/>
      <c r="D9254" s="23"/>
      <c r="E9254" s="24"/>
      <c r="F9254" s="25"/>
      <c r="G9254" s="25"/>
      <c r="H9254" s="27"/>
      <c r="I9254" s="28"/>
      <c r="J9254" s="39"/>
      <c r="K9254" s="41"/>
      <c r="L9254" s="31" t="str">
        <f>IFERROR(__xludf.DUMMYFUNCTION("IF(OR(E9254="""",K9254=""""),"""",IFERROR(IF(K9254="""","""",query('tbl user'!$A$2:$D10975,""SELECT A WHERE D = '""&amp;K9254&amp;""'"")),""USER TIDAK DIKETAHUI""))"),"")</f>
        <v/>
      </c>
    </row>
    <row r="9255">
      <c r="A9255" s="21" t="str">
        <f t="shared" si="3"/>
        <v/>
      </c>
      <c r="B9255" s="38"/>
      <c r="C9255" s="23"/>
      <c r="D9255" s="23"/>
      <c r="E9255" s="24"/>
      <c r="F9255" s="25"/>
      <c r="G9255" s="25"/>
      <c r="H9255" s="27"/>
      <c r="I9255" s="28"/>
      <c r="J9255" s="39"/>
      <c r="K9255" s="41"/>
      <c r="L9255" s="31" t="str">
        <f>IFERROR(__xludf.DUMMYFUNCTION("IF(OR(E9255="""",K9255=""""),"""",IFERROR(IF(K9255="""","""",query('tbl user'!$A$2:$D10975,""SELECT A WHERE D = '""&amp;K9255&amp;""'"")),""USER TIDAK DIKETAHUI""))"),"")</f>
        <v/>
      </c>
    </row>
    <row r="9256">
      <c r="A9256" s="21" t="str">
        <f t="shared" si="3"/>
        <v/>
      </c>
      <c r="B9256" s="38"/>
      <c r="C9256" s="23"/>
      <c r="D9256" s="23"/>
      <c r="E9256" s="24"/>
      <c r="F9256" s="25"/>
      <c r="G9256" s="25"/>
      <c r="H9256" s="27"/>
      <c r="I9256" s="28"/>
      <c r="J9256" s="39"/>
      <c r="K9256" s="41"/>
      <c r="L9256" s="31" t="str">
        <f>IFERROR(__xludf.DUMMYFUNCTION("IF(OR(E9256="""",K9256=""""),"""",IFERROR(IF(K9256="""","""",query('tbl user'!$A$2:$D10975,""SELECT A WHERE D = '""&amp;K9256&amp;""'"")),""USER TIDAK DIKETAHUI""))"),"")</f>
        <v/>
      </c>
    </row>
    <row r="9257">
      <c r="A9257" s="21" t="str">
        <f t="shared" si="3"/>
        <v/>
      </c>
      <c r="B9257" s="38"/>
      <c r="C9257" s="23"/>
      <c r="D9257" s="23"/>
      <c r="E9257" s="24"/>
      <c r="F9257" s="25"/>
      <c r="G9257" s="25"/>
      <c r="H9257" s="27"/>
      <c r="I9257" s="28"/>
      <c r="J9257" s="39"/>
      <c r="K9257" s="41"/>
      <c r="L9257" s="31" t="str">
        <f>IFERROR(__xludf.DUMMYFUNCTION("IF(OR(E9257="""",K9257=""""),"""",IFERROR(IF(K9257="""","""",query('tbl user'!$A$2:$D10975,""SELECT A WHERE D = '""&amp;K9257&amp;""'"")),""USER TIDAK DIKETAHUI""))"),"")</f>
        <v/>
      </c>
    </row>
    <row r="9258">
      <c r="A9258" s="21" t="str">
        <f t="shared" si="3"/>
        <v/>
      </c>
      <c r="B9258" s="38"/>
      <c r="C9258" s="23"/>
      <c r="D9258" s="23"/>
      <c r="E9258" s="24"/>
      <c r="F9258" s="25"/>
      <c r="G9258" s="25"/>
      <c r="H9258" s="27"/>
      <c r="I9258" s="28"/>
      <c r="J9258" s="39"/>
      <c r="K9258" s="41"/>
      <c r="L9258" s="31" t="str">
        <f>IFERROR(__xludf.DUMMYFUNCTION("IF(OR(E9258="""",K9258=""""),"""",IFERROR(IF(K9258="""","""",query('tbl user'!$A$2:$D10975,""SELECT A WHERE D = '""&amp;K9258&amp;""'"")),""USER TIDAK DIKETAHUI""))"),"")</f>
        <v/>
      </c>
    </row>
    <row r="9259">
      <c r="A9259" s="21" t="str">
        <f t="shared" si="3"/>
        <v/>
      </c>
      <c r="B9259" s="38"/>
      <c r="C9259" s="23"/>
      <c r="D9259" s="23"/>
      <c r="E9259" s="24"/>
      <c r="F9259" s="25"/>
      <c r="G9259" s="25"/>
      <c r="H9259" s="27"/>
      <c r="I9259" s="28"/>
      <c r="J9259" s="39"/>
      <c r="K9259" s="41"/>
      <c r="L9259" s="31" t="str">
        <f>IFERROR(__xludf.DUMMYFUNCTION("IF(OR(E9259="""",K9259=""""),"""",IFERROR(IF(K9259="""","""",query('tbl user'!$A$2:$D10975,""SELECT A WHERE D = '""&amp;K9259&amp;""'"")),""USER TIDAK DIKETAHUI""))"),"")</f>
        <v/>
      </c>
    </row>
    <row r="9260">
      <c r="A9260" s="21" t="str">
        <f t="shared" si="3"/>
        <v/>
      </c>
      <c r="B9260" s="38"/>
      <c r="C9260" s="23"/>
      <c r="D9260" s="23"/>
      <c r="E9260" s="24"/>
      <c r="F9260" s="25"/>
      <c r="G9260" s="25"/>
      <c r="H9260" s="27"/>
      <c r="I9260" s="28"/>
      <c r="J9260" s="39"/>
      <c r="K9260" s="41"/>
      <c r="L9260" s="31" t="str">
        <f>IFERROR(__xludf.DUMMYFUNCTION("IF(OR(E9260="""",K9260=""""),"""",IFERROR(IF(K9260="""","""",query('tbl user'!$A$2:$D10975,""SELECT A WHERE D = '""&amp;K9260&amp;""'"")),""USER TIDAK DIKETAHUI""))"),"")</f>
        <v/>
      </c>
    </row>
    <row r="9261">
      <c r="A9261" s="21" t="str">
        <f t="shared" si="3"/>
        <v/>
      </c>
      <c r="B9261" s="38"/>
      <c r="C9261" s="23"/>
      <c r="D9261" s="23"/>
      <c r="E9261" s="24"/>
      <c r="F9261" s="25"/>
      <c r="G9261" s="25"/>
      <c r="H9261" s="27"/>
      <c r="I9261" s="28"/>
      <c r="J9261" s="39"/>
      <c r="K9261" s="41"/>
      <c r="L9261" s="31" t="str">
        <f>IFERROR(__xludf.DUMMYFUNCTION("IF(OR(E9261="""",K9261=""""),"""",IFERROR(IF(K9261="""","""",query('tbl user'!$A$2:$D10975,""SELECT A WHERE D = '""&amp;K9261&amp;""'"")),""USER TIDAK DIKETAHUI""))"),"")</f>
        <v/>
      </c>
    </row>
    <row r="9262">
      <c r="A9262" s="21" t="str">
        <f t="shared" si="3"/>
        <v/>
      </c>
      <c r="B9262" s="38"/>
      <c r="C9262" s="23"/>
      <c r="D9262" s="23"/>
      <c r="E9262" s="24"/>
      <c r="F9262" s="25"/>
      <c r="G9262" s="25"/>
      <c r="H9262" s="27"/>
      <c r="I9262" s="28"/>
      <c r="J9262" s="39"/>
      <c r="K9262" s="41"/>
      <c r="L9262" s="31" t="str">
        <f>IFERROR(__xludf.DUMMYFUNCTION("IF(OR(E9262="""",K9262=""""),"""",IFERROR(IF(K9262="""","""",query('tbl user'!$A$2:$D10975,""SELECT A WHERE D = '""&amp;K9262&amp;""'"")),""USER TIDAK DIKETAHUI""))"),"")</f>
        <v/>
      </c>
    </row>
    <row r="9263">
      <c r="A9263" s="21" t="str">
        <f t="shared" si="3"/>
        <v/>
      </c>
      <c r="B9263" s="38"/>
      <c r="C9263" s="23"/>
      <c r="D9263" s="23"/>
      <c r="E9263" s="24"/>
      <c r="F9263" s="25"/>
      <c r="G9263" s="25"/>
      <c r="H9263" s="27"/>
      <c r="I9263" s="28"/>
      <c r="J9263" s="39"/>
      <c r="K9263" s="41"/>
      <c r="L9263" s="31" t="str">
        <f>IFERROR(__xludf.DUMMYFUNCTION("IF(OR(E9263="""",K9263=""""),"""",IFERROR(IF(K9263="""","""",query('tbl user'!$A$2:$D10975,""SELECT A WHERE D = '""&amp;K9263&amp;""'"")),""USER TIDAK DIKETAHUI""))"),"")</f>
        <v/>
      </c>
    </row>
    <row r="9264">
      <c r="A9264" s="21" t="str">
        <f t="shared" si="3"/>
        <v/>
      </c>
      <c r="B9264" s="38"/>
      <c r="C9264" s="23"/>
      <c r="D9264" s="23"/>
      <c r="E9264" s="24"/>
      <c r="F9264" s="25"/>
      <c r="G9264" s="25"/>
      <c r="H9264" s="27"/>
      <c r="I9264" s="28"/>
      <c r="J9264" s="39"/>
      <c r="K9264" s="41"/>
      <c r="L9264" s="31" t="str">
        <f>IFERROR(__xludf.DUMMYFUNCTION("IF(OR(E9264="""",K9264=""""),"""",IFERROR(IF(K9264="""","""",query('tbl user'!$A$2:$D10975,""SELECT A WHERE D = '""&amp;K9264&amp;""'"")),""USER TIDAK DIKETAHUI""))"),"")</f>
        <v/>
      </c>
    </row>
    <row r="9265">
      <c r="A9265" s="21" t="str">
        <f t="shared" si="3"/>
        <v/>
      </c>
      <c r="B9265" s="38"/>
      <c r="C9265" s="23"/>
      <c r="D9265" s="23"/>
      <c r="E9265" s="24"/>
      <c r="F9265" s="25"/>
      <c r="G9265" s="25"/>
      <c r="H9265" s="27"/>
      <c r="I9265" s="28"/>
      <c r="J9265" s="39"/>
      <c r="K9265" s="41"/>
      <c r="L9265" s="31" t="str">
        <f>IFERROR(__xludf.DUMMYFUNCTION("IF(OR(E9265="""",K9265=""""),"""",IFERROR(IF(K9265="""","""",query('tbl user'!$A$2:$D10975,""SELECT A WHERE D = '""&amp;K9265&amp;""'"")),""USER TIDAK DIKETAHUI""))"),"")</f>
        <v/>
      </c>
    </row>
    <row r="9266">
      <c r="A9266" s="21" t="str">
        <f t="shared" si="3"/>
        <v/>
      </c>
      <c r="B9266" s="38"/>
      <c r="C9266" s="23"/>
      <c r="D9266" s="23"/>
      <c r="E9266" s="24"/>
      <c r="F9266" s="25"/>
      <c r="G9266" s="25"/>
      <c r="H9266" s="27"/>
      <c r="I9266" s="28"/>
      <c r="J9266" s="39"/>
      <c r="K9266" s="41"/>
      <c r="L9266" s="31" t="str">
        <f>IFERROR(__xludf.DUMMYFUNCTION("IF(OR(E9266="""",K9266=""""),"""",IFERROR(IF(K9266="""","""",query('tbl user'!$A$2:$D10975,""SELECT A WHERE D = '""&amp;K9266&amp;""'"")),""USER TIDAK DIKETAHUI""))"),"")</f>
        <v/>
      </c>
    </row>
    <row r="9267">
      <c r="A9267" s="21" t="str">
        <f t="shared" si="3"/>
        <v/>
      </c>
      <c r="B9267" s="38"/>
      <c r="C9267" s="23"/>
      <c r="D9267" s="23"/>
      <c r="E9267" s="24"/>
      <c r="F9267" s="25"/>
      <c r="G9267" s="25"/>
      <c r="H9267" s="27"/>
      <c r="I9267" s="28"/>
      <c r="J9267" s="39"/>
      <c r="K9267" s="41"/>
      <c r="L9267" s="31" t="str">
        <f>IFERROR(__xludf.DUMMYFUNCTION("IF(OR(E9267="""",K9267=""""),"""",IFERROR(IF(K9267="""","""",query('tbl user'!$A$2:$D10975,""SELECT A WHERE D = '""&amp;K9267&amp;""'"")),""USER TIDAK DIKETAHUI""))"),"")</f>
        <v/>
      </c>
    </row>
    <row r="9268">
      <c r="A9268" s="21" t="str">
        <f t="shared" si="3"/>
        <v/>
      </c>
      <c r="B9268" s="38"/>
      <c r="C9268" s="23"/>
      <c r="D9268" s="23"/>
      <c r="E9268" s="24"/>
      <c r="F9268" s="25"/>
      <c r="G9268" s="25"/>
      <c r="H9268" s="27"/>
      <c r="I9268" s="28"/>
      <c r="J9268" s="39"/>
      <c r="K9268" s="41"/>
      <c r="L9268" s="31" t="str">
        <f>IFERROR(__xludf.DUMMYFUNCTION("IF(OR(E9268="""",K9268=""""),"""",IFERROR(IF(K9268="""","""",query('tbl user'!$A$2:$D10975,""SELECT A WHERE D = '""&amp;K9268&amp;""'"")),""USER TIDAK DIKETAHUI""))"),"")</f>
        <v/>
      </c>
    </row>
    <row r="9269">
      <c r="A9269" s="21" t="str">
        <f t="shared" si="3"/>
        <v/>
      </c>
      <c r="B9269" s="38"/>
      <c r="C9269" s="23"/>
      <c r="D9269" s="23"/>
      <c r="E9269" s="24"/>
      <c r="F9269" s="25"/>
      <c r="G9269" s="25"/>
      <c r="H9269" s="27"/>
      <c r="I9269" s="28"/>
      <c r="J9269" s="39"/>
      <c r="K9269" s="41"/>
      <c r="L9269" s="31" t="str">
        <f>IFERROR(__xludf.DUMMYFUNCTION("IF(OR(E9269="""",K9269=""""),"""",IFERROR(IF(K9269="""","""",query('tbl user'!$A$2:$D10975,""SELECT A WHERE D = '""&amp;K9269&amp;""'"")),""USER TIDAK DIKETAHUI""))"),"")</f>
        <v/>
      </c>
    </row>
    <row r="9270">
      <c r="A9270" s="21" t="str">
        <f t="shared" si="3"/>
        <v/>
      </c>
      <c r="B9270" s="38"/>
      <c r="C9270" s="23"/>
      <c r="D9270" s="23"/>
      <c r="E9270" s="24"/>
      <c r="F9270" s="25"/>
      <c r="G9270" s="25"/>
      <c r="H9270" s="27"/>
      <c r="I9270" s="28"/>
      <c r="J9270" s="39"/>
      <c r="K9270" s="41"/>
      <c r="L9270" s="31" t="str">
        <f>IFERROR(__xludf.DUMMYFUNCTION("IF(OR(E9270="""",K9270=""""),"""",IFERROR(IF(K9270="""","""",query('tbl user'!$A$2:$D10975,""SELECT A WHERE D = '""&amp;K9270&amp;""'"")),""USER TIDAK DIKETAHUI""))"),"")</f>
        <v/>
      </c>
    </row>
    <row r="9271">
      <c r="A9271" s="21" t="str">
        <f t="shared" si="3"/>
        <v/>
      </c>
      <c r="B9271" s="38"/>
      <c r="C9271" s="23"/>
      <c r="D9271" s="23"/>
      <c r="E9271" s="24"/>
      <c r="F9271" s="25"/>
      <c r="G9271" s="25"/>
      <c r="H9271" s="27"/>
      <c r="I9271" s="28"/>
      <c r="J9271" s="39"/>
      <c r="K9271" s="41"/>
      <c r="L9271" s="31" t="str">
        <f>IFERROR(__xludf.DUMMYFUNCTION("IF(OR(E9271="""",K9271=""""),"""",IFERROR(IF(K9271="""","""",query('tbl user'!$A$2:$D10975,""SELECT A WHERE D = '""&amp;K9271&amp;""'"")),""USER TIDAK DIKETAHUI""))"),"")</f>
        <v/>
      </c>
    </row>
    <row r="9272">
      <c r="A9272" s="21" t="str">
        <f t="shared" si="3"/>
        <v/>
      </c>
      <c r="B9272" s="38"/>
      <c r="C9272" s="23"/>
      <c r="D9272" s="23"/>
      <c r="E9272" s="24"/>
      <c r="F9272" s="25"/>
      <c r="G9272" s="25"/>
      <c r="H9272" s="27"/>
      <c r="I9272" s="28"/>
      <c r="J9272" s="39"/>
      <c r="K9272" s="41"/>
      <c r="L9272" s="31" t="str">
        <f>IFERROR(__xludf.DUMMYFUNCTION("IF(OR(E9272="""",K9272=""""),"""",IFERROR(IF(K9272="""","""",query('tbl user'!$A$2:$D10975,""SELECT A WHERE D = '""&amp;K9272&amp;""'"")),""USER TIDAK DIKETAHUI""))"),"")</f>
        <v/>
      </c>
    </row>
    <row r="9273">
      <c r="A9273" s="21" t="str">
        <f t="shared" si="3"/>
        <v/>
      </c>
      <c r="B9273" s="38"/>
      <c r="C9273" s="23"/>
      <c r="D9273" s="23"/>
      <c r="E9273" s="24"/>
      <c r="F9273" s="25"/>
      <c r="G9273" s="25"/>
      <c r="H9273" s="27"/>
      <c r="I9273" s="28"/>
      <c r="J9273" s="39"/>
      <c r="K9273" s="41"/>
      <c r="L9273" s="31" t="str">
        <f>IFERROR(__xludf.DUMMYFUNCTION("IF(OR(E9273="""",K9273=""""),"""",IFERROR(IF(K9273="""","""",query('tbl user'!$A$2:$D10975,""SELECT A WHERE D = '""&amp;K9273&amp;""'"")),""USER TIDAK DIKETAHUI""))"),"")</f>
        <v/>
      </c>
    </row>
    <row r="9274">
      <c r="A9274" s="21" t="str">
        <f t="shared" si="3"/>
        <v/>
      </c>
      <c r="B9274" s="38"/>
      <c r="C9274" s="23"/>
      <c r="D9274" s="23"/>
      <c r="E9274" s="24"/>
      <c r="F9274" s="25"/>
      <c r="G9274" s="25"/>
      <c r="H9274" s="27"/>
      <c r="I9274" s="28"/>
      <c r="J9274" s="39"/>
      <c r="K9274" s="41"/>
      <c r="L9274" s="31" t="str">
        <f>IFERROR(__xludf.DUMMYFUNCTION("IF(OR(E9274="""",K9274=""""),"""",IFERROR(IF(K9274="""","""",query('tbl user'!$A$2:$D10975,""SELECT A WHERE D = '""&amp;K9274&amp;""'"")),""USER TIDAK DIKETAHUI""))"),"")</f>
        <v/>
      </c>
    </row>
    <row r="9275">
      <c r="A9275" s="21" t="str">
        <f t="shared" si="3"/>
        <v/>
      </c>
      <c r="B9275" s="38"/>
      <c r="C9275" s="23"/>
      <c r="D9275" s="23"/>
      <c r="E9275" s="24"/>
      <c r="F9275" s="25"/>
      <c r="G9275" s="25"/>
      <c r="H9275" s="27"/>
      <c r="I9275" s="28"/>
      <c r="J9275" s="39"/>
      <c r="K9275" s="41"/>
      <c r="L9275" s="31" t="str">
        <f>IFERROR(__xludf.DUMMYFUNCTION("IF(OR(E9275="""",K9275=""""),"""",IFERROR(IF(K9275="""","""",query('tbl user'!$A$2:$D10975,""SELECT A WHERE D = '""&amp;K9275&amp;""'"")),""USER TIDAK DIKETAHUI""))"),"")</f>
        <v/>
      </c>
    </row>
    <row r="9276">
      <c r="A9276" s="21" t="str">
        <f t="shared" si="3"/>
        <v/>
      </c>
      <c r="B9276" s="38"/>
      <c r="C9276" s="23"/>
      <c r="D9276" s="23"/>
      <c r="E9276" s="24"/>
      <c r="F9276" s="25"/>
      <c r="G9276" s="25"/>
      <c r="H9276" s="27"/>
      <c r="I9276" s="28"/>
      <c r="J9276" s="39"/>
      <c r="K9276" s="41"/>
      <c r="L9276" s="31" t="str">
        <f>IFERROR(__xludf.DUMMYFUNCTION("IF(OR(E9276="""",K9276=""""),"""",IFERROR(IF(K9276="""","""",query('tbl user'!$A$2:$D10975,""SELECT A WHERE D = '""&amp;K9276&amp;""'"")),""USER TIDAK DIKETAHUI""))"),"")</f>
        <v/>
      </c>
    </row>
    <row r="9277">
      <c r="A9277" s="21" t="str">
        <f t="shared" si="3"/>
        <v/>
      </c>
      <c r="B9277" s="38"/>
      <c r="C9277" s="23"/>
      <c r="D9277" s="23"/>
      <c r="E9277" s="24"/>
      <c r="F9277" s="25"/>
      <c r="G9277" s="25"/>
      <c r="H9277" s="27"/>
      <c r="I9277" s="28"/>
      <c r="J9277" s="39"/>
      <c r="K9277" s="41"/>
      <c r="L9277" s="31" t="str">
        <f>IFERROR(__xludf.DUMMYFUNCTION("IF(OR(E9277="""",K9277=""""),"""",IFERROR(IF(K9277="""","""",query('tbl user'!$A$2:$D10975,""SELECT A WHERE D = '""&amp;K9277&amp;""'"")),""USER TIDAK DIKETAHUI""))"),"")</f>
        <v/>
      </c>
    </row>
    <row r="9278">
      <c r="A9278" s="21" t="str">
        <f t="shared" si="3"/>
        <v/>
      </c>
      <c r="B9278" s="38"/>
      <c r="C9278" s="23"/>
      <c r="D9278" s="23"/>
      <c r="E9278" s="24"/>
      <c r="F9278" s="25"/>
      <c r="G9278" s="25"/>
      <c r="H9278" s="27"/>
      <c r="I9278" s="28"/>
      <c r="J9278" s="39"/>
      <c r="K9278" s="41"/>
      <c r="L9278" s="31" t="str">
        <f>IFERROR(__xludf.DUMMYFUNCTION("IF(OR(E9278="""",K9278=""""),"""",IFERROR(IF(K9278="""","""",query('tbl user'!$A$2:$D10975,""SELECT A WHERE D = '""&amp;K9278&amp;""'"")),""USER TIDAK DIKETAHUI""))"),"")</f>
        <v/>
      </c>
    </row>
    <row r="9279">
      <c r="A9279" s="21" t="str">
        <f t="shared" si="3"/>
        <v/>
      </c>
      <c r="B9279" s="38"/>
      <c r="C9279" s="23"/>
      <c r="D9279" s="23"/>
      <c r="E9279" s="24"/>
      <c r="F9279" s="25"/>
      <c r="G9279" s="25"/>
      <c r="H9279" s="27"/>
      <c r="I9279" s="28"/>
      <c r="J9279" s="39"/>
      <c r="K9279" s="41"/>
      <c r="L9279" s="31" t="str">
        <f>IFERROR(__xludf.DUMMYFUNCTION("IF(OR(E9279="""",K9279=""""),"""",IFERROR(IF(K9279="""","""",query('tbl user'!$A$2:$D10975,""SELECT A WHERE D = '""&amp;K9279&amp;""'"")),""USER TIDAK DIKETAHUI""))"),"")</f>
        <v/>
      </c>
    </row>
    <row r="9280">
      <c r="A9280" s="21" t="str">
        <f t="shared" si="3"/>
        <v/>
      </c>
      <c r="B9280" s="38"/>
      <c r="C9280" s="23"/>
      <c r="D9280" s="23"/>
      <c r="E9280" s="24"/>
      <c r="F9280" s="25"/>
      <c r="G9280" s="25"/>
      <c r="H9280" s="27"/>
      <c r="I9280" s="28"/>
      <c r="J9280" s="39"/>
      <c r="K9280" s="41"/>
      <c r="L9280" s="31" t="str">
        <f>IFERROR(__xludf.DUMMYFUNCTION("IF(OR(E9280="""",K9280=""""),"""",IFERROR(IF(K9280="""","""",query('tbl user'!$A$2:$D10975,""SELECT A WHERE D = '""&amp;K9280&amp;""'"")),""USER TIDAK DIKETAHUI""))"),"")</f>
        <v/>
      </c>
    </row>
    <row r="9281">
      <c r="A9281" s="21" t="str">
        <f t="shared" si="3"/>
        <v/>
      </c>
      <c r="B9281" s="38"/>
      <c r="C9281" s="23"/>
      <c r="D9281" s="23"/>
      <c r="E9281" s="24"/>
      <c r="F9281" s="25"/>
      <c r="G9281" s="25"/>
      <c r="H9281" s="27"/>
      <c r="I9281" s="28"/>
      <c r="J9281" s="39"/>
      <c r="K9281" s="41"/>
      <c r="L9281" s="31" t="str">
        <f>IFERROR(__xludf.DUMMYFUNCTION("IF(OR(E9281="""",K9281=""""),"""",IFERROR(IF(K9281="""","""",query('tbl user'!$A$2:$D10975,""SELECT A WHERE D = '""&amp;K9281&amp;""'"")),""USER TIDAK DIKETAHUI""))"),"")</f>
        <v/>
      </c>
    </row>
    <row r="9282">
      <c r="A9282" s="21" t="str">
        <f t="shared" si="3"/>
        <v/>
      </c>
      <c r="B9282" s="38"/>
      <c r="C9282" s="23"/>
      <c r="D9282" s="23"/>
      <c r="E9282" s="24"/>
      <c r="F9282" s="25"/>
      <c r="G9282" s="25"/>
      <c r="H9282" s="27"/>
      <c r="I9282" s="28"/>
      <c r="J9282" s="39"/>
      <c r="K9282" s="41"/>
      <c r="L9282" s="31" t="str">
        <f>IFERROR(__xludf.DUMMYFUNCTION("IF(OR(E9282="""",K9282=""""),"""",IFERROR(IF(K9282="""","""",query('tbl user'!$A$2:$D10975,""SELECT A WHERE D = '""&amp;K9282&amp;""'"")),""USER TIDAK DIKETAHUI""))"),"")</f>
        <v/>
      </c>
    </row>
    <row r="9283">
      <c r="A9283" s="21" t="str">
        <f t="shared" si="3"/>
        <v/>
      </c>
      <c r="B9283" s="38"/>
      <c r="C9283" s="23"/>
      <c r="D9283" s="23"/>
      <c r="E9283" s="24"/>
      <c r="F9283" s="25"/>
      <c r="G9283" s="25"/>
      <c r="H9283" s="27"/>
      <c r="I9283" s="28"/>
      <c r="J9283" s="39"/>
      <c r="K9283" s="41"/>
      <c r="L9283" s="31" t="str">
        <f>IFERROR(__xludf.DUMMYFUNCTION("IF(OR(E9283="""",K9283=""""),"""",IFERROR(IF(K9283="""","""",query('tbl user'!$A$2:$D10975,""SELECT A WHERE D = '""&amp;K9283&amp;""'"")),""USER TIDAK DIKETAHUI""))"),"")</f>
        <v/>
      </c>
    </row>
    <row r="9284">
      <c r="A9284" s="21" t="str">
        <f t="shared" si="3"/>
        <v/>
      </c>
      <c r="B9284" s="38"/>
      <c r="C9284" s="23"/>
      <c r="D9284" s="23"/>
      <c r="E9284" s="24"/>
      <c r="F9284" s="25"/>
      <c r="G9284" s="25"/>
      <c r="H9284" s="27"/>
      <c r="I9284" s="28"/>
      <c r="J9284" s="39"/>
      <c r="K9284" s="41"/>
      <c r="L9284" s="31" t="str">
        <f>IFERROR(__xludf.DUMMYFUNCTION("IF(OR(E9284="""",K9284=""""),"""",IFERROR(IF(K9284="""","""",query('tbl user'!$A$2:$D10975,""SELECT A WHERE D = '""&amp;K9284&amp;""'"")),""USER TIDAK DIKETAHUI""))"),"")</f>
        <v/>
      </c>
    </row>
    <row r="9285">
      <c r="A9285" s="21" t="str">
        <f t="shared" si="3"/>
        <v/>
      </c>
      <c r="B9285" s="38"/>
      <c r="C9285" s="23"/>
      <c r="D9285" s="23"/>
      <c r="E9285" s="24"/>
      <c r="F9285" s="25"/>
      <c r="G9285" s="25"/>
      <c r="H9285" s="27"/>
      <c r="I9285" s="28"/>
      <c r="J9285" s="39"/>
      <c r="K9285" s="41"/>
      <c r="L9285" s="31" t="str">
        <f>IFERROR(__xludf.DUMMYFUNCTION("IF(OR(E9285="""",K9285=""""),"""",IFERROR(IF(K9285="""","""",query('tbl user'!$A$2:$D10975,""SELECT A WHERE D = '""&amp;K9285&amp;""'"")),""USER TIDAK DIKETAHUI""))"),"")</f>
        <v/>
      </c>
    </row>
    <row r="9286">
      <c r="A9286" s="21" t="str">
        <f t="shared" si="3"/>
        <v/>
      </c>
      <c r="B9286" s="38"/>
      <c r="C9286" s="23"/>
      <c r="D9286" s="23"/>
      <c r="E9286" s="24"/>
      <c r="F9286" s="25"/>
      <c r="G9286" s="25"/>
      <c r="H9286" s="27"/>
      <c r="I9286" s="28"/>
      <c r="J9286" s="39"/>
      <c r="K9286" s="41"/>
      <c r="L9286" s="31" t="str">
        <f>IFERROR(__xludf.DUMMYFUNCTION("IF(OR(E9286="""",K9286=""""),"""",IFERROR(IF(K9286="""","""",query('tbl user'!$A$2:$D10975,""SELECT A WHERE D = '""&amp;K9286&amp;""'"")),""USER TIDAK DIKETAHUI""))"),"")</f>
        <v/>
      </c>
    </row>
    <row r="9287">
      <c r="A9287" s="21" t="str">
        <f t="shared" si="3"/>
        <v/>
      </c>
      <c r="B9287" s="38"/>
      <c r="C9287" s="23"/>
      <c r="D9287" s="23"/>
      <c r="E9287" s="24"/>
      <c r="F9287" s="25"/>
      <c r="G9287" s="25"/>
      <c r="H9287" s="27"/>
      <c r="I9287" s="28"/>
      <c r="J9287" s="39"/>
      <c r="K9287" s="41"/>
      <c r="L9287" s="31" t="str">
        <f>IFERROR(__xludf.DUMMYFUNCTION("IF(OR(E9287="""",K9287=""""),"""",IFERROR(IF(K9287="""","""",query('tbl user'!$A$2:$D10975,""SELECT A WHERE D = '""&amp;K9287&amp;""'"")),""USER TIDAK DIKETAHUI""))"),"")</f>
        <v/>
      </c>
    </row>
    <row r="9288">
      <c r="A9288" s="21" t="str">
        <f t="shared" si="3"/>
        <v/>
      </c>
      <c r="B9288" s="38"/>
      <c r="C9288" s="23"/>
      <c r="D9288" s="23"/>
      <c r="E9288" s="24"/>
      <c r="F9288" s="25"/>
      <c r="G9288" s="25"/>
      <c r="H9288" s="27"/>
      <c r="I9288" s="28"/>
      <c r="J9288" s="39"/>
      <c r="K9288" s="41"/>
      <c r="L9288" s="31" t="str">
        <f>IFERROR(__xludf.DUMMYFUNCTION("IF(OR(E9288="""",K9288=""""),"""",IFERROR(IF(K9288="""","""",query('tbl user'!$A$2:$D10975,""SELECT A WHERE D = '""&amp;K9288&amp;""'"")),""USER TIDAK DIKETAHUI""))"),"")</f>
        <v/>
      </c>
    </row>
    <row r="9289">
      <c r="A9289" s="21" t="str">
        <f t="shared" si="3"/>
        <v/>
      </c>
      <c r="B9289" s="38"/>
      <c r="C9289" s="23"/>
      <c r="D9289" s="23"/>
      <c r="E9289" s="24"/>
      <c r="F9289" s="25"/>
      <c r="G9289" s="25"/>
      <c r="H9289" s="27"/>
      <c r="I9289" s="28"/>
      <c r="J9289" s="39"/>
      <c r="K9289" s="41"/>
      <c r="L9289" s="31" t="str">
        <f>IFERROR(__xludf.DUMMYFUNCTION("IF(OR(E9289="""",K9289=""""),"""",IFERROR(IF(K9289="""","""",query('tbl user'!$A$2:$D10975,""SELECT A WHERE D = '""&amp;K9289&amp;""'"")),""USER TIDAK DIKETAHUI""))"),"")</f>
        <v/>
      </c>
    </row>
    <row r="9290">
      <c r="A9290" s="21" t="str">
        <f t="shared" si="3"/>
        <v/>
      </c>
      <c r="B9290" s="38"/>
      <c r="C9290" s="23"/>
      <c r="D9290" s="23"/>
      <c r="E9290" s="24"/>
      <c r="F9290" s="25"/>
      <c r="G9290" s="25"/>
      <c r="H9290" s="27"/>
      <c r="I9290" s="28"/>
      <c r="J9290" s="39"/>
      <c r="K9290" s="41"/>
      <c r="L9290" s="31" t="str">
        <f>IFERROR(__xludf.DUMMYFUNCTION("IF(OR(E9290="""",K9290=""""),"""",IFERROR(IF(K9290="""","""",query('tbl user'!$A$2:$D10975,""SELECT A WHERE D = '""&amp;K9290&amp;""'"")),""USER TIDAK DIKETAHUI""))"),"")</f>
        <v/>
      </c>
    </row>
    <row r="9291">
      <c r="A9291" s="21" t="str">
        <f t="shared" si="3"/>
        <v/>
      </c>
      <c r="B9291" s="38"/>
      <c r="C9291" s="23"/>
      <c r="D9291" s="23"/>
      <c r="E9291" s="24"/>
      <c r="F9291" s="25"/>
      <c r="G9291" s="25"/>
      <c r="H9291" s="27"/>
      <c r="I9291" s="28"/>
      <c r="J9291" s="39"/>
      <c r="K9291" s="41"/>
      <c r="L9291" s="31" t="str">
        <f>IFERROR(__xludf.DUMMYFUNCTION("IF(OR(E9291="""",K9291=""""),"""",IFERROR(IF(K9291="""","""",query('tbl user'!$A$2:$D10975,""SELECT A WHERE D = '""&amp;K9291&amp;""'"")),""USER TIDAK DIKETAHUI""))"),"")</f>
        <v/>
      </c>
    </row>
    <row r="9292">
      <c r="A9292" s="21" t="str">
        <f t="shared" si="3"/>
        <v/>
      </c>
      <c r="B9292" s="38"/>
      <c r="C9292" s="23"/>
      <c r="D9292" s="23"/>
      <c r="E9292" s="24"/>
      <c r="F9292" s="25"/>
      <c r="G9292" s="25"/>
      <c r="H9292" s="27"/>
      <c r="I9292" s="28"/>
      <c r="J9292" s="39"/>
      <c r="K9292" s="41"/>
      <c r="L9292" s="31" t="str">
        <f>IFERROR(__xludf.DUMMYFUNCTION("IF(OR(E9292="""",K9292=""""),"""",IFERROR(IF(K9292="""","""",query('tbl user'!$A$2:$D10975,""SELECT A WHERE D = '""&amp;K9292&amp;""'"")),""USER TIDAK DIKETAHUI""))"),"")</f>
        <v/>
      </c>
    </row>
    <row r="9293">
      <c r="A9293" s="21" t="str">
        <f t="shared" si="3"/>
        <v/>
      </c>
      <c r="B9293" s="38"/>
      <c r="C9293" s="23"/>
      <c r="D9293" s="23"/>
      <c r="E9293" s="24"/>
      <c r="F9293" s="25"/>
      <c r="G9293" s="25"/>
      <c r="H9293" s="27"/>
      <c r="I9293" s="28"/>
      <c r="J9293" s="39"/>
      <c r="K9293" s="41"/>
      <c r="L9293" s="31" t="str">
        <f>IFERROR(__xludf.DUMMYFUNCTION("IF(OR(E9293="""",K9293=""""),"""",IFERROR(IF(K9293="""","""",query('tbl user'!$A$2:$D10975,""SELECT A WHERE D = '""&amp;K9293&amp;""'"")),""USER TIDAK DIKETAHUI""))"),"")</f>
        <v/>
      </c>
    </row>
    <row r="9294">
      <c r="A9294" s="21" t="str">
        <f t="shared" si="3"/>
        <v/>
      </c>
      <c r="B9294" s="38"/>
      <c r="C9294" s="23"/>
      <c r="D9294" s="23"/>
      <c r="E9294" s="24"/>
      <c r="F9294" s="25"/>
      <c r="G9294" s="25"/>
      <c r="H9294" s="27"/>
      <c r="I9294" s="28"/>
      <c r="J9294" s="39"/>
      <c r="K9294" s="41"/>
      <c r="L9294" s="31" t="str">
        <f>IFERROR(__xludf.DUMMYFUNCTION("IF(OR(E9294="""",K9294=""""),"""",IFERROR(IF(K9294="""","""",query('tbl user'!$A$2:$D10975,""SELECT A WHERE D = '""&amp;K9294&amp;""'"")),""USER TIDAK DIKETAHUI""))"),"")</f>
        <v/>
      </c>
    </row>
    <row r="9295">
      <c r="A9295" s="21" t="str">
        <f t="shared" si="3"/>
        <v/>
      </c>
      <c r="B9295" s="38"/>
      <c r="C9295" s="23"/>
      <c r="D9295" s="23"/>
      <c r="E9295" s="24"/>
      <c r="F9295" s="25"/>
      <c r="G9295" s="25"/>
      <c r="H9295" s="27"/>
      <c r="I9295" s="28"/>
      <c r="J9295" s="39"/>
      <c r="K9295" s="41"/>
      <c r="L9295" s="31" t="str">
        <f>IFERROR(__xludf.DUMMYFUNCTION("IF(OR(E9295="""",K9295=""""),"""",IFERROR(IF(K9295="""","""",query('tbl user'!$A$2:$D10975,""SELECT A WHERE D = '""&amp;K9295&amp;""'"")),""USER TIDAK DIKETAHUI""))"),"")</f>
        <v/>
      </c>
    </row>
    <row r="9296">
      <c r="A9296" s="21" t="str">
        <f t="shared" si="3"/>
        <v/>
      </c>
      <c r="B9296" s="38"/>
      <c r="C9296" s="23"/>
      <c r="D9296" s="23"/>
      <c r="E9296" s="24"/>
      <c r="F9296" s="25"/>
      <c r="G9296" s="25"/>
      <c r="H9296" s="27"/>
      <c r="I9296" s="28"/>
      <c r="J9296" s="39"/>
      <c r="K9296" s="41"/>
      <c r="L9296" s="31" t="str">
        <f>IFERROR(__xludf.DUMMYFUNCTION("IF(OR(E9296="""",K9296=""""),"""",IFERROR(IF(K9296="""","""",query('tbl user'!$A$2:$D10975,""SELECT A WHERE D = '""&amp;K9296&amp;""'"")),""USER TIDAK DIKETAHUI""))"),"")</f>
        <v/>
      </c>
    </row>
    <row r="9297">
      <c r="A9297" s="21" t="str">
        <f t="shared" si="3"/>
        <v/>
      </c>
      <c r="B9297" s="38"/>
      <c r="C9297" s="23"/>
      <c r="D9297" s="23"/>
      <c r="E9297" s="24"/>
      <c r="F9297" s="25"/>
      <c r="G9297" s="25"/>
      <c r="H9297" s="27"/>
      <c r="I9297" s="28"/>
      <c r="J9297" s="39"/>
      <c r="K9297" s="41"/>
      <c r="L9297" s="31" t="str">
        <f>IFERROR(__xludf.DUMMYFUNCTION("IF(OR(E9297="""",K9297=""""),"""",IFERROR(IF(K9297="""","""",query('tbl user'!$A$2:$D10975,""SELECT A WHERE D = '""&amp;K9297&amp;""'"")),""USER TIDAK DIKETAHUI""))"),"")</f>
        <v/>
      </c>
    </row>
    <row r="9298">
      <c r="A9298" s="21" t="str">
        <f t="shared" si="3"/>
        <v/>
      </c>
      <c r="B9298" s="38"/>
      <c r="C9298" s="23"/>
      <c r="D9298" s="23"/>
      <c r="E9298" s="24"/>
      <c r="F9298" s="25"/>
      <c r="G9298" s="25"/>
      <c r="H9298" s="27"/>
      <c r="I9298" s="28"/>
      <c r="J9298" s="39"/>
      <c r="K9298" s="41"/>
      <c r="L9298" s="31" t="str">
        <f>IFERROR(__xludf.DUMMYFUNCTION("IF(OR(E9298="""",K9298=""""),"""",IFERROR(IF(K9298="""","""",query('tbl user'!$A$2:$D10975,""SELECT A WHERE D = '""&amp;K9298&amp;""'"")),""USER TIDAK DIKETAHUI""))"),"")</f>
        <v/>
      </c>
    </row>
    <row r="9299">
      <c r="A9299" s="21" t="str">
        <f t="shared" si="3"/>
        <v/>
      </c>
      <c r="B9299" s="38"/>
      <c r="C9299" s="23"/>
      <c r="D9299" s="23"/>
      <c r="E9299" s="24"/>
      <c r="F9299" s="25"/>
      <c r="G9299" s="25"/>
      <c r="H9299" s="27"/>
      <c r="I9299" s="28"/>
      <c r="J9299" s="39"/>
      <c r="K9299" s="41"/>
      <c r="L9299" s="31" t="str">
        <f>IFERROR(__xludf.DUMMYFUNCTION("IF(OR(E9299="""",K9299=""""),"""",IFERROR(IF(K9299="""","""",query('tbl user'!$A$2:$D10975,""SELECT A WHERE D = '""&amp;K9299&amp;""'"")),""USER TIDAK DIKETAHUI""))"),"")</f>
        <v/>
      </c>
    </row>
    <row r="9300">
      <c r="A9300" s="21" t="str">
        <f t="shared" si="3"/>
        <v/>
      </c>
      <c r="B9300" s="38"/>
      <c r="C9300" s="23"/>
      <c r="D9300" s="23"/>
      <c r="E9300" s="24"/>
      <c r="F9300" s="25"/>
      <c r="G9300" s="25"/>
      <c r="H9300" s="27"/>
      <c r="I9300" s="28"/>
      <c r="J9300" s="39"/>
      <c r="K9300" s="41"/>
      <c r="L9300" s="31" t="str">
        <f>IFERROR(__xludf.DUMMYFUNCTION("IF(OR(E9300="""",K9300=""""),"""",IFERROR(IF(K9300="""","""",query('tbl user'!$A$2:$D10975,""SELECT A WHERE D = '""&amp;K9300&amp;""'"")),""USER TIDAK DIKETAHUI""))"),"")</f>
        <v/>
      </c>
    </row>
    <row r="9301">
      <c r="A9301" s="21" t="str">
        <f t="shared" si="3"/>
        <v/>
      </c>
      <c r="B9301" s="38"/>
      <c r="C9301" s="23"/>
      <c r="D9301" s="23"/>
      <c r="E9301" s="24"/>
      <c r="F9301" s="25"/>
      <c r="G9301" s="25"/>
      <c r="H9301" s="27"/>
      <c r="I9301" s="28"/>
      <c r="J9301" s="39"/>
      <c r="K9301" s="41"/>
      <c r="L9301" s="31" t="str">
        <f>IFERROR(__xludf.DUMMYFUNCTION("IF(OR(E9301="""",K9301=""""),"""",IFERROR(IF(K9301="""","""",query('tbl user'!$A$2:$D10975,""SELECT A WHERE D = '""&amp;K9301&amp;""'"")),""USER TIDAK DIKETAHUI""))"),"")</f>
        <v/>
      </c>
    </row>
    <row r="9302">
      <c r="A9302" s="21" t="str">
        <f t="shared" si="3"/>
        <v/>
      </c>
      <c r="B9302" s="38"/>
      <c r="C9302" s="23"/>
      <c r="D9302" s="23"/>
      <c r="E9302" s="24"/>
      <c r="F9302" s="25"/>
      <c r="G9302" s="25"/>
      <c r="H9302" s="27"/>
      <c r="I9302" s="28"/>
      <c r="J9302" s="39"/>
      <c r="K9302" s="41"/>
      <c r="L9302" s="31" t="str">
        <f>IFERROR(__xludf.DUMMYFUNCTION("IF(OR(E9302="""",K9302=""""),"""",IFERROR(IF(K9302="""","""",query('tbl user'!$A$2:$D10975,""SELECT A WHERE D = '""&amp;K9302&amp;""'"")),""USER TIDAK DIKETAHUI""))"),"")</f>
        <v/>
      </c>
    </row>
    <row r="9303">
      <c r="A9303" s="21" t="str">
        <f t="shared" si="3"/>
        <v/>
      </c>
      <c r="B9303" s="38"/>
      <c r="C9303" s="23"/>
      <c r="D9303" s="23"/>
      <c r="E9303" s="24"/>
      <c r="F9303" s="25"/>
      <c r="G9303" s="25"/>
      <c r="H9303" s="27"/>
      <c r="I9303" s="28"/>
      <c r="J9303" s="39"/>
      <c r="K9303" s="41"/>
      <c r="L9303" s="31" t="str">
        <f>IFERROR(__xludf.DUMMYFUNCTION("IF(OR(E9303="""",K9303=""""),"""",IFERROR(IF(K9303="""","""",query('tbl user'!$A$2:$D10975,""SELECT A WHERE D = '""&amp;K9303&amp;""'"")),""USER TIDAK DIKETAHUI""))"),"")</f>
        <v/>
      </c>
    </row>
    <row r="9304">
      <c r="A9304" s="21" t="str">
        <f t="shared" si="3"/>
        <v/>
      </c>
      <c r="B9304" s="38"/>
      <c r="C9304" s="23"/>
      <c r="D9304" s="23"/>
      <c r="E9304" s="24"/>
      <c r="F9304" s="25"/>
      <c r="G9304" s="25"/>
      <c r="H9304" s="27"/>
      <c r="I9304" s="28"/>
      <c r="J9304" s="39"/>
      <c r="K9304" s="41"/>
      <c r="L9304" s="31" t="str">
        <f>IFERROR(__xludf.DUMMYFUNCTION("IF(OR(E9304="""",K9304=""""),"""",IFERROR(IF(K9304="""","""",query('tbl user'!$A$2:$D10975,""SELECT A WHERE D = '""&amp;K9304&amp;""'"")),""USER TIDAK DIKETAHUI""))"),"")</f>
        <v/>
      </c>
    </row>
    <row r="9305">
      <c r="A9305" s="21" t="str">
        <f t="shared" si="3"/>
        <v/>
      </c>
      <c r="B9305" s="38"/>
      <c r="C9305" s="23"/>
      <c r="D9305" s="23"/>
      <c r="E9305" s="24"/>
      <c r="F9305" s="25"/>
      <c r="G9305" s="25"/>
      <c r="H9305" s="27"/>
      <c r="I9305" s="28"/>
      <c r="J9305" s="39"/>
      <c r="K9305" s="41"/>
      <c r="L9305" s="31" t="str">
        <f>IFERROR(__xludf.DUMMYFUNCTION("IF(OR(E9305="""",K9305=""""),"""",IFERROR(IF(K9305="""","""",query('tbl user'!$A$2:$D10975,""SELECT A WHERE D = '""&amp;K9305&amp;""'"")),""USER TIDAK DIKETAHUI""))"),"")</f>
        <v/>
      </c>
    </row>
    <row r="9306">
      <c r="A9306" s="21" t="str">
        <f t="shared" si="3"/>
        <v/>
      </c>
      <c r="B9306" s="38"/>
      <c r="C9306" s="23"/>
      <c r="D9306" s="23"/>
      <c r="E9306" s="24"/>
      <c r="F9306" s="25"/>
      <c r="G9306" s="25"/>
      <c r="H9306" s="27"/>
      <c r="I9306" s="28"/>
      <c r="J9306" s="39"/>
      <c r="K9306" s="41"/>
      <c r="L9306" s="31" t="str">
        <f>IFERROR(__xludf.DUMMYFUNCTION("IF(OR(E9306="""",K9306=""""),"""",IFERROR(IF(K9306="""","""",query('tbl user'!$A$2:$D10975,""SELECT A WHERE D = '""&amp;K9306&amp;""'"")),""USER TIDAK DIKETAHUI""))"),"")</f>
        <v/>
      </c>
    </row>
    <row r="9307">
      <c r="A9307" s="21" t="str">
        <f t="shared" si="3"/>
        <v/>
      </c>
      <c r="B9307" s="38"/>
      <c r="C9307" s="23"/>
      <c r="D9307" s="23"/>
      <c r="E9307" s="24"/>
      <c r="F9307" s="25"/>
      <c r="G9307" s="25"/>
      <c r="H9307" s="27"/>
      <c r="I9307" s="28"/>
      <c r="J9307" s="39"/>
      <c r="K9307" s="41"/>
      <c r="L9307" s="31" t="str">
        <f>IFERROR(__xludf.DUMMYFUNCTION("IF(OR(E9307="""",K9307=""""),"""",IFERROR(IF(K9307="""","""",query('tbl user'!$A$2:$D10975,""SELECT A WHERE D = '""&amp;K9307&amp;""'"")),""USER TIDAK DIKETAHUI""))"),"")</f>
        <v/>
      </c>
    </row>
    <row r="9308">
      <c r="A9308" s="21" t="str">
        <f t="shared" si="3"/>
        <v/>
      </c>
      <c r="B9308" s="38"/>
      <c r="C9308" s="23"/>
      <c r="D9308" s="23"/>
      <c r="E9308" s="24"/>
      <c r="F9308" s="25"/>
      <c r="G9308" s="25"/>
      <c r="H9308" s="27"/>
      <c r="I9308" s="28"/>
      <c r="J9308" s="39"/>
      <c r="K9308" s="41"/>
      <c r="L9308" s="31" t="str">
        <f>IFERROR(__xludf.DUMMYFUNCTION("IF(OR(E9308="""",K9308=""""),"""",IFERROR(IF(K9308="""","""",query('tbl user'!$A$2:$D10975,""SELECT A WHERE D = '""&amp;K9308&amp;""'"")),""USER TIDAK DIKETAHUI""))"),"")</f>
        <v/>
      </c>
    </row>
    <row r="9309">
      <c r="A9309" s="21" t="str">
        <f t="shared" si="3"/>
        <v/>
      </c>
      <c r="B9309" s="38"/>
      <c r="C9309" s="23"/>
      <c r="D9309" s="23"/>
      <c r="E9309" s="24"/>
      <c r="F9309" s="25"/>
      <c r="G9309" s="25"/>
      <c r="H9309" s="27"/>
      <c r="I9309" s="28"/>
      <c r="J9309" s="39"/>
      <c r="K9309" s="41"/>
      <c r="L9309" s="31" t="str">
        <f>IFERROR(__xludf.DUMMYFUNCTION("IF(OR(E9309="""",K9309=""""),"""",IFERROR(IF(K9309="""","""",query('tbl user'!$A$2:$D10975,""SELECT A WHERE D = '""&amp;K9309&amp;""'"")),""USER TIDAK DIKETAHUI""))"),"")</f>
        <v/>
      </c>
    </row>
    <row r="9310">
      <c r="A9310" s="21" t="str">
        <f t="shared" si="3"/>
        <v/>
      </c>
      <c r="B9310" s="38"/>
      <c r="C9310" s="23"/>
      <c r="D9310" s="23"/>
      <c r="E9310" s="24"/>
      <c r="F9310" s="25"/>
      <c r="G9310" s="25"/>
      <c r="H9310" s="27"/>
      <c r="I9310" s="28"/>
      <c r="J9310" s="39"/>
      <c r="K9310" s="41"/>
      <c r="L9310" s="31" t="str">
        <f>IFERROR(__xludf.DUMMYFUNCTION("IF(OR(E9310="""",K9310=""""),"""",IFERROR(IF(K9310="""","""",query('tbl user'!$A$2:$D10975,""SELECT A WHERE D = '""&amp;K9310&amp;""'"")),""USER TIDAK DIKETAHUI""))"),"")</f>
        <v/>
      </c>
    </row>
    <row r="9311">
      <c r="A9311" s="21" t="str">
        <f t="shared" si="3"/>
        <v/>
      </c>
      <c r="B9311" s="38"/>
      <c r="C9311" s="23"/>
      <c r="D9311" s="23"/>
      <c r="E9311" s="24"/>
      <c r="F9311" s="25"/>
      <c r="G9311" s="25"/>
      <c r="H9311" s="27"/>
      <c r="I9311" s="28"/>
      <c r="J9311" s="39"/>
      <c r="K9311" s="41"/>
      <c r="L9311" s="31" t="str">
        <f>IFERROR(__xludf.DUMMYFUNCTION("IF(OR(E9311="""",K9311=""""),"""",IFERROR(IF(K9311="""","""",query('tbl user'!$A$2:$D10975,""SELECT A WHERE D = '""&amp;K9311&amp;""'"")),""USER TIDAK DIKETAHUI""))"),"")</f>
        <v/>
      </c>
    </row>
    <row r="9312">
      <c r="A9312" s="21" t="str">
        <f t="shared" si="3"/>
        <v/>
      </c>
      <c r="B9312" s="38"/>
      <c r="C9312" s="23"/>
      <c r="D9312" s="23"/>
      <c r="E9312" s="24"/>
      <c r="F9312" s="25"/>
      <c r="G9312" s="25"/>
      <c r="H9312" s="27"/>
      <c r="I9312" s="28"/>
      <c r="J9312" s="39"/>
      <c r="K9312" s="41"/>
      <c r="L9312" s="31" t="str">
        <f>IFERROR(__xludf.DUMMYFUNCTION("IF(OR(E9312="""",K9312=""""),"""",IFERROR(IF(K9312="""","""",query('tbl user'!$A$2:$D10975,""SELECT A WHERE D = '""&amp;K9312&amp;""'"")),""USER TIDAK DIKETAHUI""))"),"")</f>
        <v/>
      </c>
    </row>
    <row r="9313">
      <c r="A9313" s="21" t="str">
        <f t="shared" si="3"/>
        <v/>
      </c>
      <c r="B9313" s="38"/>
      <c r="C9313" s="23"/>
      <c r="D9313" s="23"/>
      <c r="E9313" s="24"/>
      <c r="F9313" s="25"/>
      <c r="G9313" s="25"/>
      <c r="H9313" s="27"/>
      <c r="I9313" s="28"/>
      <c r="J9313" s="39"/>
      <c r="K9313" s="41"/>
      <c r="L9313" s="31" t="str">
        <f>IFERROR(__xludf.DUMMYFUNCTION("IF(OR(E9313="""",K9313=""""),"""",IFERROR(IF(K9313="""","""",query('tbl user'!$A$2:$D10975,""SELECT A WHERE D = '""&amp;K9313&amp;""'"")),""USER TIDAK DIKETAHUI""))"),"")</f>
        <v/>
      </c>
    </row>
    <row r="9314">
      <c r="A9314" s="21" t="str">
        <f t="shared" si="3"/>
        <v/>
      </c>
      <c r="B9314" s="38"/>
      <c r="C9314" s="23"/>
      <c r="D9314" s="23"/>
      <c r="E9314" s="24"/>
      <c r="F9314" s="25"/>
      <c r="G9314" s="25"/>
      <c r="H9314" s="27"/>
      <c r="I9314" s="28"/>
      <c r="J9314" s="39"/>
      <c r="K9314" s="41"/>
      <c r="L9314" s="31" t="str">
        <f>IFERROR(__xludf.DUMMYFUNCTION("IF(OR(E9314="""",K9314=""""),"""",IFERROR(IF(K9314="""","""",query('tbl user'!$A$2:$D10975,""SELECT A WHERE D = '""&amp;K9314&amp;""'"")),""USER TIDAK DIKETAHUI""))"),"")</f>
        <v/>
      </c>
    </row>
    <row r="9315">
      <c r="A9315" s="21" t="str">
        <f t="shared" si="3"/>
        <v/>
      </c>
      <c r="B9315" s="38"/>
      <c r="C9315" s="23"/>
      <c r="D9315" s="23"/>
      <c r="E9315" s="24"/>
      <c r="F9315" s="25"/>
      <c r="G9315" s="25"/>
      <c r="H9315" s="27"/>
      <c r="I9315" s="28"/>
      <c r="J9315" s="39"/>
      <c r="K9315" s="41"/>
      <c r="L9315" s="31" t="str">
        <f>IFERROR(__xludf.DUMMYFUNCTION("IF(OR(E9315="""",K9315=""""),"""",IFERROR(IF(K9315="""","""",query('tbl user'!$A$2:$D10975,""SELECT A WHERE D = '""&amp;K9315&amp;""'"")),""USER TIDAK DIKETAHUI""))"),"")</f>
        <v/>
      </c>
    </row>
    <row r="9316">
      <c r="A9316" s="21" t="str">
        <f t="shared" si="3"/>
        <v/>
      </c>
      <c r="B9316" s="38"/>
      <c r="C9316" s="23"/>
      <c r="D9316" s="23"/>
      <c r="E9316" s="24"/>
      <c r="F9316" s="25"/>
      <c r="G9316" s="25"/>
      <c r="H9316" s="27"/>
      <c r="I9316" s="28"/>
      <c r="J9316" s="39"/>
      <c r="K9316" s="41"/>
      <c r="L9316" s="31" t="str">
        <f>IFERROR(__xludf.DUMMYFUNCTION("IF(OR(E9316="""",K9316=""""),"""",IFERROR(IF(K9316="""","""",query('tbl user'!$A$2:$D10975,""SELECT A WHERE D = '""&amp;K9316&amp;""'"")),""USER TIDAK DIKETAHUI""))"),"")</f>
        <v/>
      </c>
    </row>
    <row r="9317">
      <c r="A9317" s="21" t="str">
        <f t="shared" si="3"/>
        <v/>
      </c>
      <c r="B9317" s="38"/>
      <c r="C9317" s="23"/>
      <c r="D9317" s="23"/>
      <c r="E9317" s="24"/>
      <c r="F9317" s="25"/>
      <c r="G9317" s="25"/>
      <c r="H9317" s="27"/>
      <c r="I9317" s="28"/>
      <c r="J9317" s="39"/>
      <c r="K9317" s="41"/>
      <c r="L9317" s="31" t="str">
        <f>IFERROR(__xludf.DUMMYFUNCTION("IF(OR(E9317="""",K9317=""""),"""",IFERROR(IF(K9317="""","""",query('tbl user'!$A$2:$D10975,""SELECT A WHERE D = '""&amp;K9317&amp;""'"")),""USER TIDAK DIKETAHUI""))"),"")</f>
        <v/>
      </c>
    </row>
    <row r="9318">
      <c r="A9318" s="21" t="str">
        <f t="shared" si="3"/>
        <v/>
      </c>
      <c r="B9318" s="38"/>
      <c r="C9318" s="23"/>
      <c r="D9318" s="23"/>
      <c r="E9318" s="24"/>
      <c r="F9318" s="25"/>
      <c r="G9318" s="25"/>
      <c r="H9318" s="27"/>
      <c r="I9318" s="28"/>
      <c r="J9318" s="39"/>
      <c r="K9318" s="41"/>
      <c r="L9318" s="31" t="str">
        <f>IFERROR(__xludf.DUMMYFUNCTION("IF(OR(E9318="""",K9318=""""),"""",IFERROR(IF(K9318="""","""",query('tbl user'!$A$2:$D10975,""SELECT A WHERE D = '""&amp;K9318&amp;""'"")),""USER TIDAK DIKETAHUI""))"),"")</f>
        <v/>
      </c>
    </row>
    <row r="9319">
      <c r="A9319" s="21" t="str">
        <f t="shared" si="3"/>
        <v/>
      </c>
      <c r="B9319" s="38"/>
      <c r="C9319" s="23"/>
      <c r="D9319" s="23"/>
      <c r="E9319" s="24"/>
      <c r="F9319" s="25"/>
      <c r="G9319" s="25"/>
      <c r="H9319" s="27"/>
      <c r="I9319" s="28"/>
      <c r="J9319" s="39"/>
      <c r="K9319" s="41"/>
      <c r="L9319" s="31" t="str">
        <f>IFERROR(__xludf.DUMMYFUNCTION("IF(OR(E9319="""",K9319=""""),"""",IFERROR(IF(K9319="""","""",query('tbl user'!$A$2:$D10975,""SELECT A WHERE D = '""&amp;K9319&amp;""'"")),""USER TIDAK DIKETAHUI""))"),"")</f>
        <v/>
      </c>
    </row>
    <row r="9320">
      <c r="A9320" s="21" t="str">
        <f t="shared" si="3"/>
        <v/>
      </c>
      <c r="B9320" s="38"/>
      <c r="C9320" s="23"/>
      <c r="D9320" s="23"/>
      <c r="E9320" s="24"/>
      <c r="F9320" s="25"/>
      <c r="G9320" s="25"/>
      <c r="H9320" s="27"/>
      <c r="I9320" s="28"/>
      <c r="J9320" s="39"/>
      <c r="K9320" s="41"/>
      <c r="L9320" s="31" t="str">
        <f>IFERROR(__xludf.DUMMYFUNCTION("IF(OR(E9320="""",K9320=""""),"""",IFERROR(IF(K9320="""","""",query('tbl user'!$A$2:$D10975,""SELECT A WHERE D = '""&amp;K9320&amp;""'"")),""USER TIDAK DIKETAHUI""))"),"")</f>
        <v/>
      </c>
    </row>
    <row r="9321">
      <c r="A9321" s="21" t="str">
        <f t="shared" si="3"/>
        <v/>
      </c>
      <c r="B9321" s="38"/>
      <c r="C9321" s="23"/>
      <c r="D9321" s="23"/>
      <c r="E9321" s="24"/>
      <c r="F9321" s="25"/>
      <c r="G9321" s="25"/>
      <c r="H9321" s="27"/>
      <c r="I9321" s="28"/>
      <c r="J9321" s="39"/>
      <c r="K9321" s="41"/>
      <c r="L9321" s="31" t="str">
        <f>IFERROR(__xludf.DUMMYFUNCTION("IF(OR(E9321="""",K9321=""""),"""",IFERROR(IF(K9321="""","""",query('tbl user'!$A$2:$D10975,""SELECT A WHERE D = '""&amp;K9321&amp;""'"")),""USER TIDAK DIKETAHUI""))"),"")</f>
        <v/>
      </c>
    </row>
    <row r="9322">
      <c r="A9322" s="21" t="str">
        <f t="shared" si="3"/>
        <v/>
      </c>
      <c r="B9322" s="38"/>
      <c r="C9322" s="23"/>
      <c r="D9322" s="23"/>
      <c r="E9322" s="24"/>
      <c r="F9322" s="25"/>
      <c r="G9322" s="25"/>
      <c r="H9322" s="27"/>
      <c r="I9322" s="28"/>
      <c r="J9322" s="39"/>
      <c r="K9322" s="41"/>
      <c r="L9322" s="31" t="str">
        <f>IFERROR(__xludf.DUMMYFUNCTION("IF(OR(E9322="""",K9322=""""),"""",IFERROR(IF(K9322="""","""",query('tbl user'!$A$2:$D10975,""SELECT A WHERE D = '""&amp;K9322&amp;""'"")),""USER TIDAK DIKETAHUI""))"),"")</f>
        <v/>
      </c>
    </row>
    <row r="9323">
      <c r="A9323" s="21" t="str">
        <f t="shared" si="3"/>
        <v/>
      </c>
      <c r="B9323" s="38"/>
      <c r="C9323" s="23"/>
      <c r="D9323" s="23"/>
      <c r="E9323" s="24"/>
      <c r="F9323" s="25"/>
      <c r="G9323" s="25"/>
      <c r="H9323" s="27"/>
      <c r="I9323" s="28"/>
      <c r="J9323" s="39"/>
      <c r="K9323" s="41"/>
      <c r="L9323" s="31" t="str">
        <f>IFERROR(__xludf.DUMMYFUNCTION("IF(OR(E9323="""",K9323=""""),"""",IFERROR(IF(K9323="""","""",query('tbl user'!$A$2:$D10975,""SELECT A WHERE D = '""&amp;K9323&amp;""'"")),""USER TIDAK DIKETAHUI""))"),"")</f>
        <v/>
      </c>
    </row>
    <row r="9324">
      <c r="A9324" s="21" t="str">
        <f t="shared" si="3"/>
        <v/>
      </c>
      <c r="B9324" s="38"/>
      <c r="C9324" s="23"/>
      <c r="D9324" s="23"/>
      <c r="E9324" s="24"/>
      <c r="F9324" s="25"/>
      <c r="G9324" s="25"/>
      <c r="H9324" s="27"/>
      <c r="I9324" s="28"/>
      <c r="J9324" s="39"/>
      <c r="K9324" s="41"/>
      <c r="L9324" s="31" t="str">
        <f>IFERROR(__xludf.DUMMYFUNCTION("IF(OR(E9324="""",K9324=""""),"""",IFERROR(IF(K9324="""","""",query('tbl user'!$A$2:$D10975,""SELECT A WHERE D = '""&amp;K9324&amp;""'"")),""USER TIDAK DIKETAHUI""))"),"")</f>
        <v/>
      </c>
    </row>
    <row r="9325">
      <c r="A9325" s="21" t="str">
        <f t="shared" si="3"/>
        <v/>
      </c>
      <c r="B9325" s="38"/>
      <c r="C9325" s="23"/>
      <c r="D9325" s="23"/>
      <c r="E9325" s="24"/>
      <c r="F9325" s="25"/>
      <c r="G9325" s="25"/>
      <c r="H9325" s="27"/>
      <c r="I9325" s="28"/>
      <c r="J9325" s="39"/>
      <c r="K9325" s="41"/>
      <c r="L9325" s="31" t="str">
        <f>IFERROR(__xludf.DUMMYFUNCTION("IF(OR(E9325="""",K9325=""""),"""",IFERROR(IF(K9325="""","""",query('tbl user'!$A$2:$D10975,""SELECT A WHERE D = '""&amp;K9325&amp;""'"")),""USER TIDAK DIKETAHUI""))"),"")</f>
        <v/>
      </c>
    </row>
    <row r="9326">
      <c r="A9326" s="21" t="str">
        <f t="shared" si="3"/>
        <v/>
      </c>
      <c r="B9326" s="38"/>
      <c r="C9326" s="23"/>
      <c r="D9326" s="23"/>
      <c r="E9326" s="24"/>
      <c r="F9326" s="25"/>
      <c r="G9326" s="25"/>
      <c r="H9326" s="27"/>
      <c r="I9326" s="28"/>
      <c r="J9326" s="39"/>
      <c r="K9326" s="41"/>
      <c r="L9326" s="31" t="str">
        <f>IFERROR(__xludf.DUMMYFUNCTION("IF(OR(E9326="""",K9326=""""),"""",IFERROR(IF(K9326="""","""",query('tbl user'!$A$2:$D10975,""SELECT A WHERE D = '""&amp;K9326&amp;""'"")),""USER TIDAK DIKETAHUI""))"),"")</f>
        <v/>
      </c>
    </row>
    <row r="9327">
      <c r="A9327" s="21" t="str">
        <f t="shared" si="3"/>
        <v/>
      </c>
      <c r="B9327" s="38"/>
      <c r="C9327" s="23"/>
      <c r="D9327" s="23"/>
      <c r="E9327" s="24"/>
      <c r="F9327" s="25"/>
      <c r="G9327" s="25"/>
      <c r="H9327" s="27"/>
      <c r="I9327" s="28"/>
      <c r="J9327" s="39"/>
      <c r="K9327" s="41"/>
      <c r="L9327" s="31" t="str">
        <f>IFERROR(__xludf.DUMMYFUNCTION("IF(OR(E9327="""",K9327=""""),"""",IFERROR(IF(K9327="""","""",query('tbl user'!$A$2:$D10975,""SELECT A WHERE D = '""&amp;K9327&amp;""'"")),""USER TIDAK DIKETAHUI""))"),"")</f>
        <v/>
      </c>
    </row>
    <row r="9328">
      <c r="A9328" s="21" t="str">
        <f t="shared" si="3"/>
        <v/>
      </c>
      <c r="B9328" s="38"/>
      <c r="C9328" s="23"/>
      <c r="D9328" s="23"/>
      <c r="E9328" s="24"/>
      <c r="F9328" s="25"/>
      <c r="G9328" s="25"/>
      <c r="H9328" s="27"/>
      <c r="I9328" s="28"/>
      <c r="J9328" s="39"/>
      <c r="K9328" s="41"/>
      <c r="L9328" s="31" t="str">
        <f>IFERROR(__xludf.DUMMYFUNCTION("IF(OR(E9328="""",K9328=""""),"""",IFERROR(IF(K9328="""","""",query('tbl user'!$A$2:$D10975,""SELECT A WHERE D = '""&amp;K9328&amp;""'"")),""USER TIDAK DIKETAHUI""))"),"")</f>
        <v/>
      </c>
    </row>
    <row r="9329">
      <c r="A9329" s="21" t="str">
        <f t="shared" si="3"/>
        <v/>
      </c>
      <c r="B9329" s="38"/>
      <c r="C9329" s="23"/>
      <c r="D9329" s="23"/>
      <c r="E9329" s="24"/>
      <c r="F9329" s="25"/>
      <c r="G9329" s="25"/>
      <c r="H9329" s="27"/>
      <c r="I9329" s="28"/>
      <c r="J9329" s="39"/>
      <c r="K9329" s="41"/>
      <c r="L9329" s="31" t="str">
        <f>IFERROR(__xludf.DUMMYFUNCTION("IF(OR(E9329="""",K9329=""""),"""",IFERROR(IF(K9329="""","""",query('tbl user'!$A$2:$D10975,""SELECT A WHERE D = '""&amp;K9329&amp;""'"")),""USER TIDAK DIKETAHUI""))"),"")</f>
        <v/>
      </c>
    </row>
    <row r="9330">
      <c r="A9330" s="21" t="str">
        <f t="shared" si="3"/>
        <v/>
      </c>
      <c r="B9330" s="38"/>
      <c r="C9330" s="23"/>
      <c r="D9330" s="23"/>
      <c r="E9330" s="24"/>
      <c r="F9330" s="25"/>
      <c r="G9330" s="25"/>
      <c r="H9330" s="27"/>
      <c r="I9330" s="28"/>
      <c r="J9330" s="39"/>
      <c r="K9330" s="41"/>
      <c r="L9330" s="31" t="str">
        <f>IFERROR(__xludf.DUMMYFUNCTION("IF(OR(E9330="""",K9330=""""),"""",IFERROR(IF(K9330="""","""",query('tbl user'!$A$2:$D10975,""SELECT A WHERE D = '""&amp;K9330&amp;""'"")),""USER TIDAK DIKETAHUI""))"),"")</f>
        <v/>
      </c>
    </row>
    <row r="9331">
      <c r="A9331" s="21" t="str">
        <f t="shared" si="3"/>
        <v/>
      </c>
      <c r="B9331" s="38"/>
      <c r="C9331" s="23"/>
      <c r="D9331" s="23"/>
      <c r="E9331" s="24"/>
      <c r="F9331" s="25"/>
      <c r="G9331" s="25"/>
      <c r="H9331" s="27"/>
      <c r="I9331" s="28"/>
      <c r="J9331" s="39"/>
      <c r="K9331" s="41"/>
      <c r="L9331" s="31" t="str">
        <f>IFERROR(__xludf.DUMMYFUNCTION("IF(OR(E9331="""",K9331=""""),"""",IFERROR(IF(K9331="""","""",query('tbl user'!$A$2:$D10975,""SELECT A WHERE D = '""&amp;K9331&amp;""'"")),""USER TIDAK DIKETAHUI""))"),"")</f>
        <v/>
      </c>
    </row>
    <row r="9332">
      <c r="A9332" s="21" t="str">
        <f t="shared" si="3"/>
        <v/>
      </c>
      <c r="B9332" s="38"/>
      <c r="C9332" s="23"/>
      <c r="D9332" s="23"/>
      <c r="E9332" s="24"/>
      <c r="F9332" s="25"/>
      <c r="G9332" s="25"/>
      <c r="H9332" s="27"/>
      <c r="I9332" s="28"/>
      <c r="J9332" s="39"/>
      <c r="K9332" s="41"/>
      <c r="L9332" s="31" t="str">
        <f>IFERROR(__xludf.DUMMYFUNCTION("IF(OR(E9332="""",K9332=""""),"""",IFERROR(IF(K9332="""","""",query('tbl user'!$A$2:$D10975,""SELECT A WHERE D = '""&amp;K9332&amp;""'"")),""USER TIDAK DIKETAHUI""))"),"")</f>
        <v/>
      </c>
    </row>
    <row r="9333">
      <c r="A9333" s="21" t="str">
        <f t="shared" si="3"/>
        <v/>
      </c>
      <c r="B9333" s="38"/>
      <c r="C9333" s="23"/>
      <c r="D9333" s="23"/>
      <c r="E9333" s="24"/>
      <c r="F9333" s="25"/>
      <c r="G9333" s="25"/>
      <c r="H9333" s="27"/>
      <c r="I9333" s="28"/>
      <c r="J9333" s="39"/>
      <c r="K9333" s="41"/>
      <c r="L9333" s="31" t="str">
        <f>IFERROR(__xludf.DUMMYFUNCTION("IF(OR(E9333="""",K9333=""""),"""",IFERROR(IF(K9333="""","""",query('tbl user'!$A$2:$D10975,""SELECT A WHERE D = '""&amp;K9333&amp;""'"")),""USER TIDAK DIKETAHUI""))"),"")</f>
        <v/>
      </c>
    </row>
    <row r="9334">
      <c r="A9334" s="21" t="str">
        <f t="shared" si="3"/>
        <v/>
      </c>
      <c r="B9334" s="38"/>
      <c r="C9334" s="23"/>
      <c r="D9334" s="23"/>
      <c r="E9334" s="24"/>
      <c r="F9334" s="25"/>
      <c r="G9334" s="25"/>
      <c r="H9334" s="27"/>
      <c r="I9334" s="28"/>
      <c r="J9334" s="39"/>
      <c r="K9334" s="41"/>
      <c r="L9334" s="31" t="str">
        <f>IFERROR(__xludf.DUMMYFUNCTION("IF(OR(E9334="""",K9334=""""),"""",IFERROR(IF(K9334="""","""",query('tbl user'!$A$2:$D10975,""SELECT A WHERE D = '""&amp;K9334&amp;""'"")),""USER TIDAK DIKETAHUI""))"),"")</f>
        <v/>
      </c>
    </row>
    <row r="9335">
      <c r="A9335" s="21" t="str">
        <f t="shared" si="3"/>
        <v/>
      </c>
      <c r="B9335" s="38"/>
      <c r="C9335" s="23"/>
      <c r="D9335" s="23"/>
      <c r="E9335" s="24"/>
      <c r="F9335" s="25"/>
      <c r="G9335" s="25"/>
      <c r="H9335" s="27"/>
      <c r="I9335" s="28"/>
      <c r="J9335" s="39"/>
      <c r="K9335" s="41"/>
      <c r="L9335" s="31" t="str">
        <f>IFERROR(__xludf.DUMMYFUNCTION("IF(OR(E9335="""",K9335=""""),"""",IFERROR(IF(K9335="""","""",query('tbl user'!$A$2:$D10975,""SELECT A WHERE D = '""&amp;K9335&amp;""'"")),""USER TIDAK DIKETAHUI""))"),"")</f>
        <v/>
      </c>
    </row>
    <row r="9336">
      <c r="A9336" s="21" t="str">
        <f t="shared" si="3"/>
        <v/>
      </c>
      <c r="B9336" s="38"/>
      <c r="C9336" s="23"/>
      <c r="D9336" s="23"/>
      <c r="E9336" s="24"/>
      <c r="F9336" s="25"/>
      <c r="G9336" s="25"/>
      <c r="H9336" s="27"/>
      <c r="I9336" s="28"/>
      <c r="J9336" s="39"/>
      <c r="K9336" s="41"/>
      <c r="L9336" s="31" t="str">
        <f>IFERROR(__xludf.DUMMYFUNCTION("IF(OR(E9336="""",K9336=""""),"""",IFERROR(IF(K9336="""","""",query('tbl user'!$A$2:$D10975,""SELECT A WHERE D = '""&amp;K9336&amp;""'"")),""USER TIDAK DIKETAHUI""))"),"")</f>
        <v/>
      </c>
    </row>
    <row r="9337">
      <c r="A9337" s="21" t="str">
        <f t="shared" si="3"/>
        <v/>
      </c>
      <c r="B9337" s="38"/>
      <c r="C9337" s="23"/>
      <c r="D9337" s="23"/>
      <c r="E9337" s="24"/>
      <c r="F9337" s="25"/>
      <c r="G9337" s="25"/>
      <c r="H9337" s="27"/>
      <c r="I9337" s="28"/>
      <c r="J9337" s="39"/>
      <c r="K9337" s="41"/>
      <c r="L9337" s="31" t="str">
        <f>IFERROR(__xludf.DUMMYFUNCTION("IF(OR(E9337="""",K9337=""""),"""",IFERROR(IF(K9337="""","""",query('tbl user'!$A$2:$D10975,""SELECT A WHERE D = '""&amp;K9337&amp;""'"")),""USER TIDAK DIKETAHUI""))"),"")</f>
        <v/>
      </c>
    </row>
    <row r="9338">
      <c r="A9338" s="21" t="str">
        <f t="shared" si="3"/>
        <v/>
      </c>
      <c r="B9338" s="38"/>
      <c r="C9338" s="23"/>
      <c r="D9338" s="23"/>
      <c r="E9338" s="24"/>
      <c r="F9338" s="25"/>
      <c r="G9338" s="25"/>
      <c r="H9338" s="27"/>
      <c r="I9338" s="28"/>
      <c r="J9338" s="39"/>
      <c r="K9338" s="41"/>
      <c r="L9338" s="31" t="str">
        <f>IFERROR(__xludf.DUMMYFUNCTION("IF(OR(E9338="""",K9338=""""),"""",IFERROR(IF(K9338="""","""",query('tbl user'!$A$2:$D10975,""SELECT A WHERE D = '""&amp;K9338&amp;""'"")),""USER TIDAK DIKETAHUI""))"),"")</f>
        <v/>
      </c>
    </row>
    <row r="9339">
      <c r="A9339" s="21" t="str">
        <f t="shared" si="3"/>
        <v/>
      </c>
      <c r="B9339" s="38"/>
      <c r="C9339" s="23"/>
      <c r="D9339" s="23"/>
      <c r="E9339" s="24"/>
      <c r="F9339" s="25"/>
      <c r="G9339" s="25"/>
      <c r="H9339" s="27"/>
      <c r="I9339" s="28"/>
      <c r="J9339" s="39"/>
      <c r="K9339" s="41"/>
      <c r="L9339" s="31" t="str">
        <f>IFERROR(__xludf.DUMMYFUNCTION("IF(OR(E9339="""",K9339=""""),"""",IFERROR(IF(K9339="""","""",query('tbl user'!$A$2:$D10975,""SELECT A WHERE D = '""&amp;K9339&amp;""'"")),""USER TIDAK DIKETAHUI""))"),"")</f>
        <v/>
      </c>
    </row>
    <row r="9340">
      <c r="A9340" s="21" t="str">
        <f t="shared" si="3"/>
        <v/>
      </c>
      <c r="B9340" s="38"/>
      <c r="C9340" s="23"/>
      <c r="D9340" s="23"/>
      <c r="E9340" s="24"/>
      <c r="F9340" s="25"/>
      <c r="G9340" s="25"/>
      <c r="H9340" s="27"/>
      <c r="I9340" s="28"/>
      <c r="J9340" s="39"/>
      <c r="K9340" s="41"/>
      <c r="L9340" s="31" t="str">
        <f>IFERROR(__xludf.DUMMYFUNCTION("IF(OR(E9340="""",K9340=""""),"""",IFERROR(IF(K9340="""","""",query('tbl user'!$A$2:$D10975,""SELECT A WHERE D = '""&amp;K9340&amp;""'"")),""USER TIDAK DIKETAHUI""))"),"")</f>
        <v/>
      </c>
    </row>
    <row r="9341">
      <c r="A9341" s="21" t="str">
        <f t="shared" si="3"/>
        <v/>
      </c>
      <c r="B9341" s="38"/>
      <c r="C9341" s="23"/>
      <c r="D9341" s="23"/>
      <c r="E9341" s="24"/>
      <c r="F9341" s="25"/>
      <c r="G9341" s="25"/>
      <c r="H9341" s="27"/>
      <c r="I9341" s="28"/>
      <c r="J9341" s="39"/>
      <c r="K9341" s="41"/>
      <c r="L9341" s="31" t="str">
        <f>IFERROR(__xludf.DUMMYFUNCTION("IF(OR(E9341="""",K9341=""""),"""",IFERROR(IF(K9341="""","""",query('tbl user'!$A$2:$D10975,""SELECT A WHERE D = '""&amp;K9341&amp;""'"")),""USER TIDAK DIKETAHUI""))"),"")</f>
        <v/>
      </c>
    </row>
    <row r="9342">
      <c r="A9342" s="21" t="str">
        <f t="shared" si="3"/>
        <v/>
      </c>
      <c r="B9342" s="38"/>
      <c r="C9342" s="23"/>
      <c r="D9342" s="23"/>
      <c r="E9342" s="24"/>
      <c r="F9342" s="25"/>
      <c r="G9342" s="25"/>
      <c r="H9342" s="27"/>
      <c r="I9342" s="28"/>
      <c r="J9342" s="39"/>
      <c r="K9342" s="41"/>
      <c r="L9342" s="31" t="str">
        <f>IFERROR(__xludf.DUMMYFUNCTION("IF(OR(E9342="""",K9342=""""),"""",IFERROR(IF(K9342="""","""",query('tbl user'!$A$2:$D10975,""SELECT A WHERE D = '""&amp;K9342&amp;""'"")),""USER TIDAK DIKETAHUI""))"),"")</f>
        <v/>
      </c>
    </row>
    <row r="9343">
      <c r="A9343" s="21" t="str">
        <f t="shared" si="3"/>
        <v/>
      </c>
      <c r="B9343" s="38"/>
      <c r="C9343" s="23"/>
      <c r="D9343" s="23"/>
      <c r="E9343" s="24"/>
      <c r="F9343" s="25"/>
      <c r="G9343" s="25"/>
      <c r="H9343" s="27"/>
      <c r="I9343" s="28"/>
      <c r="J9343" s="39"/>
      <c r="K9343" s="41"/>
      <c r="L9343" s="31" t="str">
        <f>IFERROR(__xludf.DUMMYFUNCTION("IF(OR(E9343="""",K9343=""""),"""",IFERROR(IF(K9343="""","""",query('tbl user'!$A$2:$D10975,""SELECT A WHERE D = '""&amp;K9343&amp;""'"")),""USER TIDAK DIKETAHUI""))"),"")</f>
        <v/>
      </c>
    </row>
    <row r="9344">
      <c r="A9344" s="21" t="str">
        <f t="shared" si="3"/>
        <v/>
      </c>
      <c r="B9344" s="38"/>
      <c r="C9344" s="23"/>
      <c r="D9344" s="23"/>
      <c r="E9344" s="24"/>
      <c r="F9344" s="25"/>
      <c r="G9344" s="25"/>
      <c r="H9344" s="27"/>
      <c r="I9344" s="28"/>
      <c r="J9344" s="39"/>
      <c r="K9344" s="41"/>
      <c r="L9344" s="31" t="str">
        <f>IFERROR(__xludf.DUMMYFUNCTION("IF(OR(E9344="""",K9344=""""),"""",IFERROR(IF(K9344="""","""",query('tbl user'!$A$2:$D10975,""SELECT A WHERE D = '""&amp;K9344&amp;""'"")),""USER TIDAK DIKETAHUI""))"),"")</f>
        <v/>
      </c>
    </row>
    <row r="9345">
      <c r="A9345" s="21" t="str">
        <f t="shared" si="3"/>
        <v/>
      </c>
      <c r="B9345" s="38"/>
      <c r="C9345" s="23"/>
      <c r="D9345" s="23"/>
      <c r="E9345" s="24"/>
      <c r="F9345" s="25"/>
      <c r="G9345" s="25"/>
      <c r="H9345" s="27"/>
      <c r="I9345" s="28"/>
      <c r="J9345" s="39"/>
      <c r="K9345" s="41"/>
      <c r="L9345" s="31" t="str">
        <f>IFERROR(__xludf.DUMMYFUNCTION("IF(OR(E9345="""",K9345=""""),"""",IFERROR(IF(K9345="""","""",query('tbl user'!$A$2:$D10975,""SELECT A WHERE D = '""&amp;K9345&amp;""'"")),""USER TIDAK DIKETAHUI""))"),"")</f>
        <v/>
      </c>
    </row>
    <row r="9346">
      <c r="A9346" s="21" t="str">
        <f t="shared" si="3"/>
        <v/>
      </c>
      <c r="B9346" s="38"/>
      <c r="C9346" s="23"/>
      <c r="D9346" s="23"/>
      <c r="E9346" s="24"/>
      <c r="F9346" s="25"/>
      <c r="G9346" s="25"/>
      <c r="H9346" s="27"/>
      <c r="I9346" s="28"/>
      <c r="J9346" s="39"/>
      <c r="K9346" s="41"/>
      <c r="L9346" s="31" t="str">
        <f>IFERROR(__xludf.DUMMYFUNCTION("IF(OR(E9346="""",K9346=""""),"""",IFERROR(IF(K9346="""","""",query('tbl user'!$A$2:$D10975,""SELECT A WHERE D = '""&amp;K9346&amp;""'"")),""USER TIDAK DIKETAHUI""))"),"")</f>
        <v/>
      </c>
    </row>
    <row r="9347">
      <c r="A9347" s="21" t="str">
        <f t="shared" si="3"/>
        <v/>
      </c>
      <c r="B9347" s="38"/>
      <c r="C9347" s="23"/>
      <c r="D9347" s="23"/>
      <c r="E9347" s="24"/>
      <c r="F9347" s="25"/>
      <c r="G9347" s="25"/>
      <c r="H9347" s="27"/>
      <c r="I9347" s="28"/>
      <c r="J9347" s="39"/>
      <c r="K9347" s="41"/>
      <c r="L9347" s="31" t="str">
        <f>IFERROR(__xludf.DUMMYFUNCTION("IF(OR(E9347="""",K9347=""""),"""",IFERROR(IF(K9347="""","""",query('tbl user'!$A$2:$D10975,""SELECT A WHERE D = '""&amp;K9347&amp;""'"")),""USER TIDAK DIKETAHUI""))"),"")</f>
        <v/>
      </c>
    </row>
    <row r="9348">
      <c r="A9348" s="21" t="str">
        <f t="shared" si="3"/>
        <v/>
      </c>
      <c r="B9348" s="38"/>
      <c r="C9348" s="23"/>
      <c r="D9348" s="23"/>
      <c r="E9348" s="24"/>
      <c r="F9348" s="25"/>
      <c r="G9348" s="25"/>
      <c r="H9348" s="27"/>
      <c r="I9348" s="28"/>
      <c r="J9348" s="39"/>
      <c r="K9348" s="41"/>
      <c r="L9348" s="31" t="str">
        <f>IFERROR(__xludf.DUMMYFUNCTION("IF(OR(E9348="""",K9348=""""),"""",IFERROR(IF(K9348="""","""",query('tbl user'!$A$2:$D10975,""SELECT A WHERE D = '""&amp;K9348&amp;""'"")),""USER TIDAK DIKETAHUI""))"),"")</f>
        <v/>
      </c>
    </row>
    <row r="9349">
      <c r="A9349" s="21" t="str">
        <f t="shared" si="3"/>
        <v/>
      </c>
      <c r="B9349" s="38"/>
      <c r="C9349" s="23"/>
      <c r="D9349" s="23"/>
      <c r="E9349" s="24"/>
      <c r="F9349" s="25"/>
      <c r="G9349" s="25"/>
      <c r="H9349" s="27"/>
      <c r="I9349" s="28"/>
      <c r="J9349" s="39"/>
      <c r="K9349" s="41"/>
      <c r="L9349" s="31" t="str">
        <f>IFERROR(__xludf.DUMMYFUNCTION("IF(OR(E9349="""",K9349=""""),"""",IFERROR(IF(K9349="""","""",query('tbl user'!$A$2:$D10975,""SELECT A WHERE D = '""&amp;K9349&amp;""'"")),""USER TIDAK DIKETAHUI""))"),"")</f>
        <v/>
      </c>
    </row>
    <row r="9350">
      <c r="A9350" s="21" t="str">
        <f t="shared" si="3"/>
        <v/>
      </c>
      <c r="B9350" s="38"/>
      <c r="C9350" s="23"/>
      <c r="D9350" s="23"/>
      <c r="E9350" s="24"/>
      <c r="F9350" s="25"/>
      <c r="G9350" s="25"/>
      <c r="H9350" s="27"/>
      <c r="I9350" s="28"/>
      <c r="J9350" s="39"/>
      <c r="K9350" s="41"/>
      <c r="L9350" s="31" t="str">
        <f>IFERROR(__xludf.DUMMYFUNCTION("IF(OR(E9350="""",K9350=""""),"""",IFERROR(IF(K9350="""","""",query('tbl user'!$A$2:$D10975,""SELECT A WHERE D = '""&amp;K9350&amp;""'"")),""USER TIDAK DIKETAHUI""))"),"")</f>
        <v/>
      </c>
    </row>
    <row r="9351">
      <c r="A9351" s="21" t="str">
        <f t="shared" si="3"/>
        <v/>
      </c>
      <c r="B9351" s="38"/>
      <c r="C9351" s="23"/>
      <c r="D9351" s="23"/>
      <c r="E9351" s="24"/>
      <c r="F9351" s="25"/>
      <c r="G9351" s="25"/>
      <c r="H9351" s="27"/>
      <c r="I9351" s="28"/>
      <c r="J9351" s="39"/>
      <c r="K9351" s="41"/>
      <c r="L9351" s="31" t="str">
        <f>IFERROR(__xludf.DUMMYFUNCTION("IF(OR(E9351="""",K9351=""""),"""",IFERROR(IF(K9351="""","""",query('tbl user'!$A$2:$D10975,""SELECT A WHERE D = '""&amp;K9351&amp;""'"")),""USER TIDAK DIKETAHUI""))"),"")</f>
        <v/>
      </c>
    </row>
    <row r="9352">
      <c r="A9352" s="21" t="str">
        <f t="shared" si="3"/>
        <v/>
      </c>
      <c r="B9352" s="38"/>
      <c r="C9352" s="23"/>
      <c r="D9352" s="23"/>
      <c r="E9352" s="24"/>
      <c r="F9352" s="25"/>
      <c r="G9352" s="25"/>
      <c r="H9352" s="27"/>
      <c r="I9352" s="28"/>
      <c r="J9352" s="39"/>
      <c r="K9352" s="41"/>
      <c r="L9352" s="31" t="str">
        <f>IFERROR(__xludf.DUMMYFUNCTION("IF(OR(E9352="""",K9352=""""),"""",IFERROR(IF(K9352="""","""",query('tbl user'!$A$2:$D10975,""SELECT A WHERE D = '""&amp;K9352&amp;""'"")),""USER TIDAK DIKETAHUI""))"),"")</f>
        <v/>
      </c>
    </row>
    <row r="9353">
      <c r="A9353" s="21" t="str">
        <f t="shared" si="3"/>
        <v/>
      </c>
      <c r="B9353" s="38"/>
      <c r="C9353" s="23"/>
      <c r="D9353" s="23"/>
      <c r="E9353" s="24"/>
      <c r="F9353" s="25"/>
      <c r="G9353" s="25"/>
      <c r="H9353" s="27"/>
      <c r="I9353" s="28"/>
      <c r="J9353" s="39"/>
      <c r="K9353" s="41"/>
      <c r="L9353" s="31" t="str">
        <f>IFERROR(__xludf.DUMMYFUNCTION("IF(OR(E9353="""",K9353=""""),"""",IFERROR(IF(K9353="""","""",query('tbl user'!$A$2:$D10975,""SELECT A WHERE D = '""&amp;K9353&amp;""'"")),""USER TIDAK DIKETAHUI""))"),"")</f>
        <v/>
      </c>
    </row>
    <row r="9354">
      <c r="A9354" s="21" t="str">
        <f t="shared" si="3"/>
        <v/>
      </c>
      <c r="B9354" s="38"/>
      <c r="C9354" s="23"/>
      <c r="D9354" s="23"/>
      <c r="E9354" s="24"/>
      <c r="F9354" s="25"/>
      <c r="G9354" s="25"/>
      <c r="H9354" s="27"/>
      <c r="I9354" s="28"/>
      <c r="J9354" s="39"/>
      <c r="K9354" s="41"/>
      <c r="L9354" s="31" t="str">
        <f>IFERROR(__xludf.DUMMYFUNCTION("IF(OR(E9354="""",K9354=""""),"""",IFERROR(IF(K9354="""","""",query('tbl user'!$A$2:$D10975,""SELECT A WHERE D = '""&amp;K9354&amp;""'"")),""USER TIDAK DIKETAHUI""))"),"")</f>
        <v/>
      </c>
    </row>
    <row r="9355">
      <c r="A9355" s="21" t="str">
        <f t="shared" si="3"/>
        <v/>
      </c>
      <c r="B9355" s="38"/>
      <c r="C9355" s="23"/>
      <c r="D9355" s="23"/>
      <c r="E9355" s="24"/>
      <c r="F9355" s="25"/>
      <c r="G9355" s="25"/>
      <c r="H9355" s="27"/>
      <c r="I9355" s="28"/>
      <c r="J9355" s="39"/>
      <c r="K9355" s="41"/>
      <c r="L9355" s="31" t="str">
        <f>IFERROR(__xludf.DUMMYFUNCTION("IF(OR(E9355="""",K9355=""""),"""",IFERROR(IF(K9355="""","""",query('tbl user'!$A$2:$D10975,""SELECT A WHERE D = '""&amp;K9355&amp;""'"")),""USER TIDAK DIKETAHUI""))"),"")</f>
        <v/>
      </c>
    </row>
    <row r="9356">
      <c r="A9356" s="21" t="str">
        <f t="shared" si="3"/>
        <v/>
      </c>
      <c r="B9356" s="38"/>
      <c r="C9356" s="23"/>
      <c r="D9356" s="23"/>
      <c r="E9356" s="24"/>
      <c r="F9356" s="25"/>
      <c r="G9356" s="25"/>
      <c r="H9356" s="27"/>
      <c r="I9356" s="28"/>
      <c r="J9356" s="39"/>
      <c r="K9356" s="41"/>
      <c r="L9356" s="31" t="str">
        <f>IFERROR(__xludf.DUMMYFUNCTION("IF(OR(E9356="""",K9356=""""),"""",IFERROR(IF(K9356="""","""",query('tbl user'!$A$2:$D10975,""SELECT A WHERE D = '""&amp;K9356&amp;""'"")),""USER TIDAK DIKETAHUI""))"),"")</f>
        <v/>
      </c>
    </row>
    <row r="9357">
      <c r="A9357" s="21" t="str">
        <f t="shared" si="3"/>
        <v/>
      </c>
      <c r="B9357" s="38"/>
      <c r="C9357" s="23"/>
      <c r="D9357" s="23"/>
      <c r="E9357" s="24"/>
      <c r="F9357" s="25"/>
      <c r="G9357" s="25"/>
      <c r="H9357" s="27"/>
      <c r="I9357" s="28"/>
      <c r="J9357" s="39"/>
      <c r="K9357" s="41"/>
      <c r="L9357" s="31" t="str">
        <f>IFERROR(__xludf.DUMMYFUNCTION("IF(OR(E9357="""",K9357=""""),"""",IFERROR(IF(K9357="""","""",query('tbl user'!$A$2:$D10975,""SELECT A WHERE D = '""&amp;K9357&amp;""'"")),""USER TIDAK DIKETAHUI""))"),"")</f>
        <v/>
      </c>
    </row>
    <row r="9358">
      <c r="A9358" s="21" t="str">
        <f t="shared" si="3"/>
        <v/>
      </c>
      <c r="B9358" s="38"/>
      <c r="C9358" s="23"/>
      <c r="D9358" s="23"/>
      <c r="E9358" s="24"/>
      <c r="F9358" s="25"/>
      <c r="G9358" s="25"/>
      <c r="H9358" s="27"/>
      <c r="I9358" s="28"/>
      <c r="J9358" s="39"/>
      <c r="K9358" s="41"/>
      <c r="L9358" s="31" t="str">
        <f>IFERROR(__xludf.DUMMYFUNCTION("IF(OR(E9358="""",K9358=""""),"""",IFERROR(IF(K9358="""","""",query('tbl user'!$A$2:$D10975,""SELECT A WHERE D = '""&amp;K9358&amp;""'"")),""USER TIDAK DIKETAHUI""))"),"")</f>
        <v/>
      </c>
    </row>
    <row r="9359">
      <c r="A9359" s="21" t="str">
        <f t="shared" si="3"/>
        <v/>
      </c>
      <c r="B9359" s="38"/>
      <c r="C9359" s="23"/>
      <c r="D9359" s="23"/>
      <c r="E9359" s="24"/>
      <c r="F9359" s="25"/>
      <c r="G9359" s="25"/>
      <c r="H9359" s="27"/>
      <c r="I9359" s="28"/>
      <c r="J9359" s="39"/>
      <c r="K9359" s="41"/>
      <c r="L9359" s="31" t="str">
        <f>IFERROR(__xludf.DUMMYFUNCTION("IF(OR(E9359="""",K9359=""""),"""",IFERROR(IF(K9359="""","""",query('tbl user'!$A$2:$D10975,""SELECT A WHERE D = '""&amp;K9359&amp;""'"")),""USER TIDAK DIKETAHUI""))"),"")</f>
        <v/>
      </c>
    </row>
    <row r="9360">
      <c r="A9360" s="21" t="str">
        <f t="shared" si="3"/>
        <v/>
      </c>
      <c r="B9360" s="38"/>
      <c r="C9360" s="23"/>
      <c r="D9360" s="23"/>
      <c r="E9360" s="24"/>
      <c r="F9360" s="25"/>
      <c r="G9360" s="25"/>
      <c r="H9360" s="27"/>
      <c r="I9360" s="28"/>
      <c r="J9360" s="39"/>
      <c r="K9360" s="41"/>
      <c r="L9360" s="31" t="str">
        <f>IFERROR(__xludf.DUMMYFUNCTION("IF(OR(E9360="""",K9360=""""),"""",IFERROR(IF(K9360="""","""",query('tbl user'!$A$2:$D10975,""SELECT A WHERE D = '""&amp;K9360&amp;""'"")),""USER TIDAK DIKETAHUI""))"),"")</f>
        <v/>
      </c>
    </row>
    <row r="9361">
      <c r="A9361" s="21" t="str">
        <f t="shared" si="3"/>
        <v/>
      </c>
      <c r="B9361" s="38"/>
      <c r="C9361" s="23"/>
      <c r="D9361" s="23"/>
      <c r="E9361" s="24"/>
      <c r="F9361" s="25"/>
      <c r="G9361" s="25"/>
      <c r="H9361" s="27"/>
      <c r="I9361" s="28"/>
      <c r="J9361" s="39"/>
      <c r="K9361" s="41"/>
      <c r="L9361" s="31" t="str">
        <f>IFERROR(__xludf.DUMMYFUNCTION("IF(OR(E9361="""",K9361=""""),"""",IFERROR(IF(K9361="""","""",query('tbl user'!$A$2:$D10975,""SELECT A WHERE D = '""&amp;K9361&amp;""'"")),""USER TIDAK DIKETAHUI""))"),"")</f>
        <v/>
      </c>
    </row>
    <row r="9362">
      <c r="A9362" s="21" t="str">
        <f t="shared" si="3"/>
        <v/>
      </c>
      <c r="B9362" s="38"/>
      <c r="C9362" s="23"/>
      <c r="D9362" s="23"/>
      <c r="E9362" s="24"/>
      <c r="F9362" s="25"/>
      <c r="G9362" s="25"/>
      <c r="H9362" s="27"/>
      <c r="I9362" s="28"/>
      <c r="J9362" s="39"/>
      <c r="K9362" s="41"/>
      <c r="L9362" s="31" t="str">
        <f>IFERROR(__xludf.DUMMYFUNCTION("IF(OR(E9362="""",K9362=""""),"""",IFERROR(IF(K9362="""","""",query('tbl user'!$A$2:$D10975,""SELECT A WHERE D = '""&amp;K9362&amp;""'"")),""USER TIDAK DIKETAHUI""))"),"")</f>
        <v/>
      </c>
    </row>
    <row r="9363">
      <c r="A9363" s="21" t="str">
        <f t="shared" si="3"/>
        <v/>
      </c>
      <c r="B9363" s="38"/>
      <c r="C9363" s="23"/>
      <c r="D9363" s="23"/>
      <c r="E9363" s="24"/>
      <c r="F9363" s="25"/>
      <c r="G9363" s="25"/>
      <c r="H9363" s="27"/>
      <c r="I9363" s="28"/>
      <c r="J9363" s="39"/>
      <c r="K9363" s="41"/>
      <c r="L9363" s="31" t="str">
        <f>IFERROR(__xludf.DUMMYFUNCTION("IF(OR(E9363="""",K9363=""""),"""",IFERROR(IF(K9363="""","""",query('tbl user'!$A$2:$D10975,""SELECT A WHERE D = '""&amp;K9363&amp;""'"")),""USER TIDAK DIKETAHUI""))"),"")</f>
        <v/>
      </c>
    </row>
    <row r="9364">
      <c r="A9364" s="21" t="str">
        <f t="shared" si="3"/>
        <v/>
      </c>
      <c r="B9364" s="38"/>
      <c r="C9364" s="23"/>
      <c r="D9364" s="23"/>
      <c r="E9364" s="24"/>
      <c r="F9364" s="25"/>
      <c r="G9364" s="25"/>
      <c r="H9364" s="27"/>
      <c r="I9364" s="28"/>
      <c r="J9364" s="39"/>
      <c r="K9364" s="41"/>
      <c r="L9364" s="31" t="str">
        <f>IFERROR(__xludf.DUMMYFUNCTION("IF(OR(E9364="""",K9364=""""),"""",IFERROR(IF(K9364="""","""",query('tbl user'!$A$2:$D10975,""SELECT A WHERE D = '""&amp;K9364&amp;""'"")),""USER TIDAK DIKETAHUI""))"),"")</f>
        <v/>
      </c>
    </row>
    <row r="9365">
      <c r="A9365" s="21" t="str">
        <f t="shared" si="3"/>
        <v/>
      </c>
      <c r="B9365" s="38"/>
      <c r="C9365" s="23"/>
      <c r="D9365" s="23"/>
      <c r="E9365" s="24"/>
      <c r="F9365" s="25"/>
      <c r="G9365" s="25"/>
      <c r="H9365" s="27"/>
      <c r="I9365" s="28"/>
      <c r="J9365" s="39"/>
      <c r="K9365" s="41"/>
      <c r="L9365" s="31" t="str">
        <f>IFERROR(__xludf.DUMMYFUNCTION("IF(OR(E9365="""",K9365=""""),"""",IFERROR(IF(K9365="""","""",query('tbl user'!$A$2:$D10975,""SELECT A WHERE D = '""&amp;K9365&amp;""'"")),""USER TIDAK DIKETAHUI""))"),"")</f>
        <v/>
      </c>
    </row>
    <row r="9366">
      <c r="A9366" s="21" t="str">
        <f t="shared" si="3"/>
        <v/>
      </c>
      <c r="B9366" s="38"/>
      <c r="C9366" s="23"/>
      <c r="D9366" s="23"/>
      <c r="E9366" s="24"/>
      <c r="F9366" s="25"/>
      <c r="G9366" s="25"/>
      <c r="H9366" s="27"/>
      <c r="I9366" s="28"/>
      <c r="J9366" s="39"/>
      <c r="K9366" s="41"/>
      <c r="L9366" s="31" t="str">
        <f>IFERROR(__xludf.DUMMYFUNCTION("IF(OR(E9366="""",K9366=""""),"""",IFERROR(IF(K9366="""","""",query('tbl user'!$A$2:$D10975,""SELECT A WHERE D = '""&amp;K9366&amp;""'"")),""USER TIDAK DIKETAHUI""))"),"")</f>
        <v/>
      </c>
    </row>
    <row r="9367">
      <c r="A9367" s="21" t="str">
        <f t="shared" si="3"/>
        <v/>
      </c>
      <c r="B9367" s="38"/>
      <c r="C9367" s="23"/>
      <c r="D9367" s="23"/>
      <c r="E9367" s="24"/>
      <c r="F9367" s="25"/>
      <c r="G9367" s="25"/>
      <c r="H9367" s="27"/>
      <c r="I9367" s="28"/>
      <c r="J9367" s="39"/>
      <c r="K9367" s="41"/>
      <c r="L9367" s="31" t="str">
        <f>IFERROR(__xludf.DUMMYFUNCTION("IF(OR(E9367="""",K9367=""""),"""",IFERROR(IF(K9367="""","""",query('tbl user'!$A$2:$D10975,""SELECT A WHERE D = '""&amp;K9367&amp;""'"")),""USER TIDAK DIKETAHUI""))"),"")</f>
        <v/>
      </c>
    </row>
    <row r="9368">
      <c r="A9368" s="21" t="str">
        <f t="shared" si="3"/>
        <v/>
      </c>
      <c r="B9368" s="38"/>
      <c r="C9368" s="23"/>
      <c r="D9368" s="23"/>
      <c r="E9368" s="24"/>
      <c r="F9368" s="25"/>
      <c r="G9368" s="25"/>
      <c r="H9368" s="27"/>
      <c r="I9368" s="28"/>
      <c r="J9368" s="39"/>
      <c r="K9368" s="41"/>
      <c r="L9368" s="31" t="str">
        <f>IFERROR(__xludf.DUMMYFUNCTION("IF(OR(E9368="""",K9368=""""),"""",IFERROR(IF(K9368="""","""",query('tbl user'!$A$2:$D10975,""SELECT A WHERE D = '""&amp;K9368&amp;""'"")),""USER TIDAK DIKETAHUI""))"),"")</f>
        <v/>
      </c>
    </row>
    <row r="9369">
      <c r="A9369" s="21" t="str">
        <f t="shared" si="3"/>
        <v/>
      </c>
      <c r="B9369" s="38"/>
      <c r="C9369" s="23"/>
      <c r="D9369" s="23"/>
      <c r="E9369" s="24"/>
      <c r="F9369" s="25"/>
      <c r="G9369" s="25"/>
      <c r="H9369" s="27"/>
      <c r="I9369" s="28"/>
      <c r="J9369" s="39"/>
      <c r="K9369" s="41"/>
      <c r="L9369" s="31" t="str">
        <f>IFERROR(__xludf.DUMMYFUNCTION("IF(OR(E9369="""",K9369=""""),"""",IFERROR(IF(K9369="""","""",query('tbl user'!$A$2:$D10975,""SELECT A WHERE D = '""&amp;K9369&amp;""'"")),""USER TIDAK DIKETAHUI""))"),"")</f>
        <v/>
      </c>
    </row>
    <row r="9370">
      <c r="A9370" s="21" t="str">
        <f t="shared" si="3"/>
        <v/>
      </c>
      <c r="B9370" s="38"/>
      <c r="C9370" s="23"/>
      <c r="D9370" s="23"/>
      <c r="E9370" s="24"/>
      <c r="F9370" s="25"/>
      <c r="G9370" s="25"/>
      <c r="H9370" s="27"/>
      <c r="I9370" s="28"/>
      <c r="J9370" s="39"/>
      <c r="K9370" s="41"/>
      <c r="L9370" s="31" t="str">
        <f>IFERROR(__xludf.DUMMYFUNCTION("IF(OR(E9370="""",K9370=""""),"""",IFERROR(IF(K9370="""","""",query('tbl user'!$A$2:$D10975,""SELECT A WHERE D = '""&amp;K9370&amp;""'"")),""USER TIDAK DIKETAHUI""))"),"")</f>
        <v/>
      </c>
    </row>
    <row r="9371">
      <c r="A9371" s="21" t="str">
        <f t="shared" si="3"/>
        <v/>
      </c>
      <c r="B9371" s="38"/>
      <c r="C9371" s="23"/>
      <c r="D9371" s="23"/>
      <c r="E9371" s="24"/>
      <c r="F9371" s="25"/>
      <c r="G9371" s="25"/>
      <c r="H9371" s="27"/>
      <c r="I9371" s="28"/>
      <c r="J9371" s="39"/>
      <c r="K9371" s="41"/>
      <c r="L9371" s="31" t="str">
        <f>IFERROR(__xludf.DUMMYFUNCTION("IF(OR(E9371="""",K9371=""""),"""",IFERROR(IF(K9371="""","""",query('tbl user'!$A$2:$D10975,""SELECT A WHERE D = '""&amp;K9371&amp;""'"")),""USER TIDAK DIKETAHUI""))"),"")</f>
        <v/>
      </c>
    </row>
    <row r="9372">
      <c r="A9372" s="21" t="str">
        <f t="shared" si="3"/>
        <v/>
      </c>
      <c r="B9372" s="38"/>
      <c r="C9372" s="23"/>
      <c r="D9372" s="23"/>
      <c r="E9372" s="24"/>
      <c r="F9372" s="25"/>
      <c r="G9372" s="25"/>
      <c r="H9372" s="27"/>
      <c r="I9372" s="28"/>
      <c r="J9372" s="39"/>
      <c r="K9372" s="41"/>
      <c r="L9372" s="31" t="str">
        <f>IFERROR(__xludf.DUMMYFUNCTION("IF(OR(E9372="""",K9372=""""),"""",IFERROR(IF(K9372="""","""",query('tbl user'!$A$2:$D10975,""SELECT A WHERE D = '""&amp;K9372&amp;""'"")),""USER TIDAK DIKETAHUI""))"),"")</f>
        <v/>
      </c>
    </row>
    <row r="9373">
      <c r="A9373" s="21" t="str">
        <f t="shared" si="3"/>
        <v/>
      </c>
      <c r="B9373" s="38"/>
      <c r="C9373" s="23"/>
      <c r="D9373" s="23"/>
      <c r="E9373" s="24"/>
      <c r="F9373" s="25"/>
      <c r="G9373" s="25"/>
      <c r="H9373" s="27"/>
      <c r="I9373" s="28"/>
      <c r="J9373" s="39"/>
      <c r="K9373" s="41"/>
      <c r="L9373" s="31" t="str">
        <f>IFERROR(__xludf.DUMMYFUNCTION("IF(OR(E9373="""",K9373=""""),"""",IFERROR(IF(K9373="""","""",query('tbl user'!$A$2:$D10975,""SELECT A WHERE D = '""&amp;K9373&amp;""'"")),""USER TIDAK DIKETAHUI""))"),"")</f>
        <v/>
      </c>
    </row>
    <row r="9374">
      <c r="A9374" s="21" t="str">
        <f t="shared" si="3"/>
        <v/>
      </c>
      <c r="B9374" s="38"/>
      <c r="C9374" s="23"/>
      <c r="D9374" s="23"/>
      <c r="E9374" s="24"/>
      <c r="F9374" s="25"/>
      <c r="G9374" s="25"/>
      <c r="H9374" s="27"/>
      <c r="I9374" s="28"/>
      <c r="J9374" s="39"/>
      <c r="K9374" s="41"/>
      <c r="L9374" s="31" t="str">
        <f>IFERROR(__xludf.DUMMYFUNCTION("IF(OR(E9374="""",K9374=""""),"""",IFERROR(IF(K9374="""","""",query('tbl user'!$A$2:$D10975,""SELECT A WHERE D = '""&amp;K9374&amp;""'"")),""USER TIDAK DIKETAHUI""))"),"")</f>
        <v/>
      </c>
    </row>
    <row r="9375">
      <c r="A9375" s="21" t="str">
        <f t="shared" si="3"/>
        <v/>
      </c>
      <c r="B9375" s="38"/>
      <c r="C9375" s="23"/>
      <c r="D9375" s="23"/>
      <c r="E9375" s="24"/>
      <c r="F9375" s="25"/>
      <c r="G9375" s="25"/>
      <c r="H9375" s="27"/>
      <c r="I9375" s="28"/>
      <c r="J9375" s="39"/>
      <c r="K9375" s="41"/>
      <c r="L9375" s="31" t="str">
        <f>IFERROR(__xludf.DUMMYFUNCTION("IF(OR(E9375="""",K9375=""""),"""",IFERROR(IF(K9375="""","""",query('tbl user'!$A$2:$D10975,""SELECT A WHERE D = '""&amp;K9375&amp;""'"")),""USER TIDAK DIKETAHUI""))"),"")</f>
        <v/>
      </c>
    </row>
    <row r="9376">
      <c r="A9376" s="21" t="str">
        <f t="shared" si="3"/>
        <v/>
      </c>
      <c r="B9376" s="38"/>
      <c r="C9376" s="23"/>
      <c r="D9376" s="23"/>
      <c r="E9376" s="24"/>
      <c r="F9376" s="25"/>
      <c r="G9376" s="25"/>
      <c r="H9376" s="27"/>
      <c r="I9376" s="28"/>
      <c r="J9376" s="39"/>
      <c r="K9376" s="41"/>
      <c r="L9376" s="31" t="str">
        <f>IFERROR(__xludf.DUMMYFUNCTION("IF(OR(E9376="""",K9376=""""),"""",IFERROR(IF(K9376="""","""",query('tbl user'!$A$2:$D10975,""SELECT A WHERE D = '""&amp;K9376&amp;""'"")),""USER TIDAK DIKETAHUI""))"),"")</f>
        <v/>
      </c>
    </row>
    <row r="9377">
      <c r="A9377" s="21" t="str">
        <f t="shared" si="3"/>
        <v/>
      </c>
      <c r="B9377" s="38"/>
      <c r="C9377" s="23"/>
      <c r="D9377" s="23"/>
      <c r="E9377" s="24"/>
      <c r="F9377" s="25"/>
      <c r="G9377" s="25"/>
      <c r="H9377" s="27"/>
      <c r="I9377" s="28"/>
      <c r="J9377" s="39"/>
      <c r="K9377" s="41"/>
      <c r="L9377" s="31" t="str">
        <f>IFERROR(__xludf.DUMMYFUNCTION("IF(OR(E9377="""",K9377=""""),"""",IFERROR(IF(K9377="""","""",query('tbl user'!$A$2:$D10975,""SELECT A WHERE D = '""&amp;K9377&amp;""'"")),""USER TIDAK DIKETAHUI""))"),"")</f>
        <v/>
      </c>
    </row>
    <row r="9378">
      <c r="A9378" s="21" t="str">
        <f t="shared" si="3"/>
        <v/>
      </c>
      <c r="B9378" s="38"/>
      <c r="C9378" s="23"/>
      <c r="D9378" s="23"/>
      <c r="E9378" s="24"/>
      <c r="F9378" s="25"/>
      <c r="G9378" s="25"/>
      <c r="H9378" s="27"/>
      <c r="I9378" s="28"/>
      <c r="J9378" s="39"/>
      <c r="K9378" s="41"/>
      <c r="L9378" s="31" t="str">
        <f>IFERROR(__xludf.DUMMYFUNCTION("IF(OR(E9378="""",K9378=""""),"""",IFERROR(IF(K9378="""","""",query('tbl user'!$A$2:$D10975,""SELECT A WHERE D = '""&amp;K9378&amp;""'"")),""USER TIDAK DIKETAHUI""))"),"")</f>
        <v/>
      </c>
    </row>
    <row r="9379">
      <c r="A9379" s="21" t="str">
        <f t="shared" si="3"/>
        <v/>
      </c>
      <c r="B9379" s="38"/>
      <c r="C9379" s="23"/>
      <c r="D9379" s="23"/>
      <c r="E9379" s="24"/>
      <c r="F9379" s="25"/>
      <c r="G9379" s="25"/>
      <c r="H9379" s="27"/>
      <c r="I9379" s="28"/>
      <c r="J9379" s="39"/>
      <c r="K9379" s="41"/>
      <c r="L9379" s="31" t="str">
        <f>IFERROR(__xludf.DUMMYFUNCTION("IF(OR(E9379="""",K9379=""""),"""",IFERROR(IF(K9379="""","""",query('tbl user'!$A$2:$D10975,""SELECT A WHERE D = '""&amp;K9379&amp;""'"")),""USER TIDAK DIKETAHUI""))"),"")</f>
        <v/>
      </c>
    </row>
    <row r="9380">
      <c r="A9380" s="21" t="str">
        <f t="shared" si="3"/>
        <v/>
      </c>
      <c r="B9380" s="38"/>
      <c r="C9380" s="23"/>
      <c r="D9380" s="23"/>
      <c r="E9380" s="24"/>
      <c r="F9380" s="25"/>
      <c r="G9380" s="25"/>
      <c r="H9380" s="27"/>
      <c r="I9380" s="28"/>
      <c r="J9380" s="39"/>
      <c r="K9380" s="41"/>
      <c r="L9380" s="31" t="str">
        <f>IFERROR(__xludf.DUMMYFUNCTION("IF(OR(E9380="""",K9380=""""),"""",IFERROR(IF(K9380="""","""",query('tbl user'!$A$2:$D10975,""SELECT A WHERE D = '""&amp;K9380&amp;""'"")),""USER TIDAK DIKETAHUI""))"),"")</f>
        <v/>
      </c>
    </row>
    <row r="9381">
      <c r="A9381" s="21" t="str">
        <f t="shared" si="3"/>
        <v/>
      </c>
      <c r="B9381" s="38"/>
      <c r="C9381" s="23"/>
      <c r="D9381" s="23"/>
      <c r="E9381" s="24"/>
      <c r="F9381" s="25"/>
      <c r="G9381" s="25"/>
      <c r="H9381" s="27"/>
      <c r="I9381" s="28"/>
      <c r="J9381" s="39"/>
      <c r="K9381" s="41"/>
      <c r="L9381" s="31" t="str">
        <f>IFERROR(__xludf.DUMMYFUNCTION("IF(OR(E9381="""",K9381=""""),"""",IFERROR(IF(K9381="""","""",query('tbl user'!$A$2:$D10975,""SELECT A WHERE D = '""&amp;K9381&amp;""'"")),""USER TIDAK DIKETAHUI""))"),"")</f>
        <v/>
      </c>
    </row>
    <row r="9382">
      <c r="A9382" s="21" t="str">
        <f t="shared" si="3"/>
        <v/>
      </c>
      <c r="B9382" s="38"/>
      <c r="C9382" s="23"/>
      <c r="D9382" s="23"/>
      <c r="E9382" s="24"/>
      <c r="F9382" s="25"/>
      <c r="G9382" s="25"/>
      <c r="H9382" s="27"/>
      <c r="I9382" s="28"/>
      <c r="J9382" s="39"/>
      <c r="K9382" s="41"/>
      <c r="L9382" s="31" t="str">
        <f>IFERROR(__xludf.DUMMYFUNCTION("IF(OR(E9382="""",K9382=""""),"""",IFERROR(IF(K9382="""","""",query('tbl user'!$A$2:$D10975,""SELECT A WHERE D = '""&amp;K9382&amp;""'"")),""USER TIDAK DIKETAHUI""))"),"")</f>
        <v/>
      </c>
    </row>
    <row r="9383">
      <c r="A9383" s="21" t="str">
        <f t="shared" si="3"/>
        <v/>
      </c>
      <c r="B9383" s="38"/>
      <c r="C9383" s="23"/>
      <c r="D9383" s="23"/>
      <c r="E9383" s="24"/>
      <c r="F9383" s="25"/>
      <c r="G9383" s="25"/>
      <c r="H9383" s="27"/>
      <c r="I9383" s="28"/>
      <c r="J9383" s="39"/>
      <c r="K9383" s="41"/>
      <c r="L9383" s="31" t="str">
        <f>IFERROR(__xludf.DUMMYFUNCTION("IF(OR(E9383="""",K9383=""""),"""",IFERROR(IF(K9383="""","""",query('tbl user'!$A$2:$D10975,""SELECT A WHERE D = '""&amp;K9383&amp;""'"")),""USER TIDAK DIKETAHUI""))"),"")</f>
        <v/>
      </c>
    </row>
    <row r="9384">
      <c r="A9384" s="21" t="str">
        <f t="shared" si="3"/>
        <v/>
      </c>
      <c r="B9384" s="38"/>
      <c r="C9384" s="23"/>
      <c r="D9384" s="23"/>
      <c r="E9384" s="24"/>
      <c r="F9384" s="25"/>
      <c r="G9384" s="25"/>
      <c r="H9384" s="27"/>
      <c r="I9384" s="28"/>
      <c r="J9384" s="39"/>
      <c r="K9384" s="41"/>
      <c r="L9384" s="31" t="str">
        <f>IFERROR(__xludf.DUMMYFUNCTION("IF(OR(E9384="""",K9384=""""),"""",IFERROR(IF(K9384="""","""",query('tbl user'!$A$2:$D10975,""SELECT A WHERE D = '""&amp;K9384&amp;""'"")),""USER TIDAK DIKETAHUI""))"),"")</f>
        <v/>
      </c>
    </row>
    <row r="9385">
      <c r="A9385" s="21" t="str">
        <f t="shared" si="3"/>
        <v/>
      </c>
      <c r="B9385" s="38"/>
      <c r="C9385" s="23"/>
      <c r="D9385" s="23"/>
      <c r="E9385" s="24"/>
      <c r="F9385" s="25"/>
      <c r="G9385" s="25"/>
      <c r="H9385" s="27"/>
      <c r="I9385" s="28"/>
      <c r="J9385" s="39"/>
      <c r="K9385" s="41"/>
      <c r="L9385" s="31" t="str">
        <f>IFERROR(__xludf.DUMMYFUNCTION("IF(OR(E9385="""",K9385=""""),"""",IFERROR(IF(K9385="""","""",query('tbl user'!$A$2:$D10975,""SELECT A WHERE D = '""&amp;K9385&amp;""'"")),""USER TIDAK DIKETAHUI""))"),"")</f>
        <v/>
      </c>
    </row>
    <row r="9386">
      <c r="A9386" s="21" t="str">
        <f t="shared" si="3"/>
        <v/>
      </c>
      <c r="B9386" s="38"/>
      <c r="C9386" s="23"/>
      <c r="D9386" s="23"/>
      <c r="E9386" s="24"/>
      <c r="F9386" s="25"/>
      <c r="G9386" s="25"/>
      <c r="H9386" s="27"/>
      <c r="I9386" s="28"/>
      <c r="J9386" s="39"/>
      <c r="K9386" s="41"/>
      <c r="L9386" s="31" t="str">
        <f>IFERROR(__xludf.DUMMYFUNCTION("IF(OR(E9386="""",K9386=""""),"""",IFERROR(IF(K9386="""","""",query('tbl user'!$A$2:$D10975,""SELECT A WHERE D = '""&amp;K9386&amp;""'"")),""USER TIDAK DIKETAHUI""))"),"")</f>
        <v/>
      </c>
    </row>
    <row r="9387">
      <c r="A9387" s="21" t="str">
        <f t="shared" si="3"/>
        <v/>
      </c>
      <c r="B9387" s="38"/>
      <c r="C9387" s="23"/>
      <c r="D9387" s="23"/>
      <c r="E9387" s="24"/>
      <c r="F9387" s="25"/>
      <c r="G9387" s="25"/>
      <c r="H9387" s="27"/>
      <c r="I9387" s="28"/>
      <c r="J9387" s="39"/>
      <c r="K9387" s="41"/>
      <c r="L9387" s="31" t="str">
        <f>IFERROR(__xludf.DUMMYFUNCTION("IF(OR(E9387="""",K9387=""""),"""",IFERROR(IF(K9387="""","""",query('tbl user'!$A$2:$D10975,""SELECT A WHERE D = '""&amp;K9387&amp;""'"")),""USER TIDAK DIKETAHUI""))"),"")</f>
        <v/>
      </c>
    </row>
    <row r="9388">
      <c r="A9388" s="21" t="str">
        <f t="shared" si="3"/>
        <v/>
      </c>
      <c r="B9388" s="38"/>
      <c r="C9388" s="23"/>
      <c r="D9388" s="23"/>
      <c r="E9388" s="24"/>
      <c r="F9388" s="25"/>
      <c r="G9388" s="25"/>
      <c r="H9388" s="27"/>
      <c r="I9388" s="28"/>
      <c r="J9388" s="39"/>
      <c r="K9388" s="41"/>
      <c r="L9388" s="31" t="str">
        <f>IFERROR(__xludf.DUMMYFUNCTION("IF(OR(E9388="""",K9388=""""),"""",IFERROR(IF(K9388="""","""",query('tbl user'!$A$2:$D10975,""SELECT A WHERE D = '""&amp;K9388&amp;""'"")),""USER TIDAK DIKETAHUI""))"),"")</f>
        <v/>
      </c>
    </row>
    <row r="9389">
      <c r="A9389" s="21" t="str">
        <f t="shared" si="3"/>
        <v/>
      </c>
      <c r="B9389" s="38"/>
      <c r="C9389" s="23"/>
      <c r="D9389" s="23"/>
      <c r="E9389" s="24"/>
      <c r="F9389" s="25"/>
      <c r="G9389" s="25"/>
      <c r="H9389" s="27"/>
      <c r="I9389" s="28"/>
      <c r="J9389" s="39"/>
      <c r="K9389" s="41"/>
      <c r="L9389" s="31" t="str">
        <f>IFERROR(__xludf.DUMMYFUNCTION("IF(OR(E9389="""",K9389=""""),"""",IFERROR(IF(K9389="""","""",query('tbl user'!$A$2:$D10975,""SELECT A WHERE D = '""&amp;K9389&amp;""'"")),""USER TIDAK DIKETAHUI""))"),"")</f>
        <v/>
      </c>
    </row>
    <row r="9390">
      <c r="A9390" s="21" t="str">
        <f t="shared" si="3"/>
        <v/>
      </c>
      <c r="B9390" s="38"/>
      <c r="C9390" s="23"/>
      <c r="D9390" s="23"/>
      <c r="E9390" s="24"/>
      <c r="F9390" s="25"/>
      <c r="G9390" s="25"/>
      <c r="H9390" s="27"/>
      <c r="I9390" s="28"/>
      <c r="J9390" s="39"/>
      <c r="K9390" s="41"/>
      <c r="L9390" s="31" t="str">
        <f>IFERROR(__xludf.DUMMYFUNCTION("IF(OR(E9390="""",K9390=""""),"""",IFERROR(IF(K9390="""","""",query('tbl user'!$A$2:$D10975,""SELECT A WHERE D = '""&amp;K9390&amp;""'"")),""USER TIDAK DIKETAHUI""))"),"")</f>
        <v/>
      </c>
    </row>
    <row r="9391">
      <c r="A9391" s="21" t="str">
        <f t="shared" si="3"/>
        <v/>
      </c>
      <c r="B9391" s="38"/>
      <c r="C9391" s="23"/>
      <c r="D9391" s="23"/>
      <c r="E9391" s="24"/>
      <c r="F9391" s="25"/>
      <c r="G9391" s="25"/>
      <c r="H9391" s="27"/>
      <c r="I9391" s="28"/>
      <c r="J9391" s="39"/>
      <c r="K9391" s="41"/>
      <c r="L9391" s="31" t="str">
        <f>IFERROR(__xludf.DUMMYFUNCTION("IF(OR(E9391="""",K9391=""""),"""",IFERROR(IF(K9391="""","""",query('tbl user'!$A$2:$D10975,""SELECT A WHERE D = '""&amp;K9391&amp;""'"")),""USER TIDAK DIKETAHUI""))"),"")</f>
        <v/>
      </c>
    </row>
    <row r="9392">
      <c r="A9392" s="21" t="str">
        <f t="shared" si="3"/>
        <v/>
      </c>
      <c r="B9392" s="38"/>
      <c r="C9392" s="23"/>
      <c r="D9392" s="23"/>
      <c r="E9392" s="24"/>
      <c r="F9392" s="25"/>
      <c r="G9392" s="25"/>
      <c r="H9392" s="27"/>
      <c r="I9392" s="28"/>
      <c r="J9392" s="39"/>
      <c r="K9392" s="41"/>
      <c r="L9392" s="31" t="str">
        <f>IFERROR(__xludf.DUMMYFUNCTION("IF(OR(E9392="""",K9392=""""),"""",IFERROR(IF(K9392="""","""",query('tbl user'!$A$2:$D10975,""SELECT A WHERE D = '""&amp;K9392&amp;""'"")),""USER TIDAK DIKETAHUI""))"),"")</f>
        <v/>
      </c>
    </row>
    <row r="9393">
      <c r="A9393" s="21" t="str">
        <f t="shared" si="3"/>
        <v/>
      </c>
      <c r="B9393" s="38"/>
      <c r="C9393" s="23"/>
      <c r="D9393" s="23"/>
      <c r="E9393" s="24"/>
      <c r="F9393" s="25"/>
      <c r="G9393" s="25"/>
      <c r="H9393" s="27"/>
      <c r="I9393" s="28"/>
      <c r="J9393" s="39"/>
      <c r="K9393" s="41"/>
      <c r="L9393" s="31" t="str">
        <f>IFERROR(__xludf.DUMMYFUNCTION("IF(OR(E9393="""",K9393=""""),"""",IFERROR(IF(K9393="""","""",query('tbl user'!$A$2:$D10975,""SELECT A WHERE D = '""&amp;K9393&amp;""'"")),""USER TIDAK DIKETAHUI""))"),"")</f>
        <v/>
      </c>
    </row>
    <row r="9394">
      <c r="A9394" s="21" t="str">
        <f t="shared" si="3"/>
        <v/>
      </c>
      <c r="B9394" s="38"/>
      <c r="C9394" s="23"/>
      <c r="D9394" s="23"/>
      <c r="E9394" s="24"/>
      <c r="F9394" s="25"/>
      <c r="G9394" s="25"/>
      <c r="H9394" s="27"/>
      <c r="I9394" s="28"/>
      <c r="J9394" s="39"/>
      <c r="K9394" s="41"/>
      <c r="L9394" s="31" t="str">
        <f>IFERROR(__xludf.DUMMYFUNCTION("IF(OR(E9394="""",K9394=""""),"""",IFERROR(IF(K9394="""","""",query('tbl user'!$A$2:$D10975,""SELECT A WHERE D = '""&amp;K9394&amp;""'"")),""USER TIDAK DIKETAHUI""))"),"")</f>
        <v/>
      </c>
    </row>
    <row r="9395">
      <c r="A9395" s="21" t="str">
        <f t="shared" si="3"/>
        <v/>
      </c>
      <c r="B9395" s="38"/>
      <c r="C9395" s="23"/>
      <c r="D9395" s="23"/>
      <c r="E9395" s="24"/>
      <c r="F9395" s="25"/>
      <c r="G9395" s="25"/>
      <c r="H9395" s="27"/>
      <c r="I9395" s="28"/>
      <c r="J9395" s="39"/>
      <c r="K9395" s="41"/>
      <c r="L9395" s="31" t="str">
        <f>IFERROR(__xludf.DUMMYFUNCTION("IF(OR(E9395="""",K9395=""""),"""",IFERROR(IF(K9395="""","""",query('tbl user'!$A$2:$D10975,""SELECT A WHERE D = '""&amp;K9395&amp;""'"")),""USER TIDAK DIKETAHUI""))"),"")</f>
        <v/>
      </c>
    </row>
    <row r="9396">
      <c r="A9396" s="21" t="str">
        <f t="shared" si="3"/>
        <v/>
      </c>
      <c r="B9396" s="38"/>
      <c r="C9396" s="23"/>
      <c r="D9396" s="23"/>
      <c r="E9396" s="24"/>
      <c r="F9396" s="25"/>
      <c r="G9396" s="25"/>
      <c r="H9396" s="27"/>
      <c r="I9396" s="28"/>
      <c r="J9396" s="39"/>
      <c r="K9396" s="41"/>
      <c r="L9396" s="31" t="str">
        <f>IFERROR(__xludf.DUMMYFUNCTION("IF(OR(E9396="""",K9396=""""),"""",IFERROR(IF(K9396="""","""",query('tbl user'!$A$2:$D10975,""SELECT A WHERE D = '""&amp;K9396&amp;""'"")),""USER TIDAK DIKETAHUI""))"),"")</f>
        <v/>
      </c>
    </row>
    <row r="9397">
      <c r="A9397" s="21" t="str">
        <f t="shared" si="3"/>
        <v/>
      </c>
      <c r="B9397" s="38"/>
      <c r="C9397" s="23"/>
      <c r="D9397" s="23"/>
      <c r="E9397" s="24"/>
      <c r="F9397" s="25"/>
      <c r="G9397" s="25"/>
      <c r="H9397" s="27"/>
      <c r="I9397" s="28"/>
      <c r="J9397" s="39"/>
      <c r="K9397" s="41"/>
      <c r="L9397" s="31" t="str">
        <f>IFERROR(__xludf.DUMMYFUNCTION("IF(OR(E9397="""",K9397=""""),"""",IFERROR(IF(K9397="""","""",query('tbl user'!$A$2:$D10975,""SELECT A WHERE D = '""&amp;K9397&amp;""'"")),""USER TIDAK DIKETAHUI""))"),"")</f>
        <v/>
      </c>
    </row>
    <row r="9398">
      <c r="A9398" s="21" t="str">
        <f t="shared" si="3"/>
        <v/>
      </c>
      <c r="B9398" s="38"/>
      <c r="C9398" s="23"/>
      <c r="D9398" s="23"/>
      <c r="E9398" s="24"/>
      <c r="F9398" s="25"/>
      <c r="G9398" s="25"/>
      <c r="H9398" s="27"/>
      <c r="I9398" s="28"/>
      <c r="J9398" s="39"/>
      <c r="K9398" s="41"/>
      <c r="L9398" s="31" t="str">
        <f>IFERROR(__xludf.DUMMYFUNCTION("IF(OR(E9398="""",K9398=""""),"""",IFERROR(IF(K9398="""","""",query('tbl user'!$A$2:$D10975,""SELECT A WHERE D = '""&amp;K9398&amp;""'"")),""USER TIDAK DIKETAHUI""))"),"")</f>
        <v/>
      </c>
    </row>
    <row r="9399">
      <c r="A9399" s="21" t="str">
        <f t="shared" si="3"/>
        <v/>
      </c>
      <c r="B9399" s="38"/>
      <c r="C9399" s="23"/>
      <c r="D9399" s="23"/>
      <c r="E9399" s="24"/>
      <c r="F9399" s="25"/>
      <c r="G9399" s="25"/>
      <c r="H9399" s="27"/>
      <c r="I9399" s="28"/>
      <c r="J9399" s="39"/>
      <c r="K9399" s="41"/>
      <c r="L9399" s="31" t="str">
        <f>IFERROR(__xludf.DUMMYFUNCTION("IF(OR(E9399="""",K9399=""""),"""",IFERROR(IF(K9399="""","""",query('tbl user'!$A$2:$D10975,""SELECT A WHERE D = '""&amp;K9399&amp;""'"")),""USER TIDAK DIKETAHUI""))"),"")</f>
        <v/>
      </c>
    </row>
    <row r="9400">
      <c r="A9400" s="21" t="str">
        <f t="shared" si="3"/>
        <v/>
      </c>
      <c r="B9400" s="38"/>
      <c r="C9400" s="23"/>
      <c r="D9400" s="23"/>
      <c r="E9400" s="24"/>
      <c r="F9400" s="25"/>
      <c r="G9400" s="25"/>
      <c r="H9400" s="27"/>
      <c r="I9400" s="28"/>
      <c r="J9400" s="39"/>
      <c r="K9400" s="41"/>
      <c r="L9400" s="31" t="str">
        <f>IFERROR(__xludf.DUMMYFUNCTION("IF(OR(E9400="""",K9400=""""),"""",IFERROR(IF(K9400="""","""",query('tbl user'!$A$2:$D10975,""SELECT A WHERE D = '""&amp;K9400&amp;""'"")),""USER TIDAK DIKETAHUI""))"),"")</f>
        <v/>
      </c>
    </row>
    <row r="9401">
      <c r="A9401" s="21" t="str">
        <f t="shared" si="3"/>
        <v/>
      </c>
      <c r="B9401" s="38"/>
      <c r="C9401" s="23"/>
      <c r="D9401" s="23"/>
      <c r="E9401" s="24"/>
      <c r="F9401" s="25"/>
      <c r="G9401" s="25"/>
      <c r="H9401" s="27"/>
      <c r="I9401" s="28"/>
      <c r="J9401" s="39"/>
      <c r="K9401" s="41"/>
      <c r="L9401" s="31" t="str">
        <f>IFERROR(__xludf.DUMMYFUNCTION("IF(OR(E9401="""",K9401=""""),"""",IFERROR(IF(K9401="""","""",query('tbl user'!$A$2:$D10975,""SELECT A WHERE D = '""&amp;K9401&amp;""'"")),""USER TIDAK DIKETAHUI""))"),"")</f>
        <v/>
      </c>
    </row>
    <row r="9402">
      <c r="A9402" s="21" t="str">
        <f t="shared" si="3"/>
        <v/>
      </c>
      <c r="B9402" s="38"/>
      <c r="C9402" s="23"/>
      <c r="D9402" s="23"/>
      <c r="E9402" s="24"/>
      <c r="F9402" s="25"/>
      <c r="G9402" s="25"/>
      <c r="H9402" s="27"/>
      <c r="I9402" s="28"/>
      <c r="J9402" s="39"/>
      <c r="K9402" s="41"/>
      <c r="L9402" s="31" t="str">
        <f>IFERROR(__xludf.DUMMYFUNCTION("IF(OR(E9402="""",K9402=""""),"""",IFERROR(IF(K9402="""","""",query('tbl user'!$A$2:$D10975,""SELECT A WHERE D = '""&amp;K9402&amp;""'"")),""USER TIDAK DIKETAHUI""))"),"")</f>
        <v/>
      </c>
    </row>
    <row r="9403">
      <c r="A9403" s="21" t="str">
        <f t="shared" si="3"/>
        <v/>
      </c>
      <c r="B9403" s="38"/>
      <c r="C9403" s="23"/>
      <c r="D9403" s="23"/>
      <c r="E9403" s="24"/>
      <c r="F9403" s="25"/>
      <c r="G9403" s="25"/>
      <c r="H9403" s="27"/>
      <c r="I9403" s="28"/>
      <c r="J9403" s="39"/>
      <c r="K9403" s="41"/>
      <c r="L9403" s="31" t="str">
        <f>IFERROR(__xludf.DUMMYFUNCTION("IF(OR(E9403="""",K9403=""""),"""",IFERROR(IF(K9403="""","""",query('tbl user'!$A$2:$D10975,""SELECT A WHERE D = '""&amp;K9403&amp;""'"")),""USER TIDAK DIKETAHUI""))"),"")</f>
        <v/>
      </c>
    </row>
    <row r="9404">
      <c r="A9404" s="21" t="str">
        <f t="shared" si="3"/>
        <v/>
      </c>
      <c r="B9404" s="38"/>
      <c r="C9404" s="23"/>
      <c r="D9404" s="23"/>
      <c r="E9404" s="24"/>
      <c r="F9404" s="25"/>
      <c r="G9404" s="25"/>
      <c r="H9404" s="27"/>
      <c r="I9404" s="28"/>
      <c r="J9404" s="39"/>
      <c r="K9404" s="41"/>
      <c r="L9404" s="31" t="str">
        <f>IFERROR(__xludf.DUMMYFUNCTION("IF(OR(E9404="""",K9404=""""),"""",IFERROR(IF(K9404="""","""",query('tbl user'!$A$2:$D10975,""SELECT A WHERE D = '""&amp;K9404&amp;""'"")),""USER TIDAK DIKETAHUI""))"),"")</f>
        <v/>
      </c>
    </row>
    <row r="9405">
      <c r="A9405" s="21" t="str">
        <f t="shared" si="3"/>
        <v/>
      </c>
      <c r="B9405" s="38"/>
      <c r="C9405" s="23"/>
      <c r="D9405" s="23"/>
      <c r="E9405" s="24"/>
      <c r="F9405" s="25"/>
      <c r="G9405" s="25"/>
      <c r="H9405" s="27"/>
      <c r="I9405" s="28"/>
      <c r="J9405" s="39"/>
      <c r="K9405" s="41"/>
      <c r="L9405" s="31" t="str">
        <f>IFERROR(__xludf.DUMMYFUNCTION("IF(OR(E9405="""",K9405=""""),"""",IFERROR(IF(K9405="""","""",query('tbl user'!$A$2:$D10975,""SELECT A WHERE D = '""&amp;K9405&amp;""'"")),""USER TIDAK DIKETAHUI""))"),"")</f>
        <v/>
      </c>
    </row>
    <row r="9406">
      <c r="A9406" s="21" t="str">
        <f t="shared" si="3"/>
        <v/>
      </c>
      <c r="B9406" s="38"/>
      <c r="C9406" s="23"/>
      <c r="D9406" s="23"/>
      <c r="E9406" s="24"/>
      <c r="F9406" s="25"/>
      <c r="G9406" s="25"/>
      <c r="H9406" s="27"/>
      <c r="I9406" s="28"/>
      <c r="J9406" s="39"/>
      <c r="K9406" s="41"/>
      <c r="L9406" s="31" t="str">
        <f>IFERROR(__xludf.DUMMYFUNCTION("IF(OR(E9406="""",K9406=""""),"""",IFERROR(IF(K9406="""","""",query('tbl user'!$A$2:$D10975,""SELECT A WHERE D = '""&amp;K9406&amp;""'"")),""USER TIDAK DIKETAHUI""))"),"")</f>
        <v/>
      </c>
    </row>
    <row r="9407">
      <c r="A9407" s="21" t="str">
        <f t="shared" si="3"/>
        <v/>
      </c>
      <c r="B9407" s="38"/>
      <c r="C9407" s="23"/>
      <c r="D9407" s="23"/>
      <c r="E9407" s="24"/>
      <c r="F9407" s="25"/>
      <c r="G9407" s="25"/>
      <c r="H9407" s="27"/>
      <c r="I9407" s="28"/>
      <c r="J9407" s="39"/>
      <c r="K9407" s="41"/>
      <c r="L9407" s="31" t="str">
        <f>IFERROR(__xludf.DUMMYFUNCTION("IF(OR(E9407="""",K9407=""""),"""",IFERROR(IF(K9407="""","""",query('tbl user'!$A$2:$D10975,""SELECT A WHERE D = '""&amp;K9407&amp;""'"")),""USER TIDAK DIKETAHUI""))"),"")</f>
        <v/>
      </c>
    </row>
    <row r="9408">
      <c r="A9408" s="21" t="str">
        <f t="shared" si="3"/>
        <v/>
      </c>
      <c r="B9408" s="38"/>
      <c r="C9408" s="23"/>
      <c r="D9408" s="23"/>
      <c r="E9408" s="24"/>
      <c r="F9408" s="25"/>
      <c r="G9408" s="25"/>
      <c r="H9408" s="27"/>
      <c r="I9408" s="28"/>
      <c r="J9408" s="39"/>
      <c r="K9408" s="41"/>
      <c r="L9408" s="31" t="str">
        <f>IFERROR(__xludf.DUMMYFUNCTION("IF(OR(E9408="""",K9408=""""),"""",IFERROR(IF(K9408="""","""",query('tbl user'!$A$2:$D10975,""SELECT A WHERE D = '""&amp;K9408&amp;""'"")),""USER TIDAK DIKETAHUI""))"),"")</f>
        <v/>
      </c>
    </row>
    <row r="9409">
      <c r="A9409" s="21" t="str">
        <f t="shared" si="3"/>
        <v/>
      </c>
      <c r="B9409" s="38"/>
      <c r="C9409" s="23"/>
      <c r="D9409" s="23"/>
      <c r="E9409" s="24"/>
      <c r="F9409" s="25"/>
      <c r="G9409" s="25"/>
      <c r="H9409" s="27"/>
      <c r="I9409" s="28"/>
      <c r="J9409" s="39"/>
      <c r="K9409" s="41"/>
      <c r="L9409" s="31" t="str">
        <f>IFERROR(__xludf.DUMMYFUNCTION("IF(OR(E9409="""",K9409=""""),"""",IFERROR(IF(K9409="""","""",query('tbl user'!$A$2:$D10975,""SELECT A WHERE D = '""&amp;K9409&amp;""'"")),""USER TIDAK DIKETAHUI""))"),"")</f>
        <v/>
      </c>
    </row>
    <row r="9410">
      <c r="A9410" s="21" t="str">
        <f t="shared" si="3"/>
        <v/>
      </c>
      <c r="B9410" s="38"/>
      <c r="C9410" s="23"/>
      <c r="D9410" s="23"/>
      <c r="E9410" s="24"/>
      <c r="F9410" s="25"/>
      <c r="G9410" s="25"/>
      <c r="H9410" s="27"/>
      <c r="I9410" s="28"/>
      <c r="J9410" s="39"/>
      <c r="K9410" s="41"/>
      <c r="L9410" s="31" t="str">
        <f>IFERROR(__xludf.DUMMYFUNCTION("IF(OR(E9410="""",K9410=""""),"""",IFERROR(IF(K9410="""","""",query('tbl user'!$A$2:$D10975,""SELECT A WHERE D = '""&amp;K9410&amp;""'"")),""USER TIDAK DIKETAHUI""))"),"")</f>
        <v/>
      </c>
    </row>
    <row r="9411">
      <c r="A9411" s="21" t="str">
        <f t="shared" si="3"/>
        <v/>
      </c>
      <c r="B9411" s="38"/>
      <c r="C9411" s="23"/>
      <c r="D9411" s="23"/>
      <c r="E9411" s="24"/>
      <c r="F9411" s="25"/>
      <c r="G9411" s="25"/>
      <c r="H9411" s="27"/>
      <c r="I9411" s="28"/>
      <c r="J9411" s="39"/>
      <c r="K9411" s="41"/>
      <c r="L9411" s="31" t="str">
        <f>IFERROR(__xludf.DUMMYFUNCTION("IF(OR(E9411="""",K9411=""""),"""",IFERROR(IF(K9411="""","""",query('tbl user'!$A$2:$D10975,""SELECT A WHERE D = '""&amp;K9411&amp;""'"")),""USER TIDAK DIKETAHUI""))"),"")</f>
        <v/>
      </c>
    </row>
    <row r="9412">
      <c r="A9412" s="21" t="str">
        <f t="shared" si="3"/>
        <v/>
      </c>
      <c r="B9412" s="38"/>
      <c r="C9412" s="23"/>
      <c r="D9412" s="23"/>
      <c r="E9412" s="24"/>
      <c r="F9412" s="25"/>
      <c r="G9412" s="25"/>
      <c r="H9412" s="27"/>
      <c r="I9412" s="28"/>
      <c r="J9412" s="39"/>
      <c r="K9412" s="41"/>
      <c r="L9412" s="31" t="str">
        <f>IFERROR(__xludf.DUMMYFUNCTION("IF(OR(E9412="""",K9412=""""),"""",IFERROR(IF(K9412="""","""",query('tbl user'!$A$2:$D10975,""SELECT A WHERE D = '""&amp;K9412&amp;""'"")),""USER TIDAK DIKETAHUI""))"),"")</f>
        <v/>
      </c>
    </row>
    <row r="9413">
      <c r="A9413" s="21" t="str">
        <f t="shared" si="3"/>
        <v/>
      </c>
      <c r="B9413" s="38"/>
      <c r="C9413" s="23"/>
      <c r="D9413" s="23"/>
      <c r="E9413" s="24"/>
      <c r="F9413" s="25"/>
      <c r="G9413" s="25"/>
      <c r="H9413" s="27"/>
      <c r="I9413" s="28"/>
      <c r="J9413" s="39"/>
      <c r="K9413" s="41"/>
      <c r="L9413" s="31" t="str">
        <f>IFERROR(__xludf.DUMMYFUNCTION("IF(OR(E9413="""",K9413=""""),"""",IFERROR(IF(K9413="""","""",query('tbl user'!$A$2:$D10975,""SELECT A WHERE D = '""&amp;K9413&amp;""'"")),""USER TIDAK DIKETAHUI""))"),"")</f>
        <v/>
      </c>
    </row>
    <row r="9414">
      <c r="A9414" s="21" t="str">
        <f t="shared" si="3"/>
        <v/>
      </c>
      <c r="B9414" s="38"/>
      <c r="C9414" s="23"/>
      <c r="D9414" s="23"/>
      <c r="E9414" s="24"/>
      <c r="F9414" s="25"/>
      <c r="G9414" s="25"/>
      <c r="H9414" s="27"/>
      <c r="I9414" s="28"/>
      <c r="J9414" s="39"/>
      <c r="K9414" s="41"/>
      <c r="L9414" s="31" t="str">
        <f>IFERROR(__xludf.DUMMYFUNCTION("IF(OR(E9414="""",K9414=""""),"""",IFERROR(IF(K9414="""","""",query('tbl user'!$A$2:$D10975,""SELECT A WHERE D = '""&amp;K9414&amp;""'"")),""USER TIDAK DIKETAHUI""))"),"")</f>
        <v/>
      </c>
    </row>
    <row r="9415">
      <c r="A9415" s="21" t="str">
        <f t="shared" si="3"/>
        <v/>
      </c>
      <c r="B9415" s="38"/>
      <c r="C9415" s="23"/>
      <c r="D9415" s="23"/>
      <c r="E9415" s="24"/>
      <c r="F9415" s="25"/>
      <c r="G9415" s="25"/>
      <c r="H9415" s="27"/>
      <c r="I9415" s="28"/>
      <c r="J9415" s="39"/>
      <c r="K9415" s="41"/>
      <c r="L9415" s="31" t="str">
        <f>IFERROR(__xludf.DUMMYFUNCTION("IF(OR(E9415="""",K9415=""""),"""",IFERROR(IF(K9415="""","""",query('tbl user'!$A$2:$D10975,""SELECT A WHERE D = '""&amp;K9415&amp;""'"")),""USER TIDAK DIKETAHUI""))"),"")</f>
        <v/>
      </c>
    </row>
    <row r="9416">
      <c r="A9416" s="21" t="str">
        <f t="shared" si="3"/>
        <v/>
      </c>
      <c r="B9416" s="38"/>
      <c r="C9416" s="23"/>
      <c r="D9416" s="23"/>
      <c r="E9416" s="24"/>
      <c r="F9416" s="25"/>
      <c r="G9416" s="25"/>
      <c r="H9416" s="27"/>
      <c r="I9416" s="28"/>
      <c r="J9416" s="39"/>
      <c r="K9416" s="41"/>
      <c r="L9416" s="31" t="str">
        <f>IFERROR(__xludf.DUMMYFUNCTION("IF(OR(E9416="""",K9416=""""),"""",IFERROR(IF(K9416="""","""",query('tbl user'!$A$2:$D10975,""SELECT A WHERE D = '""&amp;K9416&amp;""'"")),""USER TIDAK DIKETAHUI""))"),"")</f>
        <v/>
      </c>
    </row>
    <row r="9417">
      <c r="A9417" s="21" t="str">
        <f t="shared" si="3"/>
        <v/>
      </c>
      <c r="B9417" s="38"/>
      <c r="C9417" s="23"/>
      <c r="D9417" s="23"/>
      <c r="E9417" s="24"/>
      <c r="F9417" s="25"/>
      <c r="G9417" s="25"/>
      <c r="H9417" s="27"/>
      <c r="I9417" s="28"/>
      <c r="J9417" s="39"/>
      <c r="K9417" s="41"/>
      <c r="L9417" s="31" t="str">
        <f>IFERROR(__xludf.DUMMYFUNCTION("IF(OR(E9417="""",K9417=""""),"""",IFERROR(IF(K9417="""","""",query('tbl user'!$A$2:$D10975,""SELECT A WHERE D = '""&amp;K9417&amp;""'"")),""USER TIDAK DIKETAHUI""))"),"")</f>
        <v/>
      </c>
    </row>
    <row r="9418">
      <c r="A9418" s="21" t="str">
        <f t="shared" si="3"/>
        <v/>
      </c>
      <c r="B9418" s="38"/>
      <c r="C9418" s="23"/>
      <c r="D9418" s="23"/>
      <c r="E9418" s="24"/>
      <c r="F9418" s="25"/>
      <c r="G9418" s="25"/>
      <c r="H9418" s="27"/>
      <c r="I9418" s="28"/>
      <c r="J9418" s="39"/>
      <c r="K9418" s="41"/>
      <c r="L9418" s="31" t="str">
        <f>IFERROR(__xludf.DUMMYFUNCTION("IF(OR(E9418="""",K9418=""""),"""",IFERROR(IF(K9418="""","""",query('tbl user'!$A$2:$D10975,""SELECT A WHERE D = '""&amp;K9418&amp;""'"")),""USER TIDAK DIKETAHUI""))"),"")</f>
        <v/>
      </c>
    </row>
    <row r="9419">
      <c r="A9419" s="21" t="str">
        <f t="shared" si="3"/>
        <v/>
      </c>
      <c r="B9419" s="38"/>
      <c r="C9419" s="23"/>
      <c r="D9419" s="23"/>
      <c r="E9419" s="24"/>
      <c r="F9419" s="25"/>
      <c r="G9419" s="25"/>
      <c r="H9419" s="27"/>
      <c r="I9419" s="28"/>
      <c r="J9419" s="39"/>
      <c r="K9419" s="41"/>
      <c r="L9419" s="31" t="str">
        <f>IFERROR(__xludf.DUMMYFUNCTION("IF(OR(E9419="""",K9419=""""),"""",IFERROR(IF(K9419="""","""",query('tbl user'!$A$2:$D10975,""SELECT A WHERE D = '""&amp;K9419&amp;""'"")),""USER TIDAK DIKETAHUI""))"),"")</f>
        <v/>
      </c>
    </row>
    <row r="9420">
      <c r="A9420" s="21" t="str">
        <f t="shared" si="3"/>
        <v/>
      </c>
      <c r="B9420" s="38"/>
      <c r="C9420" s="23"/>
      <c r="D9420" s="23"/>
      <c r="E9420" s="24"/>
      <c r="F9420" s="25"/>
      <c r="G9420" s="25"/>
      <c r="H9420" s="27"/>
      <c r="I9420" s="28"/>
      <c r="J9420" s="39"/>
      <c r="K9420" s="41"/>
      <c r="L9420" s="31" t="str">
        <f>IFERROR(__xludf.DUMMYFUNCTION("IF(OR(E9420="""",K9420=""""),"""",IFERROR(IF(K9420="""","""",query('tbl user'!$A$2:$D10975,""SELECT A WHERE D = '""&amp;K9420&amp;""'"")),""USER TIDAK DIKETAHUI""))"),"")</f>
        <v/>
      </c>
    </row>
    <row r="9421">
      <c r="A9421" s="21" t="str">
        <f t="shared" si="3"/>
        <v/>
      </c>
      <c r="B9421" s="38"/>
      <c r="C9421" s="23"/>
      <c r="D9421" s="23"/>
      <c r="E9421" s="24"/>
      <c r="F9421" s="25"/>
      <c r="G9421" s="25"/>
      <c r="H9421" s="27"/>
      <c r="I9421" s="28"/>
      <c r="J9421" s="39"/>
      <c r="K9421" s="41"/>
      <c r="L9421" s="31" t="str">
        <f>IFERROR(__xludf.DUMMYFUNCTION("IF(OR(E9421="""",K9421=""""),"""",IFERROR(IF(K9421="""","""",query('tbl user'!$A$2:$D10975,""SELECT A WHERE D = '""&amp;K9421&amp;""'"")),""USER TIDAK DIKETAHUI""))"),"")</f>
        <v/>
      </c>
    </row>
    <row r="9422">
      <c r="A9422" s="21" t="str">
        <f t="shared" si="3"/>
        <v/>
      </c>
      <c r="B9422" s="38"/>
      <c r="C9422" s="23"/>
      <c r="D9422" s="23"/>
      <c r="E9422" s="24"/>
      <c r="F9422" s="25"/>
      <c r="G9422" s="25"/>
      <c r="H9422" s="27"/>
      <c r="I9422" s="28"/>
      <c r="J9422" s="39"/>
      <c r="K9422" s="41"/>
      <c r="L9422" s="31" t="str">
        <f>IFERROR(__xludf.DUMMYFUNCTION("IF(OR(E9422="""",K9422=""""),"""",IFERROR(IF(K9422="""","""",query('tbl user'!$A$2:$D10975,""SELECT A WHERE D = '""&amp;K9422&amp;""'"")),""USER TIDAK DIKETAHUI""))"),"")</f>
        <v/>
      </c>
    </row>
    <row r="9423">
      <c r="A9423" s="21" t="str">
        <f t="shared" si="3"/>
        <v/>
      </c>
      <c r="B9423" s="38"/>
      <c r="C9423" s="23"/>
      <c r="D9423" s="23"/>
      <c r="E9423" s="24"/>
      <c r="F9423" s="25"/>
      <c r="G9423" s="25"/>
      <c r="H9423" s="27"/>
      <c r="I9423" s="28"/>
      <c r="J9423" s="39"/>
      <c r="K9423" s="41"/>
      <c r="L9423" s="31" t="str">
        <f>IFERROR(__xludf.DUMMYFUNCTION("IF(OR(E9423="""",K9423=""""),"""",IFERROR(IF(K9423="""","""",query('tbl user'!$A$2:$D10975,""SELECT A WHERE D = '""&amp;K9423&amp;""'"")),""USER TIDAK DIKETAHUI""))"),"")</f>
        <v/>
      </c>
    </row>
    <row r="9424">
      <c r="A9424" s="21" t="str">
        <f t="shared" si="3"/>
        <v/>
      </c>
      <c r="B9424" s="38"/>
      <c r="C9424" s="23"/>
      <c r="D9424" s="23"/>
      <c r="E9424" s="24"/>
      <c r="F9424" s="25"/>
      <c r="G9424" s="25"/>
      <c r="H9424" s="27"/>
      <c r="I9424" s="28"/>
      <c r="J9424" s="39"/>
      <c r="K9424" s="41"/>
      <c r="L9424" s="31" t="str">
        <f>IFERROR(__xludf.DUMMYFUNCTION("IF(OR(E9424="""",K9424=""""),"""",IFERROR(IF(K9424="""","""",query('tbl user'!$A$2:$D10975,""SELECT A WHERE D = '""&amp;K9424&amp;""'"")),""USER TIDAK DIKETAHUI""))"),"")</f>
        <v/>
      </c>
    </row>
    <row r="9425">
      <c r="A9425" s="21" t="str">
        <f t="shared" si="3"/>
        <v/>
      </c>
      <c r="B9425" s="38"/>
      <c r="C9425" s="23"/>
      <c r="D9425" s="23"/>
      <c r="E9425" s="24"/>
      <c r="F9425" s="25"/>
      <c r="G9425" s="25"/>
      <c r="H9425" s="27"/>
      <c r="I9425" s="28"/>
      <c r="J9425" s="39"/>
      <c r="K9425" s="41"/>
      <c r="L9425" s="31" t="str">
        <f>IFERROR(__xludf.DUMMYFUNCTION("IF(OR(E9425="""",K9425=""""),"""",IFERROR(IF(K9425="""","""",query('tbl user'!$A$2:$D10975,""SELECT A WHERE D = '""&amp;K9425&amp;""'"")),""USER TIDAK DIKETAHUI""))"),"")</f>
        <v/>
      </c>
    </row>
    <row r="9426">
      <c r="A9426" s="21" t="str">
        <f t="shared" si="3"/>
        <v/>
      </c>
      <c r="B9426" s="38"/>
      <c r="C9426" s="23"/>
      <c r="D9426" s="23"/>
      <c r="E9426" s="24"/>
      <c r="F9426" s="25"/>
      <c r="G9426" s="25"/>
      <c r="H9426" s="27"/>
      <c r="I9426" s="28"/>
      <c r="J9426" s="39"/>
      <c r="K9426" s="41"/>
      <c r="L9426" s="31" t="str">
        <f>IFERROR(__xludf.DUMMYFUNCTION("IF(OR(E9426="""",K9426=""""),"""",IFERROR(IF(K9426="""","""",query('tbl user'!$A$2:$D10975,""SELECT A WHERE D = '""&amp;K9426&amp;""'"")),""USER TIDAK DIKETAHUI""))"),"")</f>
        <v/>
      </c>
    </row>
    <row r="9427">
      <c r="A9427" s="21" t="str">
        <f t="shared" si="3"/>
        <v/>
      </c>
      <c r="B9427" s="38"/>
      <c r="C9427" s="23"/>
      <c r="D9427" s="23"/>
      <c r="E9427" s="24"/>
      <c r="F9427" s="25"/>
      <c r="G9427" s="25"/>
      <c r="H9427" s="27"/>
      <c r="I9427" s="28"/>
      <c r="J9427" s="39"/>
      <c r="K9427" s="41"/>
      <c r="L9427" s="31" t="str">
        <f>IFERROR(__xludf.DUMMYFUNCTION("IF(OR(E9427="""",K9427=""""),"""",IFERROR(IF(K9427="""","""",query('tbl user'!$A$2:$D10975,""SELECT A WHERE D = '""&amp;K9427&amp;""'"")),""USER TIDAK DIKETAHUI""))"),"")</f>
        <v/>
      </c>
    </row>
    <row r="9428">
      <c r="A9428" s="21" t="str">
        <f t="shared" si="3"/>
        <v/>
      </c>
      <c r="B9428" s="38"/>
      <c r="C9428" s="23"/>
      <c r="D9428" s="23"/>
      <c r="E9428" s="24"/>
      <c r="F9428" s="25"/>
      <c r="G9428" s="25"/>
      <c r="H9428" s="27"/>
      <c r="I9428" s="28"/>
      <c r="J9428" s="39"/>
      <c r="K9428" s="41"/>
      <c r="L9428" s="31" t="str">
        <f>IFERROR(__xludf.DUMMYFUNCTION("IF(OR(E9428="""",K9428=""""),"""",IFERROR(IF(K9428="""","""",query('tbl user'!$A$2:$D10975,""SELECT A WHERE D = '""&amp;K9428&amp;""'"")),""USER TIDAK DIKETAHUI""))"),"")</f>
        <v/>
      </c>
    </row>
    <row r="9429">
      <c r="A9429" s="21" t="str">
        <f t="shared" si="3"/>
        <v/>
      </c>
      <c r="B9429" s="38"/>
      <c r="C9429" s="23"/>
      <c r="D9429" s="23"/>
      <c r="E9429" s="24"/>
      <c r="F9429" s="25"/>
      <c r="G9429" s="25"/>
      <c r="H9429" s="27"/>
      <c r="I9429" s="28"/>
      <c r="J9429" s="39"/>
      <c r="K9429" s="41"/>
      <c r="L9429" s="31" t="str">
        <f>IFERROR(__xludf.DUMMYFUNCTION("IF(OR(E9429="""",K9429=""""),"""",IFERROR(IF(K9429="""","""",query('tbl user'!$A$2:$D10975,""SELECT A WHERE D = '""&amp;K9429&amp;""'"")),""USER TIDAK DIKETAHUI""))"),"")</f>
        <v/>
      </c>
    </row>
    <row r="9430">
      <c r="A9430" s="21" t="str">
        <f t="shared" si="3"/>
        <v/>
      </c>
      <c r="B9430" s="38"/>
      <c r="C9430" s="23"/>
      <c r="D9430" s="23"/>
      <c r="E9430" s="24"/>
      <c r="F9430" s="25"/>
      <c r="G9430" s="25"/>
      <c r="H9430" s="27"/>
      <c r="I9430" s="28"/>
      <c r="J9430" s="39"/>
      <c r="K9430" s="41"/>
      <c r="L9430" s="31" t="str">
        <f>IFERROR(__xludf.DUMMYFUNCTION("IF(OR(E9430="""",K9430=""""),"""",IFERROR(IF(K9430="""","""",query('tbl user'!$A$2:$D10975,""SELECT A WHERE D = '""&amp;K9430&amp;""'"")),""USER TIDAK DIKETAHUI""))"),"")</f>
        <v/>
      </c>
    </row>
    <row r="9431">
      <c r="A9431" s="21" t="str">
        <f t="shared" si="3"/>
        <v/>
      </c>
      <c r="B9431" s="38"/>
      <c r="C9431" s="23"/>
      <c r="D9431" s="23"/>
      <c r="E9431" s="24"/>
      <c r="F9431" s="25"/>
      <c r="G9431" s="25"/>
      <c r="H9431" s="27"/>
      <c r="I9431" s="28"/>
      <c r="J9431" s="39"/>
      <c r="K9431" s="41"/>
      <c r="L9431" s="31" t="str">
        <f>IFERROR(__xludf.DUMMYFUNCTION("IF(OR(E9431="""",K9431=""""),"""",IFERROR(IF(K9431="""","""",query('tbl user'!$A$2:$D10975,""SELECT A WHERE D = '""&amp;K9431&amp;""'"")),""USER TIDAK DIKETAHUI""))"),"")</f>
        <v/>
      </c>
    </row>
    <row r="9432">
      <c r="A9432" s="21" t="str">
        <f t="shared" si="3"/>
        <v/>
      </c>
      <c r="B9432" s="38"/>
      <c r="C9432" s="23"/>
      <c r="D9432" s="23"/>
      <c r="E9432" s="24"/>
      <c r="F9432" s="25"/>
      <c r="G9432" s="25"/>
      <c r="H9432" s="27"/>
      <c r="I9432" s="28"/>
      <c r="J9432" s="39"/>
      <c r="K9432" s="41"/>
      <c r="L9432" s="31" t="str">
        <f>IFERROR(__xludf.DUMMYFUNCTION("IF(OR(E9432="""",K9432=""""),"""",IFERROR(IF(K9432="""","""",query('tbl user'!$A$2:$D10975,""SELECT A WHERE D = '""&amp;K9432&amp;""'"")),""USER TIDAK DIKETAHUI""))"),"")</f>
        <v/>
      </c>
    </row>
    <row r="9433">
      <c r="A9433" s="21" t="str">
        <f t="shared" si="3"/>
        <v/>
      </c>
      <c r="B9433" s="38"/>
      <c r="C9433" s="23"/>
      <c r="D9433" s="23"/>
      <c r="E9433" s="24"/>
      <c r="F9433" s="25"/>
      <c r="G9433" s="25"/>
      <c r="H9433" s="27"/>
      <c r="I9433" s="28"/>
      <c r="J9433" s="39"/>
      <c r="K9433" s="41"/>
      <c r="L9433" s="31" t="str">
        <f>IFERROR(__xludf.DUMMYFUNCTION("IF(OR(E9433="""",K9433=""""),"""",IFERROR(IF(K9433="""","""",query('tbl user'!$A$2:$D10975,""SELECT A WHERE D = '""&amp;K9433&amp;""'"")),""USER TIDAK DIKETAHUI""))"),"")</f>
        <v/>
      </c>
    </row>
    <row r="9434">
      <c r="A9434" s="21" t="str">
        <f t="shared" si="3"/>
        <v/>
      </c>
      <c r="B9434" s="38"/>
      <c r="C9434" s="23"/>
      <c r="D9434" s="23"/>
      <c r="E9434" s="24"/>
      <c r="F9434" s="25"/>
      <c r="G9434" s="25"/>
      <c r="H9434" s="27"/>
      <c r="I9434" s="28"/>
      <c r="J9434" s="39"/>
      <c r="K9434" s="41"/>
      <c r="L9434" s="31" t="str">
        <f>IFERROR(__xludf.DUMMYFUNCTION("IF(OR(E9434="""",K9434=""""),"""",IFERROR(IF(K9434="""","""",query('tbl user'!$A$2:$D10975,""SELECT A WHERE D = '""&amp;K9434&amp;""'"")),""USER TIDAK DIKETAHUI""))"),"")</f>
        <v/>
      </c>
    </row>
    <row r="9435">
      <c r="A9435" s="21" t="str">
        <f t="shared" si="3"/>
        <v/>
      </c>
      <c r="B9435" s="38"/>
      <c r="C9435" s="23"/>
      <c r="D9435" s="23"/>
      <c r="E9435" s="24"/>
      <c r="F9435" s="25"/>
      <c r="G9435" s="25"/>
      <c r="H9435" s="27"/>
      <c r="I9435" s="28"/>
      <c r="J9435" s="39"/>
      <c r="K9435" s="41"/>
      <c r="L9435" s="31" t="str">
        <f>IFERROR(__xludf.DUMMYFUNCTION("IF(OR(E9435="""",K9435=""""),"""",IFERROR(IF(K9435="""","""",query('tbl user'!$A$2:$D10975,""SELECT A WHERE D = '""&amp;K9435&amp;""'"")),""USER TIDAK DIKETAHUI""))"),"")</f>
        <v/>
      </c>
    </row>
    <row r="9436">
      <c r="A9436" s="21" t="str">
        <f t="shared" si="3"/>
        <v/>
      </c>
      <c r="B9436" s="38"/>
      <c r="C9436" s="23"/>
      <c r="D9436" s="23"/>
      <c r="E9436" s="24"/>
      <c r="F9436" s="25"/>
      <c r="G9436" s="25"/>
      <c r="H9436" s="27"/>
      <c r="I9436" s="28"/>
      <c r="J9436" s="39"/>
      <c r="K9436" s="41"/>
      <c r="L9436" s="31" t="str">
        <f>IFERROR(__xludf.DUMMYFUNCTION("IF(OR(E9436="""",K9436=""""),"""",IFERROR(IF(K9436="""","""",query('tbl user'!$A$2:$D10975,""SELECT A WHERE D = '""&amp;K9436&amp;""'"")),""USER TIDAK DIKETAHUI""))"),"")</f>
        <v/>
      </c>
    </row>
    <row r="9437">
      <c r="A9437" s="21" t="str">
        <f t="shared" si="3"/>
        <v/>
      </c>
      <c r="B9437" s="38"/>
      <c r="C9437" s="23"/>
      <c r="D9437" s="23"/>
      <c r="E9437" s="24"/>
      <c r="F9437" s="25"/>
      <c r="G9437" s="25"/>
      <c r="H9437" s="27"/>
      <c r="I9437" s="28"/>
      <c r="J9437" s="39"/>
      <c r="K9437" s="41"/>
      <c r="L9437" s="31" t="str">
        <f>IFERROR(__xludf.DUMMYFUNCTION("IF(OR(E9437="""",K9437=""""),"""",IFERROR(IF(K9437="""","""",query('tbl user'!$A$2:$D10975,""SELECT A WHERE D = '""&amp;K9437&amp;""'"")),""USER TIDAK DIKETAHUI""))"),"")</f>
        <v/>
      </c>
    </row>
    <row r="9438">
      <c r="A9438" s="21" t="str">
        <f t="shared" si="3"/>
        <v/>
      </c>
      <c r="B9438" s="38"/>
      <c r="C9438" s="23"/>
      <c r="D9438" s="23"/>
      <c r="E9438" s="24"/>
      <c r="F9438" s="25"/>
      <c r="G9438" s="25"/>
      <c r="H9438" s="27"/>
      <c r="I9438" s="28"/>
      <c r="J9438" s="39"/>
      <c r="K9438" s="41"/>
      <c r="L9438" s="31" t="str">
        <f>IFERROR(__xludf.DUMMYFUNCTION("IF(OR(E9438="""",K9438=""""),"""",IFERROR(IF(K9438="""","""",query('tbl user'!$A$2:$D10975,""SELECT A WHERE D = '""&amp;K9438&amp;""'"")),""USER TIDAK DIKETAHUI""))"),"")</f>
        <v/>
      </c>
    </row>
    <row r="9439">
      <c r="A9439" s="21" t="str">
        <f t="shared" si="3"/>
        <v/>
      </c>
      <c r="B9439" s="38"/>
      <c r="C9439" s="23"/>
      <c r="D9439" s="23"/>
      <c r="E9439" s="24"/>
      <c r="F9439" s="25"/>
      <c r="G9439" s="25"/>
      <c r="H9439" s="27"/>
      <c r="I9439" s="28"/>
      <c r="J9439" s="39"/>
      <c r="K9439" s="41"/>
      <c r="L9439" s="31" t="str">
        <f>IFERROR(__xludf.DUMMYFUNCTION("IF(OR(E9439="""",K9439=""""),"""",IFERROR(IF(K9439="""","""",query('tbl user'!$A$2:$D10975,""SELECT A WHERE D = '""&amp;K9439&amp;""'"")),""USER TIDAK DIKETAHUI""))"),"")</f>
        <v/>
      </c>
    </row>
    <row r="9440">
      <c r="A9440" s="21" t="str">
        <f t="shared" si="3"/>
        <v/>
      </c>
      <c r="B9440" s="38"/>
      <c r="C9440" s="23"/>
      <c r="D9440" s="23"/>
      <c r="E9440" s="24"/>
      <c r="F9440" s="25"/>
      <c r="G9440" s="25"/>
      <c r="H9440" s="27"/>
      <c r="I9440" s="28"/>
      <c r="J9440" s="39"/>
      <c r="K9440" s="41"/>
      <c r="L9440" s="31" t="str">
        <f>IFERROR(__xludf.DUMMYFUNCTION("IF(OR(E9440="""",K9440=""""),"""",IFERROR(IF(K9440="""","""",query('tbl user'!$A$2:$D10975,""SELECT A WHERE D = '""&amp;K9440&amp;""'"")),""USER TIDAK DIKETAHUI""))"),"")</f>
        <v/>
      </c>
    </row>
    <row r="9441">
      <c r="A9441" s="21" t="str">
        <f t="shared" si="3"/>
        <v/>
      </c>
      <c r="B9441" s="38"/>
      <c r="C9441" s="23"/>
      <c r="D9441" s="23"/>
      <c r="E9441" s="24"/>
      <c r="F9441" s="25"/>
      <c r="G9441" s="25"/>
      <c r="H9441" s="27"/>
      <c r="I9441" s="28"/>
      <c r="J9441" s="39"/>
      <c r="K9441" s="41"/>
      <c r="L9441" s="31" t="str">
        <f>IFERROR(__xludf.DUMMYFUNCTION("IF(OR(E9441="""",K9441=""""),"""",IFERROR(IF(K9441="""","""",query('tbl user'!$A$2:$D10975,""SELECT A WHERE D = '""&amp;K9441&amp;""'"")),""USER TIDAK DIKETAHUI""))"),"")</f>
        <v/>
      </c>
    </row>
    <row r="9442">
      <c r="A9442" s="21" t="str">
        <f t="shared" si="3"/>
        <v/>
      </c>
      <c r="B9442" s="38"/>
      <c r="C9442" s="23"/>
      <c r="D9442" s="23"/>
      <c r="E9442" s="24"/>
      <c r="F9442" s="25"/>
      <c r="G9442" s="25"/>
      <c r="H9442" s="27"/>
      <c r="I9442" s="28"/>
      <c r="J9442" s="39"/>
      <c r="K9442" s="41"/>
      <c r="L9442" s="31" t="str">
        <f>IFERROR(__xludf.DUMMYFUNCTION("IF(OR(E9442="""",K9442=""""),"""",IFERROR(IF(K9442="""","""",query('tbl user'!$A$2:$D10975,""SELECT A WHERE D = '""&amp;K9442&amp;""'"")),""USER TIDAK DIKETAHUI""))"),"")</f>
        <v/>
      </c>
    </row>
    <row r="9443">
      <c r="A9443" s="21" t="str">
        <f t="shared" si="3"/>
        <v/>
      </c>
      <c r="B9443" s="38"/>
      <c r="C9443" s="23"/>
      <c r="D9443" s="23"/>
      <c r="E9443" s="24"/>
      <c r="F9443" s="25"/>
      <c r="G9443" s="25"/>
      <c r="H9443" s="27"/>
      <c r="I9443" s="28"/>
      <c r="J9443" s="39"/>
      <c r="K9443" s="41"/>
      <c r="L9443" s="31" t="str">
        <f>IFERROR(__xludf.DUMMYFUNCTION("IF(OR(E9443="""",K9443=""""),"""",IFERROR(IF(K9443="""","""",query('tbl user'!$A$2:$D10975,""SELECT A WHERE D = '""&amp;K9443&amp;""'"")),""USER TIDAK DIKETAHUI""))"),"")</f>
        <v/>
      </c>
    </row>
    <row r="9444">
      <c r="A9444" s="21" t="str">
        <f t="shared" si="3"/>
        <v/>
      </c>
      <c r="B9444" s="38"/>
      <c r="C9444" s="23"/>
      <c r="D9444" s="23"/>
      <c r="E9444" s="24"/>
      <c r="F9444" s="25"/>
      <c r="G9444" s="25"/>
      <c r="H9444" s="27"/>
      <c r="I9444" s="28"/>
      <c r="J9444" s="39"/>
      <c r="K9444" s="41"/>
      <c r="L9444" s="31" t="str">
        <f>IFERROR(__xludf.DUMMYFUNCTION("IF(OR(E9444="""",K9444=""""),"""",IFERROR(IF(K9444="""","""",query('tbl user'!$A$2:$D10975,""SELECT A WHERE D = '""&amp;K9444&amp;""'"")),""USER TIDAK DIKETAHUI""))"),"")</f>
        <v/>
      </c>
    </row>
    <row r="9445">
      <c r="A9445" s="21" t="str">
        <f t="shared" si="3"/>
        <v/>
      </c>
      <c r="B9445" s="38"/>
      <c r="C9445" s="23"/>
      <c r="D9445" s="23"/>
      <c r="E9445" s="24"/>
      <c r="F9445" s="25"/>
      <c r="G9445" s="25"/>
      <c r="H9445" s="27"/>
      <c r="I9445" s="28"/>
      <c r="J9445" s="39"/>
      <c r="K9445" s="41"/>
      <c r="L9445" s="31" t="str">
        <f>IFERROR(__xludf.DUMMYFUNCTION("IF(OR(E9445="""",K9445=""""),"""",IFERROR(IF(K9445="""","""",query('tbl user'!$A$2:$D10975,""SELECT A WHERE D = '""&amp;K9445&amp;""'"")),""USER TIDAK DIKETAHUI""))"),"")</f>
        <v/>
      </c>
    </row>
    <row r="9446">
      <c r="A9446" s="21" t="str">
        <f t="shared" si="3"/>
        <v/>
      </c>
      <c r="B9446" s="38"/>
      <c r="C9446" s="23"/>
      <c r="D9446" s="23"/>
      <c r="E9446" s="24"/>
      <c r="F9446" s="25"/>
      <c r="G9446" s="25"/>
      <c r="H9446" s="27"/>
      <c r="I9446" s="28"/>
      <c r="J9446" s="39"/>
      <c r="K9446" s="41"/>
      <c r="L9446" s="31" t="str">
        <f>IFERROR(__xludf.DUMMYFUNCTION("IF(OR(E9446="""",K9446=""""),"""",IFERROR(IF(K9446="""","""",query('tbl user'!$A$2:$D10975,""SELECT A WHERE D = '""&amp;K9446&amp;""'"")),""USER TIDAK DIKETAHUI""))"),"")</f>
        <v/>
      </c>
    </row>
    <row r="9447">
      <c r="A9447" s="21" t="str">
        <f t="shared" si="3"/>
        <v/>
      </c>
      <c r="B9447" s="38"/>
      <c r="C9447" s="23"/>
      <c r="D9447" s="23"/>
      <c r="E9447" s="24"/>
      <c r="F9447" s="25"/>
      <c r="G9447" s="25"/>
      <c r="H9447" s="27"/>
      <c r="I9447" s="28"/>
      <c r="J9447" s="39"/>
      <c r="K9447" s="41"/>
      <c r="L9447" s="31" t="str">
        <f>IFERROR(__xludf.DUMMYFUNCTION("IF(OR(E9447="""",K9447=""""),"""",IFERROR(IF(K9447="""","""",query('tbl user'!$A$2:$D10975,""SELECT A WHERE D = '""&amp;K9447&amp;""'"")),""USER TIDAK DIKETAHUI""))"),"")</f>
        <v/>
      </c>
    </row>
    <row r="9448">
      <c r="A9448" s="21" t="str">
        <f t="shared" si="3"/>
        <v/>
      </c>
      <c r="B9448" s="38"/>
      <c r="C9448" s="23"/>
      <c r="D9448" s="23"/>
      <c r="E9448" s="24"/>
      <c r="F9448" s="25"/>
      <c r="G9448" s="25"/>
      <c r="H9448" s="27"/>
      <c r="I9448" s="28"/>
      <c r="J9448" s="39"/>
      <c r="K9448" s="41"/>
      <c r="L9448" s="31" t="str">
        <f>IFERROR(__xludf.DUMMYFUNCTION("IF(OR(E9448="""",K9448=""""),"""",IFERROR(IF(K9448="""","""",query('tbl user'!$A$2:$D10975,""SELECT A WHERE D = '""&amp;K9448&amp;""'"")),""USER TIDAK DIKETAHUI""))"),"")</f>
        <v/>
      </c>
    </row>
    <row r="9449">
      <c r="A9449" s="21" t="str">
        <f t="shared" si="3"/>
        <v/>
      </c>
      <c r="B9449" s="38"/>
      <c r="C9449" s="23"/>
      <c r="D9449" s="23"/>
      <c r="E9449" s="24"/>
      <c r="F9449" s="25"/>
      <c r="G9449" s="25"/>
      <c r="H9449" s="27"/>
      <c r="I9449" s="28"/>
      <c r="J9449" s="39"/>
      <c r="K9449" s="41"/>
      <c r="L9449" s="31" t="str">
        <f>IFERROR(__xludf.DUMMYFUNCTION("IF(OR(E9449="""",K9449=""""),"""",IFERROR(IF(K9449="""","""",query('tbl user'!$A$2:$D10975,""SELECT A WHERE D = '""&amp;K9449&amp;""'"")),""USER TIDAK DIKETAHUI""))"),"")</f>
        <v/>
      </c>
    </row>
    <row r="9450">
      <c r="A9450" s="21" t="str">
        <f t="shared" si="3"/>
        <v/>
      </c>
      <c r="B9450" s="38"/>
      <c r="C9450" s="23"/>
      <c r="D9450" s="23"/>
      <c r="E9450" s="24"/>
      <c r="F9450" s="25"/>
      <c r="G9450" s="25"/>
      <c r="H9450" s="27"/>
      <c r="I9450" s="28"/>
      <c r="J9450" s="39"/>
      <c r="K9450" s="41"/>
      <c r="L9450" s="31" t="str">
        <f>IFERROR(__xludf.DUMMYFUNCTION("IF(OR(E9450="""",K9450=""""),"""",IFERROR(IF(K9450="""","""",query('tbl user'!$A$2:$D10975,""SELECT A WHERE D = '""&amp;K9450&amp;""'"")),""USER TIDAK DIKETAHUI""))"),"")</f>
        <v/>
      </c>
    </row>
    <row r="9451">
      <c r="A9451" s="21" t="str">
        <f t="shared" si="3"/>
        <v/>
      </c>
      <c r="B9451" s="38"/>
      <c r="C9451" s="23"/>
      <c r="D9451" s="23"/>
      <c r="E9451" s="24"/>
      <c r="F9451" s="25"/>
      <c r="G9451" s="25"/>
      <c r="H9451" s="27"/>
      <c r="I9451" s="28"/>
      <c r="J9451" s="39"/>
      <c r="K9451" s="41"/>
      <c r="L9451" s="31" t="str">
        <f>IFERROR(__xludf.DUMMYFUNCTION("IF(OR(E9451="""",K9451=""""),"""",IFERROR(IF(K9451="""","""",query('tbl user'!$A$2:$D10975,""SELECT A WHERE D = '""&amp;K9451&amp;""'"")),""USER TIDAK DIKETAHUI""))"),"")</f>
        <v/>
      </c>
    </row>
    <row r="9452">
      <c r="A9452" s="21" t="str">
        <f t="shared" si="3"/>
        <v/>
      </c>
      <c r="B9452" s="38"/>
      <c r="C9452" s="23"/>
      <c r="D9452" s="23"/>
      <c r="E9452" s="24"/>
      <c r="F9452" s="25"/>
      <c r="G9452" s="25"/>
      <c r="H9452" s="27"/>
      <c r="I9452" s="28"/>
      <c r="J9452" s="39"/>
      <c r="K9452" s="41"/>
      <c r="L9452" s="31" t="str">
        <f>IFERROR(__xludf.DUMMYFUNCTION("IF(OR(E9452="""",K9452=""""),"""",IFERROR(IF(K9452="""","""",query('tbl user'!$A$2:$D10975,""SELECT A WHERE D = '""&amp;K9452&amp;""'"")),""USER TIDAK DIKETAHUI""))"),"")</f>
        <v/>
      </c>
    </row>
    <row r="9453">
      <c r="A9453" s="21" t="str">
        <f t="shared" si="3"/>
        <v/>
      </c>
      <c r="B9453" s="38"/>
      <c r="C9453" s="23"/>
      <c r="D9453" s="23"/>
      <c r="E9453" s="24"/>
      <c r="F9453" s="25"/>
      <c r="G9453" s="25"/>
      <c r="H9453" s="27"/>
      <c r="I9453" s="28"/>
      <c r="J9453" s="39"/>
      <c r="K9453" s="41"/>
      <c r="L9453" s="31" t="str">
        <f>IFERROR(__xludf.DUMMYFUNCTION("IF(OR(E9453="""",K9453=""""),"""",IFERROR(IF(K9453="""","""",query('tbl user'!$A$2:$D10975,""SELECT A WHERE D = '""&amp;K9453&amp;""'"")),""USER TIDAK DIKETAHUI""))"),"")</f>
        <v/>
      </c>
    </row>
    <row r="9454">
      <c r="A9454" s="21" t="str">
        <f t="shared" si="3"/>
        <v/>
      </c>
      <c r="B9454" s="38"/>
      <c r="C9454" s="23"/>
      <c r="D9454" s="23"/>
      <c r="E9454" s="24"/>
      <c r="F9454" s="25"/>
      <c r="G9454" s="25"/>
      <c r="H9454" s="27"/>
      <c r="I9454" s="28"/>
      <c r="J9454" s="39"/>
      <c r="K9454" s="41"/>
      <c r="L9454" s="31" t="str">
        <f>IFERROR(__xludf.DUMMYFUNCTION("IF(OR(E9454="""",K9454=""""),"""",IFERROR(IF(K9454="""","""",query('tbl user'!$A$2:$D10975,""SELECT A WHERE D = '""&amp;K9454&amp;""'"")),""USER TIDAK DIKETAHUI""))"),"")</f>
        <v/>
      </c>
    </row>
    <row r="9455">
      <c r="A9455" s="21" t="str">
        <f t="shared" si="3"/>
        <v/>
      </c>
      <c r="B9455" s="38"/>
      <c r="C9455" s="23"/>
      <c r="D9455" s="23"/>
      <c r="E9455" s="24"/>
      <c r="F9455" s="25"/>
      <c r="G9455" s="25"/>
      <c r="H9455" s="27"/>
      <c r="I9455" s="28"/>
      <c r="J9455" s="39"/>
      <c r="K9455" s="41"/>
      <c r="L9455" s="31" t="str">
        <f>IFERROR(__xludf.DUMMYFUNCTION("IF(OR(E9455="""",K9455=""""),"""",IFERROR(IF(K9455="""","""",query('tbl user'!$A$2:$D10975,""SELECT A WHERE D = '""&amp;K9455&amp;""'"")),""USER TIDAK DIKETAHUI""))"),"")</f>
        <v/>
      </c>
    </row>
    <row r="9456">
      <c r="A9456" s="21" t="str">
        <f t="shared" si="3"/>
        <v/>
      </c>
      <c r="B9456" s="38"/>
      <c r="C9456" s="23"/>
      <c r="D9456" s="23"/>
      <c r="E9456" s="24"/>
      <c r="F9456" s="25"/>
      <c r="G9456" s="25"/>
      <c r="H9456" s="27"/>
      <c r="I9456" s="28"/>
      <c r="J9456" s="39"/>
      <c r="K9456" s="41"/>
      <c r="L9456" s="31" t="str">
        <f>IFERROR(__xludf.DUMMYFUNCTION("IF(OR(E9456="""",K9456=""""),"""",IFERROR(IF(K9456="""","""",query('tbl user'!$A$2:$D10975,""SELECT A WHERE D = '""&amp;K9456&amp;""'"")),""USER TIDAK DIKETAHUI""))"),"")</f>
        <v/>
      </c>
    </row>
    <row r="9457">
      <c r="A9457" s="21" t="str">
        <f t="shared" si="3"/>
        <v/>
      </c>
      <c r="B9457" s="38"/>
      <c r="C9457" s="23"/>
      <c r="D9457" s="23"/>
      <c r="E9457" s="24"/>
      <c r="F9457" s="25"/>
      <c r="G9457" s="25"/>
      <c r="H9457" s="27"/>
      <c r="I9457" s="28"/>
      <c r="J9457" s="39"/>
      <c r="K9457" s="41"/>
      <c r="L9457" s="31" t="str">
        <f>IFERROR(__xludf.DUMMYFUNCTION("IF(OR(E9457="""",K9457=""""),"""",IFERROR(IF(K9457="""","""",query('tbl user'!$A$2:$D10975,""SELECT A WHERE D = '""&amp;K9457&amp;""'"")),""USER TIDAK DIKETAHUI""))"),"")</f>
        <v/>
      </c>
    </row>
    <row r="9458">
      <c r="A9458" s="21" t="str">
        <f t="shared" si="3"/>
        <v/>
      </c>
      <c r="B9458" s="38"/>
      <c r="C9458" s="23"/>
      <c r="D9458" s="23"/>
      <c r="E9458" s="24"/>
      <c r="F9458" s="25"/>
      <c r="G9458" s="25"/>
      <c r="H9458" s="27"/>
      <c r="I9458" s="28"/>
      <c r="J9458" s="39"/>
      <c r="K9458" s="41"/>
      <c r="L9458" s="31" t="str">
        <f>IFERROR(__xludf.DUMMYFUNCTION("IF(OR(E9458="""",K9458=""""),"""",IFERROR(IF(K9458="""","""",query('tbl user'!$A$2:$D10975,""SELECT A WHERE D = '""&amp;K9458&amp;""'"")),""USER TIDAK DIKETAHUI""))"),"")</f>
        <v/>
      </c>
    </row>
    <row r="9459">
      <c r="A9459" s="21" t="str">
        <f t="shared" si="3"/>
        <v/>
      </c>
      <c r="B9459" s="38"/>
      <c r="C9459" s="23"/>
      <c r="D9459" s="23"/>
      <c r="E9459" s="24"/>
      <c r="F9459" s="25"/>
      <c r="G9459" s="25"/>
      <c r="H9459" s="27"/>
      <c r="I9459" s="28"/>
      <c r="J9459" s="39"/>
      <c r="K9459" s="41"/>
      <c r="L9459" s="31" t="str">
        <f>IFERROR(__xludf.DUMMYFUNCTION("IF(OR(E9459="""",K9459=""""),"""",IFERROR(IF(K9459="""","""",query('tbl user'!$A$2:$D10975,""SELECT A WHERE D = '""&amp;K9459&amp;""'"")),""USER TIDAK DIKETAHUI""))"),"")</f>
        <v/>
      </c>
    </row>
    <row r="9460">
      <c r="A9460" s="21" t="str">
        <f t="shared" si="3"/>
        <v/>
      </c>
      <c r="B9460" s="38"/>
      <c r="C9460" s="23"/>
      <c r="D9460" s="23"/>
      <c r="E9460" s="24"/>
      <c r="F9460" s="25"/>
      <c r="G9460" s="25"/>
      <c r="H9460" s="27"/>
      <c r="I9460" s="28"/>
      <c r="J9460" s="39"/>
      <c r="K9460" s="41"/>
      <c r="L9460" s="31" t="str">
        <f>IFERROR(__xludf.DUMMYFUNCTION("IF(OR(E9460="""",K9460=""""),"""",IFERROR(IF(K9460="""","""",query('tbl user'!$A$2:$D10975,""SELECT A WHERE D = '""&amp;K9460&amp;""'"")),""USER TIDAK DIKETAHUI""))"),"")</f>
        <v/>
      </c>
    </row>
    <row r="9461">
      <c r="A9461" s="21" t="str">
        <f t="shared" si="3"/>
        <v/>
      </c>
      <c r="B9461" s="38"/>
      <c r="C9461" s="23"/>
      <c r="D9461" s="23"/>
      <c r="E9461" s="24"/>
      <c r="F9461" s="25"/>
      <c r="G9461" s="25"/>
      <c r="H9461" s="27"/>
      <c r="I9461" s="28"/>
      <c r="J9461" s="39"/>
      <c r="K9461" s="41"/>
      <c r="L9461" s="31" t="str">
        <f>IFERROR(__xludf.DUMMYFUNCTION("IF(OR(E9461="""",K9461=""""),"""",IFERROR(IF(K9461="""","""",query('tbl user'!$A$2:$D10975,""SELECT A WHERE D = '""&amp;K9461&amp;""'"")),""USER TIDAK DIKETAHUI""))"),"")</f>
        <v/>
      </c>
    </row>
    <row r="9462">
      <c r="A9462" s="21" t="str">
        <f t="shared" si="3"/>
        <v/>
      </c>
      <c r="B9462" s="38"/>
      <c r="C9462" s="23"/>
      <c r="D9462" s="23"/>
      <c r="E9462" s="24"/>
      <c r="F9462" s="25"/>
      <c r="G9462" s="25"/>
      <c r="H9462" s="27"/>
      <c r="I9462" s="28"/>
      <c r="J9462" s="39"/>
      <c r="K9462" s="41"/>
      <c r="L9462" s="31" t="str">
        <f>IFERROR(__xludf.DUMMYFUNCTION("IF(OR(E9462="""",K9462=""""),"""",IFERROR(IF(K9462="""","""",query('tbl user'!$A$2:$D10975,""SELECT A WHERE D = '""&amp;K9462&amp;""'"")),""USER TIDAK DIKETAHUI""))"),"")</f>
        <v/>
      </c>
    </row>
    <row r="9463">
      <c r="A9463" s="21" t="str">
        <f t="shared" si="3"/>
        <v/>
      </c>
      <c r="B9463" s="38"/>
      <c r="C9463" s="23"/>
      <c r="D9463" s="23"/>
      <c r="E9463" s="24"/>
      <c r="F9463" s="25"/>
      <c r="G9463" s="25"/>
      <c r="H9463" s="27"/>
      <c r="I9463" s="28"/>
      <c r="J9463" s="39"/>
      <c r="K9463" s="41"/>
      <c r="L9463" s="31" t="str">
        <f>IFERROR(__xludf.DUMMYFUNCTION("IF(OR(E9463="""",K9463=""""),"""",IFERROR(IF(K9463="""","""",query('tbl user'!$A$2:$D10975,""SELECT A WHERE D = '""&amp;K9463&amp;""'"")),""USER TIDAK DIKETAHUI""))"),"")</f>
        <v/>
      </c>
    </row>
    <row r="9464">
      <c r="A9464" s="21" t="str">
        <f t="shared" si="3"/>
        <v/>
      </c>
      <c r="B9464" s="38"/>
      <c r="C9464" s="23"/>
      <c r="D9464" s="23"/>
      <c r="E9464" s="24"/>
      <c r="F9464" s="25"/>
      <c r="G9464" s="25"/>
      <c r="H9464" s="27"/>
      <c r="I9464" s="28"/>
      <c r="J9464" s="39"/>
      <c r="K9464" s="41"/>
      <c r="L9464" s="31" t="str">
        <f>IFERROR(__xludf.DUMMYFUNCTION("IF(OR(E9464="""",K9464=""""),"""",IFERROR(IF(K9464="""","""",query('tbl user'!$A$2:$D10975,""SELECT A WHERE D = '""&amp;K9464&amp;""'"")),""USER TIDAK DIKETAHUI""))"),"")</f>
        <v/>
      </c>
    </row>
    <row r="9465">
      <c r="A9465" s="21" t="str">
        <f t="shared" si="3"/>
        <v/>
      </c>
      <c r="B9465" s="38"/>
      <c r="C9465" s="23"/>
      <c r="D9465" s="23"/>
      <c r="E9465" s="24"/>
      <c r="F9465" s="25"/>
      <c r="G9465" s="25"/>
      <c r="H9465" s="27"/>
      <c r="I9465" s="28"/>
      <c r="J9465" s="39"/>
      <c r="K9465" s="41"/>
      <c r="L9465" s="31" t="str">
        <f>IFERROR(__xludf.DUMMYFUNCTION("IF(OR(E9465="""",K9465=""""),"""",IFERROR(IF(K9465="""","""",query('tbl user'!$A$2:$D10975,""SELECT A WHERE D = '""&amp;K9465&amp;""'"")),""USER TIDAK DIKETAHUI""))"),"")</f>
        <v/>
      </c>
    </row>
    <row r="9466">
      <c r="A9466" s="21" t="str">
        <f t="shared" si="3"/>
        <v/>
      </c>
      <c r="B9466" s="38"/>
      <c r="C9466" s="23"/>
      <c r="D9466" s="23"/>
      <c r="E9466" s="24"/>
      <c r="F9466" s="25"/>
      <c r="G9466" s="25"/>
      <c r="H9466" s="27"/>
      <c r="I9466" s="28"/>
      <c r="J9466" s="39"/>
      <c r="K9466" s="41"/>
      <c r="L9466" s="31" t="str">
        <f>IFERROR(__xludf.DUMMYFUNCTION("IF(OR(E9466="""",K9466=""""),"""",IFERROR(IF(K9466="""","""",query('tbl user'!$A$2:$D10975,""SELECT A WHERE D = '""&amp;K9466&amp;""'"")),""USER TIDAK DIKETAHUI""))"),"")</f>
        <v/>
      </c>
    </row>
    <row r="9467">
      <c r="A9467" s="21" t="str">
        <f t="shared" si="3"/>
        <v/>
      </c>
      <c r="B9467" s="38"/>
      <c r="C9467" s="23"/>
      <c r="D9467" s="23"/>
      <c r="E9467" s="24"/>
      <c r="F9467" s="25"/>
      <c r="G9467" s="25"/>
      <c r="H9467" s="27"/>
      <c r="I9467" s="28"/>
      <c r="J9467" s="39"/>
      <c r="K9467" s="41"/>
      <c r="L9467" s="31" t="str">
        <f>IFERROR(__xludf.DUMMYFUNCTION("IF(OR(E9467="""",K9467=""""),"""",IFERROR(IF(K9467="""","""",query('tbl user'!$A$2:$D10975,""SELECT A WHERE D = '""&amp;K9467&amp;""'"")),""USER TIDAK DIKETAHUI""))"),"")</f>
        <v/>
      </c>
    </row>
    <row r="9468">
      <c r="A9468" s="21" t="str">
        <f t="shared" si="3"/>
        <v/>
      </c>
      <c r="B9468" s="38"/>
      <c r="C9468" s="23"/>
      <c r="D9468" s="23"/>
      <c r="E9468" s="24"/>
      <c r="F9468" s="25"/>
      <c r="G9468" s="25"/>
      <c r="H9468" s="27"/>
      <c r="I9468" s="28"/>
      <c r="J9468" s="39"/>
      <c r="K9468" s="41"/>
      <c r="L9468" s="31" t="str">
        <f>IFERROR(__xludf.DUMMYFUNCTION("IF(OR(E9468="""",K9468=""""),"""",IFERROR(IF(K9468="""","""",query('tbl user'!$A$2:$D10975,""SELECT A WHERE D = '""&amp;K9468&amp;""'"")),""USER TIDAK DIKETAHUI""))"),"")</f>
        <v/>
      </c>
    </row>
    <row r="9469">
      <c r="A9469" s="21" t="str">
        <f t="shared" si="3"/>
        <v/>
      </c>
      <c r="B9469" s="38"/>
      <c r="C9469" s="23"/>
      <c r="D9469" s="23"/>
      <c r="E9469" s="24"/>
      <c r="F9469" s="25"/>
      <c r="G9469" s="25"/>
      <c r="H9469" s="27"/>
      <c r="I9469" s="28"/>
      <c r="J9469" s="39"/>
      <c r="K9469" s="41"/>
      <c r="L9469" s="31" t="str">
        <f>IFERROR(__xludf.DUMMYFUNCTION("IF(OR(E9469="""",K9469=""""),"""",IFERROR(IF(K9469="""","""",query('tbl user'!$A$2:$D10975,""SELECT A WHERE D = '""&amp;K9469&amp;""'"")),""USER TIDAK DIKETAHUI""))"),"")</f>
        <v/>
      </c>
    </row>
    <row r="9470">
      <c r="A9470" s="21" t="str">
        <f t="shared" si="3"/>
        <v/>
      </c>
      <c r="B9470" s="38"/>
      <c r="C9470" s="23"/>
      <c r="D9470" s="23"/>
      <c r="E9470" s="24"/>
      <c r="F9470" s="25"/>
      <c r="G9470" s="25"/>
      <c r="H9470" s="27"/>
      <c r="I9470" s="28"/>
      <c r="J9470" s="39"/>
      <c r="K9470" s="41"/>
      <c r="L9470" s="31" t="str">
        <f>IFERROR(__xludf.DUMMYFUNCTION("IF(OR(E9470="""",K9470=""""),"""",IFERROR(IF(K9470="""","""",query('tbl user'!$A$2:$D10975,""SELECT A WHERE D = '""&amp;K9470&amp;""'"")),""USER TIDAK DIKETAHUI""))"),"")</f>
        <v/>
      </c>
    </row>
    <row r="9471">
      <c r="A9471" s="21" t="str">
        <f t="shared" si="3"/>
        <v/>
      </c>
      <c r="B9471" s="38"/>
      <c r="C9471" s="23"/>
      <c r="D9471" s="23"/>
      <c r="E9471" s="24"/>
      <c r="F9471" s="25"/>
      <c r="G9471" s="25"/>
      <c r="H9471" s="27"/>
      <c r="I9471" s="28"/>
      <c r="J9471" s="39"/>
      <c r="K9471" s="41"/>
      <c r="L9471" s="31" t="str">
        <f>IFERROR(__xludf.DUMMYFUNCTION("IF(OR(E9471="""",K9471=""""),"""",IFERROR(IF(K9471="""","""",query('tbl user'!$A$2:$D10975,""SELECT A WHERE D = '""&amp;K9471&amp;""'"")),""USER TIDAK DIKETAHUI""))"),"")</f>
        <v/>
      </c>
    </row>
    <row r="9472">
      <c r="A9472" s="21" t="str">
        <f t="shared" si="3"/>
        <v/>
      </c>
      <c r="B9472" s="38"/>
      <c r="C9472" s="23"/>
      <c r="D9472" s="23"/>
      <c r="E9472" s="24"/>
      <c r="F9472" s="25"/>
      <c r="G9472" s="25"/>
      <c r="H9472" s="27"/>
      <c r="I9472" s="28"/>
      <c r="J9472" s="39"/>
      <c r="K9472" s="41"/>
      <c r="L9472" s="31" t="str">
        <f>IFERROR(__xludf.DUMMYFUNCTION("IF(OR(E9472="""",K9472=""""),"""",IFERROR(IF(K9472="""","""",query('tbl user'!$A$2:$D10975,""SELECT A WHERE D = '""&amp;K9472&amp;""'"")),""USER TIDAK DIKETAHUI""))"),"")</f>
        <v/>
      </c>
    </row>
    <row r="9473">
      <c r="A9473" s="21" t="str">
        <f t="shared" si="3"/>
        <v/>
      </c>
      <c r="B9473" s="38"/>
      <c r="C9473" s="23"/>
      <c r="D9473" s="23"/>
      <c r="E9473" s="24"/>
      <c r="F9473" s="25"/>
      <c r="G9473" s="25"/>
      <c r="H9473" s="27"/>
      <c r="I9473" s="28"/>
      <c r="J9473" s="39"/>
      <c r="K9473" s="41"/>
      <c r="L9473" s="31" t="str">
        <f>IFERROR(__xludf.DUMMYFUNCTION("IF(OR(E9473="""",K9473=""""),"""",IFERROR(IF(K9473="""","""",query('tbl user'!$A$2:$D10975,""SELECT A WHERE D = '""&amp;K9473&amp;""'"")),""USER TIDAK DIKETAHUI""))"),"")</f>
        <v/>
      </c>
    </row>
    <row r="9474">
      <c r="A9474" s="21" t="str">
        <f t="shared" si="3"/>
        <v/>
      </c>
      <c r="B9474" s="38"/>
      <c r="C9474" s="23"/>
      <c r="D9474" s="23"/>
      <c r="E9474" s="24"/>
      <c r="F9474" s="25"/>
      <c r="G9474" s="25"/>
      <c r="H9474" s="27"/>
      <c r="I9474" s="28"/>
      <c r="J9474" s="39"/>
      <c r="K9474" s="41"/>
      <c r="L9474" s="31" t="str">
        <f>IFERROR(__xludf.DUMMYFUNCTION("IF(OR(E9474="""",K9474=""""),"""",IFERROR(IF(K9474="""","""",query('tbl user'!$A$2:$D10975,""SELECT A WHERE D = '""&amp;K9474&amp;""'"")),""USER TIDAK DIKETAHUI""))"),"")</f>
        <v/>
      </c>
    </row>
    <row r="9475">
      <c r="A9475" s="21" t="str">
        <f t="shared" si="3"/>
        <v/>
      </c>
      <c r="B9475" s="38"/>
      <c r="C9475" s="23"/>
      <c r="D9475" s="23"/>
      <c r="E9475" s="24"/>
      <c r="F9475" s="25"/>
      <c r="G9475" s="25"/>
      <c r="H9475" s="27"/>
      <c r="I9475" s="28"/>
      <c r="J9475" s="39"/>
      <c r="K9475" s="41"/>
      <c r="L9475" s="31" t="str">
        <f>IFERROR(__xludf.DUMMYFUNCTION("IF(OR(E9475="""",K9475=""""),"""",IFERROR(IF(K9475="""","""",query('tbl user'!$A$2:$D10975,""SELECT A WHERE D = '""&amp;K9475&amp;""'"")),""USER TIDAK DIKETAHUI""))"),"")</f>
        <v/>
      </c>
    </row>
    <row r="9476">
      <c r="A9476" s="21" t="str">
        <f t="shared" si="3"/>
        <v/>
      </c>
      <c r="B9476" s="38"/>
      <c r="C9476" s="23"/>
      <c r="D9476" s="23"/>
      <c r="E9476" s="24"/>
      <c r="F9476" s="25"/>
      <c r="G9476" s="25"/>
      <c r="H9476" s="27"/>
      <c r="I9476" s="28"/>
      <c r="J9476" s="39"/>
      <c r="K9476" s="41"/>
      <c r="L9476" s="31" t="str">
        <f>IFERROR(__xludf.DUMMYFUNCTION("IF(OR(E9476="""",K9476=""""),"""",IFERROR(IF(K9476="""","""",query('tbl user'!$A$2:$D10975,""SELECT A WHERE D = '""&amp;K9476&amp;""'"")),""USER TIDAK DIKETAHUI""))"),"")</f>
        <v/>
      </c>
    </row>
    <row r="9477">
      <c r="A9477" s="21" t="str">
        <f t="shared" si="3"/>
        <v/>
      </c>
      <c r="B9477" s="38"/>
      <c r="C9477" s="23"/>
      <c r="D9477" s="23"/>
      <c r="E9477" s="24"/>
      <c r="F9477" s="25"/>
      <c r="G9477" s="25"/>
      <c r="H9477" s="27"/>
      <c r="I9477" s="28"/>
      <c r="J9477" s="39"/>
      <c r="K9477" s="41"/>
      <c r="L9477" s="31" t="str">
        <f>IFERROR(__xludf.DUMMYFUNCTION("IF(OR(E9477="""",K9477=""""),"""",IFERROR(IF(K9477="""","""",query('tbl user'!$A$2:$D10975,""SELECT A WHERE D = '""&amp;K9477&amp;""'"")),""USER TIDAK DIKETAHUI""))"),"")</f>
        <v/>
      </c>
    </row>
    <row r="9478">
      <c r="A9478" s="21" t="str">
        <f t="shared" si="3"/>
        <v/>
      </c>
      <c r="B9478" s="38"/>
      <c r="C9478" s="23"/>
      <c r="D9478" s="23"/>
      <c r="E9478" s="24"/>
      <c r="F9478" s="25"/>
      <c r="G9478" s="25"/>
      <c r="H9478" s="27"/>
      <c r="I9478" s="28"/>
      <c r="J9478" s="39"/>
      <c r="K9478" s="41"/>
      <c r="L9478" s="31" t="str">
        <f>IFERROR(__xludf.DUMMYFUNCTION("IF(OR(E9478="""",K9478=""""),"""",IFERROR(IF(K9478="""","""",query('tbl user'!$A$2:$D10975,""SELECT A WHERE D = '""&amp;K9478&amp;""'"")),""USER TIDAK DIKETAHUI""))"),"")</f>
        <v/>
      </c>
    </row>
    <row r="9479">
      <c r="A9479" s="21" t="str">
        <f t="shared" si="3"/>
        <v/>
      </c>
      <c r="B9479" s="38"/>
      <c r="C9479" s="23"/>
      <c r="D9479" s="23"/>
      <c r="E9479" s="24"/>
      <c r="F9479" s="25"/>
      <c r="G9479" s="25"/>
      <c r="H9479" s="27"/>
      <c r="I9479" s="28"/>
      <c r="J9479" s="39"/>
      <c r="K9479" s="41"/>
      <c r="L9479" s="31" t="str">
        <f>IFERROR(__xludf.DUMMYFUNCTION("IF(OR(E9479="""",K9479=""""),"""",IFERROR(IF(K9479="""","""",query('tbl user'!$A$2:$D10975,""SELECT A WHERE D = '""&amp;K9479&amp;""'"")),""USER TIDAK DIKETAHUI""))"),"")</f>
        <v/>
      </c>
    </row>
    <row r="9480">
      <c r="A9480" s="21" t="str">
        <f t="shared" si="3"/>
        <v/>
      </c>
      <c r="B9480" s="38"/>
      <c r="C9480" s="23"/>
      <c r="D9480" s="23"/>
      <c r="E9480" s="24"/>
      <c r="F9480" s="25"/>
      <c r="G9480" s="25"/>
      <c r="H9480" s="27"/>
      <c r="I9480" s="28"/>
      <c r="J9480" s="39"/>
      <c r="K9480" s="41"/>
      <c r="L9480" s="31" t="str">
        <f>IFERROR(__xludf.DUMMYFUNCTION("IF(OR(E9480="""",K9480=""""),"""",IFERROR(IF(K9480="""","""",query('tbl user'!$A$2:$D10975,""SELECT A WHERE D = '""&amp;K9480&amp;""'"")),""USER TIDAK DIKETAHUI""))"),"")</f>
        <v/>
      </c>
    </row>
    <row r="9481">
      <c r="A9481" s="21" t="str">
        <f t="shared" si="3"/>
        <v/>
      </c>
      <c r="B9481" s="38"/>
      <c r="C9481" s="23"/>
      <c r="D9481" s="23"/>
      <c r="E9481" s="24"/>
      <c r="F9481" s="25"/>
      <c r="G9481" s="25"/>
      <c r="H9481" s="27"/>
      <c r="I9481" s="28"/>
      <c r="J9481" s="39"/>
      <c r="K9481" s="41"/>
      <c r="L9481" s="31" t="str">
        <f>IFERROR(__xludf.DUMMYFUNCTION("IF(OR(E9481="""",K9481=""""),"""",IFERROR(IF(K9481="""","""",query('tbl user'!$A$2:$D10975,""SELECT A WHERE D = '""&amp;K9481&amp;""'"")),""USER TIDAK DIKETAHUI""))"),"")</f>
        <v/>
      </c>
    </row>
    <row r="9482">
      <c r="A9482" s="21" t="str">
        <f t="shared" si="3"/>
        <v/>
      </c>
      <c r="B9482" s="38"/>
      <c r="C9482" s="23"/>
      <c r="D9482" s="23"/>
      <c r="E9482" s="24"/>
      <c r="F9482" s="25"/>
      <c r="G9482" s="25"/>
      <c r="H9482" s="27"/>
      <c r="I9482" s="28"/>
      <c r="J9482" s="39"/>
      <c r="K9482" s="41"/>
      <c r="L9482" s="31" t="str">
        <f>IFERROR(__xludf.DUMMYFUNCTION("IF(OR(E9482="""",K9482=""""),"""",IFERROR(IF(K9482="""","""",query('tbl user'!$A$2:$D10975,""SELECT A WHERE D = '""&amp;K9482&amp;""'"")),""USER TIDAK DIKETAHUI""))"),"")</f>
        <v/>
      </c>
    </row>
    <row r="9483">
      <c r="A9483" s="21" t="str">
        <f t="shared" si="3"/>
        <v/>
      </c>
      <c r="B9483" s="38"/>
      <c r="C9483" s="23"/>
      <c r="D9483" s="23"/>
      <c r="E9483" s="24"/>
      <c r="F9483" s="25"/>
      <c r="G9483" s="25"/>
      <c r="H9483" s="27"/>
      <c r="I9483" s="28"/>
      <c r="J9483" s="39"/>
      <c r="K9483" s="41"/>
      <c r="L9483" s="31" t="str">
        <f>IFERROR(__xludf.DUMMYFUNCTION("IF(OR(E9483="""",K9483=""""),"""",IFERROR(IF(K9483="""","""",query('tbl user'!$A$2:$D10975,""SELECT A WHERE D = '""&amp;K9483&amp;""'"")),""USER TIDAK DIKETAHUI""))"),"")</f>
        <v/>
      </c>
    </row>
    <row r="9484">
      <c r="A9484" s="21" t="str">
        <f t="shared" si="3"/>
        <v/>
      </c>
      <c r="B9484" s="38"/>
      <c r="C9484" s="23"/>
      <c r="D9484" s="23"/>
      <c r="E9484" s="24"/>
      <c r="F9484" s="25"/>
      <c r="G9484" s="25"/>
      <c r="H9484" s="27"/>
      <c r="I9484" s="28"/>
      <c r="J9484" s="39"/>
      <c r="K9484" s="41"/>
      <c r="L9484" s="31" t="str">
        <f>IFERROR(__xludf.DUMMYFUNCTION("IF(OR(E9484="""",K9484=""""),"""",IFERROR(IF(K9484="""","""",query('tbl user'!$A$2:$D10975,""SELECT A WHERE D = '""&amp;K9484&amp;""'"")),""USER TIDAK DIKETAHUI""))"),"")</f>
        <v/>
      </c>
    </row>
    <row r="9485">
      <c r="A9485" s="21" t="str">
        <f t="shared" si="3"/>
        <v/>
      </c>
      <c r="B9485" s="38"/>
      <c r="C9485" s="23"/>
      <c r="D9485" s="23"/>
      <c r="E9485" s="24"/>
      <c r="F9485" s="25"/>
      <c r="G9485" s="25"/>
      <c r="H9485" s="27"/>
      <c r="I9485" s="28"/>
      <c r="J9485" s="39"/>
      <c r="K9485" s="41"/>
      <c r="L9485" s="31" t="str">
        <f>IFERROR(__xludf.DUMMYFUNCTION("IF(OR(E9485="""",K9485=""""),"""",IFERROR(IF(K9485="""","""",query('tbl user'!$A$2:$D10975,""SELECT A WHERE D = '""&amp;K9485&amp;""'"")),""USER TIDAK DIKETAHUI""))"),"")</f>
        <v/>
      </c>
    </row>
    <row r="9486">
      <c r="A9486" s="21" t="str">
        <f t="shared" si="3"/>
        <v/>
      </c>
      <c r="B9486" s="38"/>
      <c r="C9486" s="23"/>
      <c r="D9486" s="23"/>
      <c r="E9486" s="24"/>
      <c r="F9486" s="25"/>
      <c r="G9486" s="25"/>
      <c r="H9486" s="27"/>
      <c r="I9486" s="28"/>
      <c r="J9486" s="39"/>
      <c r="K9486" s="41"/>
      <c r="L9486" s="31" t="str">
        <f>IFERROR(__xludf.DUMMYFUNCTION("IF(OR(E9486="""",K9486=""""),"""",IFERROR(IF(K9486="""","""",query('tbl user'!$A$2:$D10975,""SELECT A WHERE D = '""&amp;K9486&amp;""'"")),""USER TIDAK DIKETAHUI""))"),"")</f>
        <v/>
      </c>
    </row>
    <row r="9487">
      <c r="A9487" s="21" t="str">
        <f t="shared" si="3"/>
        <v/>
      </c>
      <c r="B9487" s="38"/>
      <c r="C9487" s="23"/>
      <c r="D9487" s="23"/>
      <c r="E9487" s="24"/>
      <c r="F9487" s="25"/>
      <c r="G9487" s="25"/>
      <c r="H9487" s="27"/>
      <c r="I9487" s="28"/>
      <c r="J9487" s="39"/>
      <c r="K9487" s="41"/>
      <c r="L9487" s="31" t="str">
        <f>IFERROR(__xludf.DUMMYFUNCTION("IF(OR(E9487="""",K9487=""""),"""",IFERROR(IF(K9487="""","""",query('tbl user'!$A$2:$D10975,""SELECT A WHERE D = '""&amp;K9487&amp;""'"")),""USER TIDAK DIKETAHUI""))"),"")</f>
        <v/>
      </c>
    </row>
    <row r="9488">
      <c r="A9488" s="21" t="str">
        <f t="shared" si="3"/>
        <v/>
      </c>
      <c r="B9488" s="38"/>
      <c r="C9488" s="23"/>
      <c r="D9488" s="23"/>
      <c r="E9488" s="24"/>
      <c r="F9488" s="25"/>
      <c r="G9488" s="25"/>
      <c r="H9488" s="27"/>
      <c r="I9488" s="28"/>
      <c r="J9488" s="39"/>
      <c r="K9488" s="41"/>
      <c r="L9488" s="31" t="str">
        <f>IFERROR(__xludf.DUMMYFUNCTION("IF(OR(E9488="""",K9488=""""),"""",IFERROR(IF(K9488="""","""",query('tbl user'!$A$2:$D10975,""SELECT A WHERE D = '""&amp;K9488&amp;""'"")),""USER TIDAK DIKETAHUI""))"),"")</f>
        <v/>
      </c>
    </row>
    <row r="9489">
      <c r="A9489" s="21" t="str">
        <f t="shared" si="3"/>
        <v/>
      </c>
      <c r="B9489" s="38"/>
      <c r="C9489" s="23"/>
      <c r="D9489" s="23"/>
      <c r="E9489" s="24"/>
      <c r="F9489" s="25"/>
      <c r="G9489" s="25"/>
      <c r="H9489" s="27"/>
      <c r="I9489" s="28"/>
      <c r="J9489" s="39"/>
      <c r="K9489" s="41"/>
      <c r="L9489" s="31" t="str">
        <f>IFERROR(__xludf.DUMMYFUNCTION("IF(OR(E9489="""",K9489=""""),"""",IFERROR(IF(K9489="""","""",query('tbl user'!$A$2:$D10975,""SELECT A WHERE D = '""&amp;K9489&amp;""'"")),""USER TIDAK DIKETAHUI""))"),"")</f>
        <v/>
      </c>
    </row>
    <row r="9490">
      <c r="A9490" s="21" t="str">
        <f t="shared" si="3"/>
        <v/>
      </c>
      <c r="B9490" s="38"/>
      <c r="C9490" s="23"/>
      <c r="D9490" s="23"/>
      <c r="E9490" s="24"/>
      <c r="F9490" s="25"/>
      <c r="G9490" s="25"/>
      <c r="H9490" s="27"/>
      <c r="I9490" s="28"/>
      <c r="J9490" s="39"/>
      <c r="K9490" s="41"/>
      <c r="L9490" s="31" t="str">
        <f>IFERROR(__xludf.DUMMYFUNCTION("IF(OR(E9490="""",K9490=""""),"""",IFERROR(IF(K9490="""","""",query('tbl user'!$A$2:$D10975,""SELECT A WHERE D = '""&amp;K9490&amp;""'"")),""USER TIDAK DIKETAHUI""))"),"")</f>
        <v/>
      </c>
    </row>
    <row r="9491">
      <c r="A9491" s="21" t="str">
        <f t="shared" si="3"/>
        <v/>
      </c>
      <c r="B9491" s="38"/>
      <c r="C9491" s="23"/>
      <c r="D9491" s="23"/>
      <c r="E9491" s="24"/>
      <c r="F9491" s="25"/>
      <c r="G9491" s="25"/>
      <c r="H9491" s="27"/>
      <c r="I9491" s="28"/>
      <c r="J9491" s="39"/>
      <c r="K9491" s="41"/>
      <c r="L9491" s="31" t="str">
        <f>IFERROR(__xludf.DUMMYFUNCTION("IF(OR(E9491="""",K9491=""""),"""",IFERROR(IF(K9491="""","""",query('tbl user'!$A$2:$D10975,""SELECT A WHERE D = '""&amp;K9491&amp;""'"")),""USER TIDAK DIKETAHUI""))"),"")</f>
        <v/>
      </c>
    </row>
    <row r="9492">
      <c r="A9492" s="21" t="str">
        <f t="shared" si="3"/>
        <v/>
      </c>
      <c r="B9492" s="38"/>
      <c r="C9492" s="23"/>
      <c r="D9492" s="23"/>
      <c r="E9492" s="24"/>
      <c r="F9492" s="25"/>
      <c r="G9492" s="25"/>
      <c r="H9492" s="27"/>
      <c r="I9492" s="28"/>
      <c r="J9492" s="39"/>
      <c r="K9492" s="41"/>
      <c r="L9492" s="31" t="str">
        <f>IFERROR(__xludf.DUMMYFUNCTION("IF(OR(E9492="""",K9492=""""),"""",IFERROR(IF(K9492="""","""",query('tbl user'!$A$2:$D10975,""SELECT A WHERE D = '""&amp;K9492&amp;""'"")),""USER TIDAK DIKETAHUI""))"),"")</f>
        <v/>
      </c>
    </row>
    <row r="9493">
      <c r="A9493" s="21" t="str">
        <f t="shared" si="3"/>
        <v/>
      </c>
      <c r="B9493" s="38"/>
      <c r="C9493" s="23"/>
      <c r="D9493" s="23"/>
      <c r="E9493" s="24"/>
      <c r="F9493" s="25"/>
      <c r="G9493" s="25"/>
      <c r="H9493" s="27"/>
      <c r="I9493" s="28"/>
      <c r="J9493" s="39"/>
      <c r="K9493" s="41"/>
      <c r="L9493" s="31" t="str">
        <f>IFERROR(__xludf.DUMMYFUNCTION("IF(OR(E9493="""",K9493=""""),"""",IFERROR(IF(K9493="""","""",query('tbl user'!$A$2:$D10975,""SELECT A WHERE D = '""&amp;K9493&amp;""'"")),""USER TIDAK DIKETAHUI""))"),"")</f>
        <v/>
      </c>
    </row>
    <row r="9494">
      <c r="A9494" s="21" t="str">
        <f t="shared" si="3"/>
        <v/>
      </c>
      <c r="B9494" s="38"/>
      <c r="C9494" s="23"/>
      <c r="D9494" s="23"/>
      <c r="E9494" s="24"/>
      <c r="F9494" s="25"/>
      <c r="G9494" s="25"/>
      <c r="H9494" s="27"/>
      <c r="I9494" s="28"/>
      <c r="J9494" s="39"/>
      <c r="K9494" s="41"/>
      <c r="L9494" s="31" t="str">
        <f>IFERROR(__xludf.DUMMYFUNCTION("IF(OR(E9494="""",K9494=""""),"""",IFERROR(IF(K9494="""","""",query('tbl user'!$A$2:$D10975,""SELECT A WHERE D = '""&amp;K9494&amp;""'"")),""USER TIDAK DIKETAHUI""))"),"")</f>
        <v/>
      </c>
    </row>
    <row r="9495">
      <c r="A9495" s="21" t="str">
        <f t="shared" si="3"/>
        <v/>
      </c>
      <c r="B9495" s="38"/>
      <c r="C9495" s="23"/>
      <c r="D9495" s="23"/>
      <c r="E9495" s="24"/>
      <c r="F9495" s="25"/>
      <c r="G9495" s="25"/>
      <c r="H9495" s="27"/>
      <c r="I9495" s="28"/>
      <c r="J9495" s="39"/>
      <c r="K9495" s="41"/>
      <c r="L9495" s="31" t="str">
        <f>IFERROR(__xludf.DUMMYFUNCTION("IF(OR(E9495="""",K9495=""""),"""",IFERROR(IF(K9495="""","""",query('tbl user'!$A$2:$D10975,""SELECT A WHERE D = '""&amp;K9495&amp;""'"")),""USER TIDAK DIKETAHUI""))"),"")</f>
        <v/>
      </c>
    </row>
    <row r="9496">
      <c r="A9496" s="21" t="str">
        <f t="shared" si="3"/>
        <v/>
      </c>
      <c r="B9496" s="38"/>
      <c r="C9496" s="23"/>
      <c r="D9496" s="23"/>
      <c r="E9496" s="24"/>
      <c r="F9496" s="25"/>
      <c r="G9496" s="25"/>
      <c r="H9496" s="27"/>
      <c r="I9496" s="28"/>
      <c r="J9496" s="39"/>
      <c r="K9496" s="41"/>
      <c r="L9496" s="31" t="str">
        <f>IFERROR(__xludf.DUMMYFUNCTION("IF(OR(E9496="""",K9496=""""),"""",IFERROR(IF(K9496="""","""",query('tbl user'!$A$2:$D10975,""SELECT A WHERE D = '""&amp;K9496&amp;""'"")),""USER TIDAK DIKETAHUI""))"),"")</f>
        <v/>
      </c>
    </row>
    <row r="9497">
      <c r="A9497" s="21" t="str">
        <f t="shared" si="3"/>
        <v/>
      </c>
      <c r="B9497" s="38"/>
      <c r="C9497" s="23"/>
      <c r="D9497" s="23"/>
      <c r="E9497" s="24"/>
      <c r="F9497" s="25"/>
      <c r="G9497" s="25"/>
      <c r="H9497" s="27"/>
      <c r="I9497" s="28"/>
      <c r="J9497" s="39"/>
      <c r="K9497" s="41"/>
      <c r="L9497" s="31" t="str">
        <f>IFERROR(__xludf.DUMMYFUNCTION("IF(OR(E9497="""",K9497=""""),"""",IFERROR(IF(K9497="""","""",query('tbl user'!$A$2:$D10975,""SELECT A WHERE D = '""&amp;K9497&amp;""'"")),""USER TIDAK DIKETAHUI""))"),"")</f>
        <v/>
      </c>
    </row>
    <row r="9498">
      <c r="A9498" s="21" t="str">
        <f t="shared" si="3"/>
        <v/>
      </c>
      <c r="B9498" s="38"/>
      <c r="C9498" s="23"/>
      <c r="D9498" s="23"/>
      <c r="E9498" s="24"/>
      <c r="F9498" s="25"/>
      <c r="G9498" s="25"/>
      <c r="H9498" s="27"/>
      <c r="I9498" s="28"/>
      <c r="J9498" s="39"/>
      <c r="K9498" s="41"/>
      <c r="L9498" s="31" t="str">
        <f>IFERROR(__xludf.DUMMYFUNCTION("IF(OR(E9498="""",K9498=""""),"""",IFERROR(IF(K9498="""","""",query('tbl user'!$A$2:$D10975,""SELECT A WHERE D = '""&amp;K9498&amp;""'"")),""USER TIDAK DIKETAHUI""))"),"")</f>
        <v/>
      </c>
    </row>
    <row r="9499">
      <c r="A9499" s="21" t="str">
        <f t="shared" si="3"/>
        <v/>
      </c>
      <c r="B9499" s="38"/>
      <c r="C9499" s="23"/>
      <c r="D9499" s="23"/>
      <c r="E9499" s="24"/>
      <c r="F9499" s="25"/>
      <c r="G9499" s="25"/>
      <c r="H9499" s="27"/>
      <c r="I9499" s="28"/>
      <c r="J9499" s="39"/>
      <c r="K9499" s="41"/>
      <c r="L9499" s="31" t="str">
        <f>IFERROR(__xludf.DUMMYFUNCTION("IF(OR(E9499="""",K9499=""""),"""",IFERROR(IF(K9499="""","""",query('tbl user'!$A$2:$D10975,""SELECT A WHERE D = '""&amp;K9499&amp;""'"")),""USER TIDAK DIKETAHUI""))"),"")</f>
        <v/>
      </c>
    </row>
    <row r="9500">
      <c r="A9500" s="21" t="str">
        <f t="shared" si="3"/>
        <v/>
      </c>
      <c r="B9500" s="38"/>
      <c r="C9500" s="23"/>
      <c r="D9500" s="23"/>
      <c r="E9500" s="24"/>
      <c r="F9500" s="25"/>
      <c r="G9500" s="25"/>
      <c r="H9500" s="27"/>
      <c r="I9500" s="28"/>
      <c r="J9500" s="39"/>
      <c r="K9500" s="41"/>
      <c r="L9500" s="31" t="str">
        <f>IFERROR(__xludf.DUMMYFUNCTION("IF(OR(E9500="""",K9500=""""),"""",IFERROR(IF(K9500="""","""",query('tbl user'!$A$2:$D10975,""SELECT A WHERE D = '""&amp;K9500&amp;""'"")),""USER TIDAK DIKETAHUI""))"),"")</f>
        <v/>
      </c>
    </row>
    <row r="9501">
      <c r="A9501" s="21" t="str">
        <f t="shared" si="3"/>
        <v/>
      </c>
      <c r="B9501" s="38"/>
      <c r="C9501" s="23"/>
      <c r="D9501" s="23"/>
      <c r="E9501" s="24"/>
      <c r="F9501" s="25"/>
      <c r="G9501" s="25"/>
      <c r="H9501" s="27"/>
      <c r="I9501" s="28"/>
      <c r="J9501" s="39"/>
      <c r="K9501" s="41"/>
      <c r="L9501" s="31" t="str">
        <f>IFERROR(__xludf.DUMMYFUNCTION("IF(OR(E9501="""",K9501=""""),"""",IFERROR(IF(K9501="""","""",query('tbl user'!$A$2:$D10975,""SELECT A WHERE D = '""&amp;K9501&amp;""'"")),""USER TIDAK DIKETAHUI""))"),"")</f>
        <v/>
      </c>
    </row>
    <row r="9502">
      <c r="A9502" s="21" t="str">
        <f t="shared" si="3"/>
        <v/>
      </c>
      <c r="B9502" s="38"/>
      <c r="C9502" s="23"/>
      <c r="D9502" s="23"/>
      <c r="E9502" s="24"/>
      <c r="F9502" s="25"/>
      <c r="G9502" s="25"/>
      <c r="H9502" s="27"/>
      <c r="I9502" s="28"/>
      <c r="J9502" s="39"/>
      <c r="K9502" s="41"/>
      <c r="L9502" s="31" t="str">
        <f>IFERROR(__xludf.DUMMYFUNCTION("IF(OR(E9502="""",K9502=""""),"""",IFERROR(IF(K9502="""","""",query('tbl user'!$A$2:$D10975,""SELECT A WHERE D = '""&amp;K9502&amp;""'"")),""USER TIDAK DIKETAHUI""))"),"")</f>
        <v/>
      </c>
    </row>
    <row r="9503">
      <c r="A9503" s="21" t="str">
        <f t="shared" si="3"/>
        <v/>
      </c>
      <c r="B9503" s="38"/>
      <c r="C9503" s="23"/>
      <c r="D9503" s="23"/>
      <c r="E9503" s="24"/>
      <c r="F9503" s="25"/>
      <c r="G9503" s="25"/>
      <c r="H9503" s="27"/>
      <c r="I9503" s="28"/>
      <c r="J9503" s="39"/>
      <c r="K9503" s="41"/>
      <c r="L9503" s="31" t="str">
        <f>IFERROR(__xludf.DUMMYFUNCTION("IF(OR(E9503="""",K9503=""""),"""",IFERROR(IF(K9503="""","""",query('tbl user'!$A$2:$D10975,""SELECT A WHERE D = '""&amp;K9503&amp;""'"")),""USER TIDAK DIKETAHUI""))"),"")</f>
        <v/>
      </c>
    </row>
    <row r="9504">
      <c r="A9504" s="21" t="str">
        <f t="shared" si="3"/>
        <v/>
      </c>
      <c r="B9504" s="38"/>
      <c r="C9504" s="23"/>
      <c r="D9504" s="23"/>
      <c r="E9504" s="24"/>
      <c r="F9504" s="25"/>
      <c r="G9504" s="25"/>
      <c r="H9504" s="27"/>
      <c r="I9504" s="28"/>
      <c r="J9504" s="39"/>
      <c r="K9504" s="41"/>
      <c r="L9504" s="31" t="str">
        <f>IFERROR(__xludf.DUMMYFUNCTION("IF(OR(E9504="""",K9504=""""),"""",IFERROR(IF(K9504="""","""",query('tbl user'!$A$2:$D10975,""SELECT A WHERE D = '""&amp;K9504&amp;""'"")),""USER TIDAK DIKETAHUI""))"),"")</f>
        <v/>
      </c>
    </row>
    <row r="9505">
      <c r="A9505" s="21" t="str">
        <f t="shared" si="3"/>
        <v/>
      </c>
      <c r="B9505" s="38"/>
      <c r="C9505" s="23"/>
      <c r="D9505" s="23"/>
      <c r="E9505" s="24"/>
      <c r="F9505" s="25"/>
      <c r="G9505" s="25"/>
      <c r="H9505" s="27"/>
      <c r="I9505" s="28"/>
      <c r="J9505" s="39"/>
      <c r="K9505" s="41"/>
      <c r="L9505" s="31" t="str">
        <f>IFERROR(__xludf.DUMMYFUNCTION("IF(OR(E9505="""",K9505=""""),"""",IFERROR(IF(K9505="""","""",query('tbl user'!$A$2:$D10975,""SELECT A WHERE D = '""&amp;K9505&amp;""'"")),""USER TIDAK DIKETAHUI""))"),"")</f>
        <v/>
      </c>
    </row>
    <row r="9506">
      <c r="A9506" s="21" t="str">
        <f t="shared" si="3"/>
        <v/>
      </c>
      <c r="B9506" s="38"/>
      <c r="C9506" s="23"/>
      <c r="D9506" s="23"/>
      <c r="E9506" s="24"/>
      <c r="F9506" s="25"/>
      <c r="G9506" s="25"/>
      <c r="H9506" s="27"/>
      <c r="I9506" s="28"/>
      <c r="J9506" s="39"/>
      <c r="K9506" s="41"/>
      <c r="L9506" s="31" t="str">
        <f>IFERROR(__xludf.DUMMYFUNCTION("IF(OR(E9506="""",K9506=""""),"""",IFERROR(IF(K9506="""","""",query('tbl user'!$A$2:$D10975,""SELECT A WHERE D = '""&amp;K9506&amp;""'"")),""USER TIDAK DIKETAHUI""))"),"")</f>
        <v/>
      </c>
    </row>
    <row r="9507">
      <c r="A9507" s="21" t="str">
        <f t="shared" si="3"/>
        <v/>
      </c>
      <c r="B9507" s="38"/>
      <c r="C9507" s="23"/>
      <c r="D9507" s="23"/>
      <c r="E9507" s="24"/>
      <c r="F9507" s="25"/>
      <c r="G9507" s="25"/>
      <c r="H9507" s="27"/>
      <c r="I9507" s="28"/>
      <c r="J9507" s="39"/>
      <c r="K9507" s="41"/>
      <c r="L9507" s="31" t="str">
        <f>IFERROR(__xludf.DUMMYFUNCTION("IF(OR(E9507="""",K9507=""""),"""",IFERROR(IF(K9507="""","""",query('tbl user'!$A$2:$D10975,""SELECT A WHERE D = '""&amp;K9507&amp;""'"")),""USER TIDAK DIKETAHUI""))"),"")</f>
        <v/>
      </c>
    </row>
    <row r="9508">
      <c r="A9508" s="21" t="str">
        <f t="shared" si="3"/>
        <v/>
      </c>
      <c r="B9508" s="38"/>
      <c r="C9508" s="23"/>
      <c r="D9508" s="23"/>
      <c r="E9508" s="24"/>
      <c r="F9508" s="25"/>
      <c r="G9508" s="25"/>
      <c r="H9508" s="27"/>
      <c r="I9508" s="28"/>
      <c r="J9508" s="39"/>
      <c r="K9508" s="41"/>
      <c r="L9508" s="31" t="str">
        <f>IFERROR(__xludf.DUMMYFUNCTION("IF(OR(E9508="""",K9508=""""),"""",IFERROR(IF(K9508="""","""",query('tbl user'!$A$2:$D10975,""SELECT A WHERE D = '""&amp;K9508&amp;""'"")),""USER TIDAK DIKETAHUI""))"),"")</f>
        <v/>
      </c>
    </row>
    <row r="9509">
      <c r="A9509" s="21" t="str">
        <f t="shared" si="3"/>
        <v/>
      </c>
      <c r="B9509" s="38"/>
      <c r="C9509" s="23"/>
      <c r="D9509" s="23"/>
      <c r="E9509" s="24"/>
      <c r="F9509" s="25"/>
      <c r="G9509" s="25"/>
      <c r="H9509" s="27"/>
      <c r="I9509" s="28"/>
      <c r="J9509" s="39"/>
      <c r="K9509" s="41"/>
      <c r="L9509" s="31" t="str">
        <f>IFERROR(__xludf.DUMMYFUNCTION("IF(OR(E9509="""",K9509=""""),"""",IFERROR(IF(K9509="""","""",query('tbl user'!$A$2:$D10975,""SELECT A WHERE D = '""&amp;K9509&amp;""'"")),""USER TIDAK DIKETAHUI""))"),"")</f>
        <v/>
      </c>
    </row>
    <row r="9510">
      <c r="A9510" s="21" t="str">
        <f t="shared" si="3"/>
        <v/>
      </c>
      <c r="B9510" s="38"/>
      <c r="C9510" s="23"/>
      <c r="D9510" s="23"/>
      <c r="E9510" s="24"/>
      <c r="F9510" s="25"/>
      <c r="G9510" s="25"/>
      <c r="H9510" s="27"/>
      <c r="I9510" s="28"/>
      <c r="J9510" s="39"/>
      <c r="K9510" s="41"/>
      <c r="L9510" s="31" t="str">
        <f>IFERROR(__xludf.DUMMYFUNCTION("IF(OR(E9510="""",K9510=""""),"""",IFERROR(IF(K9510="""","""",query('tbl user'!$A$2:$D10975,""SELECT A WHERE D = '""&amp;K9510&amp;""'"")),""USER TIDAK DIKETAHUI""))"),"")</f>
        <v/>
      </c>
    </row>
    <row r="9511">
      <c r="A9511" s="21" t="str">
        <f t="shared" si="3"/>
        <v/>
      </c>
      <c r="B9511" s="38"/>
      <c r="C9511" s="23"/>
      <c r="D9511" s="23"/>
      <c r="E9511" s="24"/>
      <c r="F9511" s="25"/>
      <c r="G9511" s="25"/>
      <c r="H9511" s="27"/>
      <c r="I9511" s="28"/>
      <c r="J9511" s="39"/>
      <c r="K9511" s="41"/>
      <c r="L9511" s="31" t="str">
        <f>IFERROR(__xludf.DUMMYFUNCTION("IF(OR(E9511="""",K9511=""""),"""",IFERROR(IF(K9511="""","""",query('tbl user'!$A$2:$D10975,""SELECT A WHERE D = '""&amp;K9511&amp;""'"")),""USER TIDAK DIKETAHUI""))"),"")</f>
        <v/>
      </c>
    </row>
    <row r="9512">
      <c r="A9512" s="21" t="str">
        <f t="shared" si="3"/>
        <v/>
      </c>
      <c r="B9512" s="38"/>
      <c r="C9512" s="23"/>
      <c r="D9512" s="23"/>
      <c r="E9512" s="24"/>
      <c r="F9512" s="25"/>
      <c r="G9512" s="25"/>
      <c r="H9512" s="27"/>
      <c r="I9512" s="28"/>
      <c r="J9512" s="39"/>
      <c r="K9512" s="41"/>
      <c r="L9512" s="31" t="str">
        <f>IFERROR(__xludf.DUMMYFUNCTION("IF(OR(E9512="""",K9512=""""),"""",IFERROR(IF(K9512="""","""",query('tbl user'!$A$2:$D10975,""SELECT A WHERE D = '""&amp;K9512&amp;""'"")),""USER TIDAK DIKETAHUI""))"),"")</f>
        <v/>
      </c>
    </row>
    <row r="9513">
      <c r="A9513" s="21" t="str">
        <f t="shared" si="3"/>
        <v/>
      </c>
      <c r="B9513" s="38"/>
      <c r="C9513" s="23"/>
      <c r="D9513" s="23"/>
      <c r="E9513" s="24"/>
      <c r="F9513" s="25"/>
      <c r="G9513" s="25"/>
      <c r="H9513" s="27"/>
      <c r="I9513" s="28"/>
      <c r="J9513" s="39"/>
      <c r="K9513" s="41"/>
      <c r="L9513" s="31" t="str">
        <f>IFERROR(__xludf.DUMMYFUNCTION("IF(OR(E9513="""",K9513=""""),"""",IFERROR(IF(K9513="""","""",query('tbl user'!$A$2:$D10975,""SELECT A WHERE D = '""&amp;K9513&amp;""'"")),""USER TIDAK DIKETAHUI""))"),"")</f>
        <v/>
      </c>
    </row>
    <row r="9514">
      <c r="A9514" s="21" t="str">
        <f t="shared" si="3"/>
        <v/>
      </c>
      <c r="B9514" s="38"/>
      <c r="C9514" s="23"/>
      <c r="D9514" s="23"/>
      <c r="E9514" s="24"/>
      <c r="F9514" s="25"/>
      <c r="G9514" s="25"/>
      <c r="H9514" s="27"/>
      <c r="I9514" s="28"/>
      <c r="J9514" s="39"/>
      <c r="K9514" s="41"/>
      <c r="L9514" s="31" t="str">
        <f>IFERROR(__xludf.DUMMYFUNCTION("IF(OR(E9514="""",K9514=""""),"""",IFERROR(IF(K9514="""","""",query('tbl user'!$A$2:$D10975,""SELECT A WHERE D = '""&amp;K9514&amp;""'"")),""USER TIDAK DIKETAHUI""))"),"")</f>
        <v/>
      </c>
    </row>
    <row r="9515">
      <c r="A9515" s="21" t="str">
        <f t="shared" si="3"/>
        <v/>
      </c>
      <c r="B9515" s="38"/>
      <c r="C9515" s="23"/>
      <c r="D9515" s="23"/>
      <c r="E9515" s="24"/>
      <c r="F9515" s="25"/>
      <c r="G9515" s="25"/>
      <c r="H9515" s="27"/>
      <c r="I9515" s="28"/>
      <c r="J9515" s="39"/>
      <c r="K9515" s="41"/>
      <c r="L9515" s="31" t="str">
        <f>IFERROR(__xludf.DUMMYFUNCTION("IF(OR(E9515="""",K9515=""""),"""",IFERROR(IF(K9515="""","""",query('tbl user'!$A$2:$D10975,""SELECT A WHERE D = '""&amp;K9515&amp;""'"")),""USER TIDAK DIKETAHUI""))"),"")</f>
        <v/>
      </c>
    </row>
    <row r="9516">
      <c r="A9516" s="21" t="str">
        <f t="shared" si="3"/>
        <v/>
      </c>
      <c r="B9516" s="38"/>
      <c r="C9516" s="23"/>
      <c r="D9516" s="23"/>
      <c r="E9516" s="24"/>
      <c r="F9516" s="25"/>
      <c r="G9516" s="25"/>
      <c r="H9516" s="27"/>
      <c r="I9516" s="28"/>
      <c r="J9516" s="39"/>
      <c r="K9516" s="41"/>
      <c r="L9516" s="31" t="str">
        <f>IFERROR(__xludf.DUMMYFUNCTION("IF(OR(E9516="""",K9516=""""),"""",IFERROR(IF(K9516="""","""",query('tbl user'!$A$2:$D10975,""SELECT A WHERE D = '""&amp;K9516&amp;""'"")),""USER TIDAK DIKETAHUI""))"),"")</f>
        <v/>
      </c>
    </row>
    <row r="9517">
      <c r="A9517" s="21" t="str">
        <f t="shared" si="3"/>
        <v/>
      </c>
      <c r="B9517" s="38"/>
      <c r="C9517" s="23"/>
      <c r="D9517" s="23"/>
      <c r="E9517" s="24"/>
      <c r="F9517" s="25"/>
      <c r="G9517" s="25"/>
      <c r="H9517" s="27"/>
      <c r="I9517" s="28"/>
      <c r="J9517" s="39"/>
      <c r="K9517" s="41"/>
      <c r="L9517" s="31" t="str">
        <f>IFERROR(__xludf.DUMMYFUNCTION("IF(OR(E9517="""",K9517=""""),"""",IFERROR(IF(K9517="""","""",query('tbl user'!$A$2:$D10975,""SELECT A WHERE D = '""&amp;K9517&amp;""'"")),""USER TIDAK DIKETAHUI""))"),"")</f>
        <v/>
      </c>
    </row>
    <row r="9518">
      <c r="A9518" s="21" t="str">
        <f t="shared" si="3"/>
        <v/>
      </c>
      <c r="B9518" s="38"/>
      <c r="C9518" s="23"/>
      <c r="D9518" s="23"/>
      <c r="E9518" s="24"/>
      <c r="F9518" s="25"/>
      <c r="G9518" s="25"/>
      <c r="H9518" s="27"/>
      <c r="I9518" s="28"/>
      <c r="J9518" s="39"/>
      <c r="K9518" s="41"/>
      <c r="L9518" s="31" t="str">
        <f>IFERROR(__xludf.DUMMYFUNCTION("IF(OR(E9518="""",K9518=""""),"""",IFERROR(IF(K9518="""","""",query('tbl user'!$A$2:$D10975,""SELECT A WHERE D = '""&amp;K9518&amp;""'"")),""USER TIDAK DIKETAHUI""))"),"")</f>
        <v/>
      </c>
    </row>
    <row r="9519">
      <c r="A9519" s="21" t="str">
        <f t="shared" si="3"/>
        <v/>
      </c>
      <c r="B9519" s="38"/>
      <c r="C9519" s="23"/>
      <c r="D9519" s="23"/>
      <c r="E9519" s="24"/>
      <c r="F9519" s="25"/>
      <c r="G9519" s="25"/>
      <c r="H9519" s="27"/>
      <c r="I9519" s="28"/>
      <c r="J9519" s="39"/>
      <c r="K9519" s="41"/>
      <c r="L9519" s="31" t="str">
        <f>IFERROR(__xludf.DUMMYFUNCTION("IF(OR(E9519="""",K9519=""""),"""",IFERROR(IF(K9519="""","""",query('tbl user'!$A$2:$D10975,""SELECT A WHERE D = '""&amp;K9519&amp;""'"")),""USER TIDAK DIKETAHUI""))"),"")</f>
        <v/>
      </c>
    </row>
    <row r="9520">
      <c r="A9520" s="21" t="str">
        <f t="shared" si="3"/>
        <v/>
      </c>
      <c r="B9520" s="38"/>
      <c r="C9520" s="23"/>
      <c r="D9520" s="23"/>
      <c r="E9520" s="24"/>
      <c r="F9520" s="25"/>
      <c r="G9520" s="25"/>
      <c r="H9520" s="27"/>
      <c r="I9520" s="28"/>
      <c r="J9520" s="39"/>
      <c r="K9520" s="41"/>
      <c r="L9520" s="31" t="str">
        <f>IFERROR(__xludf.DUMMYFUNCTION("IF(OR(E9520="""",K9520=""""),"""",IFERROR(IF(K9520="""","""",query('tbl user'!$A$2:$D10975,""SELECT A WHERE D = '""&amp;K9520&amp;""'"")),""USER TIDAK DIKETAHUI""))"),"")</f>
        <v/>
      </c>
    </row>
    <row r="9521">
      <c r="A9521" s="21" t="str">
        <f t="shared" si="3"/>
        <v/>
      </c>
      <c r="B9521" s="38"/>
      <c r="C9521" s="23"/>
      <c r="D9521" s="23"/>
      <c r="E9521" s="24"/>
      <c r="F9521" s="25"/>
      <c r="G9521" s="25"/>
      <c r="H9521" s="27"/>
      <c r="I9521" s="28"/>
      <c r="J9521" s="39"/>
      <c r="K9521" s="41"/>
      <c r="L9521" s="31" t="str">
        <f>IFERROR(__xludf.DUMMYFUNCTION("IF(OR(E9521="""",K9521=""""),"""",IFERROR(IF(K9521="""","""",query('tbl user'!$A$2:$D10975,""SELECT A WHERE D = '""&amp;K9521&amp;""'"")),""USER TIDAK DIKETAHUI""))"),"")</f>
        <v/>
      </c>
    </row>
    <row r="9522">
      <c r="A9522" s="21" t="str">
        <f t="shared" si="3"/>
        <v/>
      </c>
      <c r="B9522" s="38"/>
      <c r="C9522" s="23"/>
      <c r="D9522" s="23"/>
      <c r="E9522" s="24"/>
      <c r="F9522" s="25"/>
      <c r="G9522" s="25"/>
      <c r="H9522" s="27"/>
      <c r="I9522" s="28"/>
      <c r="J9522" s="39"/>
      <c r="K9522" s="41"/>
      <c r="L9522" s="31" t="str">
        <f>IFERROR(__xludf.DUMMYFUNCTION("IF(OR(E9522="""",K9522=""""),"""",IFERROR(IF(K9522="""","""",query('tbl user'!$A$2:$D10975,""SELECT A WHERE D = '""&amp;K9522&amp;""'"")),""USER TIDAK DIKETAHUI""))"),"")</f>
        <v/>
      </c>
    </row>
    <row r="9523">
      <c r="A9523" s="21" t="str">
        <f t="shared" si="3"/>
        <v/>
      </c>
      <c r="B9523" s="38"/>
      <c r="C9523" s="23"/>
      <c r="D9523" s="23"/>
      <c r="E9523" s="24"/>
      <c r="F9523" s="25"/>
      <c r="G9523" s="25"/>
      <c r="H9523" s="27"/>
      <c r="I9523" s="28"/>
      <c r="J9523" s="39"/>
      <c r="K9523" s="41"/>
      <c r="L9523" s="31" t="str">
        <f>IFERROR(__xludf.DUMMYFUNCTION("IF(OR(E9523="""",K9523=""""),"""",IFERROR(IF(K9523="""","""",query('tbl user'!$A$2:$D10975,""SELECT A WHERE D = '""&amp;K9523&amp;""'"")),""USER TIDAK DIKETAHUI""))"),"")</f>
        <v/>
      </c>
    </row>
    <row r="9524">
      <c r="A9524" s="21" t="str">
        <f t="shared" si="3"/>
        <v/>
      </c>
      <c r="B9524" s="38"/>
      <c r="C9524" s="23"/>
      <c r="D9524" s="23"/>
      <c r="E9524" s="24"/>
      <c r="F9524" s="25"/>
      <c r="G9524" s="25"/>
      <c r="H9524" s="27"/>
      <c r="I9524" s="28"/>
      <c r="J9524" s="39"/>
      <c r="K9524" s="41"/>
      <c r="L9524" s="31" t="str">
        <f>IFERROR(__xludf.DUMMYFUNCTION("IF(OR(E9524="""",K9524=""""),"""",IFERROR(IF(K9524="""","""",query('tbl user'!$A$2:$D10975,""SELECT A WHERE D = '""&amp;K9524&amp;""'"")),""USER TIDAK DIKETAHUI""))"),"")</f>
        <v/>
      </c>
    </row>
    <row r="9525">
      <c r="A9525" s="21" t="str">
        <f t="shared" si="3"/>
        <v/>
      </c>
      <c r="B9525" s="38"/>
      <c r="C9525" s="23"/>
      <c r="D9525" s="23"/>
      <c r="E9525" s="24"/>
      <c r="F9525" s="25"/>
      <c r="G9525" s="25"/>
      <c r="H9525" s="27"/>
      <c r="I9525" s="28"/>
      <c r="J9525" s="39"/>
      <c r="K9525" s="41"/>
      <c r="L9525" s="31" t="str">
        <f>IFERROR(__xludf.DUMMYFUNCTION("IF(OR(E9525="""",K9525=""""),"""",IFERROR(IF(K9525="""","""",query('tbl user'!$A$2:$D10975,""SELECT A WHERE D = '""&amp;K9525&amp;""'"")),""USER TIDAK DIKETAHUI""))"),"")</f>
        <v/>
      </c>
    </row>
    <row r="9526">
      <c r="A9526" s="21" t="str">
        <f t="shared" si="3"/>
        <v/>
      </c>
      <c r="B9526" s="38"/>
      <c r="C9526" s="23"/>
      <c r="D9526" s="23"/>
      <c r="E9526" s="24"/>
      <c r="F9526" s="25"/>
      <c r="G9526" s="25"/>
      <c r="H9526" s="27"/>
      <c r="I9526" s="28"/>
      <c r="J9526" s="39"/>
      <c r="K9526" s="41"/>
      <c r="L9526" s="31" t="str">
        <f>IFERROR(__xludf.DUMMYFUNCTION("IF(OR(E9526="""",K9526=""""),"""",IFERROR(IF(K9526="""","""",query('tbl user'!$A$2:$D10975,""SELECT A WHERE D = '""&amp;K9526&amp;""'"")),""USER TIDAK DIKETAHUI""))"),"")</f>
        <v/>
      </c>
    </row>
    <row r="9527">
      <c r="A9527" s="21" t="str">
        <f t="shared" si="3"/>
        <v/>
      </c>
      <c r="B9527" s="38"/>
      <c r="C9527" s="23"/>
      <c r="D9527" s="23"/>
      <c r="E9527" s="24"/>
      <c r="F9527" s="25"/>
      <c r="G9527" s="25"/>
      <c r="H9527" s="27"/>
      <c r="I9527" s="28"/>
      <c r="J9527" s="39"/>
      <c r="K9527" s="41"/>
      <c r="L9527" s="31" t="str">
        <f>IFERROR(__xludf.DUMMYFUNCTION("IF(OR(E9527="""",K9527=""""),"""",IFERROR(IF(K9527="""","""",query('tbl user'!$A$2:$D10975,""SELECT A WHERE D = '""&amp;K9527&amp;""'"")),""USER TIDAK DIKETAHUI""))"),"")</f>
        <v/>
      </c>
    </row>
    <row r="9528">
      <c r="A9528" s="21" t="str">
        <f t="shared" si="3"/>
        <v/>
      </c>
      <c r="B9528" s="38"/>
      <c r="C9528" s="23"/>
      <c r="D9528" s="23"/>
      <c r="E9528" s="24"/>
      <c r="F9528" s="25"/>
      <c r="G9528" s="25"/>
      <c r="H9528" s="27"/>
      <c r="I9528" s="28"/>
      <c r="J9528" s="39"/>
      <c r="K9528" s="41"/>
      <c r="L9528" s="31" t="str">
        <f>IFERROR(__xludf.DUMMYFUNCTION("IF(OR(E9528="""",K9528=""""),"""",IFERROR(IF(K9528="""","""",query('tbl user'!$A$2:$D10975,""SELECT A WHERE D = '""&amp;K9528&amp;""'"")),""USER TIDAK DIKETAHUI""))"),"")</f>
        <v/>
      </c>
    </row>
    <row r="9529">
      <c r="A9529" s="21" t="str">
        <f t="shared" si="3"/>
        <v/>
      </c>
      <c r="B9529" s="38"/>
      <c r="C9529" s="23"/>
      <c r="D9529" s="23"/>
      <c r="E9529" s="24"/>
      <c r="F9529" s="25"/>
      <c r="G9529" s="25"/>
      <c r="H9529" s="27"/>
      <c r="I9529" s="28"/>
      <c r="J9529" s="39"/>
      <c r="K9529" s="41"/>
      <c r="L9529" s="31" t="str">
        <f>IFERROR(__xludf.DUMMYFUNCTION("IF(OR(E9529="""",K9529=""""),"""",IFERROR(IF(K9529="""","""",query('tbl user'!$A$2:$D10975,""SELECT A WHERE D = '""&amp;K9529&amp;""'"")),""USER TIDAK DIKETAHUI""))"),"")</f>
        <v/>
      </c>
    </row>
    <row r="9530">
      <c r="A9530" s="21" t="str">
        <f t="shared" si="3"/>
        <v/>
      </c>
      <c r="B9530" s="38"/>
      <c r="C9530" s="23"/>
      <c r="D9530" s="23"/>
      <c r="E9530" s="24"/>
      <c r="F9530" s="25"/>
      <c r="G9530" s="25"/>
      <c r="H9530" s="27"/>
      <c r="I9530" s="28"/>
      <c r="J9530" s="39"/>
      <c r="K9530" s="41"/>
      <c r="L9530" s="31" t="str">
        <f>IFERROR(__xludf.DUMMYFUNCTION("IF(OR(E9530="""",K9530=""""),"""",IFERROR(IF(K9530="""","""",query('tbl user'!$A$2:$D10975,""SELECT A WHERE D = '""&amp;K9530&amp;""'"")),""USER TIDAK DIKETAHUI""))"),"")</f>
        <v/>
      </c>
    </row>
    <row r="9531">
      <c r="A9531" s="21" t="str">
        <f t="shared" si="3"/>
        <v/>
      </c>
      <c r="B9531" s="38"/>
      <c r="C9531" s="23"/>
      <c r="D9531" s="23"/>
      <c r="E9531" s="24"/>
      <c r="F9531" s="25"/>
      <c r="G9531" s="25"/>
      <c r="H9531" s="27"/>
      <c r="I9531" s="28"/>
      <c r="J9531" s="39"/>
      <c r="K9531" s="41"/>
      <c r="L9531" s="31" t="str">
        <f>IFERROR(__xludf.DUMMYFUNCTION("IF(OR(E9531="""",K9531=""""),"""",IFERROR(IF(K9531="""","""",query('tbl user'!$A$2:$D10975,""SELECT A WHERE D = '""&amp;K9531&amp;""'"")),""USER TIDAK DIKETAHUI""))"),"")</f>
        <v/>
      </c>
    </row>
    <row r="9532">
      <c r="A9532" s="21" t="str">
        <f t="shared" si="3"/>
        <v/>
      </c>
      <c r="B9532" s="38"/>
      <c r="C9532" s="23"/>
      <c r="D9532" s="23"/>
      <c r="E9532" s="24"/>
      <c r="F9532" s="25"/>
      <c r="G9532" s="25"/>
      <c r="H9532" s="27"/>
      <c r="I9532" s="28"/>
      <c r="J9532" s="39"/>
      <c r="K9532" s="41"/>
      <c r="L9532" s="31" t="str">
        <f>IFERROR(__xludf.DUMMYFUNCTION("IF(OR(E9532="""",K9532=""""),"""",IFERROR(IF(K9532="""","""",query('tbl user'!$A$2:$D10975,""SELECT A WHERE D = '""&amp;K9532&amp;""'"")),""USER TIDAK DIKETAHUI""))"),"")</f>
        <v/>
      </c>
    </row>
    <row r="9533">
      <c r="A9533" s="21" t="str">
        <f t="shared" si="3"/>
        <v/>
      </c>
      <c r="B9533" s="38"/>
      <c r="C9533" s="23"/>
      <c r="D9533" s="23"/>
      <c r="E9533" s="24"/>
      <c r="F9533" s="25"/>
      <c r="G9533" s="25"/>
      <c r="H9533" s="27"/>
      <c r="I9533" s="28"/>
      <c r="J9533" s="39"/>
      <c r="K9533" s="41"/>
      <c r="L9533" s="31" t="str">
        <f>IFERROR(__xludf.DUMMYFUNCTION("IF(OR(E9533="""",K9533=""""),"""",IFERROR(IF(K9533="""","""",query('tbl user'!$A$2:$D10975,""SELECT A WHERE D = '""&amp;K9533&amp;""'"")),""USER TIDAK DIKETAHUI""))"),"")</f>
        <v/>
      </c>
    </row>
    <row r="9534">
      <c r="A9534" s="21" t="str">
        <f t="shared" si="3"/>
        <v/>
      </c>
      <c r="B9534" s="38"/>
      <c r="C9534" s="23"/>
      <c r="D9534" s="23"/>
      <c r="E9534" s="24"/>
      <c r="F9534" s="25"/>
      <c r="G9534" s="25"/>
      <c r="H9534" s="27"/>
      <c r="I9534" s="28"/>
      <c r="J9534" s="39"/>
      <c r="K9534" s="41"/>
      <c r="L9534" s="31" t="str">
        <f>IFERROR(__xludf.DUMMYFUNCTION("IF(OR(E9534="""",K9534=""""),"""",IFERROR(IF(K9534="""","""",query('tbl user'!$A$2:$D10975,""SELECT A WHERE D = '""&amp;K9534&amp;""'"")),""USER TIDAK DIKETAHUI""))"),"")</f>
        <v/>
      </c>
    </row>
    <row r="9535">
      <c r="A9535" s="21" t="str">
        <f t="shared" si="3"/>
        <v/>
      </c>
      <c r="B9535" s="38"/>
      <c r="C9535" s="23"/>
      <c r="D9535" s="23"/>
      <c r="E9535" s="24"/>
      <c r="F9535" s="25"/>
      <c r="G9535" s="25"/>
      <c r="H9535" s="27"/>
      <c r="I9535" s="28"/>
      <c r="J9535" s="39"/>
      <c r="K9535" s="41"/>
      <c r="L9535" s="31" t="str">
        <f>IFERROR(__xludf.DUMMYFUNCTION("IF(OR(E9535="""",K9535=""""),"""",IFERROR(IF(K9535="""","""",query('tbl user'!$A$2:$D10975,""SELECT A WHERE D = '""&amp;K9535&amp;""'"")),""USER TIDAK DIKETAHUI""))"),"")</f>
        <v/>
      </c>
    </row>
    <row r="9536">
      <c r="A9536" s="21" t="str">
        <f t="shared" si="3"/>
        <v/>
      </c>
      <c r="B9536" s="38"/>
      <c r="C9536" s="23"/>
      <c r="D9536" s="23"/>
      <c r="E9536" s="24"/>
      <c r="F9536" s="25"/>
      <c r="G9536" s="25"/>
      <c r="H9536" s="27"/>
      <c r="I9536" s="28"/>
      <c r="J9536" s="39"/>
      <c r="K9536" s="41"/>
      <c r="L9536" s="31" t="str">
        <f>IFERROR(__xludf.DUMMYFUNCTION("IF(OR(E9536="""",K9536=""""),"""",IFERROR(IF(K9536="""","""",query('tbl user'!$A$2:$D10975,""SELECT A WHERE D = '""&amp;K9536&amp;""'"")),""USER TIDAK DIKETAHUI""))"),"")</f>
        <v/>
      </c>
    </row>
    <row r="9537">
      <c r="A9537" s="21" t="str">
        <f t="shared" si="3"/>
        <v/>
      </c>
      <c r="B9537" s="38"/>
      <c r="C9537" s="23"/>
      <c r="D9537" s="23"/>
      <c r="E9537" s="24"/>
      <c r="F9537" s="25"/>
      <c r="G9537" s="25"/>
      <c r="H9537" s="27"/>
      <c r="I9537" s="28"/>
      <c r="J9537" s="39"/>
      <c r="K9537" s="41"/>
      <c r="L9537" s="31" t="str">
        <f>IFERROR(__xludf.DUMMYFUNCTION("IF(OR(E9537="""",K9537=""""),"""",IFERROR(IF(K9537="""","""",query('tbl user'!$A$2:$D10975,""SELECT A WHERE D = '""&amp;K9537&amp;""'"")),""USER TIDAK DIKETAHUI""))"),"")</f>
        <v/>
      </c>
    </row>
    <row r="9538">
      <c r="A9538" s="21" t="str">
        <f t="shared" si="3"/>
        <v/>
      </c>
      <c r="B9538" s="38"/>
      <c r="C9538" s="23"/>
      <c r="D9538" s="23"/>
      <c r="E9538" s="24"/>
      <c r="F9538" s="25"/>
      <c r="G9538" s="25"/>
      <c r="H9538" s="27"/>
      <c r="I9538" s="28"/>
      <c r="J9538" s="39"/>
      <c r="K9538" s="41"/>
      <c r="L9538" s="31" t="str">
        <f>IFERROR(__xludf.DUMMYFUNCTION("IF(OR(E9538="""",K9538=""""),"""",IFERROR(IF(K9538="""","""",query('tbl user'!$A$2:$D10975,""SELECT A WHERE D = '""&amp;K9538&amp;""'"")),""USER TIDAK DIKETAHUI""))"),"")</f>
        <v/>
      </c>
    </row>
    <row r="9539">
      <c r="A9539" s="21" t="str">
        <f t="shared" si="3"/>
        <v/>
      </c>
      <c r="B9539" s="38"/>
      <c r="C9539" s="23"/>
      <c r="D9539" s="23"/>
      <c r="E9539" s="24"/>
      <c r="F9539" s="25"/>
      <c r="G9539" s="25"/>
      <c r="H9539" s="27"/>
      <c r="I9539" s="28"/>
      <c r="J9539" s="39"/>
      <c r="K9539" s="41"/>
      <c r="L9539" s="31" t="str">
        <f>IFERROR(__xludf.DUMMYFUNCTION("IF(OR(E9539="""",K9539=""""),"""",IFERROR(IF(K9539="""","""",query('tbl user'!$A$2:$D10975,""SELECT A WHERE D = '""&amp;K9539&amp;""'"")),""USER TIDAK DIKETAHUI""))"),"")</f>
        <v/>
      </c>
    </row>
    <row r="9540">
      <c r="A9540" s="21" t="str">
        <f t="shared" si="3"/>
        <v/>
      </c>
      <c r="B9540" s="38"/>
      <c r="C9540" s="23"/>
      <c r="D9540" s="23"/>
      <c r="E9540" s="24"/>
      <c r="F9540" s="25"/>
      <c r="G9540" s="25"/>
      <c r="H9540" s="27"/>
      <c r="I9540" s="28"/>
      <c r="J9540" s="39"/>
      <c r="K9540" s="41"/>
      <c r="L9540" s="31" t="str">
        <f>IFERROR(__xludf.DUMMYFUNCTION("IF(OR(E9540="""",K9540=""""),"""",IFERROR(IF(K9540="""","""",query('tbl user'!$A$2:$D10975,""SELECT A WHERE D = '""&amp;K9540&amp;""'"")),""USER TIDAK DIKETAHUI""))"),"")</f>
        <v/>
      </c>
    </row>
    <row r="9541">
      <c r="A9541" s="21" t="str">
        <f t="shared" si="3"/>
        <v/>
      </c>
      <c r="B9541" s="38"/>
      <c r="C9541" s="23"/>
      <c r="D9541" s="23"/>
      <c r="E9541" s="24"/>
      <c r="F9541" s="25"/>
      <c r="G9541" s="25"/>
      <c r="H9541" s="27"/>
      <c r="I9541" s="28"/>
      <c r="J9541" s="39"/>
      <c r="K9541" s="41"/>
      <c r="L9541" s="31" t="str">
        <f>IFERROR(__xludf.DUMMYFUNCTION("IF(OR(E9541="""",K9541=""""),"""",IFERROR(IF(K9541="""","""",query('tbl user'!$A$2:$D10975,""SELECT A WHERE D = '""&amp;K9541&amp;""'"")),""USER TIDAK DIKETAHUI""))"),"")</f>
        <v/>
      </c>
    </row>
    <row r="9542">
      <c r="A9542" s="21" t="str">
        <f t="shared" si="3"/>
        <v/>
      </c>
      <c r="B9542" s="38"/>
      <c r="C9542" s="23"/>
      <c r="D9542" s="23"/>
      <c r="E9542" s="24"/>
      <c r="F9542" s="25"/>
      <c r="G9542" s="25"/>
      <c r="H9542" s="27"/>
      <c r="I9542" s="28"/>
      <c r="J9542" s="39"/>
      <c r="K9542" s="41"/>
      <c r="L9542" s="31" t="str">
        <f>IFERROR(__xludf.DUMMYFUNCTION("IF(OR(E9542="""",K9542=""""),"""",IFERROR(IF(K9542="""","""",query('tbl user'!$A$2:$D10975,""SELECT A WHERE D = '""&amp;K9542&amp;""'"")),""USER TIDAK DIKETAHUI""))"),"")</f>
        <v/>
      </c>
    </row>
    <row r="9543">
      <c r="A9543" s="21" t="str">
        <f t="shared" si="3"/>
        <v/>
      </c>
      <c r="B9543" s="38"/>
      <c r="C9543" s="23"/>
      <c r="D9543" s="23"/>
      <c r="E9543" s="24"/>
      <c r="F9543" s="25"/>
      <c r="G9543" s="25"/>
      <c r="H9543" s="27"/>
      <c r="I9543" s="28"/>
      <c r="J9543" s="39"/>
      <c r="K9543" s="41"/>
      <c r="L9543" s="31" t="str">
        <f>IFERROR(__xludf.DUMMYFUNCTION("IF(OR(E9543="""",K9543=""""),"""",IFERROR(IF(K9543="""","""",query('tbl user'!$A$2:$D10975,""SELECT A WHERE D = '""&amp;K9543&amp;""'"")),""USER TIDAK DIKETAHUI""))"),"")</f>
        <v/>
      </c>
    </row>
    <row r="9544">
      <c r="A9544" s="21" t="str">
        <f t="shared" si="3"/>
        <v/>
      </c>
      <c r="B9544" s="38"/>
      <c r="C9544" s="23"/>
      <c r="D9544" s="23"/>
      <c r="E9544" s="24"/>
      <c r="F9544" s="25"/>
      <c r="G9544" s="25"/>
      <c r="H9544" s="27"/>
      <c r="I9544" s="28"/>
      <c r="J9544" s="39"/>
      <c r="K9544" s="41"/>
      <c r="L9544" s="31" t="str">
        <f>IFERROR(__xludf.DUMMYFUNCTION("IF(OR(E9544="""",K9544=""""),"""",IFERROR(IF(K9544="""","""",query('tbl user'!$A$2:$D10975,""SELECT A WHERE D = '""&amp;K9544&amp;""'"")),""USER TIDAK DIKETAHUI""))"),"")</f>
        <v/>
      </c>
    </row>
    <row r="9545">
      <c r="A9545" s="21" t="str">
        <f t="shared" si="3"/>
        <v/>
      </c>
      <c r="B9545" s="38"/>
      <c r="C9545" s="23"/>
      <c r="D9545" s="23"/>
      <c r="E9545" s="24"/>
      <c r="F9545" s="25"/>
      <c r="G9545" s="25"/>
      <c r="H9545" s="27"/>
      <c r="I9545" s="28"/>
      <c r="J9545" s="39"/>
      <c r="K9545" s="41"/>
      <c r="L9545" s="31" t="str">
        <f>IFERROR(__xludf.DUMMYFUNCTION("IF(OR(E9545="""",K9545=""""),"""",IFERROR(IF(K9545="""","""",query('tbl user'!$A$2:$D10975,""SELECT A WHERE D = '""&amp;K9545&amp;""'"")),""USER TIDAK DIKETAHUI""))"),"")</f>
        <v/>
      </c>
    </row>
    <row r="9546">
      <c r="A9546" s="21" t="str">
        <f t="shared" si="3"/>
        <v/>
      </c>
      <c r="B9546" s="38"/>
      <c r="C9546" s="23"/>
      <c r="D9546" s="23"/>
      <c r="E9546" s="24"/>
      <c r="F9546" s="25"/>
      <c r="G9546" s="25"/>
      <c r="H9546" s="27"/>
      <c r="I9546" s="28"/>
      <c r="J9546" s="39"/>
      <c r="K9546" s="41"/>
      <c r="L9546" s="31" t="str">
        <f>IFERROR(__xludf.DUMMYFUNCTION("IF(OR(E9546="""",K9546=""""),"""",IFERROR(IF(K9546="""","""",query('tbl user'!$A$2:$D10975,""SELECT A WHERE D = '""&amp;K9546&amp;""'"")),""USER TIDAK DIKETAHUI""))"),"")</f>
        <v/>
      </c>
    </row>
    <row r="9547">
      <c r="A9547" s="21" t="str">
        <f t="shared" si="3"/>
        <v/>
      </c>
      <c r="B9547" s="38"/>
      <c r="C9547" s="23"/>
      <c r="D9547" s="23"/>
      <c r="E9547" s="24"/>
      <c r="F9547" s="25"/>
      <c r="G9547" s="25"/>
      <c r="H9547" s="27"/>
      <c r="I9547" s="28"/>
      <c r="J9547" s="39"/>
      <c r="K9547" s="41"/>
      <c r="L9547" s="31" t="str">
        <f>IFERROR(__xludf.DUMMYFUNCTION("IF(OR(E9547="""",K9547=""""),"""",IFERROR(IF(K9547="""","""",query('tbl user'!$A$2:$D10975,""SELECT A WHERE D = '""&amp;K9547&amp;""'"")),""USER TIDAK DIKETAHUI""))"),"")</f>
        <v/>
      </c>
    </row>
    <row r="9548">
      <c r="A9548" s="21" t="str">
        <f t="shared" si="3"/>
        <v/>
      </c>
      <c r="B9548" s="38"/>
      <c r="C9548" s="23"/>
      <c r="D9548" s="23"/>
      <c r="E9548" s="24"/>
      <c r="F9548" s="25"/>
      <c r="G9548" s="25"/>
      <c r="H9548" s="27"/>
      <c r="I9548" s="28"/>
      <c r="J9548" s="39"/>
      <c r="K9548" s="41"/>
      <c r="L9548" s="31" t="str">
        <f>IFERROR(__xludf.DUMMYFUNCTION("IF(OR(E9548="""",K9548=""""),"""",IFERROR(IF(K9548="""","""",query('tbl user'!$A$2:$D10975,""SELECT A WHERE D = '""&amp;K9548&amp;""'"")),""USER TIDAK DIKETAHUI""))"),"")</f>
        <v/>
      </c>
    </row>
    <row r="9549">
      <c r="A9549" s="21" t="str">
        <f t="shared" si="3"/>
        <v/>
      </c>
      <c r="B9549" s="38"/>
      <c r="C9549" s="23"/>
      <c r="D9549" s="23"/>
      <c r="E9549" s="24"/>
      <c r="F9549" s="25"/>
      <c r="G9549" s="25"/>
      <c r="H9549" s="27"/>
      <c r="I9549" s="28"/>
      <c r="J9549" s="39"/>
      <c r="K9549" s="41"/>
      <c r="L9549" s="31" t="str">
        <f>IFERROR(__xludf.DUMMYFUNCTION("IF(OR(E9549="""",K9549=""""),"""",IFERROR(IF(K9549="""","""",query('tbl user'!$A$2:$D10975,""SELECT A WHERE D = '""&amp;K9549&amp;""'"")),""USER TIDAK DIKETAHUI""))"),"")</f>
        <v/>
      </c>
    </row>
    <row r="9550">
      <c r="A9550" s="21" t="str">
        <f t="shared" si="3"/>
        <v/>
      </c>
      <c r="B9550" s="38"/>
      <c r="C9550" s="23"/>
      <c r="D9550" s="23"/>
      <c r="E9550" s="24"/>
      <c r="F9550" s="25"/>
      <c r="G9550" s="25"/>
      <c r="H9550" s="27"/>
      <c r="I9550" s="28"/>
      <c r="J9550" s="39"/>
      <c r="K9550" s="41"/>
      <c r="L9550" s="31" t="str">
        <f>IFERROR(__xludf.DUMMYFUNCTION("IF(OR(E9550="""",K9550=""""),"""",IFERROR(IF(K9550="""","""",query('tbl user'!$A$2:$D10975,""SELECT A WHERE D = '""&amp;K9550&amp;""'"")),""USER TIDAK DIKETAHUI""))"),"")</f>
        <v/>
      </c>
    </row>
    <row r="9551">
      <c r="A9551" s="21" t="str">
        <f t="shared" si="3"/>
        <v/>
      </c>
      <c r="B9551" s="38"/>
      <c r="C9551" s="23"/>
      <c r="D9551" s="23"/>
      <c r="E9551" s="24"/>
      <c r="F9551" s="25"/>
      <c r="G9551" s="25"/>
      <c r="H9551" s="27"/>
      <c r="I9551" s="28"/>
      <c r="J9551" s="39"/>
      <c r="K9551" s="41"/>
      <c r="L9551" s="31" t="str">
        <f>IFERROR(__xludf.DUMMYFUNCTION("IF(OR(E9551="""",K9551=""""),"""",IFERROR(IF(K9551="""","""",query('tbl user'!$A$2:$D10975,""SELECT A WHERE D = '""&amp;K9551&amp;""'"")),""USER TIDAK DIKETAHUI""))"),"")</f>
        <v/>
      </c>
    </row>
    <row r="9552">
      <c r="A9552" s="21" t="str">
        <f t="shared" si="3"/>
        <v/>
      </c>
      <c r="B9552" s="38"/>
      <c r="C9552" s="23"/>
      <c r="D9552" s="23"/>
      <c r="E9552" s="24"/>
      <c r="F9552" s="25"/>
      <c r="G9552" s="25"/>
      <c r="H9552" s="27"/>
      <c r="I9552" s="28"/>
      <c r="J9552" s="39"/>
      <c r="K9552" s="41"/>
      <c r="L9552" s="31" t="str">
        <f>IFERROR(__xludf.DUMMYFUNCTION("IF(OR(E9552="""",K9552=""""),"""",IFERROR(IF(K9552="""","""",query('tbl user'!$A$2:$D10975,""SELECT A WHERE D = '""&amp;K9552&amp;""'"")),""USER TIDAK DIKETAHUI""))"),"")</f>
        <v/>
      </c>
    </row>
    <row r="9553">
      <c r="A9553" s="21" t="str">
        <f t="shared" si="3"/>
        <v/>
      </c>
      <c r="B9553" s="38"/>
      <c r="C9553" s="23"/>
      <c r="D9553" s="23"/>
      <c r="E9553" s="24"/>
      <c r="F9553" s="25"/>
      <c r="G9553" s="25"/>
      <c r="H9553" s="27"/>
      <c r="I9553" s="28"/>
      <c r="J9553" s="39"/>
      <c r="K9553" s="41"/>
      <c r="L9553" s="31" t="str">
        <f>IFERROR(__xludf.DUMMYFUNCTION("IF(OR(E9553="""",K9553=""""),"""",IFERROR(IF(K9553="""","""",query('tbl user'!$A$2:$D10975,""SELECT A WHERE D = '""&amp;K9553&amp;""'"")),""USER TIDAK DIKETAHUI""))"),"")</f>
        <v/>
      </c>
    </row>
    <row r="9554">
      <c r="A9554" s="21" t="str">
        <f t="shared" si="3"/>
        <v/>
      </c>
      <c r="B9554" s="38"/>
      <c r="C9554" s="23"/>
      <c r="D9554" s="23"/>
      <c r="E9554" s="24"/>
      <c r="F9554" s="25"/>
      <c r="G9554" s="25"/>
      <c r="H9554" s="27"/>
      <c r="I9554" s="28"/>
      <c r="J9554" s="39"/>
      <c r="K9554" s="41"/>
      <c r="L9554" s="31" t="str">
        <f>IFERROR(__xludf.DUMMYFUNCTION("IF(OR(E9554="""",K9554=""""),"""",IFERROR(IF(K9554="""","""",query('tbl user'!$A$2:$D10975,""SELECT A WHERE D = '""&amp;K9554&amp;""'"")),""USER TIDAK DIKETAHUI""))"),"")</f>
        <v/>
      </c>
    </row>
    <row r="9555">
      <c r="A9555" s="21" t="str">
        <f t="shared" si="3"/>
        <v/>
      </c>
      <c r="B9555" s="38"/>
      <c r="C9555" s="23"/>
      <c r="D9555" s="23"/>
      <c r="E9555" s="24"/>
      <c r="F9555" s="25"/>
      <c r="G9555" s="25"/>
      <c r="H9555" s="27"/>
      <c r="I9555" s="28"/>
      <c r="J9555" s="39"/>
      <c r="K9555" s="41"/>
      <c r="L9555" s="31" t="str">
        <f>IFERROR(__xludf.DUMMYFUNCTION("IF(OR(E9555="""",K9555=""""),"""",IFERROR(IF(K9555="""","""",query('tbl user'!$A$2:$D10975,""SELECT A WHERE D = '""&amp;K9555&amp;""'"")),""USER TIDAK DIKETAHUI""))"),"")</f>
        <v/>
      </c>
    </row>
    <row r="9556">
      <c r="A9556" s="21" t="str">
        <f t="shared" si="3"/>
        <v/>
      </c>
      <c r="B9556" s="38"/>
      <c r="C9556" s="23"/>
      <c r="D9556" s="23"/>
      <c r="E9556" s="24"/>
      <c r="F9556" s="25"/>
      <c r="G9556" s="25"/>
      <c r="H9556" s="27"/>
      <c r="I9556" s="28"/>
      <c r="J9556" s="39"/>
      <c r="K9556" s="41"/>
      <c r="L9556" s="31" t="str">
        <f>IFERROR(__xludf.DUMMYFUNCTION("IF(OR(E9556="""",K9556=""""),"""",IFERROR(IF(K9556="""","""",query('tbl user'!$A$2:$D10975,""SELECT A WHERE D = '""&amp;K9556&amp;""'"")),""USER TIDAK DIKETAHUI""))"),"")</f>
        <v/>
      </c>
    </row>
    <row r="9557">
      <c r="A9557" s="21" t="str">
        <f t="shared" si="3"/>
        <v/>
      </c>
      <c r="B9557" s="38"/>
      <c r="C9557" s="23"/>
      <c r="D9557" s="23"/>
      <c r="E9557" s="24"/>
      <c r="F9557" s="25"/>
      <c r="G9557" s="25"/>
      <c r="H9557" s="27"/>
      <c r="I9557" s="28"/>
      <c r="J9557" s="39"/>
      <c r="K9557" s="41"/>
      <c r="L9557" s="31" t="str">
        <f>IFERROR(__xludf.DUMMYFUNCTION("IF(OR(E9557="""",K9557=""""),"""",IFERROR(IF(K9557="""","""",query('tbl user'!$A$2:$D10975,""SELECT A WHERE D = '""&amp;K9557&amp;""'"")),""USER TIDAK DIKETAHUI""))"),"")</f>
        <v/>
      </c>
    </row>
    <row r="9558">
      <c r="A9558" s="21" t="str">
        <f t="shared" si="3"/>
        <v/>
      </c>
      <c r="B9558" s="38"/>
      <c r="C9558" s="23"/>
      <c r="D9558" s="23"/>
      <c r="E9558" s="24"/>
      <c r="F9558" s="25"/>
      <c r="G9558" s="25"/>
      <c r="H9558" s="27"/>
      <c r="I9558" s="28"/>
      <c r="J9558" s="39"/>
      <c r="K9558" s="41"/>
      <c r="L9558" s="31" t="str">
        <f>IFERROR(__xludf.DUMMYFUNCTION("IF(OR(E9558="""",K9558=""""),"""",IFERROR(IF(K9558="""","""",query('tbl user'!$A$2:$D10975,""SELECT A WHERE D = '""&amp;K9558&amp;""'"")),""USER TIDAK DIKETAHUI""))"),"")</f>
        <v/>
      </c>
    </row>
    <row r="9559">
      <c r="A9559" s="21" t="str">
        <f t="shared" si="3"/>
        <v/>
      </c>
      <c r="B9559" s="38"/>
      <c r="C9559" s="23"/>
      <c r="D9559" s="23"/>
      <c r="E9559" s="24"/>
      <c r="F9559" s="25"/>
      <c r="G9559" s="25"/>
      <c r="H9559" s="27"/>
      <c r="I9559" s="28"/>
      <c r="J9559" s="39"/>
      <c r="K9559" s="41"/>
      <c r="L9559" s="31" t="str">
        <f>IFERROR(__xludf.DUMMYFUNCTION("IF(OR(E9559="""",K9559=""""),"""",IFERROR(IF(K9559="""","""",query('tbl user'!$A$2:$D10975,""SELECT A WHERE D = '""&amp;K9559&amp;""'"")),""USER TIDAK DIKETAHUI""))"),"")</f>
        <v/>
      </c>
    </row>
    <row r="9560">
      <c r="A9560" s="21" t="str">
        <f t="shared" si="3"/>
        <v/>
      </c>
      <c r="B9560" s="38"/>
      <c r="C9560" s="23"/>
      <c r="D9560" s="23"/>
      <c r="E9560" s="24"/>
      <c r="F9560" s="25"/>
      <c r="G9560" s="25"/>
      <c r="H9560" s="27"/>
      <c r="I9560" s="28"/>
      <c r="J9560" s="39"/>
      <c r="K9560" s="41"/>
      <c r="L9560" s="31" t="str">
        <f>IFERROR(__xludf.DUMMYFUNCTION("IF(OR(E9560="""",K9560=""""),"""",IFERROR(IF(K9560="""","""",query('tbl user'!$A$2:$D10975,""SELECT A WHERE D = '""&amp;K9560&amp;""'"")),""USER TIDAK DIKETAHUI""))"),"")</f>
        <v/>
      </c>
    </row>
    <row r="9561">
      <c r="A9561" s="21" t="str">
        <f t="shared" si="3"/>
        <v/>
      </c>
      <c r="B9561" s="38"/>
      <c r="C9561" s="23"/>
      <c r="D9561" s="23"/>
      <c r="E9561" s="24"/>
      <c r="F9561" s="25"/>
      <c r="G9561" s="25"/>
      <c r="H9561" s="27"/>
      <c r="I9561" s="28"/>
      <c r="J9561" s="39"/>
      <c r="K9561" s="41"/>
      <c r="L9561" s="31" t="str">
        <f>IFERROR(__xludf.DUMMYFUNCTION("IF(OR(E9561="""",K9561=""""),"""",IFERROR(IF(K9561="""","""",query('tbl user'!$A$2:$D10975,""SELECT A WHERE D = '""&amp;K9561&amp;""'"")),""USER TIDAK DIKETAHUI""))"),"")</f>
        <v/>
      </c>
    </row>
    <row r="9562">
      <c r="A9562" s="21" t="str">
        <f t="shared" si="3"/>
        <v/>
      </c>
      <c r="B9562" s="38"/>
      <c r="C9562" s="23"/>
      <c r="D9562" s="23"/>
      <c r="E9562" s="24"/>
      <c r="F9562" s="25"/>
      <c r="G9562" s="25"/>
      <c r="H9562" s="27"/>
      <c r="I9562" s="28"/>
      <c r="J9562" s="39"/>
      <c r="K9562" s="41"/>
      <c r="L9562" s="31" t="str">
        <f>IFERROR(__xludf.DUMMYFUNCTION("IF(OR(E9562="""",K9562=""""),"""",IFERROR(IF(K9562="""","""",query('tbl user'!$A$2:$D10975,""SELECT A WHERE D = '""&amp;K9562&amp;""'"")),""USER TIDAK DIKETAHUI""))"),"")</f>
        <v/>
      </c>
    </row>
    <row r="9563">
      <c r="A9563" s="21" t="str">
        <f t="shared" si="3"/>
        <v/>
      </c>
      <c r="B9563" s="38"/>
      <c r="C9563" s="23"/>
      <c r="D9563" s="23"/>
      <c r="E9563" s="24"/>
      <c r="F9563" s="25"/>
      <c r="G9563" s="25"/>
      <c r="H9563" s="27"/>
      <c r="I9563" s="28"/>
      <c r="J9563" s="39"/>
      <c r="K9563" s="41"/>
      <c r="L9563" s="31" t="str">
        <f>IFERROR(__xludf.DUMMYFUNCTION("IF(OR(E9563="""",K9563=""""),"""",IFERROR(IF(K9563="""","""",query('tbl user'!$A$2:$D10975,""SELECT A WHERE D = '""&amp;K9563&amp;""'"")),""USER TIDAK DIKETAHUI""))"),"")</f>
        <v/>
      </c>
    </row>
    <row r="9564">
      <c r="A9564" s="21" t="str">
        <f t="shared" si="3"/>
        <v/>
      </c>
      <c r="B9564" s="38"/>
      <c r="C9564" s="23"/>
      <c r="D9564" s="23"/>
      <c r="E9564" s="24"/>
      <c r="F9564" s="25"/>
      <c r="G9564" s="25"/>
      <c r="H9564" s="27"/>
      <c r="I9564" s="28"/>
      <c r="J9564" s="39"/>
      <c r="K9564" s="41"/>
      <c r="L9564" s="31" t="str">
        <f>IFERROR(__xludf.DUMMYFUNCTION("IF(OR(E9564="""",K9564=""""),"""",IFERROR(IF(K9564="""","""",query('tbl user'!$A$2:$D10975,""SELECT A WHERE D = '""&amp;K9564&amp;""'"")),""USER TIDAK DIKETAHUI""))"),"")</f>
        <v/>
      </c>
    </row>
    <row r="9565">
      <c r="A9565" s="21" t="str">
        <f t="shared" si="3"/>
        <v/>
      </c>
      <c r="B9565" s="38"/>
      <c r="C9565" s="23"/>
      <c r="D9565" s="23"/>
      <c r="E9565" s="24"/>
      <c r="F9565" s="25"/>
      <c r="G9565" s="25"/>
      <c r="H9565" s="27"/>
      <c r="I9565" s="28"/>
      <c r="J9565" s="39"/>
      <c r="K9565" s="41"/>
      <c r="L9565" s="31" t="str">
        <f>IFERROR(__xludf.DUMMYFUNCTION("IF(OR(E9565="""",K9565=""""),"""",IFERROR(IF(K9565="""","""",query('tbl user'!$A$2:$D10975,""SELECT A WHERE D = '""&amp;K9565&amp;""'"")),""USER TIDAK DIKETAHUI""))"),"")</f>
        <v/>
      </c>
    </row>
    <row r="9566">
      <c r="A9566" s="21" t="str">
        <f t="shared" si="3"/>
        <v/>
      </c>
      <c r="B9566" s="38"/>
      <c r="C9566" s="23"/>
      <c r="D9566" s="23"/>
      <c r="E9566" s="24"/>
      <c r="F9566" s="25"/>
      <c r="G9566" s="25"/>
      <c r="H9566" s="27"/>
      <c r="I9566" s="28"/>
      <c r="J9566" s="39"/>
      <c r="K9566" s="41"/>
      <c r="L9566" s="31" t="str">
        <f>IFERROR(__xludf.DUMMYFUNCTION("IF(OR(E9566="""",K9566=""""),"""",IFERROR(IF(K9566="""","""",query('tbl user'!$A$2:$D10975,""SELECT A WHERE D = '""&amp;K9566&amp;""'"")),""USER TIDAK DIKETAHUI""))"),"")</f>
        <v/>
      </c>
    </row>
    <row r="9567">
      <c r="A9567" s="21" t="str">
        <f t="shared" si="3"/>
        <v/>
      </c>
      <c r="B9567" s="38"/>
      <c r="C9567" s="23"/>
      <c r="D9567" s="23"/>
      <c r="E9567" s="24"/>
      <c r="F9567" s="25"/>
      <c r="G9567" s="25"/>
      <c r="H9567" s="27"/>
      <c r="I9567" s="28"/>
      <c r="J9567" s="39"/>
      <c r="K9567" s="41"/>
      <c r="L9567" s="31" t="str">
        <f>IFERROR(__xludf.DUMMYFUNCTION("IF(OR(E9567="""",K9567=""""),"""",IFERROR(IF(K9567="""","""",query('tbl user'!$A$2:$D10975,""SELECT A WHERE D = '""&amp;K9567&amp;""'"")),""USER TIDAK DIKETAHUI""))"),"")</f>
        <v/>
      </c>
    </row>
    <row r="9568">
      <c r="A9568" s="21" t="str">
        <f t="shared" si="3"/>
        <v/>
      </c>
      <c r="B9568" s="38"/>
      <c r="C9568" s="23"/>
      <c r="D9568" s="23"/>
      <c r="E9568" s="24"/>
      <c r="F9568" s="25"/>
      <c r="G9568" s="25"/>
      <c r="H9568" s="27"/>
      <c r="I9568" s="28"/>
      <c r="J9568" s="39"/>
      <c r="K9568" s="41"/>
      <c r="L9568" s="31" t="str">
        <f>IFERROR(__xludf.DUMMYFUNCTION("IF(OR(E9568="""",K9568=""""),"""",IFERROR(IF(K9568="""","""",query('tbl user'!$A$2:$D10975,""SELECT A WHERE D = '""&amp;K9568&amp;""'"")),""USER TIDAK DIKETAHUI""))"),"")</f>
        <v/>
      </c>
    </row>
    <row r="9569">
      <c r="A9569" s="21" t="str">
        <f t="shared" si="3"/>
        <v/>
      </c>
      <c r="B9569" s="38"/>
      <c r="C9569" s="23"/>
      <c r="D9569" s="23"/>
      <c r="E9569" s="24"/>
      <c r="F9569" s="25"/>
      <c r="G9569" s="25"/>
      <c r="H9569" s="27"/>
      <c r="I9569" s="28"/>
      <c r="J9569" s="39"/>
      <c r="K9569" s="41"/>
      <c r="L9569" s="31" t="str">
        <f>IFERROR(__xludf.DUMMYFUNCTION("IF(OR(E9569="""",K9569=""""),"""",IFERROR(IF(K9569="""","""",query('tbl user'!$A$2:$D10975,""SELECT A WHERE D = '""&amp;K9569&amp;""'"")),""USER TIDAK DIKETAHUI""))"),"")</f>
        <v/>
      </c>
    </row>
    <row r="9570">
      <c r="A9570" s="21" t="str">
        <f t="shared" si="3"/>
        <v/>
      </c>
      <c r="B9570" s="38"/>
      <c r="C9570" s="23"/>
      <c r="D9570" s="23"/>
      <c r="E9570" s="24"/>
      <c r="F9570" s="25"/>
      <c r="G9570" s="25"/>
      <c r="H9570" s="27"/>
      <c r="I9570" s="28"/>
      <c r="J9570" s="39"/>
      <c r="K9570" s="41"/>
      <c r="L9570" s="31" t="str">
        <f>IFERROR(__xludf.DUMMYFUNCTION("IF(OR(E9570="""",K9570=""""),"""",IFERROR(IF(K9570="""","""",query('tbl user'!$A$2:$D10975,""SELECT A WHERE D = '""&amp;K9570&amp;""'"")),""USER TIDAK DIKETAHUI""))"),"")</f>
        <v/>
      </c>
    </row>
    <row r="9571">
      <c r="A9571" s="21" t="str">
        <f t="shared" si="3"/>
        <v/>
      </c>
      <c r="B9571" s="38"/>
      <c r="C9571" s="23"/>
      <c r="D9571" s="23"/>
      <c r="E9571" s="24"/>
      <c r="F9571" s="25"/>
      <c r="G9571" s="25"/>
      <c r="H9571" s="27"/>
      <c r="I9571" s="28"/>
      <c r="J9571" s="39"/>
      <c r="K9571" s="41"/>
      <c r="L9571" s="31" t="str">
        <f>IFERROR(__xludf.DUMMYFUNCTION("IF(OR(E9571="""",K9571=""""),"""",IFERROR(IF(K9571="""","""",query('tbl user'!$A$2:$D10975,""SELECT A WHERE D = '""&amp;K9571&amp;""'"")),""USER TIDAK DIKETAHUI""))"),"")</f>
        <v/>
      </c>
    </row>
    <row r="9572">
      <c r="A9572" s="21" t="str">
        <f t="shared" si="3"/>
        <v/>
      </c>
      <c r="B9572" s="38"/>
      <c r="C9572" s="23"/>
      <c r="D9572" s="23"/>
      <c r="E9572" s="24"/>
      <c r="F9572" s="25"/>
      <c r="G9572" s="25"/>
      <c r="H9572" s="27"/>
      <c r="I9572" s="28"/>
      <c r="J9572" s="39"/>
      <c r="K9572" s="41"/>
      <c r="L9572" s="31" t="str">
        <f>IFERROR(__xludf.DUMMYFUNCTION("IF(OR(E9572="""",K9572=""""),"""",IFERROR(IF(K9572="""","""",query('tbl user'!$A$2:$D10975,""SELECT A WHERE D = '""&amp;K9572&amp;""'"")),""USER TIDAK DIKETAHUI""))"),"")</f>
        <v/>
      </c>
    </row>
    <row r="9573">
      <c r="A9573" s="21" t="str">
        <f t="shared" si="3"/>
        <v/>
      </c>
      <c r="B9573" s="38"/>
      <c r="C9573" s="23"/>
      <c r="D9573" s="23"/>
      <c r="E9573" s="24"/>
      <c r="F9573" s="25"/>
      <c r="G9573" s="25"/>
      <c r="H9573" s="27"/>
      <c r="I9573" s="28"/>
      <c r="J9573" s="39"/>
      <c r="K9573" s="41"/>
      <c r="L9573" s="31" t="str">
        <f>IFERROR(__xludf.DUMMYFUNCTION("IF(OR(E9573="""",K9573=""""),"""",IFERROR(IF(K9573="""","""",query('tbl user'!$A$2:$D10975,""SELECT A WHERE D = '""&amp;K9573&amp;""'"")),""USER TIDAK DIKETAHUI""))"),"")</f>
        <v/>
      </c>
    </row>
    <row r="9574">
      <c r="A9574" s="21" t="str">
        <f t="shared" si="3"/>
        <v/>
      </c>
      <c r="B9574" s="38"/>
      <c r="C9574" s="23"/>
      <c r="D9574" s="23"/>
      <c r="E9574" s="24"/>
      <c r="F9574" s="25"/>
      <c r="G9574" s="25"/>
      <c r="H9574" s="27"/>
      <c r="I9574" s="28"/>
      <c r="J9574" s="39"/>
      <c r="K9574" s="41"/>
      <c r="L9574" s="31" t="str">
        <f>IFERROR(__xludf.DUMMYFUNCTION("IF(OR(E9574="""",K9574=""""),"""",IFERROR(IF(K9574="""","""",query('tbl user'!$A$2:$D10975,""SELECT A WHERE D = '""&amp;K9574&amp;""'"")),""USER TIDAK DIKETAHUI""))"),"")</f>
        <v/>
      </c>
    </row>
    <row r="9575">
      <c r="A9575" s="21" t="str">
        <f t="shared" si="3"/>
        <v/>
      </c>
      <c r="B9575" s="38"/>
      <c r="C9575" s="23"/>
      <c r="D9575" s="23"/>
      <c r="E9575" s="24"/>
      <c r="F9575" s="25"/>
      <c r="G9575" s="25"/>
      <c r="H9575" s="27"/>
      <c r="I9575" s="28"/>
      <c r="J9575" s="39"/>
      <c r="K9575" s="41"/>
      <c r="L9575" s="31" t="str">
        <f>IFERROR(__xludf.DUMMYFUNCTION("IF(OR(E9575="""",K9575=""""),"""",IFERROR(IF(K9575="""","""",query('tbl user'!$A$2:$D10975,""SELECT A WHERE D = '""&amp;K9575&amp;""'"")),""USER TIDAK DIKETAHUI""))"),"")</f>
        <v/>
      </c>
    </row>
    <row r="9576">
      <c r="A9576" s="21" t="str">
        <f t="shared" si="3"/>
        <v/>
      </c>
      <c r="B9576" s="38"/>
      <c r="C9576" s="23"/>
      <c r="D9576" s="23"/>
      <c r="E9576" s="24"/>
      <c r="F9576" s="25"/>
      <c r="G9576" s="25"/>
      <c r="H9576" s="27"/>
      <c r="I9576" s="28"/>
      <c r="J9576" s="39"/>
      <c r="K9576" s="41"/>
      <c r="L9576" s="31" t="str">
        <f>IFERROR(__xludf.DUMMYFUNCTION("IF(OR(E9576="""",K9576=""""),"""",IFERROR(IF(K9576="""","""",query('tbl user'!$A$2:$D10975,""SELECT A WHERE D = '""&amp;K9576&amp;""'"")),""USER TIDAK DIKETAHUI""))"),"")</f>
        <v/>
      </c>
    </row>
    <row r="9577">
      <c r="A9577" s="21" t="str">
        <f t="shared" si="3"/>
        <v/>
      </c>
      <c r="B9577" s="38"/>
      <c r="C9577" s="23"/>
      <c r="D9577" s="23"/>
      <c r="E9577" s="24"/>
      <c r="F9577" s="25"/>
      <c r="G9577" s="25"/>
      <c r="H9577" s="27"/>
      <c r="I9577" s="28"/>
      <c r="J9577" s="39"/>
      <c r="K9577" s="41"/>
      <c r="L9577" s="31" t="str">
        <f>IFERROR(__xludf.DUMMYFUNCTION("IF(OR(E9577="""",K9577=""""),"""",IFERROR(IF(K9577="""","""",query('tbl user'!$A$2:$D10975,""SELECT A WHERE D = '""&amp;K9577&amp;""'"")),""USER TIDAK DIKETAHUI""))"),"")</f>
        <v/>
      </c>
    </row>
    <row r="9578">
      <c r="A9578" s="21" t="str">
        <f t="shared" si="3"/>
        <v/>
      </c>
      <c r="B9578" s="38"/>
      <c r="C9578" s="23"/>
      <c r="D9578" s="23"/>
      <c r="E9578" s="24"/>
      <c r="F9578" s="25"/>
      <c r="G9578" s="25"/>
      <c r="H9578" s="27"/>
      <c r="I9578" s="28"/>
      <c r="J9578" s="39"/>
      <c r="K9578" s="41"/>
      <c r="L9578" s="31" t="str">
        <f>IFERROR(__xludf.DUMMYFUNCTION("IF(OR(E9578="""",K9578=""""),"""",IFERROR(IF(K9578="""","""",query('tbl user'!$A$2:$D10975,""SELECT A WHERE D = '""&amp;K9578&amp;""'"")),""USER TIDAK DIKETAHUI""))"),"")</f>
        <v/>
      </c>
    </row>
    <row r="9579">
      <c r="A9579" s="21" t="str">
        <f t="shared" si="3"/>
        <v/>
      </c>
      <c r="B9579" s="38"/>
      <c r="C9579" s="23"/>
      <c r="D9579" s="23"/>
      <c r="E9579" s="24"/>
      <c r="F9579" s="25"/>
      <c r="G9579" s="25"/>
      <c r="H9579" s="27"/>
      <c r="I9579" s="28"/>
      <c r="J9579" s="39"/>
      <c r="K9579" s="41"/>
      <c r="L9579" s="31" t="str">
        <f>IFERROR(__xludf.DUMMYFUNCTION("IF(OR(E9579="""",K9579=""""),"""",IFERROR(IF(K9579="""","""",query('tbl user'!$A$2:$D10975,""SELECT A WHERE D = '""&amp;K9579&amp;""'"")),""USER TIDAK DIKETAHUI""))"),"")</f>
        <v/>
      </c>
    </row>
    <row r="9580">
      <c r="A9580" s="21" t="str">
        <f t="shared" si="3"/>
        <v/>
      </c>
      <c r="B9580" s="38"/>
      <c r="C9580" s="23"/>
      <c r="D9580" s="23"/>
      <c r="E9580" s="24"/>
      <c r="F9580" s="25"/>
      <c r="G9580" s="25"/>
      <c r="H9580" s="27"/>
      <c r="I9580" s="28"/>
      <c r="J9580" s="39"/>
      <c r="K9580" s="41"/>
      <c r="L9580" s="31" t="str">
        <f>IFERROR(__xludf.DUMMYFUNCTION("IF(OR(E9580="""",K9580=""""),"""",IFERROR(IF(K9580="""","""",query('tbl user'!$A$2:$D10975,""SELECT A WHERE D = '""&amp;K9580&amp;""'"")),""USER TIDAK DIKETAHUI""))"),"")</f>
        <v/>
      </c>
    </row>
    <row r="9581">
      <c r="A9581" s="21" t="str">
        <f t="shared" si="3"/>
        <v/>
      </c>
      <c r="B9581" s="38"/>
      <c r="C9581" s="23"/>
      <c r="D9581" s="23"/>
      <c r="E9581" s="24"/>
      <c r="F9581" s="25"/>
      <c r="G9581" s="25"/>
      <c r="H9581" s="27"/>
      <c r="I9581" s="28"/>
      <c r="J9581" s="39"/>
      <c r="K9581" s="41"/>
      <c r="L9581" s="31" t="str">
        <f>IFERROR(__xludf.DUMMYFUNCTION("IF(OR(E9581="""",K9581=""""),"""",IFERROR(IF(K9581="""","""",query('tbl user'!$A$2:$D10975,""SELECT A WHERE D = '""&amp;K9581&amp;""'"")),""USER TIDAK DIKETAHUI""))"),"")</f>
        <v/>
      </c>
    </row>
    <row r="9582">
      <c r="A9582" s="21" t="str">
        <f t="shared" si="3"/>
        <v/>
      </c>
      <c r="B9582" s="38"/>
      <c r="C9582" s="23"/>
      <c r="D9582" s="23"/>
      <c r="E9582" s="24"/>
      <c r="F9582" s="25"/>
      <c r="G9582" s="25"/>
      <c r="H9582" s="27"/>
      <c r="I9582" s="28"/>
      <c r="J9582" s="39"/>
      <c r="K9582" s="41"/>
      <c r="L9582" s="31" t="str">
        <f>IFERROR(__xludf.DUMMYFUNCTION("IF(OR(E9582="""",K9582=""""),"""",IFERROR(IF(K9582="""","""",query('tbl user'!$A$2:$D10975,""SELECT A WHERE D = '""&amp;K9582&amp;""'"")),""USER TIDAK DIKETAHUI""))"),"")</f>
        <v/>
      </c>
    </row>
    <row r="9583">
      <c r="A9583" s="21" t="str">
        <f t="shared" si="3"/>
        <v/>
      </c>
      <c r="B9583" s="38"/>
      <c r="C9583" s="23"/>
      <c r="D9583" s="23"/>
      <c r="E9583" s="24"/>
      <c r="F9583" s="25"/>
      <c r="G9583" s="25"/>
      <c r="H9583" s="27"/>
      <c r="I9583" s="28"/>
      <c r="J9583" s="39"/>
      <c r="K9583" s="41"/>
      <c r="L9583" s="31" t="str">
        <f>IFERROR(__xludf.DUMMYFUNCTION("IF(OR(E9583="""",K9583=""""),"""",IFERROR(IF(K9583="""","""",query('tbl user'!$A$2:$D10975,""SELECT A WHERE D = '""&amp;K9583&amp;""'"")),""USER TIDAK DIKETAHUI""))"),"")</f>
        <v/>
      </c>
    </row>
    <row r="9584">
      <c r="A9584" s="21" t="str">
        <f t="shared" si="3"/>
        <v/>
      </c>
      <c r="B9584" s="38"/>
      <c r="C9584" s="23"/>
      <c r="D9584" s="23"/>
      <c r="E9584" s="24"/>
      <c r="F9584" s="25"/>
      <c r="G9584" s="25"/>
      <c r="H9584" s="27"/>
      <c r="I9584" s="28"/>
      <c r="J9584" s="39"/>
      <c r="K9584" s="41"/>
      <c r="L9584" s="31" t="str">
        <f>IFERROR(__xludf.DUMMYFUNCTION("IF(OR(E9584="""",K9584=""""),"""",IFERROR(IF(K9584="""","""",query('tbl user'!$A$2:$D10975,""SELECT A WHERE D = '""&amp;K9584&amp;""'"")),""USER TIDAK DIKETAHUI""))"),"")</f>
        <v/>
      </c>
    </row>
    <row r="9585">
      <c r="A9585" s="21" t="str">
        <f t="shared" si="3"/>
        <v/>
      </c>
      <c r="B9585" s="38"/>
      <c r="C9585" s="23"/>
      <c r="D9585" s="23"/>
      <c r="E9585" s="24"/>
      <c r="F9585" s="25"/>
      <c r="G9585" s="25"/>
      <c r="H9585" s="27"/>
      <c r="I9585" s="28"/>
      <c r="J9585" s="39"/>
      <c r="K9585" s="41"/>
      <c r="L9585" s="31" t="str">
        <f>IFERROR(__xludf.DUMMYFUNCTION("IF(OR(E9585="""",K9585=""""),"""",IFERROR(IF(K9585="""","""",query('tbl user'!$A$2:$D10975,""SELECT A WHERE D = '""&amp;K9585&amp;""'"")),""USER TIDAK DIKETAHUI""))"),"")</f>
        <v/>
      </c>
    </row>
    <row r="9586">
      <c r="A9586" s="21" t="str">
        <f t="shared" si="3"/>
        <v/>
      </c>
      <c r="B9586" s="38"/>
      <c r="C9586" s="23"/>
      <c r="D9586" s="23"/>
      <c r="E9586" s="24"/>
      <c r="F9586" s="25"/>
      <c r="G9586" s="25"/>
      <c r="H9586" s="27"/>
      <c r="I9586" s="28"/>
      <c r="J9586" s="39"/>
      <c r="K9586" s="41"/>
      <c r="L9586" s="31" t="str">
        <f>IFERROR(__xludf.DUMMYFUNCTION("IF(OR(E9586="""",K9586=""""),"""",IFERROR(IF(K9586="""","""",query('tbl user'!$A$2:$D10975,""SELECT A WHERE D = '""&amp;K9586&amp;""'"")),""USER TIDAK DIKETAHUI""))"),"")</f>
        <v/>
      </c>
    </row>
    <row r="9587">
      <c r="A9587" s="21" t="str">
        <f t="shared" si="3"/>
        <v/>
      </c>
      <c r="B9587" s="38"/>
      <c r="C9587" s="23"/>
      <c r="D9587" s="23"/>
      <c r="E9587" s="24"/>
      <c r="F9587" s="25"/>
      <c r="G9587" s="25"/>
      <c r="H9587" s="27"/>
      <c r="I9587" s="28"/>
      <c r="J9587" s="39"/>
      <c r="K9587" s="41"/>
      <c r="L9587" s="31" t="str">
        <f>IFERROR(__xludf.DUMMYFUNCTION("IF(OR(E9587="""",K9587=""""),"""",IFERROR(IF(K9587="""","""",query('tbl user'!$A$2:$D10975,""SELECT A WHERE D = '""&amp;K9587&amp;""'"")),""USER TIDAK DIKETAHUI""))"),"")</f>
        <v/>
      </c>
    </row>
    <row r="9588">
      <c r="A9588" s="21" t="str">
        <f t="shared" si="3"/>
        <v/>
      </c>
      <c r="B9588" s="38"/>
      <c r="C9588" s="23"/>
      <c r="D9588" s="23"/>
      <c r="E9588" s="24"/>
      <c r="F9588" s="25"/>
      <c r="G9588" s="25"/>
      <c r="H9588" s="27"/>
      <c r="I9588" s="28"/>
      <c r="J9588" s="39"/>
      <c r="K9588" s="41"/>
      <c r="L9588" s="31" t="str">
        <f>IFERROR(__xludf.DUMMYFUNCTION("IF(OR(E9588="""",K9588=""""),"""",IFERROR(IF(K9588="""","""",query('tbl user'!$A$2:$D10975,""SELECT A WHERE D = '""&amp;K9588&amp;""'"")),""USER TIDAK DIKETAHUI""))"),"")</f>
        <v/>
      </c>
    </row>
    <row r="9589">
      <c r="A9589" s="21" t="str">
        <f t="shared" si="3"/>
        <v/>
      </c>
      <c r="B9589" s="38"/>
      <c r="C9589" s="23"/>
      <c r="D9589" s="23"/>
      <c r="E9589" s="24"/>
      <c r="F9589" s="25"/>
      <c r="G9589" s="25"/>
      <c r="H9589" s="27"/>
      <c r="I9589" s="28"/>
      <c r="J9589" s="39"/>
      <c r="K9589" s="41"/>
      <c r="L9589" s="31" t="str">
        <f>IFERROR(__xludf.DUMMYFUNCTION("IF(OR(E9589="""",K9589=""""),"""",IFERROR(IF(K9589="""","""",query('tbl user'!$A$2:$D10975,""SELECT A WHERE D = '""&amp;K9589&amp;""'"")),""USER TIDAK DIKETAHUI""))"),"")</f>
        <v/>
      </c>
    </row>
    <row r="9590">
      <c r="A9590" s="21" t="str">
        <f t="shared" si="3"/>
        <v/>
      </c>
      <c r="B9590" s="38"/>
      <c r="C9590" s="23"/>
      <c r="D9590" s="23"/>
      <c r="E9590" s="24"/>
      <c r="F9590" s="25"/>
      <c r="G9590" s="25"/>
      <c r="H9590" s="27"/>
      <c r="I9590" s="28"/>
      <c r="J9590" s="39"/>
      <c r="K9590" s="41"/>
      <c r="L9590" s="31" t="str">
        <f>IFERROR(__xludf.DUMMYFUNCTION("IF(OR(E9590="""",K9590=""""),"""",IFERROR(IF(K9590="""","""",query('tbl user'!$A$2:$D10975,""SELECT A WHERE D = '""&amp;K9590&amp;""'"")),""USER TIDAK DIKETAHUI""))"),"")</f>
        <v/>
      </c>
    </row>
    <row r="9591">
      <c r="A9591" s="21" t="str">
        <f t="shared" si="3"/>
        <v/>
      </c>
      <c r="B9591" s="38"/>
      <c r="C9591" s="23"/>
      <c r="D9591" s="23"/>
      <c r="E9591" s="24"/>
      <c r="F9591" s="25"/>
      <c r="G9591" s="25"/>
      <c r="H9591" s="27"/>
      <c r="I9591" s="28"/>
      <c r="J9591" s="39"/>
      <c r="K9591" s="41"/>
      <c r="L9591" s="31" t="str">
        <f>IFERROR(__xludf.DUMMYFUNCTION("IF(OR(E9591="""",K9591=""""),"""",IFERROR(IF(K9591="""","""",query('tbl user'!$A$2:$D10975,""SELECT A WHERE D = '""&amp;K9591&amp;""'"")),""USER TIDAK DIKETAHUI""))"),"")</f>
        <v/>
      </c>
    </row>
    <row r="9592">
      <c r="A9592" s="21" t="str">
        <f t="shared" si="3"/>
        <v/>
      </c>
      <c r="B9592" s="38"/>
      <c r="C9592" s="23"/>
      <c r="D9592" s="23"/>
      <c r="E9592" s="24"/>
      <c r="F9592" s="25"/>
      <c r="G9592" s="25"/>
      <c r="H9592" s="27"/>
      <c r="I9592" s="28"/>
      <c r="J9592" s="39"/>
      <c r="K9592" s="41"/>
      <c r="L9592" s="31" t="str">
        <f>IFERROR(__xludf.DUMMYFUNCTION("IF(OR(E9592="""",K9592=""""),"""",IFERROR(IF(K9592="""","""",query('tbl user'!$A$2:$D10975,""SELECT A WHERE D = '""&amp;K9592&amp;""'"")),""USER TIDAK DIKETAHUI""))"),"")</f>
        <v/>
      </c>
    </row>
    <row r="9593">
      <c r="A9593" s="21" t="str">
        <f t="shared" si="3"/>
        <v/>
      </c>
      <c r="B9593" s="38"/>
      <c r="C9593" s="23"/>
      <c r="D9593" s="23"/>
      <c r="E9593" s="24"/>
      <c r="F9593" s="25"/>
      <c r="G9593" s="25"/>
      <c r="H9593" s="27"/>
      <c r="I9593" s="28"/>
      <c r="J9593" s="39"/>
      <c r="K9593" s="41"/>
      <c r="L9593" s="31" t="str">
        <f>IFERROR(__xludf.DUMMYFUNCTION("IF(OR(E9593="""",K9593=""""),"""",IFERROR(IF(K9593="""","""",query('tbl user'!$A$2:$D10975,""SELECT A WHERE D = '""&amp;K9593&amp;""'"")),""USER TIDAK DIKETAHUI""))"),"")</f>
        <v/>
      </c>
    </row>
    <row r="9594">
      <c r="A9594" s="21" t="str">
        <f t="shared" si="3"/>
        <v/>
      </c>
      <c r="B9594" s="38"/>
      <c r="C9594" s="23"/>
      <c r="D9594" s="23"/>
      <c r="E9594" s="24"/>
      <c r="F9594" s="25"/>
      <c r="G9594" s="25"/>
      <c r="H9594" s="27"/>
      <c r="I9594" s="28"/>
      <c r="J9594" s="39"/>
      <c r="K9594" s="41"/>
      <c r="L9594" s="31" t="str">
        <f>IFERROR(__xludf.DUMMYFUNCTION("IF(OR(E9594="""",K9594=""""),"""",IFERROR(IF(K9594="""","""",query('tbl user'!$A$2:$D10975,""SELECT A WHERE D = '""&amp;K9594&amp;""'"")),""USER TIDAK DIKETAHUI""))"),"")</f>
        <v/>
      </c>
    </row>
    <row r="9595">
      <c r="A9595" s="21" t="str">
        <f t="shared" si="3"/>
        <v/>
      </c>
      <c r="B9595" s="38"/>
      <c r="C9595" s="23"/>
      <c r="D9595" s="23"/>
      <c r="E9595" s="24"/>
      <c r="F9595" s="25"/>
      <c r="G9595" s="25"/>
      <c r="H9595" s="27"/>
      <c r="I9595" s="28"/>
      <c r="J9595" s="39"/>
      <c r="K9595" s="41"/>
      <c r="L9595" s="31" t="str">
        <f>IFERROR(__xludf.DUMMYFUNCTION("IF(OR(E9595="""",K9595=""""),"""",IFERROR(IF(K9595="""","""",query('tbl user'!$A$2:$D10975,""SELECT A WHERE D = '""&amp;K9595&amp;""'"")),""USER TIDAK DIKETAHUI""))"),"")</f>
        <v/>
      </c>
    </row>
    <row r="9596">
      <c r="A9596" s="21" t="str">
        <f t="shared" si="3"/>
        <v/>
      </c>
      <c r="B9596" s="38"/>
      <c r="C9596" s="23"/>
      <c r="D9596" s="23"/>
      <c r="E9596" s="24"/>
      <c r="F9596" s="25"/>
      <c r="G9596" s="25"/>
      <c r="H9596" s="27"/>
      <c r="I9596" s="28"/>
      <c r="J9596" s="39"/>
      <c r="K9596" s="41"/>
      <c r="L9596" s="31" t="str">
        <f>IFERROR(__xludf.DUMMYFUNCTION("IF(OR(E9596="""",K9596=""""),"""",IFERROR(IF(K9596="""","""",query('tbl user'!$A$2:$D10975,""SELECT A WHERE D = '""&amp;K9596&amp;""'"")),""USER TIDAK DIKETAHUI""))"),"")</f>
        <v/>
      </c>
    </row>
    <row r="9597">
      <c r="A9597" s="21" t="str">
        <f t="shared" si="3"/>
        <v/>
      </c>
      <c r="B9597" s="38"/>
      <c r="C9597" s="23"/>
      <c r="D9597" s="23"/>
      <c r="E9597" s="24"/>
      <c r="F9597" s="25"/>
      <c r="G9597" s="25"/>
      <c r="H9597" s="27"/>
      <c r="I9597" s="28"/>
      <c r="J9597" s="39"/>
      <c r="K9597" s="41"/>
      <c r="L9597" s="31" t="str">
        <f>IFERROR(__xludf.DUMMYFUNCTION("IF(OR(E9597="""",K9597=""""),"""",IFERROR(IF(K9597="""","""",query('tbl user'!$A$2:$D10975,""SELECT A WHERE D = '""&amp;K9597&amp;""'"")),""USER TIDAK DIKETAHUI""))"),"")</f>
        <v/>
      </c>
    </row>
    <row r="9598">
      <c r="A9598" s="21" t="str">
        <f t="shared" si="3"/>
        <v/>
      </c>
      <c r="B9598" s="38"/>
      <c r="C9598" s="23"/>
      <c r="D9598" s="23"/>
      <c r="E9598" s="24"/>
      <c r="F9598" s="25"/>
      <c r="G9598" s="25"/>
      <c r="H9598" s="27"/>
      <c r="I9598" s="28"/>
      <c r="J9598" s="39"/>
      <c r="K9598" s="41"/>
      <c r="L9598" s="31" t="str">
        <f>IFERROR(__xludf.DUMMYFUNCTION("IF(OR(E9598="""",K9598=""""),"""",IFERROR(IF(K9598="""","""",query('tbl user'!$A$2:$D10975,""SELECT A WHERE D = '""&amp;K9598&amp;""'"")),""USER TIDAK DIKETAHUI""))"),"")</f>
        <v/>
      </c>
    </row>
    <row r="9599">
      <c r="A9599" s="21" t="str">
        <f t="shared" si="3"/>
        <v/>
      </c>
      <c r="B9599" s="38"/>
      <c r="C9599" s="23"/>
      <c r="D9599" s="23"/>
      <c r="E9599" s="24"/>
      <c r="F9599" s="25"/>
      <c r="G9599" s="25"/>
      <c r="H9599" s="27"/>
      <c r="I9599" s="28"/>
      <c r="J9599" s="39"/>
      <c r="K9599" s="41"/>
      <c r="L9599" s="31" t="str">
        <f>IFERROR(__xludf.DUMMYFUNCTION("IF(OR(E9599="""",K9599=""""),"""",IFERROR(IF(K9599="""","""",query('tbl user'!$A$2:$D10975,""SELECT A WHERE D = '""&amp;K9599&amp;""'"")),""USER TIDAK DIKETAHUI""))"),"")</f>
        <v/>
      </c>
    </row>
    <row r="9600">
      <c r="A9600" s="21" t="str">
        <f t="shared" si="3"/>
        <v/>
      </c>
      <c r="B9600" s="38"/>
      <c r="C9600" s="23"/>
      <c r="D9600" s="23"/>
      <c r="E9600" s="24"/>
      <c r="F9600" s="25"/>
      <c r="G9600" s="25"/>
      <c r="H9600" s="27"/>
      <c r="I9600" s="28"/>
      <c r="J9600" s="39"/>
      <c r="K9600" s="41"/>
      <c r="L9600" s="31" t="str">
        <f>IFERROR(__xludf.DUMMYFUNCTION("IF(OR(E9600="""",K9600=""""),"""",IFERROR(IF(K9600="""","""",query('tbl user'!$A$2:$D10975,""SELECT A WHERE D = '""&amp;K9600&amp;""'"")),""USER TIDAK DIKETAHUI""))"),"")</f>
        <v/>
      </c>
    </row>
    <row r="9601">
      <c r="A9601" s="21" t="str">
        <f t="shared" si="3"/>
        <v/>
      </c>
      <c r="B9601" s="38"/>
      <c r="C9601" s="23"/>
      <c r="D9601" s="23"/>
      <c r="E9601" s="24"/>
      <c r="F9601" s="25"/>
      <c r="G9601" s="25"/>
      <c r="H9601" s="27"/>
      <c r="I9601" s="28"/>
      <c r="J9601" s="39"/>
      <c r="K9601" s="41"/>
      <c r="L9601" s="31" t="str">
        <f>IFERROR(__xludf.DUMMYFUNCTION("IF(OR(E9601="""",K9601=""""),"""",IFERROR(IF(K9601="""","""",query('tbl user'!$A$2:$D10975,""SELECT A WHERE D = '""&amp;K9601&amp;""'"")),""USER TIDAK DIKETAHUI""))"),"")</f>
        <v/>
      </c>
    </row>
    <row r="9602">
      <c r="A9602" s="21" t="str">
        <f t="shared" si="3"/>
        <v/>
      </c>
      <c r="B9602" s="38"/>
      <c r="C9602" s="23"/>
      <c r="D9602" s="23"/>
      <c r="E9602" s="24"/>
      <c r="F9602" s="25"/>
      <c r="G9602" s="25"/>
      <c r="H9602" s="27"/>
      <c r="I9602" s="28"/>
      <c r="J9602" s="39"/>
      <c r="K9602" s="41"/>
      <c r="L9602" s="31" t="str">
        <f>IFERROR(__xludf.DUMMYFUNCTION("IF(OR(E9602="""",K9602=""""),"""",IFERROR(IF(K9602="""","""",query('tbl user'!$A$2:$D10975,""SELECT A WHERE D = '""&amp;K9602&amp;""'"")),""USER TIDAK DIKETAHUI""))"),"")</f>
        <v/>
      </c>
    </row>
    <row r="9603">
      <c r="A9603" s="21" t="str">
        <f t="shared" si="3"/>
        <v/>
      </c>
      <c r="B9603" s="38"/>
      <c r="C9603" s="23"/>
      <c r="D9603" s="23"/>
      <c r="E9603" s="24"/>
      <c r="F9603" s="25"/>
      <c r="G9603" s="25"/>
      <c r="H9603" s="27"/>
      <c r="I9603" s="28"/>
      <c r="J9603" s="39"/>
      <c r="K9603" s="41"/>
      <c r="L9603" s="31" t="str">
        <f>IFERROR(__xludf.DUMMYFUNCTION("IF(OR(E9603="""",K9603=""""),"""",IFERROR(IF(K9603="""","""",query('tbl user'!$A$2:$D10975,""SELECT A WHERE D = '""&amp;K9603&amp;""'"")),""USER TIDAK DIKETAHUI""))"),"")</f>
        <v/>
      </c>
    </row>
    <row r="9604">
      <c r="A9604" s="21" t="str">
        <f t="shared" si="3"/>
        <v/>
      </c>
      <c r="B9604" s="38"/>
      <c r="C9604" s="23"/>
      <c r="D9604" s="23"/>
      <c r="E9604" s="24"/>
      <c r="F9604" s="25"/>
      <c r="G9604" s="25"/>
      <c r="H9604" s="27"/>
      <c r="I9604" s="28"/>
      <c r="J9604" s="39"/>
      <c r="K9604" s="41"/>
      <c r="L9604" s="31" t="str">
        <f>IFERROR(__xludf.DUMMYFUNCTION("IF(OR(E9604="""",K9604=""""),"""",IFERROR(IF(K9604="""","""",query('tbl user'!$A$2:$D10975,""SELECT A WHERE D = '""&amp;K9604&amp;""'"")),""USER TIDAK DIKETAHUI""))"),"")</f>
        <v/>
      </c>
    </row>
    <row r="9605">
      <c r="A9605" s="21" t="str">
        <f t="shared" si="3"/>
        <v/>
      </c>
      <c r="B9605" s="38"/>
      <c r="C9605" s="23"/>
      <c r="D9605" s="23"/>
      <c r="E9605" s="24"/>
      <c r="F9605" s="25"/>
      <c r="G9605" s="25"/>
      <c r="H9605" s="27"/>
      <c r="I9605" s="28"/>
      <c r="J9605" s="39"/>
      <c r="K9605" s="41"/>
      <c r="L9605" s="31" t="str">
        <f>IFERROR(__xludf.DUMMYFUNCTION("IF(OR(E9605="""",K9605=""""),"""",IFERROR(IF(K9605="""","""",query('tbl user'!$A$2:$D10975,""SELECT A WHERE D = '""&amp;K9605&amp;""'"")),""USER TIDAK DIKETAHUI""))"),"")</f>
        <v/>
      </c>
    </row>
    <row r="9606">
      <c r="A9606" s="21" t="str">
        <f t="shared" si="3"/>
        <v/>
      </c>
      <c r="B9606" s="38"/>
      <c r="C9606" s="23"/>
      <c r="D9606" s="23"/>
      <c r="E9606" s="24"/>
      <c r="F9606" s="25"/>
      <c r="G9606" s="25"/>
      <c r="H9606" s="27"/>
      <c r="I9606" s="28"/>
      <c r="J9606" s="39"/>
      <c r="K9606" s="41"/>
      <c r="L9606" s="31" t="str">
        <f>IFERROR(__xludf.DUMMYFUNCTION("IF(OR(E9606="""",K9606=""""),"""",IFERROR(IF(K9606="""","""",query('tbl user'!$A$2:$D10975,""SELECT A WHERE D = '""&amp;K9606&amp;""'"")),""USER TIDAK DIKETAHUI""))"),"")</f>
        <v/>
      </c>
    </row>
    <row r="9607">
      <c r="A9607" s="21" t="str">
        <f t="shared" si="3"/>
        <v/>
      </c>
      <c r="B9607" s="38"/>
      <c r="C9607" s="23"/>
      <c r="D9607" s="23"/>
      <c r="E9607" s="24"/>
      <c r="F9607" s="25"/>
      <c r="G9607" s="25"/>
      <c r="H9607" s="27"/>
      <c r="I9607" s="28"/>
      <c r="J9607" s="39"/>
      <c r="K9607" s="41"/>
      <c r="L9607" s="31" t="str">
        <f>IFERROR(__xludf.DUMMYFUNCTION("IF(OR(E9607="""",K9607=""""),"""",IFERROR(IF(K9607="""","""",query('tbl user'!$A$2:$D10975,""SELECT A WHERE D = '""&amp;K9607&amp;""'"")),""USER TIDAK DIKETAHUI""))"),"")</f>
        <v/>
      </c>
    </row>
    <row r="9608">
      <c r="A9608" s="21" t="str">
        <f t="shared" si="3"/>
        <v/>
      </c>
      <c r="B9608" s="38"/>
      <c r="C9608" s="23"/>
      <c r="D9608" s="23"/>
      <c r="E9608" s="24"/>
      <c r="F9608" s="25"/>
      <c r="G9608" s="25"/>
      <c r="H9608" s="27"/>
      <c r="I9608" s="28"/>
      <c r="J9608" s="39"/>
      <c r="K9608" s="41"/>
      <c r="L9608" s="31" t="str">
        <f>IFERROR(__xludf.DUMMYFUNCTION("IF(OR(E9608="""",K9608=""""),"""",IFERROR(IF(K9608="""","""",query('tbl user'!$A$2:$D10975,""SELECT A WHERE D = '""&amp;K9608&amp;""'"")),""USER TIDAK DIKETAHUI""))"),"")</f>
        <v/>
      </c>
    </row>
    <row r="9609">
      <c r="A9609" s="21" t="str">
        <f t="shared" si="3"/>
        <v/>
      </c>
      <c r="B9609" s="38"/>
      <c r="C9609" s="23"/>
      <c r="D9609" s="23"/>
      <c r="E9609" s="24"/>
      <c r="F9609" s="25"/>
      <c r="G9609" s="25"/>
      <c r="H9609" s="27"/>
      <c r="I9609" s="28"/>
      <c r="J9609" s="39"/>
      <c r="K9609" s="41"/>
      <c r="L9609" s="31" t="str">
        <f>IFERROR(__xludf.DUMMYFUNCTION("IF(OR(E9609="""",K9609=""""),"""",IFERROR(IF(K9609="""","""",query('tbl user'!$A$2:$D10975,""SELECT A WHERE D = '""&amp;K9609&amp;""'"")),""USER TIDAK DIKETAHUI""))"),"")</f>
        <v/>
      </c>
    </row>
    <row r="9610">
      <c r="A9610" s="21" t="str">
        <f t="shared" si="3"/>
        <v/>
      </c>
      <c r="B9610" s="38"/>
      <c r="C9610" s="23"/>
      <c r="D9610" s="23"/>
      <c r="E9610" s="24"/>
      <c r="F9610" s="25"/>
      <c r="G9610" s="25"/>
      <c r="H9610" s="27"/>
      <c r="I9610" s="28"/>
      <c r="J9610" s="39"/>
      <c r="K9610" s="41"/>
      <c r="L9610" s="31" t="str">
        <f>IFERROR(__xludf.DUMMYFUNCTION("IF(OR(E9610="""",K9610=""""),"""",IFERROR(IF(K9610="""","""",query('tbl user'!$A$2:$D10975,""SELECT A WHERE D = '""&amp;K9610&amp;""'"")),""USER TIDAK DIKETAHUI""))"),"")</f>
        <v/>
      </c>
    </row>
    <row r="9611">
      <c r="A9611" s="21" t="str">
        <f t="shared" si="3"/>
        <v/>
      </c>
      <c r="B9611" s="38"/>
      <c r="C9611" s="23"/>
      <c r="D9611" s="23"/>
      <c r="E9611" s="24"/>
      <c r="F9611" s="25"/>
      <c r="G9611" s="25"/>
      <c r="H9611" s="27"/>
      <c r="I9611" s="28"/>
      <c r="J9611" s="39"/>
      <c r="K9611" s="41"/>
      <c r="L9611" s="31" t="str">
        <f>IFERROR(__xludf.DUMMYFUNCTION("IF(OR(E9611="""",K9611=""""),"""",IFERROR(IF(K9611="""","""",query('tbl user'!$A$2:$D10975,""SELECT A WHERE D = '""&amp;K9611&amp;""'"")),""USER TIDAK DIKETAHUI""))"),"")</f>
        <v/>
      </c>
    </row>
    <row r="9612">
      <c r="A9612" s="21" t="str">
        <f t="shared" si="3"/>
        <v/>
      </c>
      <c r="B9612" s="38"/>
      <c r="C9612" s="23"/>
      <c r="D9612" s="23"/>
      <c r="E9612" s="24"/>
      <c r="F9612" s="25"/>
      <c r="G9612" s="25"/>
      <c r="H9612" s="27"/>
      <c r="I9612" s="28"/>
      <c r="J9612" s="39"/>
      <c r="K9612" s="41"/>
      <c r="L9612" s="31" t="str">
        <f>IFERROR(__xludf.DUMMYFUNCTION("IF(OR(E9612="""",K9612=""""),"""",IFERROR(IF(K9612="""","""",query('tbl user'!$A$2:$D10975,""SELECT A WHERE D = '""&amp;K9612&amp;""'"")),""USER TIDAK DIKETAHUI""))"),"")</f>
        <v/>
      </c>
    </row>
    <row r="9613">
      <c r="A9613" s="21" t="str">
        <f t="shared" si="3"/>
        <v/>
      </c>
      <c r="B9613" s="38"/>
      <c r="C9613" s="23"/>
      <c r="D9613" s="23"/>
      <c r="E9613" s="24"/>
      <c r="F9613" s="25"/>
      <c r="G9613" s="25"/>
      <c r="H9613" s="27"/>
      <c r="I9613" s="28"/>
      <c r="J9613" s="39"/>
      <c r="K9613" s="41"/>
      <c r="L9613" s="31" t="str">
        <f>IFERROR(__xludf.DUMMYFUNCTION("IF(OR(E9613="""",K9613=""""),"""",IFERROR(IF(K9613="""","""",query('tbl user'!$A$2:$D10975,""SELECT A WHERE D = '""&amp;K9613&amp;""'"")),""USER TIDAK DIKETAHUI""))"),"")</f>
        <v/>
      </c>
    </row>
    <row r="9614">
      <c r="A9614" s="21" t="str">
        <f t="shared" si="3"/>
        <v/>
      </c>
      <c r="B9614" s="38"/>
      <c r="C9614" s="23"/>
      <c r="D9614" s="23"/>
      <c r="E9614" s="24"/>
      <c r="F9614" s="25"/>
      <c r="G9614" s="25"/>
      <c r="H9614" s="27"/>
      <c r="I9614" s="28"/>
      <c r="J9614" s="39"/>
      <c r="K9614" s="41"/>
      <c r="L9614" s="31" t="str">
        <f>IFERROR(__xludf.DUMMYFUNCTION("IF(OR(E9614="""",K9614=""""),"""",IFERROR(IF(K9614="""","""",query('tbl user'!$A$2:$D10975,""SELECT A WHERE D = '""&amp;K9614&amp;""'"")),""USER TIDAK DIKETAHUI""))"),"")</f>
        <v/>
      </c>
    </row>
    <row r="9615">
      <c r="A9615" s="21" t="str">
        <f t="shared" si="3"/>
        <v/>
      </c>
      <c r="B9615" s="38"/>
      <c r="C9615" s="23"/>
      <c r="D9615" s="23"/>
      <c r="E9615" s="24"/>
      <c r="F9615" s="25"/>
      <c r="G9615" s="25"/>
      <c r="H9615" s="27"/>
      <c r="I9615" s="28"/>
      <c r="J9615" s="39"/>
      <c r="K9615" s="41"/>
      <c r="L9615" s="31" t="str">
        <f>IFERROR(__xludf.DUMMYFUNCTION("IF(OR(E9615="""",K9615=""""),"""",IFERROR(IF(K9615="""","""",query('tbl user'!$A$2:$D10975,""SELECT A WHERE D = '""&amp;K9615&amp;""'"")),""USER TIDAK DIKETAHUI""))"),"")</f>
        <v/>
      </c>
    </row>
    <row r="9616">
      <c r="A9616" s="21" t="str">
        <f t="shared" si="3"/>
        <v/>
      </c>
      <c r="B9616" s="38"/>
      <c r="C9616" s="23"/>
      <c r="D9616" s="23"/>
      <c r="E9616" s="24"/>
      <c r="F9616" s="25"/>
      <c r="G9616" s="25"/>
      <c r="H9616" s="27"/>
      <c r="I9616" s="28"/>
      <c r="J9616" s="39"/>
      <c r="K9616" s="41"/>
      <c r="L9616" s="31" t="str">
        <f>IFERROR(__xludf.DUMMYFUNCTION("IF(OR(E9616="""",K9616=""""),"""",IFERROR(IF(K9616="""","""",query('tbl user'!$A$2:$D10975,""SELECT A WHERE D = '""&amp;K9616&amp;""'"")),""USER TIDAK DIKETAHUI""))"),"")</f>
        <v/>
      </c>
    </row>
    <row r="9617">
      <c r="A9617" s="21" t="str">
        <f t="shared" si="3"/>
        <v/>
      </c>
      <c r="B9617" s="38"/>
      <c r="C9617" s="23"/>
      <c r="D9617" s="23"/>
      <c r="E9617" s="24"/>
      <c r="F9617" s="25"/>
      <c r="G9617" s="25"/>
      <c r="H9617" s="27"/>
      <c r="I9617" s="28"/>
      <c r="J9617" s="39"/>
      <c r="K9617" s="41"/>
      <c r="L9617" s="31" t="str">
        <f>IFERROR(__xludf.DUMMYFUNCTION("IF(OR(E9617="""",K9617=""""),"""",IFERROR(IF(K9617="""","""",query('tbl user'!$A$2:$D10975,""SELECT A WHERE D = '""&amp;K9617&amp;""'"")),""USER TIDAK DIKETAHUI""))"),"")</f>
        <v/>
      </c>
    </row>
    <row r="9618">
      <c r="A9618" s="21" t="str">
        <f t="shared" si="3"/>
        <v/>
      </c>
      <c r="B9618" s="38"/>
      <c r="C9618" s="23"/>
      <c r="D9618" s="23"/>
      <c r="E9618" s="24"/>
      <c r="F9618" s="25"/>
      <c r="G9618" s="25"/>
      <c r="H9618" s="27"/>
      <c r="I9618" s="28"/>
      <c r="J9618" s="39"/>
      <c r="K9618" s="41"/>
      <c r="L9618" s="31" t="str">
        <f>IFERROR(__xludf.DUMMYFUNCTION("IF(OR(E9618="""",K9618=""""),"""",IFERROR(IF(K9618="""","""",query('tbl user'!$A$2:$D10975,""SELECT A WHERE D = '""&amp;K9618&amp;""'"")),""USER TIDAK DIKETAHUI""))"),"")</f>
        <v/>
      </c>
    </row>
    <row r="9619">
      <c r="A9619" s="21" t="str">
        <f t="shared" si="3"/>
        <v/>
      </c>
      <c r="B9619" s="38"/>
      <c r="C9619" s="23"/>
      <c r="D9619" s="23"/>
      <c r="E9619" s="24"/>
      <c r="F9619" s="25"/>
      <c r="G9619" s="25"/>
      <c r="H9619" s="27"/>
      <c r="I9619" s="28"/>
      <c r="J9619" s="39"/>
      <c r="K9619" s="41"/>
      <c r="L9619" s="31" t="str">
        <f>IFERROR(__xludf.DUMMYFUNCTION("IF(OR(E9619="""",K9619=""""),"""",IFERROR(IF(K9619="""","""",query('tbl user'!$A$2:$D10975,""SELECT A WHERE D = '""&amp;K9619&amp;""'"")),""USER TIDAK DIKETAHUI""))"),"")</f>
        <v/>
      </c>
    </row>
    <row r="9620">
      <c r="A9620" s="21" t="str">
        <f t="shared" si="3"/>
        <v/>
      </c>
      <c r="B9620" s="38"/>
      <c r="C9620" s="23"/>
      <c r="D9620" s="23"/>
      <c r="E9620" s="24"/>
      <c r="F9620" s="25"/>
      <c r="G9620" s="25"/>
      <c r="H9620" s="27"/>
      <c r="I9620" s="28"/>
      <c r="J9620" s="39"/>
      <c r="K9620" s="41"/>
      <c r="L9620" s="31" t="str">
        <f>IFERROR(__xludf.DUMMYFUNCTION("IF(OR(E9620="""",K9620=""""),"""",IFERROR(IF(K9620="""","""",query('tbl user'!$A$2:$D10975,""SELECT A WHERE D = '""&amp;K9620&amp;""'"")),""USER TIDAK DIKETAHUI""))"),"")</f>
        <v/>
      </c>
    </row>
    <row r="9621">
      <c r="A9621" s="21" t="str">
        <f t="shared" si="3"/>
        <v/>
      </c>
      <c r="B9621" s="38"/>
      <c r="C9621" s="23"/>
      <c r="D9621" s="23"/>
      <c r="E9621" s="24"/>
      <c r="F9621" s="25"/>
      <c r="G9621" s="25"/>
      <c r="H9621" s="27"/>
      <c r="I9621" s="28"/>
      <c r="J9621" s="39"/>
      <c r="K9621" s="41"/>
      <c r="L9621" s="31" t="str">
        <f>IFERROR(__xludf.DUMMYFUNCTION("IF(OR(E9621="""",K9621=""""),"""",IFERROR(IF(K9621="""","""",query('tbl user'!$A$2:$D10975,""SELECT A WHERE D = '""&amp;K9621&amp;""'"")),""USER TIDAK DIKETAHUI""))"),"")</f>
        <v/>
      </c>
    </row>
    <row r="9622">
      <c r="A9622" s="21" t="str">
        <f t="shared" si="3"/>
        <v/>
      </c>
      <c r="B9622" s="38"/>
      <c r="C9622" s="23"/>
      <c r="D9622" s="23"/>
      <c r="E9622" s="24"/>
      <c r="F9622" s="25"/>
      <c r="G9622" s="25"/>
      <c r="H9622" s="27"/>
      <c r="I9622" s="28"/>
      <c r="J9622" s="39"/>
      <c r="K9622" s="41"/>
      <c r="L9622" s="31" t="str">
        <f>IFERROR(__xludf.DUMMYFUNCTION("IF(OR(E9622="""",K9622=""""),"""",IFERROR(IF(K9622="""","""",query('tbl user'!$A$2:$D10975,""SELECT A WHERE D = '""&amp;K9622&amp;""'"")),""USER TIDAK DIKETAHUI""))"),"")</f>
        <v/>
      </c>
    </row>
    <row r="9623">
      <c r="A9623" s="21" t="str">
        <f t="shared" si="3"/>
        <v/>
      </c>
      <c r="B9623" s="38"/>
      <c r="C9623" s="23"/>
      <c r="D9623" s="23"/>
      <c r="E9623" s="24"/>
      <c r="F9623" s="25"/>
      <c r="G9623" s="25"/>
      <c r="H9623" s="27"/>
      <c r="I9623" s="28"/>
      <c r="J9623" s="39"/>
      <c r="K9623" s="41"/>
      <c r="L9623" s="31" t="str">
        <f>IFERROR(__xludf.DUMMYFUNCTION("IF(OR(E9623="""",K9623=""""),"""",IFERROR(IF(K9623="""","""",query('tbl user'!$A$2:$D10975,""SELECT A WHERE D = '""&amp;K9623&amp;""'"")),""USER TIDAK DIKETAHUI""))"),"")</f>
        <v/>
      </c>
    </row>
    <row r="9624">
      <c r="A9624" s="21" t="str">
        <f t="shared" si="3"/>
        <v/>
      </c>
      <c r="B9624" s="38"/>
      <c r="C9624" s="23"/>
      <c r="D9624" s="23"/>
      <c r="E9624" s="24"/>
      <c r="F9624" s="25"/>
      <c r="G9624" s="25"/>
      <c r="H9624" s="27"/>
      <c r="I9624" s="28"/>
      <c r="J9624" s="39"/>
      <c r="K9624" s="41"/>
      <c r="L9624" s="31" t="str">
        <f>IFERROR(__xludf.DUMMYFUNCTION("IF(OR(E9624="""",K9624=""""),"""",IFERROR(IF(K9624="""","""",query('tbl user'!$A$2:$D10975,""SELECT A WHERE D = '""&amp;K9624&amp;""'"")),""USER TIDAK DIKETAHUI""))"),"")</f>
        <v/>
      </c>
    </row>
    <row r="9625">
      <c r="A9625" s="21" t="str">
        <f t="shared" si="3"/>
        <v/>
      </c>
      <c r="B9625" s="38"/>
      <c r="C9625" s="23"/>
      <c r="D9625" s="23"/>
      <c r="E9625" s="24"/>
      <c r="F9625" s="25"/>
      <c r="G9625" s="25"/>
      <c r="H9625" s="27"/>
      <c r="I9625" s="28"/>
      <c r="J9625" s="39"/>
      <c r="K9625" s="41"/>
      <c r="L9625" s="31" t="str">
        <f>IFERROR(__xludf.DUMMYFUNCTION("IF(OR(E9625="""",K9625=""""),"""",IFERROR(IF(K9625="""","""",query('tbl user'!$A$2:$D10975,""SELECT A WHERE D = '""&amp;K9625&amp;""'"")),""USER TIDAK DIKETAHUI""))"),"")</f>
        <v/>
      </c>
    </row>
    <row r="9626">
      <c r="A9626" s="21" t="str">
        <f t="shared" si="3"/>
        <v/>
      </c>
      <c r="B9626" s="38"/>
      <c r="C9626" s="23"/>
      <c r="D9626" s="23"/>
      <c r="E9626" s="24"/>
      <c r="F9626" s="25"/>
      <c r="G9626" s="25"/>
      <c r="H9626" s="27"/>
      <c r="I9626" s="28"/>
      <c r="J9626" s="39"/>
      <c r="K9626" s="41"/>
      <c r="L9626" s="31" t="str">
        <f>IFERROR(__xludf.DUMMYFUNCTION("IF(OR(E9626="""",K9626=""""),"""",IFERROR(IF(K9626="""","""",query('tbl user'!$A$2:$D10975,""SELECT A WHERE D = '""&amp;K9626&amp;""'"")),""USER TIDAK DIKETAHUI""))"),"")</f>
        <v/>
      </c>
    </row>
    <row r="9627">
      <c r="A9627" s="21" t="str">
        <f t="shared" si="3"/>
        <v/>
      </c>
      <c r="B9627" s="38"/>
      <c r="C9627" s="23"/>
      <c r="D9627" s="23"/>
      <c r="E9627" s="24"/>
      <c r="F9627" s="25"/>
      <c r="G9627" s="25"/>
      <c r="H9627" s="27"/>
      <c r="I9627" s="28"/>
      <c r="J9627" s="39"/>
      <c r="K9627" s="41"/>
      <c r="L9627" s="31" t="str">
        <f>IFERROR(__xludf.DUMMYFUNCTION("IF(OR(E9627="""",K9627=""""),"""",IFERROR(IF(K9627="""","""",query('tbl user'!$A$2:$D10975,""SELECT A WHERE D = '""&amp;K9627&amp;""'"")),""USER TIDAK DIKETAHUI""))"),"")</f>
        <v/>
      </c>
    </row>
    <row r="9628">
      <c r="A9628" s="21" t="str">
        <f t="shared" si="3"/>
        <v/>
      </c>
      <c r="B9628" s="38"/>
      <c r="C9628" s="23"/>
      <c r="D9628" s="23"/>
      <c r="E9628" s="24"/>
      <c r="F9628" s="25"/>
      <c r="G9628" s="25"/>
      <c r="H9628" s="27"/>
      <c r="I9628" s="28"/>
      <c r="J9628" s="39"/>
      <c r="K9628" s="41"/>
      <c r="L9628" s="31" t="str">
        <f>IFERROR(__xludf.DUMMYFUNCTION("IF(OR(E9628="""",K9628=""""),"""",IFERROR(IF(K9628="""","""",query('tbl user'!$A$2:$D10975,""SELECT A WHERE D = '""&amp;K9628&amp;""'"")),""USER TIDAK DIKETAHUI""))"),"")</f>
        <v/>
      </c>
    </row>
    <row r="9629">
      <c r="A9629" s="21" t="str">
        <f t="shared" si="3"/>
        <v/>
      </c>
      <c r="B9629" s="38"/>
      <c r="C9629" s="23"/>
      <c r="D9629" s="23"/>
      <c r="E9629" s="24"/>
      <c r="F9629" s="25"/>
      <c r="G9629" s="25"/>
      <c r="H9629" s="27"/>
      <c r="I9629" s="28"/>
      <c r="J9629" s="39"/>
      <c r="K9629" s="41"/>
      <c r="L9629" s="31" t="str">
        <f>IFERROR(__xludf.DUMMYFUNCTION("IF(OR(E9629="""",K9629=""""),"""",IFERROR(IF(K9629="""","""",query('tbl user'!$A$2:$D10975,""SELECT A WHERE D = '""&amp;K9629&amp;""'"")),""USER TIDAK DIKETAHUI""))"),"")</f>
        <v/>
      </c>
    </row>
    <row r="9630">
      <c r="A9630" s="21" t="str">
        <f t="shared" si="3"/>
        <v/>
      </c>
      <c r="B9630" s="38"/>
      <c r="C9630" s="23"/>
      <c r="D9630" s="23"/>
      <c r="E9630" s="24"/>
      <c r="F9630" s="25"/>
      <c r="G9630" s="25"/>
      <c r="H9630" s="27"/>
      <c r="I9630" s="28"/>
      <c r="J9630" s="39"/>
      <c r="K9630" s="41"/>
      <c r="L9630" s="31" t="str">
        <f>IFERROR(__xludf.DUMMYFUNCTION("IF(OR(E9630="""",K9630=""""),"""",IFERROR(IF(K9630="""","""",query('tbl user'!$A$2:$D10975,""SELECT A WHERE D = '""&amp;K9630&amp;""'"")),""USER TIDAK DIKETAHUI""))"),"")</f>
        <v/>
      </c>
    </row>
    <row r="9631">
      <c r="A9631" s="21" t="str">
        <f t="shared" si="3"/>
        <v/>
      </c>
      <c r="B9631" s="38"/>
      <c r="C9631" s="23"/>
      <c r="D9631" s="23"/>
      <c r="E9631" s="24"/>
      <c r="F9631" s="25"/>
      <c r="G9631" s="25"/>
      <c r="H9631" s="27"/>
      <c r="I9631" s="28"/>
      <c r="J9631" s="39"/>
      <c r="K9631" s="41"/>
      <c r="L9631" s="31" t="str">
        <f>IFERROR(__xludf.DUMMYFUNCTION("IF(OR(E9631="""",K9631=""""),"""",IFERROR(IF(K9631="""","""",query('tbl user'!$A$2:$D10975,""SELECT A WHERE D = '""&amp;K9631&amp;""'"")),""USER TIDAK DIKETAHUI""))"),"")</f>
        <v/>
      </c>
    </row>
    <row r="9632">
      <c r="A9632" s="21" t="str">
        <f t="shared" si="3"/>
        <v/>
      </c>
      <c r="B9632" s="38"/>
      <c r="C9632" s="23"/>
      <c r="D9632" s="23"/>
      <c r="E9632" s="24"/>
      <c r="F9632" s="25"/>
      <c r="G9632" s="25"/>
      <c r="H9632" s="27"/>
      <c r="I9632" s="28"/>
      <c r="J9632" s="39"/>
      <c r="K9632" s="41"/>
      <c r="L9632" s="31" t="str">
        <f>IFERROR(__xludf.DUMMYFUNCTION("IF(OR(E9632="""",K9632=""""),"""",IFERROR(IF(K9632="""","""",query('tbl user'!$A$2:$D10975,""SELECT A WHERE D = '""&amp;K9632&amp;""'"")),""USER TIDAK DIKETAHUI""))"),"")</f>
        <v/>
      </c>
    </row>
    <row r="9633">
      <c r="A9633" s="21" t="str">
        <f t="shared" si="3"/>
        <v/>
      </c>
      <c r="B9633" s="38"/>
      <c r="C9633" s="23"/>
      <c r="D9633" s="23"/>
      <c r="E9633" s="24"/>
      <c r="F9633" s="25"/>
      <c r="G9633" s="25"/>
      <c r="H9633" s="27"/>
      <c r="I9633" s="28"/>
      <c r="J9633" s="39"/>
      <c r="K9633" s="41"/>
      <c r="L9633" s="31" t="str">
        <f>IFERROR(__xludf.DUMMYFUNCTION("IF(OR(E9633="""",K9633=""""),"""",IFERROR(IF(K9633="""","""",query('tbl user'!$A$2:$D10975,""SELECT A WHERE D = '""&amp;K9633&amp;""'"")),""USER TIDAK DIKETAHUI""))"),"")</f>
        <v/>
      </c>
    </row>
    <row r="9634">
      <c r="A9634" s="21" t="str">
        <f t="shared" si="3"/>
        <v/>
      </c>
      <c r="B9634" s="38"/>
      <c r="C9634" s="23"/>
      <c r="D9634" s="23"/>
      <c r="E9634" s="24"/>
      <c r="F9634" s="25"/>
      <c r="G9634" s="25"/>
      <c r="H9634" s="27"/>
      <c r="I9634" s="28"/>
      <c r="J9634" s="39"/>
      <c r="K9634" s="41"/>
      <c r="L9634" s="31" t="str">
        <f>IFERROR(__xludf.DUMMYFUNCTION("IF(OR(E9634="""",K9634=""""),"""",IFERROR(IF(K9634="""","""",query('tbl user'!$A$2:$D10975,""SELECT A WHERE D = '""&amp;K9634&amp;""'"")),""USER TIDAK DIKETAHUI""))"),"")</f>
        <v/>
      </c>
    </row>
    <row r="9635">
      <c r="A9635" s="21" t="str">
        <f t="shared" si="3"/>
        <v/>
      </c>
      <c r="B9635" s="38"/>
      <c r="C9635" s="23"/>
      <c r="D9635" s="23"/>
      <c r="E9635" s="24"/>
      <c r="F9635" s="25"/>
      <c r="G9635" s="25"/>
      <c r="H9635" s="27"/>
      <c r="I9635" s="28"/>
      <c r="J9635" s="39"/>
      <c r="K9635" s="41"/>
      <c r="L9635" s="31" t="str">
        <f>IFERROR(__xludf.DUMMYFUNCTION("IF(OR(E9635="""",K9635=""""),"""",IFERROR(IF(K9635="""","""",query('tbl user'!$A$2:$D10975,""SELECT A WHERE D = '""&amp;K9635&amp;""'"")),""USER TIDAK DIKETAHUI""))"),"")</f>
        <v/>
      </c>
    </row>
    <row r="9636">
      <c r="A9636" s="21" t="str">
        <f t="shared" si="3"/>
        <v/>
      </c>
      <c r="B9636" s="38"/>
      <c r="C9636" s="23"/>
      <c r="D9636" s="23"/>
      <c r="E9636" s="24"/>
      <c r="F9636" s="25"/>
      <c r="G9636" s="25"/>
      <c r="H9636" s="27"/>
      <c r="I9636" s="28"/>
      <c r="J9636" s="39"/>
      <c r="K9636" s="41"/>
      <c r="L9636" s="31" t="str">
        <f>IFERROR(__xludf.DUMMYFUNCTION("IF(OR(E9636="""",K9636=""""),"""",IFERROR(IF(K9636="""","""",query('tbl user'!$A$2:$D10975,""SELECT A WHERE D = '""&amp;K9636&amp;""'"")),""USER TIDAK DIKETAHUI""))"),"")</f>
        <v/>
      </c>
    </row>
    <row r="9637">
      <c r="A9637" s="21" t="str">
        <f t="shared" si="3"/>
        <v/>
      </c>
      <c r="B9637" s="38"/>
      <c r="C9637" s="23"/>
      <c r="D9637" s="23"/>
      <c r="E9637" s="24"/>
      <c r="F9637" s="25"/>
      <c r="G9637" s="25"/>
      <c r="H9637" s="27"/>
      <c r="I9637" s="28"/>
      <c r="J9637" s="39"/>
      <c r="K9637" s="41"/>
      <c r="L9637" s="31" t="str">
        <f>IFERROR(__xludf.DUMMYFUNCTION("IF(OR(E9637="""",K9637=""""),"""",IFERROR(IF(K9637="""","""",query('tbl user'!$A$2:$D10975,""SELECT A WHERE D = '""&amp;K9637&amp;""'"")),""USER TIDAK DIKETAHUI""))"),"")</f>
        <v/>
      </c>
    </row>
    <row r="9638">
      <c r="A9638" s="21" t="str">
        <f t="shared" si="3"/>
        <v/>
      </c>
      <c r="B9638" s="38"/>
      <c r="C9638" s="23"/>
      <c r="D9638" s="23"/>
      <c r="E9638" s="24"/>
      <c r="F9638" s="25"/>
      <c r="G9638" s="25"/>
      <c r="H9638" s="27"/>
      <c r="I9638" s="28"/>
      <c r="J9638" s="39"/>
      <c r="K9638" s="41"/>
      <c r="L9638" s="31" t="str">
        <f>IFERROR(__xludf.DUMMYFUNCTION("IF(OR(E9638="""",K9638=""""),"""",IFERROR(IF(K9638="""","""",query('tbl user'!$A$2:$D10975,""SELECT A WHERE D = '""&amp;K9638&amp;""'"")),""USER TIDAK DIKETAHUI""))"),"")</f>
        <v/>
      </c>
    </row>
    <row r="9639">
      <c r="A9639" s="21" t="str">
        <f t="shared" si="3"/>
        <v/>
      </c>
      <c r="B9639" s="38"/>
      <c r="C9639" s="23"/>
      <c r="D9639" s="23"/>
      <c r="E9639" s="24"/>
      <c r="F9639" s="25"/>
      <c r="G9639" s="25"/>
      <c r="H9639" s="27"/>
      <c r="I9639" s="28"/>
      <c r="J9639" s="39"/>
      <c r="K9639" s="41"/>
      <c r="L9639" s="31" t="str">
        <f>IFERROR(__xludf.DUMMYFUNCTION("IF(OR(E9639="""",K9639=""""),"""",IFERROR(IF(K9639="""","""",query('tbl user'!$A$2:$D10975,""SELECT A WHERE D = '""&amp;K9639&amp;""'"")),""USER TIDAK DIKETAHUI""))"),"")</f>
        <v/>
      </c>
    </row>
    <row r="9640">
      <c r="A9640" s="21" t="str">
        <f t="shared" si="3"/>
        <v/>
      </c>
      <c r="B9640" s="38"/>
      <c r="C9640" s="23"/>
      <c r="D9640" s="23"/>
      <c r="E9640" s="24"/>
      <c r="F9640" s="25"/>
      <c r="G9640" s="25"/>
      <c r="H9640" s="27"/>
      <c r="I9640" s="28"/>
      <c r="J9640" s="39"/>
      <c r="K9640" s="41"/>
      <c r="L9640" s="31" t="str">
        <f>IFERROR(__xludf.DUMMYFUNCTION("IF(OR(E9640="""",K9640=""""),"""",IFERROR(IF(K9640="""","""",query('tbl user'!$A$2:$D10975,""SELECT A WHERE D = '""&amp;K9640&amp;""'"")),""USER TIDAK DIKETAHUI""))"),"")</f>
        <v/>
      </c>
    </row>
    <row r="9641">
      <c r="A9641" s="21" t="str">
        <f t="shared" si="3"/>
        <v/>
      </c>
      <c r="B9641" s="38"/>
      <c r="C9641" s="23"/>
      <c r="D9641" s="23"/>
      <c r="E9641" s="24"/>
      <c r="F9641" s="25"/>
      <c r="G9641" s="25"/>
      <c r="H9641" s="27"/>
      <c r="I9641" s="28"/>
      <c r="J9641" s="39"/>
      <c r="K9641" s="41"/>
      <c r="L9641" s="31" t="str">
        <f>IFERROR(__xludf.DUMMYFUNCTION("IF(OR(E9641="""",K9641=""""),"""",IFERROR(IF(K9641="""","""",query('tbl user'!$A$2:$D10975,""SELECT A WHERE D = '""&amp;K9641&amp;""'"")),""USER TIDAK DIKETAHUI""))"),"")</f>
        <v/>
      </c>
    </row>
    <row r="9642">
      <c r="A9642" s="21" t="str">
        <f t="shared" si="3"/>
        <v/>
      </c>
      <c r="B9642" s="38"/>
      <c r="C9642" s="23"/>
      <c r="D9642" s="23"/>
      <c r="E9642" s="24"/>
      <c r="F9642" s="25"/>
      <c r="G9642" s="25"/>
      <c r="H9642" s="27"/>
      <c r="I9642" s="28"/>
      <c r="J9642" s="39"/>
      <c r="K9642" s="41"/>
      <c r="L9642" s="31" t="str">
        <f>IFERROR(__xludf.DUMMYFUNCTION("IF(OR(E9642="""",K9642=""""),"""",IFERROR(IF(K9642="""","""",query('tbl user'!$A$2:$D10975,""SELECT A WHERE D = '""&amp;K9642&amp;""'"")),""USER TIDAK DIKETAHUI""))"),"")</f>
        <v/>
      </c>
    </row>
    <row r="9643">
      <c r="A9643" s="21" t="str">
        <f t="shared" si="3"/>
        <v/>
      </c>
      <c r="B9643" s="38"/>
      <c r="C9643" s="23"/>
      <c r="D9643" s="23"/>
      <c r="E9643" s="24"/>
      <c r="F9643" s="25"/>
      <c r="G9643" s="25"/>
      <c r="H9643" s="27"/>
      <c r="I9643" s="28"/>
      <c r="J9643" s="39"/>
      <c r="K9643" s="41"/>
      <c r="L9643" s="31" t="str">
        <f>IFERROR(__xludf.DUMMYFUNCTION("IF(OR(E9643="""",K9643=""""),"""",IFERROR(IF(K9643="""","""",query('tbl user'!$A$2:$D10975,""SELECT A WHERE D = '""&amp;K9643&amp;""'"")),""USER TIDAK DIKETAHUI""))"),"")</f>
        <v/>
      </c>
    </row>
    <row r="9644">
      <c r="A9644" s="21" t="str">
        <f t="shared" si="3"/>
        <v/>
      </c>
      <c r="B9644" s="38"/>
      <c r="C9644" s="23"/>
      <c r="D9644" s="23"/>
      <c r="E9644" s="24"/>
      <c r="F9644" s="25"/>
      <c r="G9644" s="25"/>
      <c r="H9644" s="27"/>
      <c r="I9644" s="28"/>
      <c r="J9644" s="39"/>
      <c r="K9644" s="41"/>
      <c r="L9644" s="31" t="str">
        <f>IFERROR(__xludf.DUMMYFUNCTION("IF(OR(E9644="""",K9644=""""),"""",IFERROR(IF(K9644="""","""",query('tbl user'!$A$2:$D10975,""SELECT A WHERE D = '""&amp;K9644&amp;""'"")),""USER TIDAK DIKETAHUI""))"),"")</f>
        <v/>
      </c>
    </row>
    <row r="9645">
      <c r="A9645" s="21" t="str">
        <f t="shared" si="3"/>
        <v/>
      </c>
      <c r="B9645" s="38"/>
      <c r="C9645" s="23"/>
      <c r="D9645" s="23"/>
      <c r="E9645" s="24"/>
      <c r="F9645" s="25"/>
      <c r="G9645" s="25"/>
      <c r="H9645" s="27"/>
      <c r="I9645" s="28"/>
      <c r="J9645" s="39"/>
      <c r="K9645" s="41"/>
      <c r="L9645" s="31" t="str">
        <f>IFERROR(__xludf.DUMMYFUNCTION("IF(OR(E9645="""",K9645=""""),"""",IFERROR(IF(K9645="""","""",query('tbl user'!$A$2:$D10975,""SELECT A WHERE D = '""&amp;K9645&amp;""'"")),""USER TIDAK DIKETAHUI""))"),"")</f>
        <v/>
      </c>
    </row>
    <row r="9646">
      <c r="A9646" s="21" t="str">
        <f t="shared" si="3"/>
        <v/>
      </c>
      <c r="B9646" s="38"/>
      <c r="C9646" s="23"/>
      <c r="D9646" s="23"/>
      <c r="E9646" s="24"/>
      <c r="F9646" s="25"/>
      <c r="G9646" s="25"/>
      <c r="H9646" s="27"/>
      <c r="I9646" s="28"/>
      <c r="J9646" s="39"/>
      <c r="K9646" s="41"/>
      <c r="L9646" s="31" t="str">
        <f>IFERROR(__xludf.DUMMYFUNCTION("IF(OR(E9646="""",K9646=""""),"""",IFERROR(IF(K9646="""","""",query('tbl user'!$A$2:$D10975,""SELECT A WHERE D = '""&amp;K9646&amp;""'"")),""USER TIDAK DIKETAHUI""))"),"")</f>
        <v/>
      </c>
    </row>
    <row r="9647">
      <c r="A9647" s="21" t="str">
        <f t="shared" si="3"/>
        <v/>
      </c>
      <c r="B9647" s="38"/>
      <c r="C9647" s="23"/>
      <c r="D9647" s="23"/>
      <c r="E9647" s="24"/>
      <c r="F9647" s="25"/>
      <c r="G9647" s="25"/>
      <c r="H9647" s="27"/>
      <c r="I9647" s="28"/>
      <c r="J9647" s="39"/>
      <c r="K9647" s="41"/>
      <c r="L9647" s="31" t="str">
        <f>IFERROR(__xludf.DUMMYFUNCTION("IF(OR(E9647="""",K9647=""""),"""",IFERROR(IF(K9647="""","""",query('tbl user'!$A$2:$D10975,""SELECT A WHERE D = '""&amp;K9647&amp;""'"")),""USER TIDAK DIKETAHUI""))"),"")</f>
        <v/>
      </c>
    </row>
    <row r="9648">
      <c r="A9648" s="21" t="str">
        <f t="shared" si="3"/>
        <v/>
      </c>
      <c r="B9648" s="38"/>
      <c r="C9648" s="23"/>
      <c r="D9648" s="23"/>
      <c r="E9648" s="24"/>
      <c r="F9648" s="25"/>
      <c r="G9648" s="25"/>
      <c r="H9648" s="27"/>
      <c r="I9648" s="28"/>
      <c r="J9648" s="39"/>
      <c r="K9648" s="41"/>
      <c r="L9648" s="31" t="str">
        <f>IFERROR(__xludf.DUMMYFUNCTION("IF(OR(E9648="""",K9648=""""),"""",IFERROR(IF(K9648="""","""",query('tbl user'!$A$2:$D10975,""SELECT A WHERE D = '""&amp;K9648&amp;""'"")),""USER TIDAK DIKETAHUI""))"),"")</f>
        <v/>
      </c>
    </row>
    <row r="9649">
      <c r="A9649" s="21" t="str">
        <f t="shared" si="3"/>
        <v/>
      </c>
      <c r="B9649" s="38"/>
      <c r="C9649" s="23"/>
      <c r="D9649" s="23"/>
      <c r="E9649" s="24"/>
      <c r="F9649" s="25"/>
      <c r="G9649" s="25"/>
      <c r="H9649" s="27"/>
      <c r="I9649" s="28"/>
      <c r="J9649" s="39"/>
      <c r="K9649" s="41"/>
      <c r="L9649" s="31" t="str">
        <f>IFERROR(__xludf.DUMMYFUNCTION("IF(OR(E9649="""",K9649=""""),"""",IFERROR(IF(K9649="""","""",query('tbl user'!$A$2:$D10975,""SELECT A WHERE D = '""&amp;K9649&amp;""'"")),""USER TIDAK DIKETAHUI""))"),"")</f>
        <v/>
      </c>
    </row>
    <row r="9650">
      <c r="A9650" s="21" t="str">
        <f t="shared" si="3"/>
        <v/>
      </c>
      <c r="B9650" s="38"/>
      <c r="C9650" s="23"/>
      <c r="D9650" s="23"/>
      <c r="E9650" s="24"/>
      <c r="F9650" s="25"/>
      <c r="G9650" s="25"/>
      <c r="H9650" s="27"/>
      <c r="I9650" s="28"/>
      <c r="J9650" s="39"/>
      <c r="K9650" s="41"/>
      <c r="L9650" s="31" t="str">
        <f>IFERROR(__xludf.DUMMYFUNCTION("IF(OR(E9650="""",K9650=""""),"""",IFERROR(IF(K9650="""","""",query('tbl user'!$A$2:$D10975,""SELECT A WHERE D = '""&amp;K9650&amp;""'"")),""USER TIDAK DIKETAHUI""))"),"")</f>
        <v/>
      </c>
    </row>
    <row r="9651">
      <c r="A9651" s="21" t="str">
        <f t="shared" si="3"/>
        <v/>
      </c>
      <c r="B9651" s="38"/>
      <c r="C9651" s="23"/>
      <c r="D9651" s="23"/>
      <c r="E9651" s="24"/>
      <c r="F9651" s="25"/>
      <c r="G9651" s="25"/>
      <c r="H9651" s="27"/>
      <c r="I9651" s="28"/>
      <c r="J9651" s="39"/>
      <c r="K9651" s="41"/>
      <c r="L9651" s="31" t="str">
        <f>IFERROR(__xludf.DUMMYFUNCTION("IF(OR(E9651="""",K9651=""""),"""",IFERROR(IF(K9651="""","""",query('tbl user'!$A$2:$D10975,""SELECT A WHERE D = '""&amp;K9651&amp;""'"")),""USER TIDAK DIKETAHUI""))"),"")</f>
        <v/>
      </c>
    </row>
    <row r="9652">
      <c r="A9652" s="21" t="str">
        <f t="shared" si="3"/>
        <v/>
      </c>
      <c r="B9652" s="38"/>
      <c r="C9652" s="23"/>
      <c r="D9652" s="23"/>
      <c r="E9652" s="24"/>
      <c r="F9652" s="25"/>
      <c r="G9652" s="25"/>
      <c r="H9652" s="27"/>
      <c r="I9652" s="28"/>
      <c r="J9652" s="39"/>
      <c r="K9652" s="41"/>
      <c r="L9652" s="31" t="str">
        <f>IFERROR(__xludf.DUMMYFUNCTION("IF(OR(E9652="""",K9652=""""),"""",IFERROR(IF(K9652="""","""",query('tbl user'!$A$2:$D10975,""SELECT A WHERE D = '""&amp;K9652&amp;""'"")),""USER TIDAK DIKETAHUI""))"),"")</f>
        <v/>
      </c>
    </row>
    <row r="9653">
      <c r="A9653" s="21" t="str">
        <f t="shared" si="3"/>
        <v/>
      </c>
      <c r="B9653" s="38"/>
      <c r="C9653" s="23"/>
      <c r="D9653" s="23"/>
      <c r="E9653" s="24"/>
      <c r="F9653" s="25"/>
      <c r="G9653" s="25"/>
      <c r="H9653" s="27"/>
      <c r="I9653" s="28"/>
      <c r="J9653" s="39"/>
      <c r="K9653" s="41"/>
      <c r="L9653" s="31" t="str">
        <f>IFERROR(__xludf.DUMMYFUNCTION("IF(OR(E9653="""",K9653=""""),"""",IFERROR(IF(K9653="""","""",query('tbl user'!$A$2:$D10975,""SELECT A WHERE D = '""&amp;K9653&amp;""'"")),""USER TIDAK DIKETAHUI""))"),"")</f>
        <v/>
      </c>
    </row>
    <row r="9654">
      <c r="A9654" s="21" t="str">
        <f t="shared" si="3"/>
        <v/>
      </c>
      <c r="B9654" s="38"/>
      <c r="C9654" s="23"/>
      <c r="D9654" s="23"/>
      <c r="E9654" s="24"/>
      <c r="F9654" s="25"/>
      <c r="G9654" s="25"/>
      <c r="H9654" s="27"/>
      <c r="I9654" s="28"/>
      <c r="J9654" s="39"/>
      <c r="K9654" s="41"/>
      <c r="L9654" s="31" t="str">
        <f>IFERROR(__xludf.DUMMYFUNCTION("IF(OR(E9654="""",K9654=""""),"""",IFERROR(IF(K9654="""","""",query('tbl user'!$A$2:$D10975,""SELECT A WHERE D = '""&amp;K9654&amp;""'"")),""USER TIDAK DIKETAHUI""))"),"")</f>
        <v/>
      </c>
    </row>
    <row r="9655">
      <c r="A9655" s="21" t="str">
        <f t="shared" si="3"/>
        <v/>
      </c>
      <c r="B9655" s="38"/>
      <c r="C9655" s="23"/>
      <c r="D9655" s="23"/>
      <c r="E9655" s="24"/>
      <c r="F9655" s="25"/>
      <c r="G9655" s="25"/>
      <c r="H9655" s="27"/>
      <c r="I9655" s="28"/>
      <c r="J9655" s="39"/>
      <c r="K9655" s="41"/>
      <c r="L9655" s="31" t="str">
        <f>IFERROR(__xludf.DUMMYFUNCTION("IF(OR(E9655="""",K9655=""""),"""",IFERROR(IF(K9655="""","""",query('tbl user'!$A$2:$D10975,""SELECT A WHERE D = '""&amp;K9655&amp;""'"")),""USER TIDAK DIKETAHUI""))"),"")</f>
        <v/>
      </c>
    </row>
    <row r="9656">
      <c r="A9656" s="21" t="str">
        <f t="shared" si="3"/>
        <v/>
      </c>
      <c r="B9656" s="38"/>
      <c r="C9656" s="23"/>
      <c r="D9656" s="23"/>
      <c r="E9656" s="24"/>
      <c r="F9656" s="25"/>
      <c r="G9656" s="25"/>
      <c r="H9656" s="27"/>
      <c r="I9656" s="28"/>
      <c r="J9656" s="39"/>
      <c r="K9656" s="41"/>
      <c r="L9656" s="31" t="str">
        <f>IFERROR(__xludf.DUMMYFUNCTION("IF(OR(E9656="""",K9656=""""),"""",IFERROR(IF(K9656="""","""",query('tbl user'!$A$2:$D10975,""SELECT A WHERE D = '""&amp;K9656&amp;""'"")),""USER TIDAK DIKETAHUI""))"),"")</f>
        <v/>
      </c>
    </row>
    <row r="9657">
      <c r="A9657" s="21" t="str">
        <f t="shared" si="3"/>
        <v/>
      </c>
      <c r="B9657" s="38"/>
      <c r="C9657" s="23"/>
      <c r="D9657" s="23"/>
      <c r="E9657" s="24"/>
      <c r="F9657" s="25"/>
      <c r="G9657" s="25"/>
      <c r="H9657" s="27"/>
      <c r="I9657" s="28"/>
      <c r="J9657" s="39"/>
      <c r="K9657" s="41"/>
      <c r="L9657" s="31" t="str">
        <f>IFERROR(__xludf.DUMMYFUNCTION("IF(OR(E9657="""",K9657=""""),"""",IFERROR(IF(K9657="""","""",query('tbl user'!$A$2:$D10975,""SELECT A WHERE D = '""&amp;K9657&amp;""'"")),""USER TIDAK DIKETAHUI""))"),"")</f>
        <v/>
      </c>
    </row>
    <row r="9658">
      <c r="A9658" s="21" t="str">
        <f t="shared" si="3"/>
        <v/>
      </c>
      <c r="B9658" s="38"/>
      <c r="C9658" s="23"/>
      <c r="D9658" s="23"/>
      <c r="E9658" s="24"/>
      <c r="F9658" s="25"/>
      <c r="G9658" s="25"/>
      <c r="H9658" s="27"/>
      <c r="I9658" s="28"/>
      <c r="J9658" s="39"/>
      <c r="K9658" s="41"/>
      <c r="L9658" s="31" t="str">
        <f>IFERROR(__xludf.DUMMYFUNCTION("IF(OR(E9658="""",K9658=""""),"""",IFERROR(IF(K9658="""","""",query('tbl user'!$A$2:$D10975,""SELECT A WHERE D = '""&amp;K9658&amp;""'"")),""USER TIDAK DIKETAHUI""))"),"")</f>
        <v/>
      </c>
    </row>
    <row r="9659">
      <c r="A9659" s="21" t="str">
        <f t="shared" si="3"/>
        <v/>
      </c>
      <c r="B9659" s="38"/>
      <c r="C9659" s="23"/>
      <c r="D9659" s="23"/>
      <c r="E9659" s="24"/>
      <c r="F9659" s="25"/>
      <c r="G9659" s="25"/>
      <c r="H9659" s="27"/>
      <c r="I9659" s="28"/>
      <c r="J9659" s="39"/>
      <c r="K9659" s="41"/>
      <c r="L9659" s="31" t="str">
        <f>IFERROR(__xludf.DUMMYFUNCTION("IF(OR(E9659="""",K9659=""""),"""",IFERROR(IF(K9659="""","""",query('tbl user'!$A$2:$D10975,""SELECT A WHERE D = '""&amp;K9659&amp;""'"")),""USER TIDAK DIKETAHUI""))"),"")</f>
        <v/>
      </c>
    </row>
    <row r="9660">
      <c r="A9660" s="21" t="str">
        <f t="shared" si="3"/>
        <v/>
      </c>
      <c r="B9660" s="38"/>
      <c r="C9660" s="23"/>
      <c r="D9660" s="23"/>
      <c r="E9660" s="24"/>
      <c r="F9660" s="25"/>
      <c r="G9660" s="25"/>
      <c r="H9660" s="27"/>
      <c r="I9660" s="28"/>
      <c r="J9660" s="39"/>
      <c r="K9660" s="41"/>
      <c r="L9660" s="31" t="str">
        <f>IFERROR(__xludf.DUMMYFUNCTION("IF(OR(E9660="""",K9660=""""),"""",IFERROR(IF(K9660="""","""",query('tbl user'!$A$2:$D10975,""SELECT A WHERE D = '""&amp;K9660&amp;""'"")),""USER TIDAK DIKETAHUI""))"),"")</f>
        <v/>
      </c>
    </row>
    <row r="9661">
      <c r="A9661" s="21" t="str">
        <f t="shared" si="3"/>
        <v/>
      </c>
      <c r="B9661" s="38"/>
      <c r="C9661" s="23"/>
      <c r="D9661" s="23"/>
      <c r="E9661" s="24"/>
      <c r="F9661" s="25"/>
      <c r="G9661" s="25"/>
      <c r="H9661" s="27"/>
      <c r="I9661" s="28"/>
      <c r="J9661" s="39"/>
      <c r="K9661" s="41"/>
      <c r="L9661" s="31" t="str">
        <f>IFERROR(__xludf.DUMMYFUNCTION("IF(OR(E9661="""",K9661=""""),"""",IFERROR(IF(K9661="""","""",query('tbl user'!$A$2:$D10975,""SELECT A WHERE D = '""&amp;K9661&amp;""'"")),""USER TIDAK DIKETAHUI""))"),"")</f>
        <v/>
      </c>
    </row>
    <row r="9662">
      <c r="A9662" s="21" t="str">
        <f t="shared" si="3"/>
        <v/>
      </c>
      <c r="B9662" s="38"/>
      <c r="C9662" s="23"/>
      <c r="D9662" s="23"/>
      <c r="E9662" s="24"/>
      <c r="F9662" s="25"/>
      <c r="G9662" s="25"/>
      <c r="H9662" s="27"/>
      <c r="I9662" s="28"/>
      <c r="J9662" s="39"/>
      <c r="K9662" s="41"/>
      <c r="L9662" s="31" t="str">
        <f>IFERROR(__xludf.DUMMYFUNCTION("IF(OR(E9662="""",K9662=""""),"""",IFERROR(IF(K9662="""","""",query('tbl user'!$A$2:$D10975,""SELECT A WHERE D = '""&amp;K9662&amp;""'"")),""USER TIDAK DIKETAHUI""))"),"")</f>
        <v/>
      </c>
    </row>
    <row r="9663">
      <c r="A9663" s="21" t="str">
        <f t="shared" si="3"/>
        <v/>
      </c>
      <c r="B9663" s="38"/>
      <c r="C9663" s="23"/>
      <c r="D9663" s="23"/>
      <c r="E9663" s="24"/>
      <c r="F9663" s="25"/>
      <c r="G9663" s="25"/>
      <c r="H9663" s="27"/>
      <c r="I9663" s="28"/>
      <c r="J9663" s="39"/>
      <c r="K9663" s="41"/>
      <c r="L9663" s="31" t="str">
        <f>IFERROR(__xludf.DUMMYFUNCTION("IF(OR(E9663="""",K9663=""""),"""",IFERROR(IF(K9663="""","""",query('tbl user'!$A$2:$D10975,""SELECT A WHERE D = '""&amp;K9663&amp;""'"")),""USER TIDAK DIKETAHUI""))"),"")</f>
        <v/>
      </c>
    </row>
    <row r="9664">
      <c r="A9664" s="21" t="str">
        <f t="shared" si="3"/>
        <v/>
      </c>
      <c r="B9664" s="38"/>
      <c r="C9664" s="23"/>
      <c r="D9664" s="23"/>
      <c r="E9664" s="24"/>
      <c r="F9664" s="25"/>
      <c r="G9664" s="25"/>
      <c r="H9664" s="27"/>
      <c r="I9664" s="28"/>
      <c r="J9664" s="39"/>
      <c r="K9664" s="41"/>
      <c r="L9664" s="31" t="str">
        <f>IFERROR(__xludf.DUMMYFUNCTION("IF(OR(E9664="""",K9664=""""),"""",IFERROR(IF(K9664="""","""",query('tbl user'!$A$2:$D10975,""SELECT A WHERE D = '""&amp;K9664&amp;""'"")),""USER TIDAK DIKETAHUI""))"),"")</f>
        <v/>
      </c>
    </row>
    <row r="9665">
      <c r="A9665" s="21" t="str">
        <f t="shared" si="3"/>
        <v/>
      </c>
      <c r="B9665" s="38"/>
      <c r="C9665" s="23"/>
      <c r="D9665" s="23"/>
      <c r="E9665" s="24"/>
      <c r="F9665" s="25"/>
      <c r="G9665" s="25"/>
      <c r="H9665" s="27"/>
      <c r="I9665" s="28"/>
      <c r="J9665" s="39"/>
      <c r="K9665" s="41"/>
      <c r="L9665" s="31" t="str">
        <f>IFERROR(__xludf.DUMMYFUNCTION("IF(OR(E9665="""",K9665=""""),"""",IFERROR(IF(K9665="""","""",query('tbl user'!$A$2:$D10975,""SELECT A WHERE D = '""&amp;K9665&amp;""'"")),""USER TIDAK DIKETAHUI""))"),"")</f>
        <v/>
      </c>
    </row>
    <row r="9666">
      <c r="A9666" s="21" t="str">
        <f t="shared" si="3"/>
        <v/>
      </c>
      <c r="B9666" s="38"/>
      <c r="C9666" s="23"/>
      <c r="D9666" s="23"/>
      <c r="E9666" s="24"/>
      <c r="F9666" s="25"/>
      <c r="G9666" s="25"/>
      <c r="H9666" s="27"/>
      <c r="I9666" s="28"/>
      <c r="J9666" s="39"/>
      <c r="K9666" s="41"/>
      <c r="L9666" s="31" t="str">
        <f>IFERROR(__xludf.DUMMYFUNCTION("IF(OR(E9666="""",K9666=""""),"""",IFERROR(IF(K9666="""","""",query('tbl user'!$A$2:$D10975,""SELECT A WHERE D = '""&amp;K9666&amp;""'"")),""USER TIDAK DIKETAHUI""))"),"")</f>
        <v/>
      </c>
    </row>
    <row r="9667">
      <c r="A9667" s="21" t="str">
        <f t="shared" si="3"/>
        <v/>
      </c>
      <c r="B9667" s="38"/>
      <c r="C9667" s="23"/>
      <c r="D9667" s="23"/>
      <c r="E9667" s="24"/>
      <c r="F9667" s="25"/>
      <c r="G9667" s="25"/>
      <c r="H9667" s="27"/>
      <c r="I9667" s="28"/>
      <c r="J9667" s="39"/>
      <c r="K9667" s="41"/>
      <c r="L9667" s="31" t="str">
        <f>IFERROR(__xludf.DUMMYFUNCTION("IF(OR(E9667="""",K9667=""""),"""",IFERROR(IF(K9667="""","""",query('tbl user'!$A$2:$D10975,""SELECT A WHERE D = '""&amp;K9667&amp;""'"")),""USER TIDAK DIKETAHUI""))"),"")</f>
        <v/>
      </c>
    </row>
    <row r="9668">
      <c r="A9668" s="21" t="str">
        <f t="shared" si="3"/>
        <v/>
      </c>
      <c r="B9668" s="38"/>
      <c r="C9668" s="23"/>
      <c r="D9668" s="23"/>
      <c r="E9668" s="24"/>
      <c r="F9668" s="25"/>
      <c r="G9668" s="25"/>
      <c r="H9668" s="27"/>
      <c r="I9668" s="28"/>
      <c r="J9668" s="39"/>
      <c r="K9668" s="41"/>
      <c r="L9668" s="31" t="str">
        <f>IFERROR(__xludf.DUMMYFUNCTION("IF(OR(E9668="""",K9668=""""),"""",IFERROR(IF(K9668="""","""",query('tbl user'!$A$2:$D10975,""SELECT A WHERE D = '""&amp;K9668&amp;""'"")),""USER TIDAK DIKETAHUI""))"),"")</f>
        <v/>
      </c>
    </row>
    <row r="9669">
      <c r="A9669" s="21" t="str">
        <f t="shared" si="3"/>
        <v/>
      </c>
      <c r="B9669" s="38"/>
      <c r="C9669" s="23"/>
      <c r="D9669" s="23"/>
      <c r="E9669" s="24"/>
      <c r="F9669" s="25"/>
      <c r="G9669" s="25"/>
      <c r="H9669" s="27"/>
      <c r="I9669" s="28"/>
      <c r="J9669" s="39"/>
      <c r="K9669" s="41"/>
      <c r="L9669" s="31" t="str">
        <f>IFERROR(__xludf.DUMMYFUNCTION("IF(OR(E9669="""",K9669=""""),"""",IFERROR(IF(K9669="""","""",query('tbl user'!$A$2:$D10975,""SELECT A WHERE D = '""&amp;K9669&amp;""'"")),""USER TIDAK DIKETAHUI""))"),"")</f>
        <v/>
      </c>
    </row>
    <row r="9670">
      <c r="A9670" s="21" t="str">
        <f t="shared" si="3"/>
        <v/>
      </c>
      <c r="B9670" s="38"/>
      <c r="C9670" s="23"/>
      <c r="D9670" s="23"/>
      <c r="E9670" s="24"/>
      <c r="F9670" s="25"/>
      <c r="G9670" s="25"/>
      <c r="H9670" s="27"/>
      <c r="I9670" s="28"/>
      <c r="J9670" s="39"/>
      <c r="K9670" s="41"/>
      <c r="L9670" s="31" t="str">
        <f>IFERROR(__xludf.DUMMYFUNCTION("IF(OR(E9670="""",K9670=""""),"""",IFERROR(IF(K9670="""","""",query('tbl user'!$A$2:$D10975,""SELECT A WHERE D = '""&amp;K9670&amp;""'"")),""USER TIDAK DIKETAHUI""))"),"")</f>
        <v/>
      </c>
    </row>
    <row r="9671">
      <c r="A9671" s="21" t="str">
        <f t="shared" si="3"/>
        <v/>
      </c>
      <c r="B9671" s="38"/>
      <c r="C9671" s="23"/>
      <c r="D9671" s="23"/>
      <c r="E9671" s="24"/>
      <c r="F9671" s="25"/>
      <c r="G9671" s="25"/>
      <c r="H9671" s="27"/>
      <c r="I9671" s="28"/>
      <c r="J9671" s="39"/>
      <c r="K9671" s="41"/>
      <c r="L9671" s="31" t="str">
        <f>IFERROR(__xludf.DUMMYFUNCTION("IF(OR(E9671="""",K9671=""""),"""",IFERROR(IF(K9671="""","""",query('tbl user'!$A$2:$D10975,""SELECT A WHERE D = '""&amp;K9671&amp;""'"")),""USER TIDAK DIKETAHUI""))"),"")</f>
        <v/>
      </c>
    </row>
    <row r="9672">
      <c r="A9672" s="21" t="str">
        <f t="shared" si="3"/>
        <v/>
      </c>
      <c r="B9672" s="38"/>
      <c r="C9672" s="23"/>
      <c r="D9672" s="23"/>
      <c r="E9672" s="24"/>
      <c r="F9672" s="25"/>
      <c r="G9672" s="25"/>
      <c r="H9672" s="27"/>
      <c r="I9672" s="28"/>
      <c r="J9672" s="39"/>
      <c r="K9672" s="41"/>
      <c r="L9672" s="31" t="str">
        <f>IFERROR(__xludf.DUMMYFUNCTION("IF(OR(E9672="""",K9672=""""),"""",IFERROR(IF(K9672="""","""",query('tbl user'!$A$2:$D10975,""SELECT A WHERE D = '""&amp;K9672&amp;""'"")),""USER TIDAK DIKETAHUI""))"),"")</f>
        <v/>
      </c>
    </row>
    <row r="9673">
      <c r="A9673" s="21" t="str">
        <f t="shared" si="3"/>
        <v/>
      </c>
      <c r="B9673" s="38"/>
      <c r="C9673" s="23"/>
      <c r="D9673" s="23"/>
      <c r="E9673" s="24"/>
      <c r="F9673" s="25"/>
      <c r="G9673" s="25"/>
      <c r="H9673" s="27"/>
      <c r="I9673" s="28"/>
      <c r="J9673" s="39"/>
      <c r="K9673" s="41"/>
      <c r="L9673" s="31" t="str">
        <f>IFERROR(__xludf.DUMMYFUNCTION("IF(OR(E9673="""",K9673=""""),"""",IFERROR(IF(K9673="""","""",query('tbl user'!$A$2:$D10975,""SELECT A WHERE D = '""&amp;K9673&amp;""'"")),""USER TIDAK DIKETAHUI""))"),"")</f>
        <v/>
      </c>
    </row>
    <row r="9674">
      <c r="A9674" s="21" t="str">
        <f t="shared" si="3"/>
        <v/>
      </c>
      <c r="B9674" s="38"/>
      <c r="C9674" s="23"/>
      <c r="D9674" s="23"/>
      <c r="E9674" s="24"/>
      <c r="F9674" s="25"/>
      <c r="G9674" s="25"/>
      <c r="H9674" s="27"/>
      <c r="I9674" s="28"/>
      <c r="J9674" s="39"/>
      <c r="K9674" s="41"/>
      <c r="L9674" s="31" t="str">
        <f>IFERROR(__xludf.DUMMYFUNCTION("IF(OR(E9674="""",K9674=""""),"""",IFERROR(IF(K9674="""","""",query('tbl user'!$A$2:$D10975,""SELECT A WHERE D = '""&amp;K9674&amp;""'"")),""USER TIDAK DIKETAHUI""))"),"")</f>
        <v/>
      </c>
    </row>
    <row r="9675">
      <c r="A9675" s="21" t="str">
        <f t="shared" si="3"/>
        <v/>
      </c>
      <c r="B9675" s="38"/>
      <c r="C9675" s="23"/>
      <c r="D9675" s="23"/>
      <c r="E9675" s="24"/>
      <c r="F9675" s="25"/>
      <c r="G9675" s="25"/>
      <c r="H9675" s="27"/>
      <c r="I9675" s="28"/>
      <c r="J9675" s="39"/>
      <c r="K9675" s="41"/>
      <c r="L9675" s="31" t="str">
        <f>IFERROR(__xludf.DUMMYFUNCTION("IF(OR(E9675="""",K9675=""""),"""",IFERROR(IF(K9675="""","""",query('tbl user'!$A$2:$D10975,""SELECT A WHERE D = '""&amp;K9675&amp;""'"")),""USER TIDAK DIKETAHUI""))"),"")</f>
        <v/>
      </c>
    </row>
    <row r="9676">
      <c r="A9676" s="21" t="str">
        <f t="shared" si="3"/>
        <v/>
      </c>
      <c r="B9676" s="38"/>
      <c r="C9676" s="23"/>
      <c r="D9676" s="23"/>
      <c r="E9676" s="24"/>
      <c r="F9676" s="25"/>
      <c r="G9676" s="25"/>
      <c r="H9676" s="27"/>
      <c r="I9676" s="28"/>
      <c r="J9676" s="39"/>
      <c r="K9676" s="41"/>
      <c r="L9676" s="31" t="str">
        <f>IFERROR(__xludf.DUMMYFUNCTION("IF(OR(E9676="""",K9676=""""),"""",IFERROR(IF(K9676="""","""",query('tbl user'!$A$2:$D10975,""SELECT A WHERE D = '""&amp;K9676&amp;""'"")),""USER TIDAK DIKETAHUI""))"),"")</f>
        <v/>
      </c>
    </row>
    <row r="9677">
      <c r="A9677" s="21" t="str">
        <f t="shared" si="3"/>
        <v/>
      </c>
      <c r="B9677" s="38"/>
      <c r="C9677" s="23"/>
      <c r="D9677" s="23"/>
      <c r="E9677" s="24"/>
      <c r="F9677" s="25"/>
      <c r="G9677" s="25"/>
      <c r="H9677" s="27"/>
      <c r="I9677" s="28"/>
      <c r="J9677" s="39"/>
      <c r="K9677" s="41"/>
      <c r="L9677" s="31" t="str">
        <f>IFERROR(__xludf.DUMMYFUNCTION("IF(OR(E9677="""",K9677=""""),"""",IFERROR(IF(K9677="""","""",query('tbl user'!$A$2:$D10975,""SELECT A WHERE D = '""&amp;K9677&amp;""'"")),""USER TIDAK DIKETAHUI""))"),"")</f>
        <v/>
      </c>
    </row>
    <row r="9678">
      <c r="A9678" s="21" t="str">
        <f t="shared" si="3"/>
        <v/>
      </c>
      <c r="B9678" s="38"/>
      <c r="C9678" s="23"/>
      <c r="D9678" s="23"/>
      <c r="E9678" s="24"/>
      <c r="F9678" s="25"/>
      <c r="G9678" s="25"/>
      <c r="H9678" s="27"/>
      <c r="I9678" s="28"/>
      <c r="J9678" s="39"/>
      <c r="K9678" s="41"/>
      <c r="L9678" s="31" t="str">
        <f>IFERROR(__xludf.DUMMYFUNCTION("IF(OR(E9678="""",K9678=""""),"""",IFERROR(IF(K9678="""","""",query('tbl user'!$A$2:$D10975,""SELECT A WHERE D = '""&amp;K9678&amp;""'"")),""USER TIDAK DIKETAHUI""))"),"")</f>
        <v/>
      </c>
    </row>
    <row r="9679">
      <c r="A9679" s="21" t="str">
        <f t="shared" si="3"/>
        <v/>
      </c>
      <c r="B9679" s="38"/>
      <c r="C9679" s="23"/>
      <c r="D9679" s="23"/>
      <c r="E9679" s="24"/>
      <c r="F9679" s="25"/>
      <c r="G9679" s="25"/>
      <c r="H9679" s="27"/>
      <c r="I9679" s="28"/>
      <c r="J9679" s="39"/>
      <c r="K9679" s="41"/>
      <c r="L9679" s="31" t="str">
        <f>IFERROR(__xludf.DUMMYFUNCTION("IF(OR(E9679="""",K9679=""""),"""",IFERROR(IF(K9679="""","""",query('tbl user'!$A$2:$D10975,""SELECT A WHERE D = '""&amp;K9679&amp;""'"")),""USER TIDAK DIKETAHUI""))"),"")</f>
        <v/>
      </c>
    </row>
    <row r="9680">
      <c r="A9680" s="21" t="str">
        <f t="shared" si="3"/>
        <v/>
      </c>
      <c r="B9680" s="38"/>
      <c r="C9680" s="23"/>
      <c r="D9680" s="23"/>
      <c r="E9680" s="24"/>
      <c r="F9680" s="25"/>
      <c r="G9680" s="25"/>
      <c r="H9680" s="27"/>
      <c r="I9680" s="28"/>
      <c r="J9680" s="39"/>
      <c r="K9680" s="41"/>
      <c r="L9680" s="31" t="str">
        <f>IFERROR(__xludf.DUMMYFUNCTION("IF(OR(E9680="""",K9680=""""),"""",IFERROR(IF(K9680="""","""",query('tbl user'!$A$2:$D10975,""SELECT A WHERE D = '""&amp;K9680&amp;""'"")),""USER TIDAK DIKETAHUI""))"),"")</f>
        <v/>
      </c>
    </row>
    <row r="9681">
      <c r="A9681" s="21" t="str">
        <f t="shared" si="3"/>
        <v/>
      </c>
      <c r="B9681" s="38"/>
      <c r="C9681" s="23"/>
      <c r="D9681" s="23"/>
      <c r="E9681" s="24"/>
      <c r="F9681" s="25"/>
      <c r="G9681" s="25"/>
      <c r="H9681" s="27"/>
      <c r="I9681" s="28"/>
      <c r="J9681" s="39"/>
      <c r="K9681" s="41"/>
      <c r="L9681" s="31" t="str">
        <f>IFERROR(__xludf.DUMMYFUNCTION("IF(OR(E9681="""",K9681=""""),"""",IFERROR(IF(K9681="""","""",query('tbl user'!$A$2:$D10975,""SELECT A WHERE D = '""&amp;K9681&amp;""'"")),""USER TIDAK DIKETAHUI""))"),"")</f>
        <v/>
      </c>
    </row>
    <row r="9682">
      <c r="A9682" s="21" t="str">
        <f t="shared" si="3"/>
        <v/>
      </c>
      <c r="B9682" s="38"/>
      <c r="C9682" s="23"/>
      <c r="D9682" s="23"/>
      <c r="E9682" s="24"/>
      <c r="F9682" s="25"/>
      <c r="G9682" s="25"/>
      <c r="H9682" s="27"/>
      <c r="I9682" s="28"/>
      <c r="J9682" s="39"/>
      <c r="K9682" s="41"/>
      <c r="L9682" s="31" t="str">
        <f>IFERROR(__xludf.DUMMYFUNCTION("IF(OR(E9682="""",K9682=""""),"""",IFERROR(IF(K9682="""","""",query('tbl user'!$A$2:$D10975,""SELECT A WHERE D = '""&amp;K9682&amp;""'"")),""USER TIDAK DIKETAHUI""))"),"")</f>
        <v/>
      </c>
    </row>
    <row r="9683">
      <c r="A9683" s="21" t="str">
        <f t="shared" si="3"/>
        <v/>
      </c>
      <c r="B9683" s="38"/>
      <c r="C9683" s="23"/>
      <c r="D9683" s="23"/>
      <c r="E9683" s="24"/>
      <c r="F9683" s="25"/>
      <c r="G9683" s="25"/>
      <c r="H9683" s="27"/>
      <c r="I9683" s="28"/>
      <c r="J9683" s="39"/>
      <c r="K9683" s="41"/>
      <c r="L9683" s="31" t="str">
        <f>IFERROR(__xludf.DUMMYFUNCTION("IF(OR(E9683="""",K9683=""""),"""",IFERROR(IF(K9683="""","""",query('tbl user'!$A$2:$D10975,""SELECT A WHERE D = '""&amp;K9683&amp;""'"")),""USER TIDAK DIKETAHUI""))"),"")</f>
        <v/>
      </c>
    </row>
    <row r="9684">
      <c r="A9684" s="21" t="str">
        <f t="shared" si="3"/>
        <v/>
      </c>
      <c r="B9684" s="38"/>
      <c r="C9684" s="23"/>
      <c r="D9684" s="23"/>
      <c r="E9684" s="24"/>
      <c r="F9684" s="25"/>
      <c r="G9684" s="25"/>
      <c r="H9684" s="27"/>
      <c r="I9684" s="28"/>
      <c r="J9684" s="39"/>
      <c r="K9684" s="41"/>
      <c r="L9684" s="31" t="str">
        <f>IFERROR(__xludf.DUMMYFUNCTION("IF(OR(E9684="""",K9684=""""),"""",IFERROR(IF(K9684="""","""",query('tbl user'!$A$2:$D10975,""SELECT A WHERE D = '""&amp;K9684&amp;""'"")),""USER TIDAK DIKETAHUI""))"),"")</f>
        <v/>
      </c>
    </row>
    <row r="9685">
      <c r="A9685" s="21" t="str">
        <f t="shared" si="3"/>
        <v/>
      </c>
      <c r="B9685" s="38"/>
      <c r="C9685" s="23"/>
      <c r="D9685" s="23"/>
      <c r="E9685" s="24"/>
      <c r="F9685" s="25"/>
      <c r="G9685" s="25"/>
      <c r="H9685" s="27"/>
      <c r="I9685" s="28"/>
      <c r="J9685" s="39"/>
      <c r="K9685" s="41"/>
      <c r="L9685" s="31" t="str">
        <f>IFERROR(__xludf.DUMMYFUNCTION("IF(OR(E9685="""",K9685=""""),"""",IFERROR(IF(K9685="""","""",query('tbl user'!$A$2:$D10975,""SELECT A WHERE D = '""&amp;K9685&amp;""'"")),""USER TIDAK DIKETAHUI""))"),"")</f>
        <v/>
      </c>
    </row>
    <row r="9686">
      <c r="A9686" s="21" t="str">
        <f t="shared" si="3"/>
        <v/>
      </c>
      <c r="B9686" s="38"/>
      <c r="C9686" s="23"/>
      <c r="D9686" s="23"/>
      <c r="E9686" s="24"/>
      <c r="F9686" s="25"/>
      <c r="G9686" s="25"/>
      <c r="H9686" s="27"/>
      <c r="I9686" s="28"/>
      <c r="J9686" s="39"/>
      <c r="K9686" s="41"/>
      <c r="L9686" s="31" t="str">
        <f>IFERROR(__xludf.DUMMYFUNCTION("IF(OR(E9686="""",K9686=""""),"""",IFERROR(IF(K9686="""","""",query('tbl user'!$A$2:$D10975,""SELECT A WHERE D = '""&amp;K9686&amp;""'"")),""USER TIDAK DIKETAHUI""))"),"")</f>
        <v/>
      </c>
    </row>
    <row r="9687">
      <c r="A9687" s="21" t="str">
        <f t="shared" si="3"/>
        <v/>
      </c>
      <c r="B9687" s="38"/>
      <c r="C9687" s="23"/>
      <c r="D9687" s="23"/>
      <c r="E9687" s="24"/>
      <c r="F9687" s="25"/>
      <c r="G9687" s="25"/>
      <c r="H9687" s="27"/>
      <c r="I9687" s="28"/>
      <c r="J9687" s="39"/>
      <c r="K9687" s="41"/>
      <c r="L9687" s="31" t="str">
        <f>IFERROR(__xludf.DUMMYFUNCTION("IF(OR(E9687="""",K9687=""""),"""",IFERROR(IF(K9687="""","""",query('tbl user'!$A$2:$D10975,""SELECT A WHERE D = '""&amp;K9687&amp;""'"")),""USER TIDAK DIKETAHUI""))"),"")</f>
        <v/>
      </c>
    </row>
    <row r="9688">
      <c r="A9688" s="21" t="str">
        <f t="shared" si="3"/>
        <v/>
      </c>
      <c r="B9688" s="38"/>
      <c r="C9688" s="23"/>
      <c r="D9688" s="23"/>
      <c r="E9688" s="24"/>
      <c r="F9688" s="25"/>
      <c r="G9688" s="25"/>
      <c r="H9688" s="27"/>
      <c r="I9688" s="28"/>
      <c r="J9688" s="39"/>
      <c r="K9688" s="41"/>
      <c r="L9688" s="31" t="str">
        <f>IFERROR(__xludf.DUMMYFUNCTION("IF(OR(E9688="""",K9688=""""),"""",IFERROR(IF(K9688="""","""",query('tbl user'!$A$2:$D10975,""SELECT A WHERE D = '""&amp;K9688&amp;""'"")),""USER TIDAK DIKETAHUI""))"),"")</f>
        <v/>
      </c>
    </row>
    <row r="9689">
      <c r="A9689" s="21" t="str">
        <f t="shared" si="3"/>
        <v/>
      </c>
      <c r="B9689" s="38"/>
      <c r="C9689" s="23"/>
      <c r="D9689" s="23"/>
      <c r="E9689" s="24"/>
      <c r="F9689" s="25"/>
      <c r="G9689" s="25"/>
      <c r="H9689" s="27"/>
      <c r="I9689" s="28"/>
      <c r="J9689" s="39"/>
      <c r="K9689" s="41"/>
      <c r="L9689" s="31" t="str">
        <f>IFERROR(__xludf.DUMMYFUNCTION("IF(OR(E9689="""",K9689=""""),"""",IFERROR(IF(K9689="""","""",query('tbl user'!$A$2:$D10975,""SELECT A WHERE D = '""&amp;K9689&amp;""'"")),""USER TIDAK DIKETAHUI""))"),"")</f>
        <v/>
      </c>
    </row>
    <row r="9690">
      <c r="A9690" s="21" t="str">
        <f t="shared" si="3"/>
        <v/>
      </c>
      <c r="B9690" s="38"/>
      <c r="C9690" s="23"/>
      <c r="D9690" s="23"/>
      <c r="E9690" s="24"/>
      <c r="F9690" s="25"/>
      <c r="G9690" s="25"/>
      <c r="H9690" s="27"/>
      <c r="I9690" s="28"/>
      <c r="J9690" s="39"/>
      <c r="K9690" s="41"/>
      <c r="L9690" s="31" t="str">
        <f>IFERROR(__xludf.DUMMYFUNCTION("IF(OR(E9690="""",K9690=""""),"""",IFERROR(IF(K9690="""","""",query('tbl user'!$A$2:$D10975,""SELECT A WHERE D = '""&amp;K9690&amp;""'"")),""USER TIDAK DIKETAHUI""))"),"")</f>
        <v/>
      </c>
    </row>
    <row r="9691">
      <c r="A9691" s="21" t="str">
        <f t="shared" si="3"/>
        <v/>
      </c>
      <c r="B9691" s="38"/>
      <c r="C9691" s="23"/>
      <c r="D9691" s="23"/>
      <c r="E9691" s="24"/>
      <c r="F9691" s="25"/>
      <c r="G9691" s="25"/>
      <c r="H9691" s="27"/>
      <c r="I9691" s="28"/>
      <c r="J9691" s="39"/>
      <c r="K9691" s="41"/>
      <c r="L9691" s="31" t="str">
        <f>IFERROR(__xludf.DUMMYFUNCTION("IF(OR(E9691="""",K9691=""""),"""",IFERROR(IF(K9691="""","""",query('tbl user'!$A$2:$D10975,""SELECT A WHERE D = '""&amp;K9691&amp;""'"")),""USER TIDAK DIKETAHUI""))"),"")</f>
        <v/>
      </c>
    </row>
    <row r="9692">
      <c r="A9692" s="21" t="str">
        <f t="shared" si="3"/>
        <v/>
      </c>
      <c r="B9692" s="38"/>
      <c r="C9692" s="23"/>
      <c r="D9692" s="23"/>
      <c r="E9692" s="24"/>
      <c r="F9692" s="25"/>
      <c r="G9692" s="25"/>
      <c r="H9692" s="27"/>
      <c r="I9692" s="28"/>
      <c r="J9692" s="39"/>
      <c r="K9692" s="41"/>
      <c r="L9692" s="31" t="str">
        <f>IFERROR(__xludf.DUMMYFUNCTION("IF(OR(E9692="""",K9692=""""),"""",IFERROR(IF(K9692="""","""",query('tbl user'!$A$2:$D10975,""SELECT A WHERE D = '""&amp;K9692&amp;""'"")),""USER TIDAK DIKETAHUI""))"),"")</f>
        <v/>
      </c>
    </row>
    <row r="9693">
      <c r="A9693" s="21" t="str">
        <f t="shared" si="3"/>
        <v/>
      </c>
      <c r="B9693" s="38"/>
      <c r="C9693" s="23"/>
      <c r="D9693" s="23"/>
      <c r="E9693" s="24"/>
      <c r="F9693" s="25"/>
      <c r="G9693" s="25"/>
      <c r="H9693" s="27"/>
      <c r="I9693" s="28"/>
      <c r="J9693" s="39"/>
      <c r="K9693" s="41"/>
      <c r="L9693" s="31" t="str">
        <f>IFERROR(__xludf.DUMMYFUNCTION("IF(OR(E9693="""",K9693=""""),"""",IFERROR(IF(K9693="""","""",query('tbl user'!$A$2:$D10975,""SELECT A WHERE D = '""&amp;K9693&amp;""'"")),""USER TIDAK DIKETAHUI""))"),"")</f>
        <v/>
      </c>
    </row>
    <row r="9694">
      <c r="A9694" s="21" t="str">
        <f t="shared" si="3"/>
        <v/>
      </c>
      <c r="B9694" s="38"/>
      <c r="C9694" s="23"/>
      <c r="D9694" s="23"/>
      <c r="E9694" s="24"/>
      <c r="F9694" s="25"/>
      <c r="G9694" s="25"/>
      <c r="H9694" s="27"/>
      <c r="I9694" s="28"/>
      <c r="J9694" s="39"/>
      <c r="K9694" s="41"/>
      <c r="L9694" s="31" t="str">
        <f>IFERROR(__xludf.DUMMYFUNCTION("IF(OR(E9694="""",K9694=""""),"""",IFERROR(IF(K9694="""","""",query('tbl user'!$A$2:$D10975,""SELECT A WHERE D = '""&amp;K9694&amp;""'"")),""USER TIDAK DIKETAHUI""))"),"")</f>
        <v/>
      </c>
    </row>
    <row r="9695">
      <c r="A9695" s="21" t="str">
        <f t="shared" si="3"/>
        <v/>
      </c>
      <c r="B9695" s="38"/>
      <c r="C9695" s="23"/>
      <c r="D9695" s="23"/>
      <c r="E9695" s="24"/>
      <c r="F9695" s="25"/>
      <c r="G9695" s="25"/>
      <c r="H9695" s="27"/>
      <c r="I9695" s="28"/>
      <c r="J9695" s="39"/>
      <c r="K9695" s="41"/>
      <c r="L9695" s="31" t="str">
        <f>IFERROR(__xludf.DUMMYFUNCTION("IF(OR(E9695="""",K9695=""""),"""",IFERROR(IF(K9695="""","""",query('tbl user'!$A$2:$D10975,""SELECT A WHERE D = '""&amp;K9695&amp;""'"")),""USER TIDAK DIKETAHUI""))"),"")</f>
        <v/>
      </c>
    </row>
    <row r="9696">
      <c r="A9696" s="21" t="str">
        <f t="shared" si="3"/>
        <v/>
      </c>
      <c r="B9696" s="38"/>
      <c r="C9696" s="23"/>
      <c r="D9696" s="23"/>
      <c r="E9696" s="24"/>
      <c r="F9696" s="25"/>
      <c r="G9696" s="25"/>
      <c r="H9696" s="27"/>
      <c r="I9696" s="28"/>
      <c r="J9696" s="39"/>
      <c r="K9696" s="41"/>
      <c r="L9696" s="31" t="str">
        <f>IFERROR(__xludf.DUMMYFUNCTION("IF(OR(E9696="""",K9696=""""),"""",IFERROR(IF(K9696="""","""",query('tbl user'!$A$2:$D10975,""SELECT A WHERE D = '""&amp;K9696&amp;""'"")),""USER TIDAK DIKETAHUI""))"),"")</f>
        <v/>
      </c>
    </row>
    <row r="9697">
      <c r="A9697" s="21" t="str">
        <f t="shared" si="3"/>
        <v/>
      </c>
      <c r="B9697" s="38"/>
      <c r="C9697" s="23"/>
      <c r="D9697" s="23"/>
      <c r="E9697" s="24"/>
      <c r="F9697" s="25"/>
      <c r="G9697" s="25"/>
      <c r="H9697" s="27"/>
      <c r="I9697" s="28"/>
      <c r="J9697" s="39"/>
      <c r="K9697" s="41"/>
      <c r="L9697" s="31" t="str">
        <f>IFERROR(__xludf.DUMMYFUNCTION("IF(OR(E9697="""",K9697=""""),"""",IFERROR(IF(K9697="""","""",query('tbl user'!$A$2:$D10975,""SELECT A WHERE D = '""&amp;K9697&amp;""'"")),""USER TIDAK DIKETAHUI""))"),"")</f>
        <v/>
      </c>
    </row>
    <row r="9698">
      <c r="A9698" s="21" t="str">
        <f t="shared" si="3"/>
        <v/>
      </c>
      <c r="B9698" s="38"/>
      <c r="C9698" s="23"/>
      <c r="D9698" s="23"/>
      <c r="E9698" s="24"/>
      <c r="F9698" s="25"/>
      <c r="G9698" s="25"/>
      <c r="H9698" s="27"/>
      <c r="I9698" s="28"/>
      <c r="J9698" s="39"/>
      <c r="K9698" s="41"/>
      <c r="L9698" s="31" t="str">
        <f>IFERROR(__xludf.DUMMYFUNCTION("IF(OR(E9698="""",K9698=""""),"""",IFERROR(IF(K9698="""","""",query('tbl user'!$A$2:$D10975,""SELECT A WHERE D = '""&amp;K9698&amp;""'"")),""USER TIDAK DIKETAHUI""))"),"")</f>
        <v/>
      </c>
    </row>
    <row r="9699">
      <c r="A9699" s="21" t="str">
        <f t="shared" si="3"/>
        <v/>
      </c>
      <c r="B9699" s="38"/>
      <c r="C9699" s="23"/>
      <c r="D9699" s="23"/>
      <c r="E9699" s="24"/>
      <c r="F9699" s="25"/>
      <c r="G9699" s="25"/>
      <c r="H9699" s="27"/>
      <c r="I9699" s="28"/>
      <c r="J9699" s="39"/>
      <c r="K9699" s="41"/>
      <c r="L9699" s="31" t="str">
        <f>IFERROR(__xludf.DUMMYFUNCTION("IF(OR(E9699="""",K9699=""""),"""",IFERROR(IF(K9699="""","""",query('tbl user'!$A$2:$D10975,""SELECT A WHERE D = '""&amp;K9699&amp;""'"")),""USER TIDAK DIKETAHUI""))"),"")</f>
        <v/>
      </c>
    </row>
    <row r="9700">
      <c r="A9700" s="21" t="str">
        <f t="shared" si="3"/>
        <v/>
      </c>
      <c r="B9700" s="38"/>
      <c r="C9700" s="23"/>
      <c r="D9700" s="23"/>
      <c r="E9700" s="24"/>
      <c r="F9700" s="25"/>
      <c r="G9700" s="25"/>
      <c r="H9700" s="27"/>
      <c r="I9700" s="28"/>
      <c r="J9700" s="39"/>
      <c r="K9700" s="41"/>
      <c r="L9700" s="31" t="str">
        <f>IFERROR(__xludf.DUMMYFUNCTION("IF(OR(E9700="""",K9700=""""),"""",IFERROR(IF(K9700="""","""",query('tbl user'!$A$2:$D10975,""SELECT A WHERE D = '""&amp;K9700&amp;""'"")),""USER TIDAK DIKETAHUI""))"),"")</f>
        <v/>
      </c>
    </row>
    <row r="9701">
      <c r="A9701" s="21" t="str">
        <f t="shared" si="3"/>
        <v/>
      </c>
      <c r="B9701" s="38"/>
      <c r="C9701" s="23"/>
      <c r="D9701" s="23"/>
      <c r="E9701" s="24"/>
      <c r="F9701" s="25"/>
      <c r="G9701" s="25"/>
      <c r="H9701" s="27"/>
      <c r="I9701" s="28"/>
      <c r="J9701" s="39"/>
      <c r="K9701" s="41"/>
      <c r="L9701" s="31" t="str">
        <f>IFERROR(__xludf.DUMMYFUNCTION("IF(OR(E9701="""",K9701=""""),"""",IFERROR(IF(K9701="""","""",query('tbl user'!$A$2:$D10975,""SELECT A WHERE D = '""&amp;K9701&amp;""'"")),""USER TIDAK DIKETAHUI""))"),"")</f>
        <v/>
      </c>
    </row>
    <row r="9702">
      <c r="A9702" s="21" t="str">
        <f t="shared" si="3"/>
        <v/>
      </c>
      <c r="B9702" s="38"/>
      <c r="C9702" s="23"/>
      <c r="D9702" s="23"/>
      <c r="E9702" s="24"/>
      <c r="F9702" s="25"/>
      <c r="G9702" s="25"/>
      <c r="H9702" s="27"/>
      <c r="I9702" s="28"/>
      <c r="J9702" s="39"/>
      <c r="K9702" s="41"/>
      <c r="L9702" s="31" t="str">
        <f>IFERROR(__xludf.DUMMYFUNCTION("IF(OR(E9702="""",K9702=""""),"""",IFERROR(IF(K9702="""","""",query('tbl user'!$A$2:$D10975,""SELECT A WHERE D = '""&amp;K9702&amp;""'"")),""USER TIDAK DIKETAHUI""))"),"")</f>
        <v/>
      </c>
    </row>
    <row r="9703">
      <c r="A9703" s="21" t="str">
        <f t="shared" si="3"/>
        <v/>
      </c>
      <c r="B9703" s="38"/>
      <c r="C9703" s="23"/>
      <c r="D9703" s="23"/>
      <c r="E9703" s="24"/>
      <c r="F9703" s="25"/>
      <c r="G9703" s="25"/>
      <c r="H9703" s="27"/>
      <c r="I9703" s="28"/>
      <c r="J9703" s="39"/>
      <c r="K9703" s="41"/>
      <c r="L9703" s="31" t="str">
        <f>IFERROR(__xludf.DUMMYFUNCTION("IF(OR(E9703="""",K9703=""""),"""",IFERROR(IF(K9703="""","""",query('tbl user'!$A$2:$D10975,""SELECT A WHERE D = '""&amp;K9703&amp;""'"")),""USER TIDAK DIKETAHUI""))"),"")</f>
        <v/>
      </c>
    </row>
    <row r="9704">
      <c r="A9704" s="21" t="str">
        <f t="shared" si="3"/>
        <v/>
      </c>
      <c r="B9704" s="38"/>
      <c r="C9704" s="23"/>
      <c r="D9704" s="23"/>
      <c r="E9704" s="24"/>
      <c r="F9704" s="25"/>
      <c r="G9704" s="25"/>
      <c r="H9704" s="27"/>
      <c r="I9704" s="28"/>
      <c r="J9704" s="39"/>
      <c r="K9704" s="41"/>
      <c r="L9704" s="31" t="str">
        <f>IFERROR(__xludf.DUMMYFUNCTION("IF(OR(E9704="""",K9704=""""),"""",IFERROR(IF(K9704="""","""",query('tbl user'!$A$2:$D10975,""SELECT A WHERE D = '""&amp;K9704&amp;""'"")),""USER TIDAK DIKETAHUI""))"),"")</f>
        <v/>
      </c>
    </row>
    <row r="9705">
      <c r="A9705" s="21" t="str">
        <f t="shared" si="3"/>
        <v/>
      </c>
      <c r="B9705" s="38"/>
      <c r="C9705" s="23"/>
      <c r="D9705" s="23"/>
      <c r="E9705" s="24"/>
      <c r="F9705" s="25"/>
      <c r="G9705" s="25"/>
      <c r="H9705" s="27"/>
      <c r="I9705" s="28"/>
      <c r="J9705" s="39"/>
      <c r="K9705" s="41"/>
      <c r="L9705" s="31" t="str">
        <f>IFERROR(__xludf.DUMMYFUNCTION("IF(OR(E9705="""",K9705=""""),"""",IFERROR(IF(K9705="""","""",query('tbl user'!$A$2:$D10975,""SELECT A WHERE D = '""&amp;K9705&amp;""'"")),""USER TIDAK DIKETAHUI""))"),"")</f>
        <v/>
      </c>
    </row>
    <row r="9706">
      <c r="A9706" s="21" t="str">
        <f t="shared" si="3"/>
        <v/>
      </c>
      <c r="B9706" s="38"/>
      <c r="C9706" s="23"/>
      <c r="D9706" s="23"/>
      <c r="E9706" s="24"/>
      <c r="F9706" s="25"/>
      <c r="G9706" s="25"/>
      <c r="H9706" s="27"/>
      <c r="I9706" s="28"/>
      <c r="J9706" s="39"/>
      <c r="K9706" s="41"/>
      <c r="L9706" s="31" t="str">
        <f>IFERROR(__xludf.DUMMYFUNCTION("IF(OR(E9706="""",K9706=""""),"""",IFERROR(IF(K9706="""","""",query('tbl user'!$A$2:$D10975,""SELECT A WHERE D = '""&amp;K9706&amp;""'"")),""USER TIDAK DIKETAHUI""))"),"")</f>
        <v/>
      </c>
    </row>
    <row r="9707">
      <c r="A9707" s="21" t="str">
        <f t="shared" si="3"/>
        <v/>
      </c>
      <c r="B9707" s="38"/>
      <c r="C9707" s="23"/>
      <c r="D9707" s="23"/>
      <c r="E9707" s="24"/>
      <c r="F9707" s="25"/>
      <c r="G9707" s="25"/>
      <c r="H9707" s="27"/>
      <c r="I9707" s="28"/>
      <c r="J9707" s="39"/>
      <c r="K9707" s="41"/>
      <c r="L9707" s="31" t="str">
        <f>IFERROR(__xludf.DUMMYFUNCTION("IF(OR(E9707="""",K9707=""""),"""",IFERROR(IF(K9707="""","""",query('tbl user'!$A$2:$D10975,""SELECT A WHERE D = '""&amp;K9707&amp;""'"")),""USER TIDAK DIKETAHUI""))"),"")</f>
        <v/>
      </c>
    </row>
    <row r="9708">
      <c r="A9708" s="21" t="str">
        <f t="shared" si="3"/>
        <v/>
      </c>
      <c r="B9708" s="38"/>
      <c r="C9708" s="23"/>
      <c r="D9708" s="23"/>
      <c r="E9708" s="24"/>
      <c r="F9708" s="25"/>
      <c r="G9708" s="25"/>
      <c r="H9708" s="27"/>
      <c r="I9708" s="28"/>
      <c r="J9708" s="39"/>
      <c r="K9708" s="41"/>
      <c r="L9708" s="31" t="str">
        <f>IFERROR(__xludf.DUMMYFUNCTION("IF(OR(E9708="""",K9708=""""),"""",IFERROR(IF(K9708="""","""",query('tbl user'!$A$2:$D10975,""SELECT A WHERE D = '""&amp;K9708&amp;""'"")),""USER TIDAK DIKETAHUI""))"),"")</f>
        <v/>
      </c>
    </row>
    <row r="9709">
      <c r="A9709" s="21" t="str">
        <f t="shared" si="3"/>
        <v/>
      </c>
      <c r="B9709" s="38"/>
      <c r="C9709" s="23"/>
      <c r="D9709" s="23"/>
      <c r="E9709" s="24"/>
      <c r="F9709" s="25"/>
      <c r="G9709" s="25"/>
      <c r="H9709" s="27"/>
      <c r="I9709" s="28"/>
      <c r="J9709" s="39"/>
      <c r="K9709" s="41"/>
      <c r="L9709" s="31" t="str">
        <f>IFERROR(__xludf.DUMMYFUNCTION("IF(OR(E9709="""",K9709=""""),"""",IFERROR(IF(K9709="""","""",query('tbl user'!$A$2:$D10975,""SELECT A WHERE D = '""&amp;K9709&amp;""'"")),""USER TIDAK DIKETAHUI""))"),"")</f>
        <v/>
      </c>
    </row>
    <row r="9710">
      <c r="A9710" s="21" t="str">
        <f t="shared" si="3"/>
        <v/>
      </c>
      <c r="B9710" s="38"/>
      <c r="C9710" s="23"/>
      <c r="D9710" s="23"/>
      <c r="E9710" s="24"/>
      <c r="F9710" s="25"/>
      <c r="G9710" s="25"/>
      <c r="H9710" s="27"/>
      <c r="I9710" s="28"/>
      <c r="J9710" s="39"/>
      <c r="K9710" s="41"/>
      <c r="L9710" s="31" t="str">
        <f>IFERROR(__xludf.DUMMYFUNCTION("IF(OR(E9710="""",K9710=""""),"""",IFERROR(IF(K9710="""","""",query('tbl user'!$A$2:$D10975,""SELECT A WHERE D = '""&amp;K9710&amp;""'"")),""USER TIDAK DIKETAHUI""))"),"")</f>
        <v/>
      </c>
    </row>
    <row r="9711">
      <c r="A9711" s="21" t="str">
        <f t="shared" si="3"/>
        <v/>
      </c>
      <c r="B9711" s="38"/>
      <c r="C9711" s="23"/>
      <c r="D9711" s="23"/>
      <c r="E9711" s="24"/>
      <c r="F9711" s="25"/>
      <c r="G9711" s="25"/>
      <c r="H9711" s="27"/>
      <c r="I9711" s="28"/>
      <c r="J9711" s="39"/>
      <c r="K9711" s="41"/>
      <c r="L9711" s="31" t="str">
        <f>IFERROR(__xludf.DUMMYFUNCTION("IF(OR(E9711="""",K9711=""""),"""",IFERROR(IF(K9711="""","""",query('tbl user'!$A$2:$D10975,""SELECT A WHERE D = '""&amp;K9711&amp;""'"")),""USER TIDAK DIKETAHUI""))"),"")</f>
        <v/>
      </c>
    </row>
    <row r="9712">
      <c r="A9712" s="21" t="str">
        <f t="shared" si="3"/>
        <v/>
      </c>
      <c r="B9712" s="38"/>
      <c r="C9712" s="23"/>
      <c r="D9712" s="23"/>
      <c r="E9712" s="24"/>
      <c r="F9712" s="25"/>
      <c r="G9712" s="25"/>
      <c r="H9712" s="27"/>
      <c r="I9712" s="28"/>
      <c r="J9712" s="39"/>
      <c r="K9712" s="41"/>
      <c r="L9712" s="31" t="str">
        <f>IFERROR(__xludf.DUMMYFUNCTION("IF(OR(E9712="""",K9712=""""),"""",IFERROR(IF(K9712="""","""",query('tbl user'!$A$2:$D10975,""SELECT A WHERE D = '""&amp;K9712&amp;""'"")),""USER TIDAK DIKETAHUI""))"),"")</f>
        <v/>
      </c>
    </row>
    <row r="9713">
      <c r="A9713" s="21" t="str">
        <f t="shared" si="3"/>
        <v/>
      </c>
      <c r="B9713" s="38"/>
      <c r="C9713" s="23"/>
      <c r="D9713" s="23"/>
      <c r="E9713" s="24"/>
      <c r="F9713" s="25"/>
      <c r="G9713" s="25"/>
      <c r="H9713" s="27"/>
      <c r="I9713" s="28"/>
      <c r="J9713" s="39"/>
      <c r="K9713" s="41"/>
      <c r="L9713" s="31" t="str">
        <f>IFERROR(__xludf.DUMMYFUNCTION("IF(OR(E9713="""",K9713=""""),"""",IFERROR(IF(K9713="""","""",query('tbl user'!$A$2:$D10975,""SELECT A WHERE D = '""&amp;K9713&amp;""'"")),""USER TIDAK DIKETAHUI""))"),"")</f>
        <v/>
      </c>
    </row>
    <row r="9714">
      <c r="A9714" s="21" t="str">
        <f t="shared" si="3"/>
        <v/>
      </c>
      <c r="B9714" s="38"/>
      <c r="C9714" s="23"/>
      <c r="D9714" s="23"/>
      <c r="E9714" s="24"/>
      <c r="F9714" s="25"/>
      <c r="G9714" s="25"/>
      <c r="H9714" s="27"/>
      <c r="I9714" s="28"/>
      <c r="J9714" s="39"/>
      <c r="K9714" s="41"/>
      <c r="L9714" s="31" t="str">
        <f>IFERROR(__xludf.DUMMYFUNCTION("IF(OR(E9714="""",K9714=""""),"""",IFERROR(IF(K9714="""","""",query('tbl user'!$A$2:$D10975,""SELECT A WHERE D = '""&amp;K9714&amp;""'"")),""USER TIDAK DIKETAHUI""))"),"")</f>
        <v/>
      </c>
    </row>
    <row r="9715">
      <c r="A9715" s="21" t="str">
        <f t="shared" si="3"/>
        <v/>
      </c>
      <c r="B9715" s="38"/>
      <c r="C9715" s="23"/>
      <c r="D9715" s="23"/>
      <c r="E9715" s="24"/>
      <c r="F9715" s="25"/>
      <c r="G9715" s="25"/>
      <c r="H9715" s="27"/>
      <c r="I9715" s="28"/>
      <c r="J9715" s="39"/>
      <c r="K9715" s="41"/>
      <c r="L9715" s="31" t="str">
        <f>IFERROR(__xludf.DUMMYFUNCTION("IF(OR(E9715="""",K9715=""""),"""",IFERROR(IF(K9715="""","""",query('tbl user'!$A$2:$D10975,""SELECT A WHERE D = '""&amp;K9715&amp;""'"")),""USER TIDAK DIKETAHUI""))"),"")</f>
        <v/>
      </c>
    </row>
    <row r="9716">
      <c r="A9716" s="21" t="str">
        <f t="shared" si="3"/>
        <v/>
      </c>
      <c r="B9716" s="38"/>
      <c r="C9716" s="23"/>
      <c r="D9716" s="23"/>
      <c r="E9716" s="24"/>
      <c r="F9716" s="25"/>
      <c r="G9716" s="25"/>
      <c r="H9716" s="27"/>
      <c r="I9716" s="28"/>
      <c r="J9716" s="39"/>
      <c r="K9716" s="41"/>
      <c r="L9716" s="31" t="str">
        <f>IFERROR(__xludf.DUMMYFUNCTION("IF(OR(E9716="""",K9716=""""),"""",IFERROR(IF(K9716="""","""",query('tbl user'!$A$2:$D10975,""SELECT A WHERE D = '""&amp;K9716&amp;""'"")),""USER TIDAK DIKETAHUI""))"),"")</f>
        <v/>
      </c>
    </row>
    <row r="9717">
      <c r="A9717" s="21" t="str">
        <f t="shared" si="3"/>
        <v/>
      </c>
      <c r="B9717" s="38"/>
      <c r="C9717" s="23"/>
      <c r="D9717" s="23"/>
      <c r="E9717" s="24"/>
      <c r="F9717" s="25"/>
      <c r="G9717" s="25"/>
      <c r="H9717" s="27"/>
      <c r="I9717" s="28"/>
      <c r="J9717" s="39"/>
      <c r="K9717" s="41"/>
      <c r="L9717" s="31" t="str">
        <f>IFERROR(__xludf.DUMMYFUNCTION("IF(OR(E9717="""",K9717=""""),"""",IFERROR(IF(K9717="""","""",query('tbl user'!$A$2:$D10975,""SELECT A WHERE D = '""&amp;K9717&amp;""'"")),""USER TIDAK DIKETAHUI""))"),"")</f>
        <v/>
      </c>
    </row>
    <row r="9718">
      <c r="A9718" s="21" t="str">
        <f t="shared" si="3"/>
        <v/>
      </c>
      <c r="B9718" s="38"/>
      <c r="C9718" s="23"/>
      <c r="D9718" s="23"/>
      <c r="E9718" s="24"/>
      <c r="F9718" s="25"/>
      <c r="G9718" s="25"/>
      <c r="H9718" s="27"/>
      <c r="I9718" s="28"/>
      <c r="J9718" s="39"/>
      <c r="K9718" s="41"/>
      <c r="L9718" s="31" t="str">
        <f>IFERROR(__xludf.DUMMYFUNCTION("IF(OR(E9718="""",K9718=""""),"""",IFERROR(IF(K9718="""","""",query('tbl user'!$A$2:$D10975,""SELECT A WHERE D = '""&amp;K9718&amp;""'"")),""USER TIDAK DIKETAHUI""))"),"")</f>
        <v/>
      </c>
    </row>
    <row r="9719">
      <c r="A9719" s="21" t="str">
        <f t="shared" si="3"/>
        <v/>
      </c>
      <c r="B9719" s="38"/>
      <c r="C9719" s="23"/>
      <c r="D9719" s="23"/>
      <c r="E9719" s="24"/>
      <c r="F9719" s="25"/>
      <c r="G9719" s="25"/>
      <c r="H9719" s="27"/>
      <c r="I9719" s="28"/>
      <c r="J9719" s="39"/>
      <c r="K9719" s="41"/>
      <c r="L9719" s="31" t="str">
        <f>IFERROR(__xludf.DUMMYFUNCTION("IF(OR(E9719="""",K9719=""""),"""",IFERROR(IF(K9719="""","""",query('tbl user'!$A$2:$D10975,""SELECT A WHERE D = '""&amp;K9719&amp;""'"")),""USER TIDAK DIKETAHUI""))"),"")</f>
        <v/>
      </c>
    </row>
    <row r="9720">
      <c r="A9720" s="21" t="str">
        <f t="shared" si="3"/>
        <v/>
      </c>
      <c r="B9720" s="38"/>
      <c r="C9720" s="23"/>
      <c r="D9720" s="23"/>
      <c r="E9720" s="24"/>
      <c r="F9720" s="25"/>
      <c r="G9720" s="25"/>
      <c r="H9720" s="27"/>
      <c r="I9720" s="28"/>
      <c r="J9720" s="39"/>
      <c r="K9720" s="41"/>
      <c r="L9720" s="31" t="str">
        <f>IFERROR(__xludf.DUMMYFUNCTION("IF(OR(E9720="""",K9720=""""),"""",IFERROR(IF(K9720="""","""",query('tbl user'!$A$2:$D10975,""SELECT A WHERE D = '""&amp;K9720&amp;""'"")),""USER TIDAK DIKETAHUI""))"),"")</f>
        <v/>
      </c>
    </row>
    <row r="9721">
      <c r="A9721" s="21" t="str">
        <f t="shared" si="3"/>
        <v/>
      </c>
      <c r="B9721" s="38"/>
      <c r="C9721" s="23"/>
      <c r="D9721" s="23"/>
      <c r="E9721" s="24"/>
      <c r="F9721" s="25"/>
      <c r="G9721" s="25"/>
      <c r="H9721" s="27"/>
      <c r="I9721" s="28"/>
      <c r="J9721" s="39"/>
      <c r="K9721" s="41"/>
      <c r="L9721" s="31" t="str">
        <f>IFERROR(__xludf.DUMMYFUNCTION("IF(OR(E9721="""",K9721=""""),"""",IFERROR(IF(K9721="""","""",query('tbl user'!$A$2:$D10975,""SELECT A WHERE D = '""&amp;K9721&amp;""'"")),""USER TIDAK DIKETAHUI""))"),"")</f>
        <v/>
      </c>
    </row>
    <row r="9722">
      <c r="A9722" s="21" t="str">
        <f t="shared" si="3"/>
        <v/>
      </c>
      <c r="B9722" s="38"/>
      <c r="C9722" s="23"/>
      <c r="D9722" s="23"/>
      <c r="E9722" s="24"/>
      <c r="F9722" s="25"/>
      <c r="G9722" s="25"/>
      <c r="H9722" s="27"/>
      <c r="I9722" s="28"/>
      <c r="J9722" s="39"/>
      <c r="K9722" s="41"/>
      <c r="L9722" s="31" t="str">
        <f>IFERROR(__xludf.DUMMYFUNCTION("IF(OR(E9722="""",K9722=""""),"""",IFERROR(IF(K9722="""","""",query('tbl user'!$A$2:$D10975,""SELECT A WHERE D = '""&amp;K9722&amp;""'"")),""USER TIDAK DIKETAHUI""))"),"")</f>
        <v/>
      </c>
    </row>
    <row r="9723">
      <c r="A9723" s="21" t="str">
        <f t="shared" si="3"/>
        <v/>
      </c>
      <c r="B9723" s="38"/>
      <c r="C9723" s="23"/>
      <c r="D9723" s="23"/>
      <c r="E9723" s="24"/>
      <c r="F9723" s="25"/>
      <c r="G9723" s="25"/>
      <c r="H9723" s="27"/>
      <c r="I9723" s="28"/>
      <c r="J9723" s="39"/>
      <c r="K9723" s="41"/>
      <c r="L9723" s="31" t="str">
        <f>IFERROR(__xludf.DUMMYFUNCTION("IF(OR(E9723="""",K9723=""""),"""",IFERROR(IF(K9723="""","""",query('tbl user'!$A$2:$D10975,""SELECT A WHERE D = '""&amp;K9723&amp;""'"")),""USER TIDAK DIKETAHUI""))"),"")</f>
        <v/>
      </c>
    </row>
    <row r="9724">
      <c r="A9724" s="21" t="str">
        <f t="shared" si="3"/>
        <v/>
      </c>
      <c r="B9724" s="38"/>
      <c r="C9724" s="23"/>
      <c r="D9724" s="23"/>
      <c r="E9724" s="24"/>
      <c r="F9724" s="25"/>
      <c r="G9724" s="25"/>
      <c r="H9724" s="27"/>
      <c r="I9724" s="28"/>
      <c r="J9724" s="39"/>
      <c r="K9724" s="41"/>
      <c r="L9724" s="31" t="str">
        <f>IFERROR(__xludf.DUMMYFUNCTION("IF(OR(E9724="""",K9724=""""),"""",IFERROR(IF(K9724="""","""",query('tbl user'!$A$2:$D10975,""SELECT A WHERE D = '""&amp;K9724&amp;""'"")),""USER TIDAK DIKETAHUI""))"),"")</f>
        <v/>
      </c>
    </row>
    <row r="9725">
      <c r="A9725" s="21" t="str">
        <f t="shared" si="3"/>
        <v/>
      </c>
      <c r="B9725" s="38"/>
      <c r="C9725" s="23"/>
      <c r="D9725" s="23"/>
      <c r="E9725" s="24"/>
      <c r="F9725" s="25"/>
      <c r="G9725" s="25"/>
      <c r="H9725" s="27"/>
      <c r="I9725" s="28"/>
      <c r="J9725" s="39"/>
      <c r="K9725" s="41"/>
      <c r="L9725" s="31" t="str">
        <f>IFERROR(__xludf.DUMMYFUNCTION("IF(OR(E9725="""",K9725=""""),"""",IFERROR(IF(K9725="""","""",query('tbl user'!$A$2:$D10975,""SELECT A WHERE D = '""&amp;K9725&amp;""'"")),""USER TIDAK DIKETAHUI""))"),"")</f>
        <v/>
      </c>
    </row>
    <row r="9726">
      <c r="A9726" s="21" t="str">
        <f t="shared" si="3"/>
        <v/>
      </c>
      <c r="B9726" s="38"/>
      <c r="C9726" s="23"/>
      <c r="D9726" s="23"/>
      <c r="E9726" s="24"/>
      <c r="F9726" s="25"/>
      <c r="G9726" s="25"/>
      <c r="H9726" s="27"/>
      <c r="I9726" s="28"/>
      <c r="J9726" s="39"/>
      <c r="K9726" s="41"/>
      <c r="L9726" s="31" t="str">
        <f>IFERROR(__xludf.DUMMYFUNCTION("IF(OR(E9726="""",K9726=""""),"""",IFERROR(IF(K9726="""","""",query('tbl user'!$A$2:$D10975,""SELECT A WHERE D = '""&amp;K9726&amp;""'"")),""USER TIDAK DIKETAHUI""))"),"")</f>
        <v/>
      </c>
    </row>
    <row r="9727">
      <c r="A9727" s="21" t="str">
        <f t="shared" si="3"/>
        <v/>
      </c>
      <c r="B9727" s="38"/>
      <c r="C9727" s="23"/>
      <c r="D9727" s="23"/>
      <c r="E9727" s="24"/>
      <c r="F9727" s="25"/>
      <c r="G9727" s="25"/>
      <c r="H9727" s="27"/>
      <c r="I9727" s="28"/>
      <c r="J9727" s="39"/>
      <c r="K9727" s="41"/>
      <c r="L9727" s="31" t="str">
        <f>IFERROR(__xludf.DUMMYFUNCTION("IF(OR(E9727="""",K9727=""""),"""",IFERROR(IF(K9727="""","""",query('tbl user'!$A$2:$D10975,""SELECT A WHERE D = '""&amp;K9727&amp;""'"")),""USER TIDAK DIKETAHUI""))"),"")</f>
        <v/>
      </c>
    </row>
    <row r="9728">
      <c r="A9728" s="21" t="str">
        <f t="shared" si="3"/>
        <v/>
      </c>
      <c r="B9728" s="38"/>
      <c r="C9728" s="23"/>
      <c r="D9728" s="23"/>
      <c r="E9728" s="24"/>
      <c r="F9728" s="25"/>
      <c r="G9728" s="25"/>
      <c r="H9728" s="27"/>
      <c r="I9728" s="28"/>
      <c r="J9728" s="39"/>
      <c r="K9728" s="41"/>
      <c r="L9728" s="31" t="str">
        <f>IFERROR(__xludf.DUMMYFUNCTION("IF(OR(E9728="""",K9728=""""),"""",IFERROR(IF(K9728="""","""",query('tbl user'!$A$2:$D10975,""SELECT A WHERE D = '""&amp;K9728&amp;""'"")),""USER TIDAK DIKETAHUI""))"),"")</f>
        <v/>
      </c>
    </row>
    <row r="9729">
      <c r="A9729" s="21" t="str">
        <f t="shared" si="3"/>
        <v/>
      </c>
      <c r="B9729" s="38"/>
      <c r="C9729" s="23"/>
      <c r="D9729" s="23"/>
      <c r="E9729" s="24"/>
      <c r="F9729" s="25"/>
      <c r="G9729" s="25"/>
      <c r="H9729" s="27"/>
      <c r="I9729" s="28"/>
      <c r="J9729" s="39"/>
      <c r="K9729" s="41"/>
      <c r="L9729" s="31" t="str">
        <f>IFERROR(__xludf.DUMMYFUNCTION("IF(OR(E9729="""",K9729=""""),"""",IFERROR(IF(K9729="""","""",query('tbl user'!$A$2:$D10975,""SELECT A WHERE D = '""&amp;K9729&amp;""'"")),""USER TIDAK DIKETAHUI""))"),"")</f>
        <v/>
      </c>
    </row>
    <row r="9730">
      <c r="A9730" s="21" t="str">
        <f t="shared" si="3"/>
        <v/>
      </c>
      <c r="B9730" s="38"/>
      <c r="C9730" s="23"/>
      <c r="D9730" s="23"/>
      <c r="E9730" s="24"/>
      <c r="F9730" s="25"/>
      <c r="G9730" s="25"/>
      <c r="H9730" s="27"/>
      <c r="I9730" s="28"/>
      <c r="J9730" s="39"/>
      <c r="K9730" s="41"/>
      <c r="L9730" s="31" t="str">
        <f>IFERROR(__xludf.DUMMYFUNCTION("IF(OR(E9730="""",K9730=""""),"""",IFERROR(IF(K9730="""","""",query('tbl user'!$A$2:$D10975,""SELECT A WHERE D = '""&amp;K9730&amp;""'"")),""USER TIDAK DIKETAHUI""))"),"")</f>
        <v/>
      </c>
    </row>
    <row r="9731">
      <c r="A9731" s="21" t="str">
        <f t="shared" si="3"/>
        <v/>
      </c>
      <c r="B9731" s="38"/>
      <c r="C9731" s="23"/>
      <c r="D9731" s="23"/>
      <c r="E9731" s="24"/>
      <c r="F9731" s="25"/>
      <c r="G9731" s="25"/>
      <c r="H9731" s="27"/>
      <c r="I9731" s="28"/>
      <c r="J9731" s="39"/>
      <c r="K9731" s="41"/>
      <c r="L9731" s="31" t="str">
        <f>IFERROR(__xludf.DUMMYFUNCTION("IF(OR(E9731="""",K9731=""""),"""",IFERROR(IF(K9731="""","""",query('tbl user'!$A$2:$D10975,""SELECT A WHERE D = '""&amp;K9731&amp;""'"")),""USER TIDAK DIKETAHUI""))"),"")</f>
        <v/>
      </c>
    </row>
    <row r="9732">
      <c r="A9732" s="21" t="str">
        <f t="shared" si="3"/>
        <v/>
      </c>
      <c r="B9732" s="38"/>
      <c r="C9732" s="23"/>
      <c r="D9732" s="23"/>
      <c r="E9732" s="24"/>
      <c r="F9732" s="25"/>
      <c r="G9732" s="25"/>
      <c r="H9732" s="27"/>
      <c r="I9732" s="28"/>
      <c r="J9732" s="39"/>
      <c r="K9732" s="41"/>
      <c r="L9732" s="31" t="str">
        <f>IFERROR(__xludf.DUMMYFUNCTION("IF(OR(E9732="""",K9732=""""),"""",IFERROR(IF(K9732="""","""",query('tbl user'!$A$2:$D10975,""SELECT A WHERE D = '""&amp;K9732&amp;""'"")),""USER TIDAK DIKETAHUI""))"),"")</f>
        <v/>
      </c>
    </row>
    <row r="9733">
      <c r="A9733" s="21" t="str">
        <f t="shared" si="3"/>
        <v/>
      </c>
      <c r="B9733" s="38"/>
      <c r="C9733" s="23"/>
      <c r="D9733" s="23"/>
      <c r="E9733" s="24"/>
      <c r="F9733" s="25"/>
      <c r="G9733" s="25"/>
      <c r="H9733" s="27"/>
      <c r="I9733" s="28"/>
      <c r="J9733" s="39"/>
      <c r="K9733" s="41"/>
      <c r="L9733" s="31" t="str">
        <f>IFERROR(__xludf.DUMMYFUNCTION("IF(OR(E9733="""",K9733=""""),"""",IFERROR(IF(K9733="""","""",query('tbl user'!$A$2:$D10975,""SELECT A WHERE D = '""&amp;K9733&amp;""'"")),""USER TIDAK DIKETAHUI""))"),"")</f>
        <v/>
      </c>
    </row>
    <row r="9734">
      <c r="A9734" s="21" t="str">
        <f t="shared" si="3"/>
        <v/>
      </c>
      <c r="B9734" s="38"/>
      <c r="C9734" s="23"/>
      <c r="D9734" s="23"/>
      <c r="E9734" s="24"/>
      <c r="F9734" s="25"/>
      <c r="G9734" s="25"/>
      <c r="H9734" s="27"/>
      <c r="I9734" s="28"/>
      <c r="J9734" s="39"/>
      <c r="K9734" s="41"/>
      <c r="L9734" s="31" t="str">
        <f>IFERROR(__xludf.DUMMYFUNCTION("IF(OR(E9734="""",K9734=""""),"""",IFERROR(IF(K9734="""","""",query('tbl user'!$A$2:$D10975,""SELECT A WHERE D = '""&amp;K9734&amp;""'"")),""USER TIDAK DIKETAHUI""))"),"")</f>
        <v/>
      </c>
    </row>
    <row r="9735">
      <c r="A9735" s="21" t="str">
        <f t="shared" si="3"/>
        <v/>
      </c>
      <c r="B9735" s="38"/>
      <c r="C9735" s="23"/>
      <c r="D9735" s="23"/>
      <c r="E9735" s="24"/>
      <c r="F9735" s="25"/>
      <c r="G9735" s="25"/>
      <c r="H9735" s="27"/>
      <c r="I9735" s="28"/>
      <c r="J9735" s="39"/>
      <c r="K9735" s="41"/>
      <c r="L9735" s="31" t="str">
        <f>IFERROR(__xludf.DUMMYFUNCTION("IF(OR(E9735="""",K9735=""""),"""",IFERROR(IF(K9735="""","""",query('tbl user'!$A$2:$D10975,""SELECT A WHERE D = '""&amp;K9735&amp;""'"")),""USER TIDAK DIKETAHUI""))"),"")</f>
        <v/>
      </c>
    </row>
    <row r="9736">
      <c r="A9736" s="21" t="str">
        <f t="shared" si="3"/>
        <v/>
      </c>
      <c r="B9736" s="38"/>
      <c r="C9736" s="23"/>
      <c r="D9736" s="23"/>
      <c r="E9736" s="24"/>
      <c r="F9736" s="25"/>
      <c r="G9736" s="25"/>
      <c r="H9736" s="27"/>
      <c r="I9736" s="28"/>
      <c r="J9736" s="39"/>
      <c r="K9736" s="41"/>
      <c r="L9736" s="31" t="str">
        <f>IFERROR(__xludf.DUMMYFUNCTION("IF(OR(E9736="""",K9736=""""),"""",IFERROR(IF(K9736="""","""",query('tbl user'!$A$2:$D10975,""SELECT A WHERE D = '""&amp;K9736&amp;""'"")),""USER TIDAK DIKETAHUI""))"),"")</f>
        <v/>
      </c>
    </row>
    <row r="9737">
      <c r="A9737" s="21" t="str">
        <f t="shared" si="3"/>
        <v/>
      </c>
      <c r="B9737" s="38"/>
      <c r="C9737" s="23"/>
      <c r="D9737" s="23"/>
      <c r="E9737" s="24"/>
      <c r="F9737" s="25"/>
      <c r="G9737" s="25"/>
      <c r="H9737" s="27"/>
      <c r="I9737" s="28"/>
      <c r="J9737" s="39"/>
      <c r="K9737" s="41"/>
      <c r="L9737" s="31" t="str">
        <f>IFERROR(__xludf.DUMMYFUNCTION("IF(OR(E9737="""",K9737=""""),"""",IFERROR(IF(K9737="""","""",query('tbl user'!$A$2:$D10975,""SELECT A WHERE D = '""&amp;K9737&amp;""'"")),""USER TIDAK DIKETAHUI""))"),"")</f>
        <v/>
      </c>
    </row>
    <row r="9738">
      <c r="A9738" s="21" t="str">
        <f t="shared" si="3"/>
        <v/>
      </c>
      <c r="B9738" s="38"/>
      <c r="C9738" s="23"/>
      <c r="D9738" s="23"/>
      <c r="E9738" s="24"/>
      <c r="F9738" s="25"/>
      <c r="G9738" s="25"/>
      <c r="H9738" s="27"/>
      <c r="I9738" s="28"/>
      <c r="J9738" s="39"/>
      <c r="K9738" s="41"/>
      <c r="L9738" s="31" t="str">
        <f>IFERROR(__xludf.DUMMYFUNCTION("IF(OR(E9738="""",K9738=""""),"""",IFERROR(IF(K9738="""","""",query('tbl user'!$A$2:$D10975,""SELECT A WHERE D = '""&amp;K9738&amp;""'"")),""USER TIDAK DIKETAHUI""))"),"")</f>
        <v/>
      </c>
    </row>
    <row r="9739">
      <c r="A9739" s="21" t="str">
        <f t="shared" si="3"/>
        <v/>
      </c>
      <c r="B9739" s="38"/>
      <c r="C9739" s="23"/>
      <c r="D9739" s="23"/>
      <c r="E9739" s="24"/>
      <c r="F9739" s="25"/>
      <c r="G9739" s="25"/>
      <c r="H9739" s="27"/>
      <c r="I9739" s="28"/>
      <c r="J9739" s="39"/>
      <c r="K9739" s="41"/>
      <c r="L9739" s="31" t="str">
        <f>IFERROR(__xludf.DUMMYFUNCTION("IF(OR(E9739="""",K9739=""""),"""",IFERROR(IF(K9739="""","""",query('tbl user'!$A$2:$D10975,""SELECT A WHERE D = '""&amp;K9739&amp;""'"")),""USER TIDAK DIKETAHUI""))"),"")</f>
        <v/>
      </c>
    </row>
    <row r="9740">
      <c r="A9740" s="21" t="str">
        <f t="shared" si="3"/>
        <v/>
      </c>
      <c r="B9740" s="38"/>
      <c r="C9740" s="23"/>
      <c r="D9740" s="23"/>
      <c r="E9740" s="24"/>
      <c r="F9740" s="25"/>
      <c r="G9740" s="25"/>
      <c r="H9740" s="27"/>
      <c r="I9740" s="28"/>
      <c r="J9740" s="39"/>
      <c r="K9740" s="41"/>
      <c r="L9740" s="31" t="str">
        <f>IFERROR(__xludf.DUMMYFUNCTION("IF(OR(E9740="""",K9740=""""),"""",IFERROR(IF(K9740="""","""",query('tbl user'!$A$2:$D10975,""SELECT A WHERE D = '""&amp;K9740&amp;""'"")),""USER TIDAK DIKETAHUI""))"),"")</f>
        <v/>
      </c>
    </row>
    <row r="9741">
      <c r="A9741" s="21" t="str">
        <f t="shared" si="3"/>
        <v/>
      </c>
      <c r="B9741" s="38"/>
      <c r="C9741" s="23"/>
      <c r="D9741" s="23"/>
      <c r="E9741" s="24"/>
      <c r="F9741" s="25"/>
      <c r="G9741" s="25"/>
      <c r="H9741" s="27"/>
      <c r="I9741" s="28"/>
      <c r="J9741" s="39"/>
      <c r="K9741" s="41"/>
      <c r="L9741" s="31" t="str">
        <f>IFERROR(__xludf.DUMMYFUNCTION("IF(OR(E9741="""",K9741=""""),"""",IFERROR(IF(K9741="""","""",query('tbl user'!$A$2:$D10975,""SELECT A WHERE D = '""&amp;K9741&amp;""'"")),""USER TIDAK DIKETAHUI""))"),"")</f>
        <v/>
      </c>
    </row>
    <row r="9742">
      <c r="A9742" s="21" t="str">
        <f t="shared" si="3"/>
        <v/>
      </c>
      <c r="B9742" s="38"/>
      <c r="C9742" s="23"/>
      <c r="D9742" s="23"/>
      <c r="E9742" s="24"/>
      <c r="F9742" s="25"/>
      <c r="G9742" s="25"/>
      <c r="H9742" s="27"/>
      <c r="I9742" s="28"/>
      <c r="J9742" s="39"/>
      <c r="K9742" s="41"/>
      <c r="L9742" s="31" t="str">
        <f>IFERROR(__xludf.DUMMYFUNCTION("IF(OR(E9742="""",K9742=""""),"""",IFERROR(IF(K9742="""","""",query('tbl user'!$A$2:$D10975,""SELECT A WHERE D = '""&amp;K9742&amp;""'"")),""USER TIDAK DIKETAHUI""))"),"")</f>
        <v/>
      </c>
    </row>
    <row r="9743">
      <c r="A9743" s="21" t="str">
        <f t="shared" si="3"/>
        <v/>
      </c>
      <c r="B9743" s="38"/>
      <c r="C9743" s="23"/>
      <c r="D9743" s="23"/>
      <c r="E9743" s="24"/>
      <c r="F9743" s="25"/>
      <c r="G9743" s="25"/>
      <c r="H9743" s="27"/>
      <c r="I9743" s="28"/>
      <c r="J9743" s="39"/>
      <c r="K9743" s="41"/>
      <c r="L9743" s="31" t="str">
        <f>IFERROR(__xludf.DUMMYFUNCTION("IF(OR(E9743="""",K9743=""""),"""",IFERROR(IF(K9743="""","""",query('tbl user'!$A$2:$D10975,""SELECT A WHERE D = '""&amp;K9743&amp;""'"")),""USER TIDAK DIKETAHUI""))"),"")</f>
        <v/>
      </c>
    </row>
    <row r="9744">
      <c r="A9744" s="21" t="str">
        <f t="shared" si="3"/>
        <v/>
      </c>
      <c r="B9744" s="38"/>
      <c r="C9744" s="23"/>
      <c r="D9744" s="23"/>
      <c r="E9744" s="24"/>
      <c r="F9744" s="25"/>
      <c r="G9744" s="25"/>
      <c r="H9744" s="27"/>
      <c r="I9744" s="28"/>
      <c r="J9744" s="39"/>
      <c r="K9744" s="41"/>
      <c r="L9744" s="31" t="str">
        <f>IFERROR(__xludf.DUMMYFUNCTION("IF(OR(E9744="""",K9744=""""),"""",IFERROR(IF(K9744="""","""",query('tbl user'!$A$2:$D10975,""SELECT A WHERE D = '""&amp;K9744&amp;""'"")),""USER TIDAK DIKETAHUI""))"),"")</f>
        <v/>
      </c>
    </row>
    <row r="9745">
      <c r="A9745" s="21" t="str">
        <f t="shared" si="3"/>
        <v/>
      </c>
      <c r="B9745" s="38"/>
      <c r="C9745" s="23"/>
      <c r="D9745" s="23"/>
      <c r="E9745" s="24"/>
      <c r="F9745" s="25"/>
      <c r="G9745" s="25"/>
      <c r="H9745" s="27"/>
      <c r="I9745" s="28"/>
      <c r="J9745" s="39"/>
      <c r="K9745" s="41"/>
      <c r="L9745" s="31" t="str">
        <f>IFERROR(__xludf.DUMMYFUNCTION("IF(OR(E9745="""",K9745=""""),"""",IFERROR(IF(K9745="""","""",query('tbl user'!$A$2:$D10975,""SELECT A WHERE D = '""&amp;K9745&amp;""'"")),""USER TIDAK DIKETAHUI""))"),"")</f>
        <v/>
      </c>
    </row>
    <row r="9746">
      <c r="A9746" s="21" t="str">
        <f t="shared" si="3"/>
        <v/>
      </c>
      <c r="B9746" s="38"/>
      <c r="C9746" s="23"/>
      <c r="D9746" s="23"/>
      <c r="E9746" s="24"/>
      <c r="F9746" s="25"/>
      <c r="G9746" s="25"/>
      <c r="H9746" s="27"/>
      <c r="I9746" s="28"/>
      <c r="J9746" s="39"/>
      <c r="K9746" s="41"/>
      <c r="L9746" s="31" t="str">
        <f>IFERROR(__xludf.DUMMYFUNCTION("IF(OR(E9746="""",K9746=""""),"""",IFERROR(IF(K9746="""","""",query('tbl user'!$A$2:$D10975,""SELECT A WHERE D = '""&amp;K9746&amp;""'"")),""USER TIDAK DIKETAHUI""))"),"")</f>
        <v/>
      </c>
    </row>
    <row r="9747">
      <c r="A9747" s="21" t="str">
        <f t="shared" si="3"/>
        <v/>
      </c>
      <c r="B9747" s="38"/>
      <c r="C9747" s="23"/>
      <c r="D9747" s="23"/>
      <c r="E9747" s="24"/>
      <c r="F9747" s="25"/>
      <c r="G9747" s="25"/>
      <c r="H9747" s="27"/>
      <c r="I9747" s="28"/>
      <c r="J9747" s="39"/>
      <c r="K9747" s="41"/>
      <c r="L9747" s="31" t="str">
        <f>IFERROR(__xludf.DUMMYFUNCTION("IF(OR(E9747="""",K9747=""""),"""",IFERROR(IF(K9747="""","""",query('tbl user'!$A$2:$D10975,""SELECT A WHERE D = '""&amp;K9747&amp;""'"")),""USER TIDAK DIKETAHUI""))"),"")</f>
        <v/>
      </c>
    </row>
    <row r="9748">
      <c r="A9748" s="21" t="str">
        <f t="shared" si="3"/>
        <v/>
      </c>
      <c r="B9748" s="38"/>
      <c r="C9748" s="23"/>
      <c r="D9748" s="23"/>
      <c r="E9748" s="24"/>
      <c r="F9748" s="25"/>
      <c r="G9748" s="25"/>
      <c r="H9748" s="27"/>
      <c r="I9748" s="28"/>
      <c r="J9748" s="39"/>
      <c r="K9748" s="41"/>
      <c r="L9748" s="31" t="str">
        <f>IFERROR(__xludf.DUMMYFUNCTION("IF(OR(E9748="""",K9748=""""),"""",IFERROR(IF(K9748="""","""",query('tbl user'!$A$2:$D10975,""SELECT A WHERE D = '""&amp;K9748&amp;""'"")),""USER TIDAK DIKETAHUI""))"),"")</f>
        <v/>
      </c>
    </row>
    <row r="9749">
      <c r="A9749" s="21" t="str">
        <f t="shared" si="3"/>
        <v/>
      </c>
      <c r="B9749" s="38"/>
      <c r="C9749" s="23"/>
      <c r="D9749" s="23"/>
      <c r="E9749" s="24"/>
      <c r="F9749" s="25"/>
      <c r="G9749" s="25"/>
      <c r="H9749" s="27"/>
      <c r="I9749" s="28"/>
      <c r="J9749" s="39"/>
      <c r="K9749" s="41"/>
      <c r="L9749" s="31" t="str">
        <f>IFERROR(__xludf.DUMMYFUNCTION("IF(OR(E9749="""",K9749=""""),"""",IFERROR(IF(K9749="""","""",query('tbl user'!$A$2:$D10975,""SELECT A WHERE D = '""&amp;K9749&amp;""'"")),""USER TIDAK DIKETAHUI""))"),"")</f>
        <v/>
      </c>
    </row>
    <row r="9750">
      <c r="A9750" s="21" t="str">
        <f t="shared" si="3"/>
        <v/>
      </c>
      <c r="B9750" s="38"/>
      <c r="C9750" s="23"/>
      <c r="D9750" s="23"/>
      <c r="E9750" s="24"/>
      <c r="F9750" s="25"/>
      <c r="G9750" s="25"/>
      <c r="H9750" s="27"/>
      <c r="I9750" s="28"/>
      <c r="J9750" s="39"/>
      <c r="K9750" s="41"/>
      <c r="L9750" s="31" t="str">
        <f>IFERROR(__xludf.DUMMYFUNCTION("IF(OR(E9750="""",K9750=""""),"""",IFERROR(IF(K9750="""","""",query('tbl user'!$A$2:$D10975,""SELECT A WHERE D = '""&amp;K9750&amp;""'"")),""USER TIDAK DIKETAHUI""))"),"")</f>
        <v/>
      </c>
    </row>
    <row r="9751">
      <c r="A9751" s="21" t="str">
        <f t="shared" si="3"/>
        <v/>
      </c>
      <c r="B9751" s="38"/>
      <c r="C9751" s="23"/>
      <c r="D9751" s="23"/>
      <c r="E9751" s="24"/>
      <c r="F9751" s="25"/>
      <c r="G9751" s="25"/>
      <c r="H9751" s="27"/>
      <c r="I9751" s="28"/>
      <c r="J9751" s="39"/>
      <c r="K9751" s="41"/>
      <c r="L9751" s="31" t="str">
        <f>IFERROR(__xludf.DUMMYFUNCTION("IF(OR(E9751="""",K9751=""""),"""",IFERROR(IF(K9751="""","""",query('tbl user'!$A$2:$D10975,""SELECT A WHERE D = '""&amp;K9751&amp;""'"")),""USER TIDAK DIKETAHUI""))"),"")</f>
        <v/>
      </c>
    </row>
    <row r="9752">
      <c r="A9752" s="21" t="str">
        <f t="shared" si="3"/>
        <v/>
      </c>
      <c r="B9752" s="38"/>
      <c r="C9752" s="23"/>
      <c r="D9752" s="23"/>
      <c r="E9752" s="24"/>
      <c r="F9752" s="25"/>
      <c r="G9752" s="25"/>
      <c r="H9752" s="27"/>
      <c r="I9752" s="28"/>
      <c r="J9752" s="39"/>
      <c r="K9752" s="41"/>
      <c r="L9752" s="31" t="str">
        <f>IFERROR(__xludf.DUMMYFUNCTION("IF(OR(E9752="""",K9752=""""),"""",IFERROR(IF(K9752="""","""",query('tbl user'!$A$2:$D10975,""SELECT A WHERE D = '""&amp;K9752&amp;""'"")),""USER TIDAK DIKETAHUI""))"),"")</f>
        <v/>
      </c>
    </row>
    <row r="9753">
      <c r="A9753" s="21" t="str">
        <f t="shared" si="3"/>
        <v/>
      </c>
      <c r="B9753" s="38"/>
      <c r="C9753" s="23"/>
      <c r="D9753" s="23"/>
      <c r="E9753" s="24"/>
      <c r="F9753" s="25"/>
      <c r="G9753" s="25"/>
      <c r="H9753" s="27"/>
      <c r="I9753" s="28"/>
      <c r="J9753" s="39"/>
      <c r="K9753" s="41"/>
      <c r="L9753" s="31" t="str">
        <f>IFERROR(__xludf.DUMMYFUNCTION("IF(OR(E9753="""",K9753=""""),"""",IFERROR(IF(K9753="""","""",query('tbl user'!$A$2:$D10975,""SELECT A WHERE D = '""&amp;K9753&amp;""'"")),""USER TIDAK DIKETAHUI""))"),"")</f>
        <v/>
      </c>
    </row>
    <row r="9754">
      <c r="A9754" s="21" t="str">
        <f t="shared" si="3"/>
        <v/>
      </c>
      <c r="B9754" s="38"/>
      <c r="C9754" s="23"/>
      <c r="D9754" s="23"/>
      <c r="E9754" s="24"/>
      <c r="F9754" s="25"/>
      <c r="G9754" s="25"/>
      <c r="H9754" s="27"/>
      <c r="I9754" s="28"/>
      <c r="J9754" s="39"/>
      <c r="K9754" s="41"/>
      <c r="L9754" s="31" t="str">
        <f>IFERROR(__xludf.DUMMYFUNCTION("IF(OR(E9754="""",K9754=""""),"""",IFERROR(IF(K9754="""","""",query('tbl user'!$A$2:$D10975,""SELECT A WHERE D = '""&amp;K9754&amp;""'"")),""USER TIDAK DIKETAHUI""))"),"")</f>
        <v/>
      </c>
    </row>
    <row r="9755">
      <c r="A9755" s="21" t="str">
        <f t="shared" si="3"/>
        <v/>
      </c>
      <c r="B9755" s="38"/>
      <c r="C9755" s="23"/>
      <c r="D9755" s="23"/>
      <c r="E9755" s="24"/>
      <c r="F9755" s="25"/>
      <c r="G9755" s="25"/>
      <c r="H9755" s="27"/>
      <c r="I9755" s="28"/>
      <c r="J9755" s="39"/>
      <c r="K9755" s="41"/>
      <c r="L9755" s="31" t="str">
        <f>IFERROR(__xludf.DUMMYFUNCTION("IF(OR(E9755="""",K9755=""""),"""",IFERROR(IF(K9755="""","""",query('tbl user'!$A$2:$D10975,""SELECT A WHERE D = '""&amp;K9755&amp;""'"")),""USER TIDAK DIKETAHUI""))"),"")</f>
        <v/>
      </c>
    </row>
    <row r="9756">
      <c r="A9756" s="21" t="str">
        <f t="shared" si="3"/>
        <v/>
      </c>
      <c r="B9756" s="38"/>
      <c r="C9756" s="23"/>
      <c r="D9756" s="23"/>
      <c r="E9756" s="24"/>
      <c r="F9756" s="25"/>
      <c r="G9756" s="25"/>
      <c r="H9756" s="27"/>
      <c r="I9756" s="28"/>
      <c r="J9756" s="39"/>
      <c r="K9756" s="41"/>
      <c r="L9756" s="31" t="str">
        <f>IFERROR(__xludf.DUMMYFUNCTION("IF(OR(E9756="""",K9756=""""),"""",IFERROR(IF(K9756="""","""",query('tbl user'!$A$2:$D10975,""SELECT A WHERE D = '""&amp;K9756&amp;""'"")),""USER TIDAK DIKETAHUI""))"),"")</f>
        <v/>
      </c>
    </row>
    <row r="9757">
      <c r="A9757" s="21" t="str">
        <f t="shared" si="3"/>
        <v/>
      </c>
      <c r="B9757" s="38"/>
      <c r="C9757" s="23"/>
      <c r="D9757" s="23"/>
      <c r="E9757" s="24"/>
      <c r="F9757" s="25"/>
      <c r="G9757" s="25"/>
      <c r="H9757" s="27"/>
      <c r="I9757" s="28"/>
      <c r="J9757" s="39"/>
      <c r="K9757" s="41"/>
      <c r="L9757" s="31" t="str">
        <f>IFERROR(__xludf.DUMMYFUNCTION("IF(OR(E9757="""",K9757=""""),"""",IFERROR(IF(K9757="""","""",query('tbl user'!$A$2:$D10975,""SELECT A WHERE D = '""&amp;K9757&amp;""'"")),""USER TIDAK DIKETAHUI""))"),"")</f>
        <v/>
      </c>
    </row>
    <row r="9758">
      <c r="A9758" s="21" t="str">
        <f t="shared" si="3"/>
        <v/>
      </c>
      <c r="B9758" s="38"/>
      <c r="C9758" s="23"/>
      <c r="D9758" s="23"/>
      <c r="E9758" s="24"/>
      <c r="F9758" s="25"/>
      <c r="G9758" s="25"/>
      <c r="H9758" s="27"/>
      <c r="I9758" s="28"/>
      <c r="J9758" s="39"/>
      <c r="K9758" s="41"/>
      <c r="L9758" s="31" t="str">
        <f>IFERROR(__xludf.DUMMYFUNCTION("IF(OR(E9758="""",K9758=""""),"""",IFERROR(IF(K9758="""","""",query('tbl user'!$A$2:$D10975,""SELECT A WHERE D = '""&amp;K9758&amp;""'"")),""USER TIDAK DIKETAHUI""))"),"")</f>
        <v/>
      </c>
    </row>
    <row r="9759">
      <c r="A9759" s="21" t="str">
        <f t="shared" si="3"/>
        <v/>
      </c>
      <c r="B9759" s="38"/>
      <c r="C9759" s="23"/>
      <c r="D9759" s="23"/>
      <c r="E9759" s="24"/>
      <c r="F9759" s="25"/>
      <c r="G9759" s="25"/>
      <c r="H9759" s="27"/>
      <c r="I9759" s="28"/>
      <c r="J9759" s="39"/>
      <c r="K9759" s="41"/>
      <c r="L9759" s="31" t="str">
        <f>IFERROR(__xludf.DUMMYFUNCTION("IF(OR(E9759="""",K9759=""""),"""",IFERROR(IF(K9759="""","""",query('tbl user'!$A$2:$D10975,""SELECT A WHERE D = '""&amp;K9759&amp;""'"")),""USER TIDAK DIKETAHUI""))"),"")</f>
        <v/>
      </c>
    </row>
    <row r="9760">
      <c r="A9760" s="21" t="str">
        <f t="shared" si="3"/>
        <v/>
      </c>
      <c r="B9760" s="38"/>
      <c r="C9760" s="23"/>
      <c r="D9760" s="23"/>
      <c r="E9760" s="24"/>
      <c r="F9760" s="25"/>
      <c r="G9760" s="25"/>
      <c r="H9760" s="27"/>
      <c r="I9760" s="28"/>
      <c r="J9760" s="39"/>
      <c r="K9760" s="41"/>
      <c r="L9760" s="31" t="str">
        <f>IFERROR(__xludf.DUMMYFUNCTION("IF(OR(E9760="""",K9760=""""),"""",IFERROR(IF(K9760="""","""",query('tbl user'!$A$2:$D10975,""SELECT A WHERE D = '""&amp;K9760&amp;""'"")),""USER TIDAK DIKETAHUI""))"),"")</f>
        <v/>
      </c>
    </row>
    <row r="9761">
      <c r="A9761" s="21" t="str">
        <f t="shared" si="3"/>
        <v/>
      </c>
      <c r="B9761" s="38"/>
      <c r="C9761" s="23"/>
      <c r="D9761" s="23"/>
      <c r="E9761" s="24"/>
      <c r="F9761" s="25"/>
      <c r="G9761" s="25"/>
      <c r="H9761" s="27"/>
      <c r="I9761" s="28"/>
      <c r="J9761" s="39"/>
      <c r="K9761" s="41"/>
      <c r="L9761" s="31" t="str">
        <f>IFERROR(__xludf.DUMMYFUNCTION("IF(OR(E9761="""",K9761=""""),"""",IFERROR(IF(K9761="""","""",query('tbl user'!$A$2:$D10975,""SELECT A WHERE D = '""&amp;K9761&amp;""'"")),""USER TIDAK DIKETAHUI""))"),"")</f>
        <v/>
      </c>
    </row>
    <row r="9762">
      <c r="A9762" s="21" t="str">
        <f t="shared" si="3"/>
        <v/>
      </c>
      <c r="B9762" s="38"/>
      <c r="C9762" s="23"/>
      <c r="D9762" s="23"/>
      <c r="E9762" s="24"/>
      <c r="F9762" s="25"/>
      <c r="G9762" s="25"/>
      <c r="H9762" s="27"/>
      <c r="I9762" s="28"/>
      <c r="J9762" s="39"/>
      <c r="K9762" s="41"/>
      <c r="L9762" s="31" t="str">
        <f>IFERROR(__xludf.DUMMYFUNCTION("IF(OR(E9762="""",K9762=""""),"""",IFERROR(IF(K9762="""","""",query('tbl user'!$A$2:$D10975,""SELECT A WHERE D = '""&amp;K9762&amp;""'"")),""USER TIDAK DIKETAHUI""))"),"")</f>
        <v/>
      </c>
    </row>
    <row r="9763">
      <c r="A9763" s="21" t="str">
        <f t="shared" si="3"/>
        <v/>
      </c>
      <c r="B9763" s="38"/>
      <c r="C9763" s="23"/>
      <c r="D9763" s="23"/>
      <c r="E9763" s="24"/>
      <c r="F9763" s="25"/>
      <c r="G9763" s="25"/>
      <c r="H9763" s="27"/>
      <c r="I9763" s="28"/>
      <c r="J9763" s="39"/>
      <c r="K9763" s="41"/>
      <c r="L9763" s="31" t="str">
        <f>IFERROR(__xludf.DUMMYFUNCTION("IF(OR(E9763="""",K9763=""""),"""",IFERROR(IF(K9763="""","""",query('tbl user'!$A$2:$D10975,""SELECT A WHERE D = '""&amp;K9763&amp;""'"")),""USER TIDAK DIKETAHUI""))"),"")</f>
        <v/>
      </c>
    </row>
    <row r="9764">
      <c r="A9764" s="21" t="str">
        <f t="shared" si="3"/>
        <v/>
      </c>
      <c r="B9764" s="38"/>
      <c r="C9764" s="23"/>
      <c r="D9764" s="23"/>
      <c r="E9764" s="24"/>
      <c r="F9764" s="25"/>
      <c r="G9764" s="25"/>
      <c r="H9764" s="27"/>
      <c r="I9764" s="28"/>
      <c r="J9764" s="39"/>
      <c r="K9764" s="41"/>
      <c r="L9764" s="31" t="str">
        <f>IFERROR(__xludf.DUMMYFUNCTION("IF(OR(E9764="""",K9764=""""),"""",IFERROR(IF(K9764="""","""",query('tbl user'!$A$2:$D10975,""SELECT A WHERE D = '""&amp;K9764&amp;""'"")),""USER TIDAK DIKETAHUI""))"),"")</f>
        <v/>
      </c>
    </row>
    <row r="9765">
      <c r="A9765" s="21" t="str">
        <f t="shared" si="3"/>
        <v/>
      </c>
      <c r="B9765" s="38"/>
      <c r="C9765" s="23"/>
      <c r="D9765" s="23"/>
      <c r="E9765" s="24"/>
      <c r="F9765" s="25"/>
      <c r="G9765" s="25"/>
      <c r="H9765" s="27"/>
      <c r="I9765" s="28"/>
      <c r="J9765" s="39"/>
      <c r="K9765" s="41"/>
      <c r="L9765" s="31" t="str">
        <f>IFERROR(__xludf.DUMMYFUNCTION("IF(OR(E9765="""",K9765=""""),"""",IFERROR(IF(K9765="""","""",query('tbl user'!$A$2:$D10975,""SELECT A WHERE D = '""&amp;K9765&amp;""'"")),""USER TIDAK DIKETAHUI""))"),"")</f>
        <v/>
      </c>
    </row>
    <row r="9766">
      <c r="A9766" s="21" t="str">
        <f t="shared" si="3"/>
        <v/>
      </c>
      <c r="B9766" s="38"/>
      <c r="C9766" s="23"/>
      <c r="D9766" s="23"/>
      <c r="E9766" s="24"/>
      <c r="F9766" s="25"/>
      <c r="G9766" s="25"/>
      <c r="H9766" s="27"/>
      <c r="I9766" s="28"/>
      <c r="J9766" s="39"/>
      <c r="K9766" s="41"/>
      <c r="L9766" s="31" t="str">
        <f>IFERROR(__xludf.DUMMYFUNCTION("IF(OR(E9766="""",K9766=""""),"""",IFERROR(IF(K9766="""","""",query('tbl user'!$A$2:$D10975,""SELECT A WHERE D = '""&amp;K9766&amp;""'"")),""USER TIDAK DIKETAHUI""))"),"")</f>
        <v/>
      </c>
    </row>
    <row r="9767">
      <c r="A9767" s="21" t="str">
        <f t="shared" si="3"/>
        <v/>
      </c>
      <c r="B9767" s="38"/>
      <c r="C9767" s="23"/>
      <c r="D9767" s="23"/>
      <c r="E9767" s="24"/>
      <c r="F9767" s="25"/>
      <c r="G9767" s="25"/>
      <c r="H9767" s="27"/>
      <c r="I9767" s="28"/>
      <c r="J9767" s="39"/>
      <c r="K9767" s="41"/>
      <c r="L9767" s="31" t="str">
        <f>IFERROR(__xludf.DUMMYFUNCTION("IF(OR(E9767="""",K9767=""""),"""",IFERROR(IF(K9767="""","""",query('tbl user'!$A$2:$D10975,""SELECT A WHERE D = '""&amp;K9767&amp;""'"")),""USER TIDAK DIKETAHUI""))"),"")</f>
        <v/>
      </c>
    </row>
    <row r="9768">
      <c r="A9768" s="21" t="str">
        <f t="shared" si="3"/>
        <v/>
      </c>
      <c r="B9768" s="38"/>
      <c r="C9768" s="23"/>
      <c r="D9768" s="23"/>
      <c r="E9768" s="24"/>
      <c r="F9768" s="25"/>
      <c r="G9768" s="25"/>
      <c r="H9768" s="27"/>
      <c r="I9768" s="28"/>
      <c r="J9768" s="39"/>
      <c r="K9768" s="41"/>
      <c r="L9768" s="31" t="str">
        <f>IFERROR(__xludf.DUMMYFUNCTION("IF(OR(E9768="""",K9768=""""),"""",IFERROR(IF(K9768="""","""",query('tbl user'!$A$2:$D10975,""SELECT A WHERE D = '""&amp;K9768&amp;""'"")),""USER TIDAK DIKETAHUI""))"),"")</f>
        <v/>
      </c>
    </row>
    <row r="9769">
      <c r="A9769" s="21" t="str">
        <f t="shared" si="3"/>
        <v/>
      </c>
      <c r="B9769" s="38"/>
      <c r="C9769" s="23"/>
      <c r="D9769" s="23"/>
      <c r="E9769" s="24"/>
      <c r="F9769" s="25"/>
      <c r="G9769" s="25"/>
      <c r="H9769" s="27"/>
      <c r="I9769" s="28"/>
      <c r="J9769" s="39"/>
      <c r="K9769" s="41"/>
      <c r="L9769" s="31" t="str">
        <f>IFERROR(__xludf.DUMMYFUNCTION("IF(OR(E9769="""",K9769=""""),"""",IFERROR(IF(K9769="""","""",query('tbl user'!$A$2:$D10975,""SELECT A WHERE D = '""&amp;K9769&amp;""'"")),""USER TIDAK DIKETAHUI""))"),"")</f>
        <v/>
      </c>
    </row>
    <row r="9770">
      <c r="A9770" s="21" t="str">
        <f t="shared" si="3"/>
        <v/>
      </c>
      <c r="B9770" s="38"/>
      <c r="C9770" s="23"/>
      <c r="D9770" s="23"/>
      <c r="E9770" s="24"/>
      <c r="F9770" s="25"/>
      <c r="G9770" s="25"/>
      <c r="H9770" s="27"/>
      <c r="I9770" s="28"/>
      <c r="J9770" s="39"/>
      <c r="K9770" s="41"/>
      <c r="L9770" s="31" t="str">
        <f>IFERROR(__xludf.DUMMYFUNCTION("IF(OR(E9770="""",K9770=""""),"""",IFERROR(IF(K9770="""","""",query('tbl user'!$A$2:$D10975,""SELECT A WHERE D = '""&amp;K9770&amp;""'"")),""USER TIDAK DIKETAHUI""))"),"")</f>
        <v/>
      </c>
    </row>
    <row r="9771">
      <c r="A9771" s="21" t="str">
        <f t="shared" si="3"/>
        <v/>
      </c>
      <c r="B9771" s="38"/>
      <c r="C9771" s="23"/>
      <c r="D9771" s="23"/>
      <c r="E9771" s="24"/>
      <c r="F9771" s="25"/>
      <c r="G9771" s="25"/>
      <c r="H9771" s="27"/>
      <c r="I9771" s="28"/>
      <c r="J9771" s="39"/>
      <c r="K9771" s="41"/>
      <c r="L9771" s="31" t="str">
        <f>IFERROR(__xludf.DUMMYFUNCTION("IF(OR(E9771="""",K9771=""""),"""",IFERROR(IF(K9771="""","""",query('tbl user'!$A$2:$D10975,""SELECT A WHERE D = '""&amp;K9771&amp;""'"")),""USER TIDAK DIKETAHUI""))"),"")</f>
        <v/>
      </c>
    </row>
    <row r="9772">
      <c r="A9772" s="21" t="str">
        <f t="shared" si="3"/>
        <v/>
      </c>
      <c r="B9772" s="38"/>
      <c r="C9772" s="23"/>
      <c r="D9772" s="23"/>
      <c r="E9772" s="24"/>
      <c r="F9772" s="25"/>
      <c r="G9772" s="25"/>
      <c r="H9772" s="27"/>
      <c r="I9772" s="28"/>
      <c r="J9772" s="39"/>
      <c r="K9772" s="41"/>
      <c r="L9772" s="31" t="str">
        <f>IFERROR(__xludf.DUMMYFUNCTION("IF(OR(E9772="""",K9772=""""),"""",IFERROR(IF(K9772="""","""",query('tbl user'!$A$2:$D10975,""SELECT A WHERE D = '""&amp;K9772&amp;""'"")),""USER TIDAK DIKETAHUI""))"),"")</f>
        <v/>
      </c>
    </row>
    <row r="9773">
      <c r="A9773" s="21" t="str">
        <f t="shared" si="3"/>
        <v/>
      </c>
      <c r="B9773" s="38"/>
      <c r="C9773" s="23"/>
      <c r="D9773" s="23"/>
      <c r="E9773" s="24"/>
      <c r="F9773" s="25"/>
      <c r="G9773" s="25"/>
      <c r="H9773" s="27"/>
      <c r="I9773" s="28"/>
      <c r="J9773" s="39"/>
      <c r="K9773" s="41"/>
      <c r="L9773" s="31" t="str">
        <f>IFERROR(__xludf.DUMMYFUNCTION("IF(OR(E9773="""",K9773=""""),"""",IFERROR(IF(K9773="""","""",query('tbl user'!$A$2:$D10975,""SELECT A WHERE D = '""&amp;K9773&amp;""'"")),""USER TIDAK DIKETAHUI""))"),"")</f>
        <v/>
      </c>
    </row>
    <row r="9774">
      <c r="A9774" s="21" t="str">
        <f t="shared" si="3"/>
        <v/>
      </c>
      <c r="B9774" s="38"/>
      <c r="C9774" s="23"/>
      <c r="D9774" s="23"/>
      <c r="E9774" s="24"/>
      <c r="F9774" s="25"/>
      <c r="G9774" s="25"/>
      <c r="H9774" s="27"/>
      <c r="I9774" s="28"/>
      <c r="J9774" s="39"/>
      <c r="K9774" s="41"/>
      <c r="L9774" s="31" t="str">
        <f>IFERROR(__xludf.DUMMYFUNCTION("IF(OR(E9774="""",K9774=""""),"""",IFERROR(IF(K9774="""","""",query('tbl user'!$A$2:$D10975,""SELECT A WHERE D = '""&amp;K9774&amp;""'"")),""USER TIDAK DIKETAHUI""))"),"")</f>
        <v/>
      </c>
    </row>
    <row r="9775">
      <c r="A9775" s="21" t="str">
        <f t="shared" si="3"/>
        <v/>
      </c>
      <c r="B9775" s="38"/>
      <c r="C9775" s="23"/>
      <c r="D9775" s="23"/>
      <c r="E9775" s="24"/>
      <c r="F9775" s="25"/>
      <c r="G9775" s="25"/>
      <c r="H9775" s="27"/>
      <c r="I9775" s="28"/>
      <c r="J9775" s="39"/>
      <c r="K9775" s="41"/>
      <c r="L9775" s="31" t="str">
        <f>IFERROR(__xludf.DUMMYFUNCTION("IF(OR(E9775="""",K9775=""""),"""",IFERROR(IF(K9775="""","""",query('tbl user'!$A$2:$D10975,""SELECT A WHERE D = '""&amp;K9775&amp;""'"")),""USER TIDAK DIKETAHUI""))"),"")</f>
        <v/>
      </c>
    </row>
    <row r="9776">
      <c r="A9776" s="21" t="str">
        <f t="shared" si="3"/>
        <v/>
      </c>
      <c r="B9776" s="38"/>
      <c r="C9776" s="23"/>
      <c r="D9776" s="23"/>
      <c r="E9776" s="24"/>
      <c r="F9776" s="25"/>
      <c r="G9776" s="25"/>
      <c r="H9776" s="27"/>
      <c r="I9776" s="28"/>
      <c r="J9776" s="39"/>
      <c r="K9776" s="41"/>
      <c r="L9776" s="31" t="str">
        <f>IFERROR(__xludf.DUMMYFUNCTION("IF(OR(E9776="""",K9776=""""),"""",IFERROR(IF(K9776="""","""",query('tbl user'!$A$2:$D10975,""SELECT A WHERE D = '""&amp;K9776&amp;""'"")),""USER TIDAK DIKETAHUI""))"),"")</f>
        <v/>
      </c>
    </row>
    <row r="9777">
      <c r="A9777" s="21" t="str">
        <f t="shared" si="3"/>
        <v/>
      </c>
      <c r="B9777" s="38"/>
      <c r="C9777" s="23"/>
      <c r="D9777" s="23"/>
      <c r="E9777" s="24"/>
      <c r="F9777" s="25"/>
      <c r="G9777" s="25"/>
      <c r="H9777" s="27"/>
      <c r="I9777" s="28"/>
      <c r="J9777" s="39"/>
      <c r="K9777" s="41"/>
      <c r="L9777" s="31" t="str">
        <f>IFERROR(__xludf.DUMMYFUNCTION("IF(OR(E9777="""",K9777=""""),"""",IFERROR(IF(K9777="""","""",query('tbl user'!$A$2:$D10975,""SELECT A WHERE D = '""&amp;K9777&amp;""'"")),""USER TIDAK DIKETAHUI""))"),"")</f>
        <v/>
      </c>
    </row>
    <row r="9778">
      <c r="A9778" s="21" t="str">
        <f t="shared" si="3"/>
        <v/>
      </c>
      <c r="B9778" s="38"/>
      <c r="C9778" s="23"/>
      <c r="D9778" s="23"/>
      <c r="E9778" s="24"/>
      <c r="F9778" s="25"/>
      <c r="G9778" s="25"/>
      <c r="H9778" s="27"/>
      <c r="I9778" s="28"/>
      <c r="J9778" s="39"/>
      <c r="K9778" s="41"/>
      <c r="L9778" s="31" t="str">
        <f>IFERROR(__xludf.DUMMYFUNCTION("IF(OR(E9778="""",K9778=""""),"""",IFERROR(IF(K9778="""","""",query('tbl user'!$A$2:$D10975,""SELECT A WHERE D = '""&amp;K9778&amp;""'"")),""USER TIDAK DIKETAHUI""))"),"")</f>
        <v/>
      </c>
    </row>
    <row r="9779">
      <c r="A9779" s="21" t="str">
        <f t="shared" si="3"/>
        <v/>
      </c>
      <c r="B9779" s="38"/>
      <c r="C9779" s="23"/>
      <c r="D9779" s="23"/>
      <c r="E9779" s="24"/>
      <c r="F9779" s="25"/>
      <c r="G9779" s="25"/>
      <c r="H9779" s="27"/>
      <c r="I9779" s="28"/>
      <c r="J9779" s="39"/>
      <c r="K9779" s="41"/>
      <c r="L9779" s="31" t="str">
        <f>IFERROR(__xludf.DUMMYFUNCTION("IF(OR(E9779="""",K9779=""""),"""",IFERROR(IF(K9779="""","""",query('tbl user'!$A$2:$D10975,""SELECT A WHERE D = '""&amp;K9779&amp;""'"")),""USER TIDAK DIKETAHUI""))"),"")</f>
        <v/>
      </c>
    </row>
    <row r="9780">
      <c r="A9780" s="21" t="str">
        <f t="shared" si="3"/>
        <v/>
      </c>
      <c r="B9780" s="38"/>
      <c r="C9780" s="23"/>
      <c r="D9780" s="23"/>
      <c r="E9780" s="24"/>
      <c r="F9780" s="25"/>
      <c r="G9780" s="25"/>
      <c r="H9780" s="27"/>
      <c r="I9780" s="28"/>
      <c r="J9780" s="39"/>
      <c r="K9780" s="41"/>
      <c r="L9780" s="31" t="str">
        <f>IFERROR(__xludf.DUMMYFUNCTION("IF(OR(E9780="""",K9780=""""),"""",IFERROR(IF(K9780="""","""",query('tbl user'!$A$2:$D10975,""SELECT A WHERE D = '""&amp;K9780&amp;""'"")),""USER TIDAK DIKETAHUI""))"),"")</f>
        <v/>
      </c>
    </row>
    <row r="9781">
      <c r="A9781" s="21" t="str">
        <f t="shared" si="3"/>
        <v/>
      </c>
      <c r="B9781" s="38"/>
      <c r="C9781" s="23"/>
      <c r="D9781" s="23"/>
      <c r="E9781" s="24"/>
      <c r="F9781" s="25"/>
      <c r="G9781" s="25"/>
      <c r="H9781" s="27"/>
      <c r="I9781" s="28"/>
      <c r="J9781" s="39"/>
      <c r="K9781" s="41"/>
      <c r="L9781" s="31" t="str">
        <f>IFERROR(__xludf.DUMMYFUNCTION("IF(OR(E9781="""",K9781=""""),"""",IFERROR(IF(K9781="""","""",query('tbl user'!$A$2:$D10975,""SELECT A WHERE D = '""&amp;K9781&amp;""'"")),""USER TIDAK DIKETAHUI""))"),"")</f>
        <v/>
      </c>
    </row>
    <row r="9782">
      <c r="A9782" s="21" t="str">
        <f t="shared" si="3"/>
        <v/>
      </c>
      <c r="B9782" s="38"/>
      <c r="C9782" s="23"/>
      <c r="D9782" s="23"/>
      <c r="E9782" s="24"/>
      <c r="F9782" s="25"/>
      <c r="G9782" s="25"/>
      <c r="H9782" s="27"/>
      <c r="I9782" s="28"/>
      <c r="J9782" s="39"/>
      <c r="K9782" s="41"/>
      <c r="L9782" s="31" t="str">
        <f>IFERROR(__xludf.DUMMYFUNCTION("IF(OR(E9782="""",K9782=""""),"""",IFERROR(IF(K9782="""","""",query('tbl user'!$A$2:$D10975,""SELECT A WHERE D = '""&amp;K9782&amp;""'"")),""USER TIDAK DIKETAHUI""))"),"")</f>
        <v/>
      </c>
    </row>
    <row r="9783">
      <c r="A9783" s="21" t="str">
        <f t="shared" si="3"/>
        <v/>
      </c>
      <c r="B9783" s="38"/>
      <c r="C9783" s="23"/>
      <c r="D9783" s="23"/>
      <c r="E9783" s="24"/>
      <c r="F9783" s="25"/>
      <c r="G9783" s="25"/>
      <c r="H9783" s="27"/>
      <c r="I9783" s="28"/>
      <c r="J9783" s="39"/>
      <c r="K9783" s="41"/>
      <c r="L9783" s="31" t="str">
        <f>IFERROR(__xludf.DUMMYFUNCTION("IF(OR(E9783="""",K9783=""""),"""",IFERROR(IF(K9783="""","""",query('tbl user'!$A$2:$D10975,""SELECT A WHERE D = '""&amp;K9783&amp;""'"")),""USER TIDAK DIKETAHUI""))"),"")</f>
        <v/>
      </c>
    </row>
    <row r="9784">
      <c r="A9784" s="21" t="str">
        <f t="shared" si="3"/>
        <v/>
      </c>
      <c r="B9784" s="38"/>
      <c r="C9784" s="23"/>
      <c r="D9784" s="23"/>
      <c r="E9784" s="24"/>
      <c r="F9784" s="25"/>
      <c r="G9784" s="25"/>
      <c r="H9784" s="27"/>
      <c r="I9784" s="28"/>
      <c r="J9784" s="39"/>
      <c r="K9784" s="41"/>
      <c r="L9784" s="31" t="str">
        <f>IFERROR(__xludf.DUMMYFUNCTION("IF(OR(E9784="""",K9784=""""),"""",IFERROR(IF(K9784="""","""",query('tbl user'!$A$2:$D10975,""SELECT A WHERE D = '""&amp;K9784&amp;""'"")),""USER TIDAK DIKETAHUI""))"),"")</f>
        <v/>
      </c>
    </row>
    <row r="9785">
      <c r="A9785" s="21" t="str">
        <f t="shared" si="3"/>
        <v/>
      </c>
      <c r="B9785" s="38"/>
      <c r="C9785" s="23"/>
      <c r="D9785" s="23"/>
      <c r="E9785" s="24"/>
      <c r="F9785" s="25"/>
      <c r="G9785" s="25"/>
      <c r="H9785" s="27"/>
      <c r="I9785" s="28"/>
      <c r="J9785" s="39"/>
      <c r="K9785" s="41"/>
      <c r="L9785" s="31" t="str">
        <f>IFERROR(__xludf.DUMMYFUNCTION("IF(OR(E9785="""",K9785=""""),"""",IFERROR(IF(K9785="""","""",query('tbl user'!$A$2:$D10975,""SELECT A WHERE D = '""&amp;K9785&amp;""'"")),""USER TIDAK DIKETAHUI""))"),"")</f>
        <v/>
      </c>
    </row>
    <row r="9786">
      <c r="A9786" s="21" t="str">
        <f t="shared" si="3"/>
        <v/>
      </c>
      <c r="B9786" s="38"/>
      <c r="C9786" s="23"/>
      <c r="D9786" s="23"/>
      <c r="E9786" s="24"/>
      <c r="F9786" s="25"/>
      <c r="G9786" s="25"/>
      <c r="H9786" s="27"/>
      <c r="I9786" s="28"/>
      <c r="J9786" s="39"/>
      <c r="K9786" s="41"/>
      <c r="L9786" s="31" t="str">
        <f>IFERROR(__xludf.DUMMYFUNCTION("IF(OR(E9786="""",K9786=""""),"""",IFERROR(IF(K9786="""","""",query('tbl user'!$A$2:$D10975,""SELECT A WHERE D = '""&amp;K9786&amp;""'"")),""USER TIDAK DIKETAHUI""))"),"")</f>
        <v/>
      </c>
    </row>
    <row r="9787">
      <c r="A9787" s="21" t="str">
        <f t="shared" si="3"/>
        <v/>
      </c>
      <c r="B9787" s="38"/>
      <c r="C9787" s="23"/>
      <c r="D9787" s="23"/>
      <c r="E9787" s="24"/>
      <c r="F9787" s="25"/>
      <c r="G9787" s="25"/>
      <c r="H9787" s="27"/>
      <c r="I9787" s="28"/>
      <c r="J9787" s="39"/>
      <c r="K9787" s="41"/>
      <c r="L9787" s="31" t="str">
        <f>IFERROR(__xludf.DUMMYFUNCTION("IF(OR(E9787="""",K9787=""""),"""",IFERROR(IF(K9787="""","""",query('tbl user'!$A$2:$D10975,""SELECT A WHERE D = '""&amp;K9787&amp;""'"")),""USER TIDAK DIKETAHUI""))"),"")</f>
        <v/>
      </c>
    </row>
    <row r="9788">
      <c r="A9788" s="21" t="str">
        <f t="shared" si="3"/>
        <v/>
      </c>
      <c r="B9788" s="38"/>
      <c r="C9788" s="23"/>
      <c r="D9788" s="23"/>
      <c r="E9788" s="24"/>
      <c r="F9788" s="25"/>
      <c r="G9788" s="25"/>
      <c r="H9788" s="27"/>
      <c r="I9788" s="28"/>
      <c r="J9788" s="39"/>
      <c r="K9788" s="41"/>
      <c r="L9788" s="31" t="str">
        <f>IFERROR(__xludf.DUMMYFUNCTION("IF(OR(E9788="""",K9788=""""),"""",IFERROR(IF(K9788="""","""",query('tbl user'!$A$2:$D10975,""SELECT A WHERE D = '""&amp;K9788&amp;""'"")),""USER TIDAK DIKETAHUI""))"),"")</f>
        <v/>
      </c>
    </row>
    <row r="9789">
      <c r="A9789" s="21" t="str">
        <f t="shared" si="3"/>
        <v/>
      </c>
      <c r="B9789" s="38"/>
      <c r="C9789" s="23"/>
      <c r="D9789" s="23"/>
      <c r="E9789" s="24"/>
      <c r="F9789" s="25"/>
      <c r="G9789" s="25"/>
      <c r="H9789" s="27"/>
      <c r="I9789" s="28"/>
      <c r="J9789" s="39"/>
      <c r="K9789" s="41"/>
      <c r="L9789" s="31" t="str">
        <f>IFERROR(__xludf.DUMMYFUNCTION("IF(OR(E9789="""",K9789=""""),"""",IFERROR(IF(K9789="""","""",query('tbl user'!$A$2:$D10975,""SELECT A WHERE D = '""&amp;K9789&amp;""'"")),""USER TIDAK DIKETAHUI""))"),"")</f>
        <v/>
      </c>
    </row>
    <row r="9790">
      <c r="A9790" s="21" t="str">
        <f t="shared" si="3"/>
        <v/>
      </c>
      <c r="B9790" s="38"/>
      <c r="C9790" s="23"/>
      <c r="D9790" s="23"/>
      <c r="E9790" s="24"/>
      <c r="F9790" s="25"/>
      <c r="G9790" s="25"/>
      <c r="H9790" s="27"/>
      <c r="I9790" s="28"/>
      <c r="J9790" s="39"/>
      <c r="K9790" s="41"/>
      <c r="L9790" s="31" t="str">
        <f>IFERROR(__xludf.DUMMYFUNCTION("IF(OR(E9790="""",K9790=""""),"""",IFERROR(IF(K9790="""","""",query('tbl user'!$A$2:$D10975,""SELECT A WHERE D = '""&amp;K9790&amp;""'"")),""USER TIDAK DIKETAHUI""))"),"")</f>
        <v/>
      </c>
    </row>
    <row r="9791">
      <c r="A9791" s="21" t="str">
        <f t="shared" si="3"/>
        <v/>
      </c>
      <c r="B9791" s="38"/>
      <c r="C9791" s="23"/>
      <c r="D9791" s="23"/>
      <c r="E9791" s="24"/>
      <c r="F9791" s="25"/>
      <c r="G9791" s="25"/>
      <c r="H9791" s="27"/>
      <c r="I9791" s="28"/>
      <c r="J9791" s="39"/>
      <c r="K9791" s="41"/>
      <c r="L9791" s="31" t="str">
        <f>IFERROR(__xludf.DUMMYFUNCTION("IF(OR(E9791="""",K9791=""""),"""",IFERROR(IF(K9791="""","""",query('tbl user'!$A$2:$D10975,""SELECT A WHERE D = '""&amp;K9791&amp;""'"")),""USER TIDAK DIKETAHUI""))"),"")</f>
        <v/>
      </c>
    </row>
    <row r="9792">
      <c r="A9792" s="21" t="str">
        <f t="shared" si="3"/>
        <v/>
      </c>
      <c r="B9792" s="38"/>
      <c r="C9792" s="23"/>
      <c r="D9792" s="23"/>
      <c r="E9792" s="24"/>
      <c r="F9792" s="25"/>
      <c r="G9792" s="25"/>
      <c r="H9792" s="27"/>
      <c r="I9792" s="28"/>
      <c r="J9792" s="39"/>
      <c r="K9792" s="41"/>
      <c r="L9792" s="31" t="str">
        <f>IFERROR(__xludf.DUMMYFUNCTION("IF(OR(E9792="""",K9792=""""),"""",IFERROR(IF(K9792="""","""",query('tbl user'!$A$2:$D10975,""SELECT A WHERE D = '""&amp;K9792&amp;""'"")),""USER TIDAK DIKETAHUI""))"),"")</f>
        <v/>
      </c>
    </row>
    <row r="9793">
      <c r="A9793" s="21" t="str">
        <f t="shared" si="3"/>
        <v/>
      </c>
      <c r="B9793" s="38"/>
      <c r="C9793" s="23"/>
      <c r="D9793" s="23"/>
      <c r="E9793" s="24"/>
      <c r="F9793" s="25"/>
      <c r="G9793" s="25"/>
      <c r="H9793" s="27"/>
      <c r="I9793" s="28"/>
      <c r="J9793" s="39"/>
      <c r="K9793" s="41"/>
      <c r="L9793" s="31" t="str">
        <f>IFERROR(__xludf.DUMMYFUNCTION("IF(OR(E9793="""",K9793=""""),"""",IFERROR(IF(K9793="""","""",query('tbl user'!$A$2:$D10975,""SELECT A WHERE D = '""&amp;K9793&amp;""'"")),""USER TIDAK DIKETAHUI""))"),"")</f>
        <v/>
      </c>
    </row>
    <row r="9794">
      <c r="A9794" s="21" t="str">
        <f t="shared" si="3"/>
        <v/>
      </c>
      <c r="B9794" s="38"/>
      <c r="C9794" s="23"/>
      <c r="D9794" s="23"/>
      <c r="E9794" s="24"/>
      <c r="F9794" s="25"/>
      <c r="G9794" s="25"/>
      <c r="H9794" s="27"/>
      <c r="I9794" s="28"/>
      <c r="J9794" s="39"/>
      <c r="K9794" s="41"/>
      <c r="L9794" s="31" t="str">
        <f>IFERROR(__xludf.DUMMYFUNCTION("IF(OR(E9794="""",K9794=""""),"""",IFERROR(IF(K9794="""","""",query('tbl user'!$A$2:$D10975,""SELECT A WHERE D = '""&amp;K9794&amp;""'"")),""USER TIDAK DIKETAHUI""))"),"")</f>
        <v/>
      </c>
    </row>
    <row r="9795">
      <c r="A9795" s="21" t="str">
        <f t="shared" si="3"/>
        <v/>
      </c>
      <c r="B9795" s="38"/>
      <c r="C9795" s="23"/>
      <c r="D9795" s="23"/>
      <c r="E9795" s="24"/>
      <c r="F9795" s="25"/>
      <c r="G9795" s="25"/>
      <c r="H9795" s="27"/>
      <c r="I9795" s="28"/>
      <c r="J9795" s="39"/>
      <c r="K9795" s="41"/>
      <c r="L9795" s="31" t="str">
        <f>IFERROR(__xludf.DUMMYFUNCTION("IF(OR(E9795="""",K9795=""""),"""",IFERROR(IF(K9795="""","""",query('tbl user'!$A$2:$D10975,""SELECT A WHERE D = '""&amp;K9795&amp;""'"")),""USER TIDAK DIKETAHUI""))"),"")</f>
        <v/>
      </c>
    </row>
    <row r="9796">
      <c r="A9796" s="21" t="str">
        <f t="shared" si="3"/>
        <v/>
      </c>
      <c r="B9796" s="38"/>
      <c r="C9796" s="23"/>
      <c r="D9796" s="23"/>
      <c r="E9796" s="24"/>
      <c r="F9796" s="25"/>
      <c r="G9796" s="25"/>
      <c r="H9796" s="27"/>
      <c r="I9796" s="28"/>
      <c r="J9796" s="39"/>
      <c r="K9796" s="41"/>
      <c r="L9796" s="31" t="str">
        <f>IFERROR(__xludf.DUMMYFUNCTION("IF(OR(E9796="""",K9796=""""),"""",IFERROR(IF(K9796="""","""",query('tbl user'!$A$2:$D10975,""SELECT A WHERE D = '""&amp;K9796&amp;""'"")),""USER TIDAK DIKETAHUI""))"),"")</f>
        <v/>
      </c>
    </row>
    <row r="9797">
      <c r="A9797" s="21" t="str">
        <f t="shared" si="3"/>
        <v/>
      </c>
      <c r="B9797" s="38"/>
      <c r="C9797" s="23"/>
      <c r="D9797" s="23"/>
      <c r="E9797" s="24"/>
      <c r="F9797" s="25"/>
      <c r="G9797" s="25"/>
      <c r="H9797" s="27"/>
      <c r="I9797" s="28"/>
      <c r="J9797" s="39"/>
      <c r="K9797" s="41"/>
      <c r="L9797" s="31" t="str">
        <f>IFERROR(__xludf.DUMMYFUNCTION("IF(OR(E9797="""",K9797=""""),"""",IFERROR(IF(K9797="""","""",query('tbl user'!$A$2:$D10975,""SELECT A WHERE D = '""&amp;K9797&amp;""'"")),""USER TIDAK DIKETAHUI""))"),"")</f>
        <v/>
      </c>
    </row>
    <row r="9798">
      <c r="A9798" s="21" t="str">
        <f t="shared" si="3"/>
        <v/>
      </c>
      <c r="B9798" s="38"/>
      <c r="C9798" s="23"/>
      <c r="D9798" s="23"/>
      <c r="E9798" s="24"/>
      <c r="F9798" s="25"/>
      <c r="G9798" s="25"/>
      <c r="H9798" s="27"/>
      <c r="I9798" s="28"/>
      <c r="J9798" s="39"/>
      <c r="K9798" s="41"/>
      <c r="L9798" s="31" t="str">
        <f>IFERROR(__xludf.DUMMYFUNCTION("IF(OR(E9798="""",K9798=""""),"""",IFERROR(IF(K9798="""","""",query('tbl user'!$A$2:$D10975,""SELECT A WHERE D = '""&amp;K9798&amp;""'"")),""USER TIDAK DIKETAHUI""))"),"")</f>
        <v/>
      </c>
    </row>
    <row r="9799">
      <c r="A9799" s="21" t="str">
        <f t="shared" si="3"/>
        <v/>
      </c>
      <c r="B9799" s="38"/>
      <c r="C9799" s="23"/>
      <c r="D9799" s="23"/>
      <c r="E9799" s="24"/>
      <c r="F9799" s="25"/>
      <c r="G9799" s="25"/>
      <c r="H9799" s="27"/>
      <c r="I9799" s="28"/>
      <c r="J9799" s="39"/>
      <c r="K9799" s="41"/>
      <c r="L9799" s="31" t="str">
        <f>IFERROR(__xludf.DUMMYFUNCTION("IF(OR(E9799="""",K9799=""""),"""",IFERROR(IF(K9799="""","""",query('tbl user'!$A$2:$D10975,""SELECT A WHERE D = '""&amp;K9799&amp;""'"")),""USER TIDAK DIKETAHUI""))"),"")</f>
        <v/>
      </c>
    </row>
    <row r="9800">
      <c r="A9800" s="21" t="str">
        <f t="shared" si="3"/>
        <v/>
      </c>
      <c r="B9800" s="38"/>
      <c r="C9800" s="23"/>
      <c r="D9800" s="23"/>
      <c r="E9800" s="24"/>
      <c r="F9800" s="25"/>
      <c r="G9800" s="25"/>
      <c r="H9800" s="27"/>
      <c r="I9800" s="28"/>
      <c r="J9800" s="39"/>
      <c r="K9800" s="41"/>
      <c r="L9800" s="31" t="str">
        <f>IFERROR(__xludf.DUMMYFUNCTION("IF(OR(E9800="""",K9800=""""),"""",IFERROR(IF(K9800="""","""",query('tbl user'!$A$2:$D10975,""SELECT A WHERE D = '""&amp;K9800&amp;""'"")),""USER TIDAK DIKETAHUI""))"),"")</f>
        <v/>
      </c>
    </row>
    <row r="9801">
      <c r="A9801" s="21" t="str">
        <f t="shared" si="3"/>
        <v/>
      </c>
      <c r="B9801" s="38"/>
      <c r="C9801" s="23"/>
      <c r="D9801" s="23"/>
      <c r="E9801" s="24"/>
      <c r="F9801" s="25"/>
      <c r="G9801" s="25"/>
      <c r="H9801" s="27"/>
      <c r="I9801" s="28"/>
      <c r="J9801" s="39"/>
      <c r="K9801" s="41"/>
      <c r="L9801" s="31" t="str">
        <f>IFERROR(__xludf.DUMMYFUNCTION("IF(OR(E9801="""",K9801=""""),"""",IFERROR(IF(K9801="""","""",query('tbl user'!$A$2:$D10975,""SELECT A WHERE D = '""&amp;K9801&amp;""'"")),""USER TIDAK DIKETAHUI""))"),"")</f>
        <v/>
      </c>
    </row>
    <row r="9802">
      <c r="A9802" s="21" t="str">
        <f t="shared" si="3"/>
        <v/>
      </c>
      <c r="B9802" s="38"/>
      <c r="C9802" s="23"/>
      <c r="D9802" s="23"/>
      <c r="E9802" s="24"/>
      <c r="F9802" s="25"/>
      <c r="G9802" s="25"/>
      <c r="H9802" s="27"/>
      <c r="I9802" s="28"/>
      <c r="J9802" s="39"/>
      <c r="K9802" s="41"/>
      <c r="L9802" s="31" t="str">
        <f>IFERROR(__xludf.DUMMYFUNCTION("IF(OR(E9802="""",K9802=""""),"""",IFERROR(IF(K9802="""","""",query('tbl user'!$A$2:$D10975,""SELECT A WHERE D = '""&amp;K9802&amp;""'"")),""USER TIDAK DIKETAHUI""))"),"")</f>
        <v/>
      </c>
    </row>
    <row r="9803">
      <c r="A9803" s="21" t="str">
        <f t="shared" si="3"/>
        <v/>
      </c>
      <c r="B9803" s="38"/>
      <c r="C9803" s="23"/>
      <c r="D9803" s="23"/>
      <c r="E9803" s="24"/>
      <c r="F9803" s="25"/>
      <c r="G9803" s="25"/>
      <c r="H9803" s="27"/>
      <c r="I9803" s="28"/>
      <c r="J9803" s="39"/>
      <c r="K9803" s="41"/>
      <c r="L9803" s="31" t="str">
        <f>IFERROR(__xludf.DUMMYFUNCTION("IF(OR(E9803="""",K9803=""""),"""",IFERROR(IF(K9803="""","""",query('tbl user'!$A$2:$D10975,""SELECT A WHERE D = '""&amp;K9803&amp;""'"")),""USER TIDAK DIKETAHUI""))"),"")</f>
        <v/>
      </c>
    </row>
    <row r="9804">
      <c r="A9804" s="21" t="str">
        <f t="shared" si="3"/>
        <v/>
      </c>
      <c r="B9804" s="38"/>
      <c r="C9804" s="23"/>
      <c r="D9804" s="23"/>
      <c r="E9804" s="24"/>
      <c r="F9804" s="25"/>
      <c r="G9804" s="25"/>
      <c r="H9804" s="27"/>
      <c r="I9804" s="28"/>
      <c r="J9804" s="39"/>
      <c r="K9804" s="41"/>
      <c r="L9804" s="31" t="str">
        <f>IFERROR(__xludf.DUMMYFUNCTION("IF(OR(E9804="""",K9804=""""),"""",IFERROR(IF(K9804="""","""",query('tbl user'!$A$2:$D10975,""SELECT A WHERE D = '""&amp;K9804&amp;""'"")),""USER TIDAK DIKETAHUI""))"),"")</f>
        <v/>
      </c>
    </row>
    <row r="9805">
      <c r="A9805" s="21" t="str">
        <f t="shared" si="3"/>
        <v/>
      </c>
      <c r="B9805" s="38"/>
      <c r="C9805" s="23"/>
      <c r="D9805" s="23"/>
      <c r="E9805" s="24"/>
      <c r="F9805" s="25"/>
      <c r="G9805" s="25"/>
      <c r="H9805" s="27"/>
      <c r="I9805" s="28"/>
      <c r="J9805" s="39"/>
      <c r="K9805" s="41"/>
      <c r="L9805" s="31" t="str">
        <f>IFERROR(__xludf.DUMMYFUNCTION("IF(OR(E9805="""",K9805=""""),"""",IFERROR(IF(K9805="""","""",query('tbl user'!$A$2:$D10975,""SELECT A WHERE D = '""&amp;K9805&amp;""'"")),""USER TIDAK DIKETAHUI""))"),"")</f>
        <v/>
      </c>
    </row>
    <row r="9806">
      <c r="A9806" s="21" t="str">
        <f t="shared" si="3"/>
        <v/>
      </c>
      <c r="B9806" s="38"/>
      <c r="C9806" s="23"/>
      <c r="D9806" s="23"/>
      <c r="E9806" s="24"/>
      <c r="F9806" s="25"/>
      <c r="G9806" s="25"/>
      <c r="H9806" s="27"/>
      <c r="I9806" s="28"/>
      <c r="J9806" s="39"/>
      <c r="K9806" s="41"/>
      <c r="L9806" s="31" t="str">
        <f>IFERROR(__xludf.DUMMYFUNCTION("IF(OR(E9806="""",K9806=""""),"""",IFERROR(IF(K9806="""","""",query('tbl user'!$A$2:$D10975,""SELECT A WHERE D = '""&amp;K9806&amp;""'"")),""USER TIDAK DIKETAHUI""))"),"")</f>
        <v/>
      </c>
    </row>
    <row r="9807">
      <c r="A9807" s="21" t="str">
        <f t="shared" si="3"/>
        <v/>
      </c>
      <c r="B9807" s="38"/>
      <c r="C9807" s="23"/>
      <c r="D9807" s="23"/>
      <c r="E9807" s="24"/>
      <c r="F9807" s="25"/>
      <c r="G9807" s="25"/>
      <c r="H9807" s="27"/>
      <c r="I9807" s="28"/>
      <c r="J9807" s="39"/>
      <c r="K9807" s="41"/>
      <c r="L9807" s="31" t="str">
        <f>IFERROR(__xludf.DUMMYFUNCTION("IF(OR(E9807="""",K9807=""""),"""",IFERROR(IF(K9807="""","""",query('tbl user'!$A$2:$D10975,""SELECT A WHERE D = '""&amp;K9807&amp;""'"")),""USER TIDAK DIKETAHUI""))"),"")</f>
        <v/>
      </c>
    </row>
    <row r="9808">
      <c r="A9808" s="21" t="str">
        <f t="shared" si="3"/>
        <v/>
      </c>
      <c r="B9808" s="38"/>
      <c r="C9808" s="23"/>
      <c r="D9808" s="23"/>
      <c r="E9808" s="24"/>
      <c r="F9808" s="25"/>
      <c r="G9808" s="25"/>
      <c r="H9808" s="27"/>
      <c r="I9808" s="28"/>
      <c r="J9808" s="39"/>
      <c r="K9808" s="41"/>
      <c r="L9808" s="31" t="str">
        <f>IFERROR(__xludf.DUMMYFUNCTION("IF(OR(E9808="""",K9808=""""),"""",IFERROR(IF(K9808="""","""",query('tbl user'!$A$2:$D10975,""SELECT A WHERE D = '""&amp;K9808&amp;""'"")),""USER TIDAK DIKETAHUI""))"),"")</f>
        <v/>
      </c>
    </row>
    <row r="9809">
      <c r="A9809" s="21" t="str">
        <f t="shared" si="3"/>
        <v/>
      </c>
      <c r="B9809" s="38"/>
      <c r="C9809" s="23"/>
      <c r="D9809" s="23"/>
      <c r="E9809" s="24"/>
      <c r="F9809" s="25"/>
      <c r="G9809" s="25"/>
      <c r="H9809" s="27"/>
      <c r="I9809" s="28"/>
      <c r="J9809" s="39"/>
      <c r="K9809" s="41"/>
      <c r="L9809" s="31" t="str">
        <f>IFERROR(__xludf.DUMMYFUNCTION("IF(OR(E9809="""",K9809=""""),"""",IFERROR(IF(K9809="""","""",query('tbl user'!$A$2:$D10975,""SELECT A WHERE D = '""&amp;K9809&amp;""'"")),""USER TIDAK DIKETAHUI""))"),"")</f>
        <v/>
      </c>
    </row>
    <row r="9810">
      <c r="A9810" s="21" t="str">
        <f t="shared" si="3"/>
        <v/>
      </c>
      <c r="B9810" s="38"/>
      <c r="C9810" s="23"/>
      <c r="D9810" s="23"/>
      <c r="E9810" s="24"/>
      <c r="F9810" s="25"/>
      <c r="G9810" s="25"/>
      <c r="H9810" s="27"/>
      <c r="I9810" s="28"/>
      <c r="J9810" s="39"/>
      <c r="K9810" s="41"/>
      <c r="L9810" s="31" t="str">
        <f>IFERROR(__xludf.DUMMYFUNCTION("IF(OR(E9810="""",K9810=""""),"""",IFERROR(IF(K9810="""","""",query('tbl user'!$A$2:$D10975,""SELECT A WHERE D = '""&amp;K9810&amp;""'"")),""USER TIDAK DIKETAHUI""))"),"")</f>
        <v/>
      </c>
    </row>
    <row r="9811">
      <c r="A9811" s="21" t="str">
        <f t="shared" si="3"/>
        <v/>
      </c>
      <c r="B9811" s="38"/>
      <c r="C9811" s="23"/>
      <c r="D9811" s="23"/>
      <c r="E9811" s="24"/>
      <c r="F9811" s="25"/>
      <c r="G9811" s="25"/>
      <c r="H9811" s="27"/>
      <c r="I9811" s="28"/>
      <c r="J9811" s="39"/>
      <c r="K9811" s="41"/>
      <c r="L9811" s="31" t="str">
        <f>IFERROR(__xludf.DUMMYFUNCTION("IF(OR(E9811="""",K9811=""""),"""",IFERROR(IF(K9811="""","""",query('tbl user'!$A$2:$D10975,""SELECT A WHERE D = '""&amp;K9811&amp;""'"")),""USER TIDAK DIKETAHUI""))"),"")</f>
        <v/>
      </c>
    </row>
    <row r="9812">
      <c r="A9812" s="21" t="str">
        <f t="shared" si="3"/>
        <v/>
      </c>
      <c r="B9812" s="38"/>
      <c r="C9812" s="23"/>
      <c r="D9812" s="23"/>
      <c r="E9812" s="24"/>
      <c r="F9812" s="25"/>
      <c r="G9812" s="25"/>
      <c r="H9812" s="27"/>
      <c r="I9812" s="28"/>
      <c r="J9812" s="39"/>
      <c r="K9812" s="41"/>
      <c r="L9812" s="31" t="str">
        <f>IFERROR(__xludf.DUMMYFUNCTION("IF(OR(E9812="""",K9812=""""),"""",IFERROR(IF(K9812="""","""",query('tbl user'!$A$2:$D10975,""SELECT A WHERE D = '""&amp;K9812&amp;""'"")),""USER TIDAK DIKETAHUI""))"),"")</f>
        <v/>
      </c>
    </row>
    <row r="9813">
      <c r="A9813" s="21" t="str">
        <f t="shared" si="3"/>
        <v/>
      </c>
      <c r="B9813" s="38"/>
      <c r="C9813" s="23"/>
      <c r="D9813" s="23"/>
      <c r="E9813" s="24"/>
      <c r="F9813" s="25"/>
      <c r="G9813" s="25"/>
      <c r="H9813" s="27"/>
      <c r="I9813" s="28"/>
      <c r="J9813" s="39"/>
      <c r="K9813" s="41"/>
      <c r="L9813" s="31" t="str">
        <f>IFERROR(__xludf.DUMMYFUNCTION("IF(OR(E9813="""",K9813=""""),"""",IFERROR(IF(K9813="""","""",query('tbl user'!$A$2:$D10975,""SELECT A WHERE D = '""&amp;K9813&amp;""'"")),""USER TIDAK DIKETAHUI""))"),"")</f>
        <v/>
      </c>
    </row>
    <row r="9814">
      <c r="A9814" s="21" t="str">
        <f t="shared" si="3"/>
        <v/>
      </c>
      <c r="B9814" s="38"/>
      <c r="C9814" s="23"/>
      <c r="D9814" s="23"/>
      <c r="E9814" s="24"/>
      <c r="F9814" s="25"/>
      <c r="G9814" s="25"/>
      <c r="H9814" s="27"/>
      <c r="I9814" s="28"/>
      <c r="J9814" s="39"/>
      <c r="K9814" s="41"/>
      <c r="L9814" s="31" t="str">
        <f>IFERROR(__xludf.DUMMYFUNCTION("IF(OR(E9814="""",K9814=""""),"""",IFERROR(IF(K9814="""","""",query('tbl user'!$A$2:$D10975,""SELECT A WHERE D = '""&amp;K9814&amp;""'"")),""USER TIDAK DIKETAHUI""))"),"")</f>
        <v/>
      </c>
    </row>
    <row r="9815">
      <c r="A9815" s="21" t="str">
        <f t="shared" si="3"/>
        <v/>
      </c>
      <c r="B9815" s="38"/>
      <c r="C9815" s="23"/>
      <c r="D9815" s="23"/>
      <c r="E9815" s="24"/>
      <c r="F9815" s="25"/>
      <c r="G9815" s="25"/>
      <c r="H9815" s="27"/>
      <c r="I9815" s="28"/>
      <c r="J9815" s="39"/>
      <c r="K9815" s="41"/>
      <c r="L9815" s="31" t="str">
        <f>IFERROR(__xludf.DUMMYFUNCTION("IF(OR(E9815="""",K9815=""""),"""",IFERROR(IF(K9815="""","""",query('tbl user'!$A$2:$D10975,""SELECT A WHERE D = '""&amp;K9815&amp;""'"")),""USER TIDAK DIKETAHUI""))"),"")</f>
        <v/>
      </c>
    </row>
    <row r="9816">
      <c r="A9816" s="21" t="str">
        <f t="shared" si="3"/>
        <v/>
      </c>
      <c r="B9816" s="38"/>
      <c r="C9816" s="23"/>
      <c r="D9816" s="23"/>
      <c r="E9816" s="24"/>
      <c r="F9816" s="25"/>
      <c r="G9816" s="25"/>
      <c r="H9816" s="27"/>
      <c r="I9816" s="28"/>
      <c r="J9816" s="39"/>
      <c r="K9816" s="41"/>
      <c r="L9816" s="31" t="str">
        <f>IFERROR(__xludf.DUMMYFUNCTION("IF(OR(E9816="""",K9816=""""),"""",IFERROR(IF(K9816="""","""",query('tbl user'!$A$2:$D10975,""SELECT A WHERE D = '""&amp;K9816&amp;""'"")),""USER TIDAK DIKETAHUI""))"),"")</f>
        <v/>
      </c>
    </row>
    <row r="9817">
      <c r="A9817" s="21" t="str">
        <f t="shared" si="3"/>
        <v/>
      </c>
      <c r="B9817" s="38"/>
      <c r="C9817" s="23"/>
      <c r="D9817" s="23"/>
      <c r="E9817" s="24"/>
      <c r="F9817" s="25"/>
      <c r="G9817" s="25"/>
      <c r="H9817" s="27"/>
      <c r="I9817" s="28"/>
      <c r="J9817" s="39"/>
      <c r="K9817" s="41"/>
      <c r="L9817" s="31" t="str">
        <f>IFERROR(__xludf.DUMMYFUNCTION("IF(OR(E9817="""",K9817=""""),"""",IFERROR(IF(K9817="""","""",query('tbl user'!$A$2:$D10975,""SELECT A WHERE D = '""&amp;K9817&amp;""'"")),""USER TIDAK DIKETAHUI""))"),"")</f>
        <v/>
      </c>
    </row>
    <row r="9818">
      <c r="A9818" s="21" t="str">
        <f t="shared" si="3"/>
        <v/>
      </c>
      <c r="B9818" s="38"/>
      <c r="C9818" s="23"/>
      <c r="D9818" s="23"/>
      <c r="E9818" s="24"/>
      <c r="F9818" s="25"/>
      <c r="G9818" s="25"/>
      <c r="H9818" s="27"/>
      <c r="I9818" s="28"/>
      <c r="J9818" s="39"/>
      <c r="K9818" s="41"/>
      <c r="L9818" s="31" t="str">
        <f>IFERROR(__xludf.DUMMYFUNCTION("IF(OR(E9818="""",K9818=""""),"""",IFERROR(IF(K9818="""","""",query('tbl user'!$A$2:$D10975,""SELECT A WHERE D = '""&amp;K9818&amp;""'"")),""USER TIDAK DIKETAHUI""))"),"")</f>
        <v/>
      </c>
    </row>
    <row r="9819">
      <c r="A9819" s="21" t="str">
        <f t="shared" si="3"/>
        <v/>
      </c>
      <c r="B9819" s="38"/>
      <c r="C9819" s="23"/>
      <c r="D9819" s="23"/>
      <c r="E9819" s="24"/>
      <c r="F9819" s="25"/>
      <c r="G9819" s="25"/>
      <c r="H9819" s="27"/>
      <c r="I9819" s="28"/>
      <c r="J9819" s="39"/>
      <c r="K9819" s="41"/>
      <c r="L9819" s="31" t="str">
        <f>IFERROR(__xludf.DUMMYFUNCTION("IF(OR(E9819="""",K9819=""""),"""",IFERROR(IF(K9819="""","""",query('tbl user'!$A$2:$D10975,""SELECT A WHERE D = '""&amp;K9819&amp;""'"")),""USER TIDAK DIKETAHUI""))"),"")</f>
        <v/>
      </c>
    </row>
    <row r="9820">
      <c r="A9820" s="21" t="str">
        <f t="shared" si="3"/>
        <v/>
      </c>
      <c r="B9820" s="38"/>
      <c r="C9820" s="23"/>
      <c r="D9820" s="23"/>
      <c r="E9820" s="24"/>
      <c r="F9820" s="25"/>
      <c r="G9820" s="25"/>
      <c r="H9820" s="27"/>
      <c r="I9820" s="28"/>
      <c r="J9820" s="39"/>
      <c r="K9820" s="41"/>
      <c r="L9820" s="31" t="str">
        <f>IFERROR(__xludf.DUMMYFUNCTION("IF(OR(E9820="""",K9820=""""),"""",IFERROR(IF(K9820="""","""",query('tbl user'!$A$2:$D10975,""SELECT A WHERE D = '""&amp;K9820&amp;""'"")),""USER TIDAK DIKETAHUI""))"),"")</f>
        <v/>
      </c>
    </row>
    <row r="9821">
      <c r="A9821" s="21" t="str">
        <f t="shared" si="3"/>
        <v/>
      </c>
      <c r="B9821" s="38"/>
      <c r="C9821" s="23"/>
      <c r="D9821" s="23"/>
      <c r="E9821" s="24"/>
      <c r="F9821" s="25"/>
      <c r="G9821" s="25"/>
      <c r="H9821" s="27"/>
      <c r="I9821" s="28"/>
      <c r="J9821" s="39"/>
      <c r="K9821" s="41"/>
      <c r="L9821" s="31" t="str">
        <f>IFERROR(__xludf.DUMMYFUNCTION("IF(OR(E9821="""",K9821=""""),"""",IFERROR(IF(K9821="""","""",query('tbl user'!$A$2:$D10975,""SELECT A WHERE D = '""&amp;K9821&amp;""'"")),""USER TIDAK DIKETAHUI""))"),"")</f>
        <v/>
      </c>
    </row>
    <row r="9822">
      <c r="A9822" s="21" t="str">
        <f t="shared" si="3"/>
        <v/>
      </c>
      <c r="B9822" s="38"/>
      <c r="C9822" s="23"/>
      <c r="D9822" s="23"/>
      <c r="E9822" s="24"/>
      <c r="F9822" s="25"/>
      <c r="G9822" s="25"/>
      <c r="H9822" s="27"/>
      <c r="I9822" s="28"/>
      <c r="J9822" s="39"/>
      <c r="K9822" s="41"/>
      <c r="L9822" s="31" t="str">
        <f>IFERROR(__xludf.DUMMYFUNCTION("IF(OR(E9822="""",K9822=""""),"""",IFERROR(IF(K9822="""","""",query('tbl user'!$A$2:$D10975,""SELECT A WHERE D = '""&amp;K9822&amp;""'"")),""USER TIDAK DIKETAHUI""))"),"")</f>
        <v/>
      </c>
    </row>
    <row r="9823">
      <c r="A9823" s="21" t="str">
        <f t="shared" si="3"/>
        <v/>
      </c>
      <c r="B9823" s="38"/>
      <c r="C9823" s="23"/>
      <c r="D9823" s="23"/>
      <c r="E9823" s="24"/>
      <c r="F9823" s="25"/>
      <c r="G9823" s="25"/>
      <c r="H9823" s="27"/>
      <c r="I9823" s="28"/>
      <c r="J9823" s="39"/>
      <c r="K9823" s="41"/>
      <c r="L9823" s="31" t="str">
        <f>IFERROR(__xludf.DUMMYFUNCTION("IF(OR(E9823="""",K9823=""""),"""",IFERROR(IF(K9823="""","""",query('tbl user'!$A$2:$D10975,""SELECT A WHERE D = '""&amp;K9823&amp;""'"")),""USER TIDAK DIKETAHUI""))"),"")</f>
        <v/>
      </c>
    </row>
    <row r="9824">
      <c r="A9824" s="21" t="str">
        <f t="shared" si="3"/>
        <v/>
      </c>
      <c r="B9824" s="38"/>
      <c r="C9824" s="23"/>
      <c r="D9824" s="23"/>
      <c r="E9824" s="24"/>
      <c r="F9824" s="25"/>
      <c r="G9824" s="25"/>
      <c r="H9824" s="27"/>
      <c r="I9824" s="28"/>
      <c r="J9824" s="39"/>
      <c r="K9824" s="41"/>
      <c r="L9824" s="31" t="str">
        <f>IFERROR(__xludf.DUMMYFUNCTION("IF(OR(E9824="""",K9824=""""),"""",IFERROR(IF(K9824="""","""",query('tbl user'!$A$2:$D10975,""SELECT A WHERE D = '""&amp;K9824&amp;""'"")),""USER TIDAK DIKETAHUI""))"),"")</f>
        <v/>
      </c>
    </row>
    <row r="9825">
      <c r="A9825" s="21" t="str">
        <f t="shared" si="3"/>
        <v/>
      </c>
      <c r="B9825" s="38"/>
      <c r="C9825" s="23"/>
      <c r="D9825" s="23"/>
      <c r="E9825" s="24"/>
      <c r="F9825" s="25"/>
      <c r="G9825" s="25"/>
      <c r="H9825" s="27"/>
      <c r="I9825" s="28"/>
      <c r="J9825" s="39"/>
      <c r="K9825" s="41"/>
      <c r="L9825" s="31" t="str">
        <f>IFERROR(__xludf.DUMMYFUNCTION("IF(OR(E9825="""",K9825=""""),"""",IFERROR(IF(K9825="""","""",query('tbl user'!$A$2:$D10975,""SELECT A WHERE D = '""&amp;K9825&amp;""'"")),""USER TIDAK DIKETAHUI""))"),"")</f>
        <v/>
      </c>
    </row>
    <row r="9826">
      <c r="A9826" s="21" t="str">
        <f t="shared" si="3"/>
        <v/>
      </c>
      <c r="B9826" s="38"/>
      <c r="C9826" s="23"/>
      <c r="D9826" s="23"/>
      <c r="E9826" s="24"/>
      <c r="F9826" s="25"/>
      <c r="G9826" s="25"/>
      <c r="H9826" s="27"/>
      <c r="I9826" s="28"/>
      <c r="J9826" s="39"/>
      <c r="K9826" s="41"/>
      <c r="L9826" s="31" t="str">
        <f>IFERROR(__xludf.DUMMYFUNCTION("IF(OR(E9826="""",K9826=""""),"""",IFERROR(IF(K9826="""","""",query('tbl user'!$A$2:$D10975,""SELECT A WHERE D = '""&amp;K9826&amp;""'"")),""USER TIDAK DIKETAHUI""))"),"")</f>
        <v/>
      </c>
    </row>
    <row r="9827">
      <c r="A9827" s="21" t="str">
        <f t="shared" si="3"/>
        <v/>
      </c>
      <c r="B9827" s="38"/>
      <c r="C9827" s="23"/>
      <c r="D9827" s="23"/>
      <c r="E9827" s="24"/>
      <c r="F9827" s="25"/>
      <c r="G9827" s="25"/>
      <c r="H9827" s="27"/>
      <c r="I9827" s="28"/>
      <c r="J9827" s="39"/>
      <c r="K9827" s="41"/>
      <c r="L9827" s="31" t="str">
        <f>IFERROR(__xludf.DUMMYFUNCTION("IF(OR(E9827="""",K9827=""""),"""",IFERROR(IF(K9827="""","""",query('tbl user'!$A$2:$D10975,""SELECT A WHERE D = '""&amp;K9827&amp;""'"")),""USER TIDAK DIKETAHUI""))"),"")</f>
        <v/>
      </c>
    </row>
    <row r="9828">
      <c r="A9828" s="21" t="str">
        <f t="shared" si="3"/>
        <v/>
      </c>
      <c r="B9828" s="38"/>
      <c r="C9828" s="23"/>
      <c r="D9828" s="23"/>
      <c r="E9828" s="24"/>
      <c r="F9828" s="25"/>
      <c r="G9828" s="25"/>
      <c r="H9828" s="27"/>
      <c r="I9828" s="28"/>
      <c r="J9828" s="39"/>
      <c r="K9828" s="41"/>
      <c r="L9828" s="31" t="str">
        <f>IFERROR(__xludf.DUMMYFUNCTION("IF(OR(E9828="""",K9828=""""),"""",IFERROR(IF(K9828="""","""",query('tbl user'!$A$2:$D10975,""SELECT A WHERE D = '""&amp;K9828&amp;""'"")),""USER TIDAK DIKETAHUI""))"),"")</f>
        <v/>
      </c>
    </row>
    <row r="9829">
      <c r="A9829" s="21" t="str">
        <f t="shared" si="3"/>
        <v/>
      </c>
      <c r="B9829" s="38"/>
      <c r="C9829" s="23"/>
      <c r="D9829" s="23"/>
      <c r="E9829" s="24"/>
      <c r="F9829" s="25"/>
      <c r="G9829" s="25"/>
      <c r="H9829" s="27"/>
      <c r="I9829" s="28"/>
      <c r="J9829" s="39"/>
      <c r="K9829" s="41"/>
      <c r="L9829" s="31" t="str">
        <f>IFERROR(__xludf.DUMMYFUNCTION("IF(OR(E9829="""",K9829=""""),"""",IFERROR(IF(K9829="""","""",query('tbl user'!$A$2:$D10975,""SELECT A WHERE D = '""&amp;K9829&amp;""'"")),""USER TIDAK DIKETAHUI""))"),"")</f>
        <v/>
      </c>
    </row>
    <row r="9830">
      <c r="A9830" s="21" t="str">
        <f t="shared" si="3"/>
        <v/>
      </c>
      <c r="B9830" s="38"/>
      <c r="C9830" s="23"/>
      <c r="D9830" s="23"/>
      <c r="E9830" s="24"/>
      <c r="F9830" s="25"/>
      <c r="G9830" s="25"/>
      <c r="H9830" s="27"/>
      <c r="I9830" s="28"/>
      <c r="J9830" s="39"/>
      <c r="K9830" s="41"/>
      <c r="L9830" s="31" t="str">
        <f>IFERROR(__xludf.DUMMYFUNCTION("IF(OR(E9830="""",K9830=""""),"""",IFERROR(IF(K9830="""","""",query('tbl user'!$A$2:$D10975,""SELECT A WHERE D = '""&amp;K9830&amp;""'"")),""USER TIDAK DIKETAHUI""))"),"")</f>
        <v/>
      </c>
    </row>
    <row r="9831">
      <c r="A9831" s="21" t="str">
        <f t="shared" si="3"/>
        <v/>
      </c>
      <c r="B9831" s="38"/>
      <c r="C9831" s="23"/>
      <c r="D9831" s="23"/>
      <c r="E9831" s="24"/>
      <c r="F9831" s="25"/>
      <c r="G9831" s="25"/>
      <c r="H9831" s="27"/>
      <c r="I9831" s="28"/>
      <c r="J9831" s="39"/>
      <c r="K9831" s="41"/>
      <c r="L9831" s="31" t="str">
        <f>IFERROR(__xludf.DUMMYFUNCTION("IF(OR(E9831="""",K9831=""""),"""",IFERROR(IF(K9831="""","""",query('tbl user'!$A$2:$D10975,""SELECT A WHERE D = '""&amp;K9831&amp;""'"")),""USER TIDAK DIKETAHUI""))"),"")</f>
        <v/>
      </c>
    </row>
    <row r="9832">
      <c r="A9832" s="21" t="str">
        <f t="shared" si="3"/>
        <v/>
      </c>
      <c r="B9832" s="38"/>
      <c r="C9832" s="23"/>
      <c r="D9832" s="23"/>
      <c r="E9832" s="24"/>
      <c r="F9832" s="25"/>
      <c r="G9832" s="25"/>
      <c r="H9832" s="27"/>
      <c r="I9832" s="28"/>
      <c r="J9832" s="39"/>
      <c r="K9832" s="41"/>
      <c r="L9832" s="31" t="str">
        <f>IFERROR(__xludf.DUMMYFUNCTION("IF(OR(E9832="""",K9832=""""),"""",IFERROR(IF(K9832="""","""",query('tbl user'!$A$2:$D10975,""SELECT A WHERE D = '""&amp;K9832&amp;""'"")),""USER TIDAK DIKETAHUI""))"),"")</f>
        <v/>
      </c>
    </row>
    <row r="9833">
      <c r="A9833" s="21" t="str">
        <f t="shared" si="3"/>
        <v/>
      </c>
      <c r="B9833" s="38"/>
      <c r="C9833" s="23"/>
      <c r="D9833" s="23"/>
      <c r="E9833" s="24"/>
      <c r="F9833" s="25"/>
      <c r="G9833" s="25"/>
      <c r="H9833" s="27"/>
      <c r="I9833" s="28"/>
      <c r="J9833" s="39"/>
      <c r="K9833" s="41"/>
      <c r="L9833" s="31" t="str">
        <f>IFERROR(__xludf.DUMMYFUNCTION("IF(OR(E9833="""",K9833=""""),"""",IFERROR(IF(K9833="""","""",query('tbl user'!$A$2:$D10975,""SELECT A WHERE D = '""&amp;K9833&amp;""'"")),""USER TIDAK DIKETAHUI""))"),"")</f>
        <v/>
      </c>
    </row>
    <row r="9834">
      <c r="A9834" s="21" t="str">
        <f t="shared" si="3"/>
        <v/>
      </c>
      <c r="B9834" s="38"/>
      <c r="C9834" s="23"/>
      <c r="D9834" s="23"/>
      <c r="E9834" s="24"/>
      <c r="F9834" s="25"/>
      <c r="G9834" s="25"/>
      <c r="H9834" s="27"/>
      <c r="I9834" s="28"/>
      <c r="J9834" s="39"/>
      <c r="K9834" s="41"/>
      <c r="L9834" s="31" t="str">
        <f>IFERROR(__xludf.DUMMYFUNCTION("IF(OR(E9834="""",K9834=""""),"""",IFERROR(IF(K9834="""","""",query('tbl user'!$A$2:$D10975,""SELECT A WHERE D = '""&amp;K9834&amp;""'"")),""USER TIDAK DIKETAHUI""))"),"")</f>
        <v/>
      </c>
    </row>
    <row r="9835">
      <c r="A9835" s="21" t="str">
        <f t="shared" si="3"/>
        <v/>
      </c>
      <c r="B9835" s="38"/>
      <c r="C9835" s="23"/>
      <c r="D9835" s="23"/>
      <c r="E9835" s="24"/>
      <c r="F9835" s="25"/>
      <c r="G9835" s="25"/>
      <c r="H9835" s="27"/>
      <c r="I9835" s="28"/>
      <c r="J9835" s="39"/>
      <c r="K9835" s="41"/>
      <c r="L9835" s="31" t="str">
        <f>IFERROR(__xludf.DUMMYFUNCTION("IF(OR(E9835="""",K9835=""""),"""",IFERROR(IF(K9835="""","""",query('tbl user'!$A$2:$D10975,""SELECT A WHERE D = '""&amp;K9835&amp;""'"")),""USER TIDAK DIKETAHUI""))"),"")</f>
        <v/>
      </c>
    </row>
    <row r="9836">
      <c r="A9836" s="21" t="str">
        <f t="shared" si="3"/>
        <v/>
      </c>
      <c r="B9836" s="38"/>
      <c r="C9836" s="23"/>
      <c r="D9836" s="23"/>
      <c r="E9836" s="24"/>
      <c r="F9836" s="25"/>
      <c r="G9836" s="25"/>
      <c r="H9836" s="27"/>
      <c r="I9836" s="28"/>
      <c r="J9836" s="39"/>
      <c r="K9836" s="41"/>
      <c r="L9836" s="31" t="str">
        <f>IFERROR(__xludf.DUMMYFUNCTION("IF(OR(E9836="""",K9836=""""),"""",IFERROR(IF(K9836="""","""",query('tbl user'!$A$2:$D10975,""SELECT A WHERE D = '""&amp;K9836&amp;""'"")),""USER TIDAK DIKETAHUI""))"),"")</f>
        <v/>
      </c>
    </row>
    <row r="9837">
      <c r="A9837" s="21" t="str">
        <f t="shared" si="3"/>
        <v/>
      </c>
      <c r="B9837" s="38"/>
      <c r="C9837" s="23"/>
      <c r="D9837" s="23"/>
      <c r="E9837" s="24"/>
      <c r="F9837" s="25"/>
      <c r="G9837" s="25"/>
      <c r="H9837" s="27"/>
      <c r="I9837" s="28"/>
      <c r="J9837" s="39"/>
      <c r="K9837" s="41"/>
      <c r="L9837" s="31" t="str">
        <f>IFERROR(__xludf.DUMMYFUNCTION("IF(OR(E9837="""",K9837=""""),"""",IFERROR(IF(K9837="""","""",query('tbl user'!$A$2:$D10975,""SELECT A WHERE D = '""&amp;K9837&amp;""'"")),""USER TIDAK DIKETAHUI""))"),"")</f>
        <v/>
      </c>
    </row>
    <row r="9838">
      <c r="A9838" s="21" t="str">
        <f t="shared" si="3"/>
        <v/>
      </c>
      <c r="B9838" s="38"/>
      <c r="C9838" s="23"/>
      <c r="D9838" s="23"/>
      <c r="E9838" s="24"/>
      <c r="F9838" s="25"/>
      <c r="G9838" s="25"/>
      <c r="H9838" s="27"/>
      <c r="I9838" s="28"/>
      <c r="J9838" s="39"/>
      <c r="K9838" s="41"/>
      <c r="L9838" s="31" t="str">
        <f>IFERROR(__xludf.DUMMYFUNCTION("IF(OR(E9838="""",K9838=""""),"""",IFERROR(IF(K9838="""","""",query('tbl user'!$A$2:$D10975,""SELECT A WHERE D = '""&amp;K9838&amp;""'"")),""USER TIDAK DIKETAHUI""))"),"")</f>
        <v/>
      </c>
    </row>
    <row r="9839">
      <c r="A9839" s="21" t="str">
        <f t="shared" si="3"/>
        <v/>
      </c>
      <c r="B9839" s="38"/>
      <c r="C9839" s="23"/>
      <c r="D9839" s="23"/>
      <c r="E9839" s="24"/>
      <c r="F9839" s="25"/>
      <c r="G9839" s="25"/>
      <c r="H9839" s="27"/>
      <c r="I9839" s="28"/>
      <c r="J9839" s="39"/>
      <c r="K9839" s="41"/>
      <c r="L9839" s="31" t="str">
        <f>IFERROR(__xludf.DUMMYFUNCTION("IF(OR(E9839="""",K9839=""""),"""",IFERROR(IF(K9839="""","""",query('tbl user'!$A$2:$D10975,""SELECT A WHERE D = '""&amp;K9839&amp;""'"")),""USER TIDAK DIKETAHUI""))"),"")</f>
        <v/>
      </c>
    </row>
    <row r="9840">
      <c r="A9840" s="21" t="str">
        <f t="shared" si="3"/>
        <v/>
      </c>
      <c r="B9840" s="38"/>
      <c r="C9840" s="23"/>
      <c r="D9840" s="23"/>
      <c r="E9840" s="24"/>
      <c r="F9840" s="25"/>
      <c r="G9840" s="25"/>
      <c r="H9840" s="27"/>
      <c r="I9840" s="28"/>
      <c r="J9840" s="39"/>
      <c r="K9840" s="41"/>
      <c r="L9840" s="31" t="str">
        <f>IFERROR(__xludf.DUMMYFUNCTION("IF(OR(E9840="""",K9840=""""),"""",IFERROR(IF(K9840="""","""",query('tbl user'!$A$2:$D10975,""SELECT A WHERE D = '""&amp;K9840&amp;""'"")),""USER TIDAK DIKETAHUI""))"),"")</f>
        <v/>
      </c>
    </row>
    <row r="9841">
      <c r="A9841" s="21" t="str">
        <f t="shared" si="3"/>
        <v/>
      </c>
      <c r="B9841" s="38"/>
      <c r="C9841" s="23"/>
      <c r="D9841" s="23"/>
      <c r="E9841" s="24"/>
      <c r="F9841" s="25"/>
      <c r="G9841" s="25"/>
      <c r="H9841" s="27"/>
      <c r="I9841" s="28"/>
      <c r="J9841" s="39"/>
      <c r="K9841" s="41"/>
      <c r="L9841" s="31" t="str">
        <f>IFERROR(__xludf.DUMMYFUNCTION("IF(OR(E9841="""",K9841=""""),"""",IFERROR(IF(K9841="""","""",query('tbl user'!$A$2:$D10975,""SELECT A WHERE D = '""&amp;K9841&amp;""'"")),""USER TIDAK DIKETAHUI""))"),"")</f>
        <v/>
      </c>
    </row>
    <row r="9842">
      <c r="A9842" s="21" t="str">
        <f t="shared" si="3"/>
        <v/>
      </c>
      <c r="B9842" s="38"/>
      <c r="C9842" s="23"/>
      <c r="D9842" s="23"/>
      <c r="E9842" s="24"/>
      <c r="F9842" s="25"/>
      <c r="G9842" s="25"/>
      <c r="H9842" s="27"/>
      <c r="I9842" s="28"/>
      <c r="J9842" s="39"/>
      <c r="K9842" s="41"/>
      <c r="L9842" s="31" t="str">
        <f>IFERROR(__xludf.DUMMYFUNCTION("IF(OR(E9842="""",K9842=""""),"""",IFERROR(IF(K9842="""","""",query('tbl user'!$A$2:$D10975,""SELECT A WHERE D = '""&amp;K9842&amp;""'"")),""USER TIDAK DIKETAHUI""))"),"")</f>
        <v/>
      </c>
    </row>
    <row r="9843">
      <c r="A9843" s="21" t="str">
        <f t="shared" si="3"/>
        <v/>
      </c>
      <c r="B9843" s="38"/>
      <c r="C9843" s="23"/>
      <c r="D9843" s="23"/>
      <c r="E9843" s="24"/>
      <c r="F9843" s="25"/>
      <c r="G9843" s="25"/>
      <c r="H9843" s="27"/>
      <c r="I9843" s="28"/>
      <c r="J9843" s="39"/>
      <c r="K9843" s="41"/>
      <c r="L9843" s="31" t="str">
        <f>IFERROR(__xludf.DUMMYFUNCTION("IF(OR(E9843="""",K9843=""""),"""",IFERROR(IF(K9843="""","""",query('tbl user'!$A$2:$D10975,""SELECT A WHERE D = '""&amp;K9843&amp;""'"")),""USER TIDAK DIKETAHUI""))"),"")</f>
        <v/>
      </c>
    </row>
    <row r="9844">
      <c r="A9844" s="21" t="str">
        <f t="shared" si="3"/>
        <v/>
      </c>
      <c r="B9844" s="38"/>
      <c r="C9844" s="23"/>
      <c r="D9844" s="23"/>
      <c r="E9844" s="24"/>
      <c r="F9844" s="25"/>
      <c r="G9844" s="25"/>
      <c r="H9844" s="27"/>
      <c r="I9844" s="28"/>
      <c r="J9844" s="39"/>
      <c r="K9844" s="41"/>
      <c r="L9844" s="31" t="str">
        <f>IFERROR(__xludf.DUMMYFUNCTION("IF(OR(E9844="""",K9844=""""),"""",IFERROR(IF(K9844="""","""",query('tbl user'!$A$2:$D10975,""SELECT A WHERE D = '""&amp;K9844&amp;""'"")),""USER TIDAK DIKETAHUI""))"),"")</f>
        <v/>
      </c>
    </row>
    <row r="9845">
      <c r="A9845" s="21" t="str">
        <f t="shared" si="3"/>
        <v/>
      </c>
      <c r="B9845" s="38"/>
      <c r="C9845" s="23"/>
      <c r="D9845" s="23"/>
      <c r="E9845" s="24"/>
      <c r="F9845" s="25"/>
      <c r="G9845" s="25"/>
      <c r="H9845" s="27"/>
      <c r="I9845" s="28"/>
      <c r="J9845" s="39"/>
      <c r="K9845" s="41"/>
      <c r="L9845" s="31" t="str">
        <f>IFERROR(__xludf.DUMMYFUNCTION("IF(OR(E9845="""",K9845=""""),"""",IFERROR(IF(K9845="""","""",query('tbl user'!$A$2:$D10975,""SELECT A WHERE D = '""&amp;K9845&amp;""'"")),""USER TIDAK DIKETAHUI""))"),"")</f>
        <v/>
      </c>
    </row>
    <row r="9846">
      <c r="A9846" s="21" t="str">
        <f t="shared" si="3"/>
        <v/>
      </c>
      <c r="B9846" s="38"/>
      <c r="C9846" s="23"/>
      <c r="D9846" s="23"/>
      <c r="E9846" s="24"/>
      <c r="F9846" s="25"/>
      <c r="G9846" s="25"/>
      <c r="H9846" s="27"/>
      <c r="I9846" s="28"/>
      <c r="J9846" s="39"/>
      <c r="K9846" s="41"/>
      <c r="L9846" s="31" t="str">
        <f>IFERROR(__xludf.DUMMYFUNCTION("IF(OR(E9846="""",K9846=""""),"""",IFERROR(IF(K9846="""","""",query('tbl user'!$A$2:$D10975,""SELECT A WHERE D = '""&amp;K9846&amp;""'"")),""USER TIDAK DIKETAHUI""))"),"")</f>
        <v/>
      </c>
    </row>
    <row r="9847">
      <c r="A9847" s="21" t="str">
        <f t="shared" si="3"/>
        <v/>
      </c>
      <c r="B9847" s="38"/>
      <c r="C9847" s="23"/>
      <c r="D9847" s="23"/>
      <c r="E9847" s="24"/>
      <c r="F9847" s="25"/>
      <c r="G9847" s="25"/>
      <c r="H9847" s="27"/>
      <c r="I9847" s="28"/>
      <c r="J9847" s="39"/>
      <c r="K9847" s="41"/>
      <c r="L9847" s="31" t="str">
        <f>IFERROR(__xludf.DUMMYFUNCTION("IF(OR(E9847="""",K9847=""""),"""",IFERROR(IF(K9847="""","""",query('tbl user'!$A$2:$D10975,""SELECT A WHERE D = '""&amp;K9847&amp;""'"")),""USER TIDAK DIKETAHUI""))"),"")</f>
        <v/>
      </c>
    </row>
    <row r="9848">
      <c r="A9848" s="21" t="str">
        <f t="shared" si="3"/>
        <v/>
      </c>
      <c r="B9848" s="38"/>
      <c r="C9848" s="23"/>
      <c r="D9848" s="23"/>
      <c r="E9848" s="24"/>
      <c r="F9848" s="25"/>
      <c r="G9848" s="25"/>
      <c r="H9848" s="27"/>
      <c r="I9848" s="28"/>
      <c r="J9848" s="39"/>
      <c r="K9848" s="41"/>
      <c r="L9848" s="31" t="str">
        <f>IFERROR(__xludf.DUMMYFUNCTION("IF(OR(E9848="""",K9848=""""),"""",IFERROR(IF(K9848="""","""",query('tbl user'!$A$2:$D10975,""SELECT A WHERE D = '""&amp;K9848&amp;""'"")),""USER TIDAK DIKETAHUI""))"),"")</f>
        <v/>
      </c>
    </row>
    <row r="9849">
      <c r="A9849" s="21" t="str">
        <f t="shared" si="3"/>
        <v/>
      </c>
      <c r="B9849" s="38"/>
      <c r="C9849" s="23"/>
      <c r="D9849" s="23"/>
      <c r="E9849" s="24"/>
      <c r="F9849" s="25"/>
      <c r="G9849" s="25"/>
      <c r="H9849" s="27"/>
      <c r="I9849" s="28"/>
      <c r="J9849" s="39"/>
      <c r="K9849" s="41"/>
      <c r="L9849" s="31" t="str">
        <f>IFERROR(__xludf.DUMMYFUNCTION("IF(OR(E9849="""",K9849=""""),"""",IFERROR(IF(K9849="""","""",query('tbl user'!$A$2:$D10975,""SELECT A WHERE D = '""&amp;K9849&amp;""'"")),""USER TIDAK DIKETAHUI""))"),"")</f>
        <v/>
      </c>
    </row>
    <row r="9850">
      <c r="A9850" s="21" t="str">
        <f t="shared" si="3"/>
        <v/>
      </c>
      <c r="B9850" s="38"/>
      <c r="C9850" s="23"/>
      <c r="D9850" s="23"/>
      <c r="E9850" s="24"/>
      <c r="F9850" s="25"/>
      <c r="G9850" s="25"/>
      <c r="H9850" s="27"/>
      <c r="I9850" s="28"/>
      <c r="J9850" s="39"/>
      <c r="K9850" s="41"/>
      <c r="L9850" s="31" t="str">
        <f>IFERROR(__xludf.DUMMYFUNCTION("IF(OR(E9850="""",K9850=""""),"""",IFERROR(IF(K9850="""","""",query('tbl user'!$A$2:$D10975,""SELECT A WHERE D = '""&amp;K9850&amp;""'"")),""USER TIDAK DIKETAHUI""))"),"")</f>
        <v/>
      </c>
    </row>
    <row r="9851">
      <c r="A9851" s="21" t="str">
        <f t="shared" si="3"/>
        <v/>
      </c>
      <c r="B9851" s="38"/>
      <c r="C9851" s="23"/>
      <c r="D9851" s="23"/>
      <c r="E9851" s="24"/>
      <c r="F9851" s="25"/>
      <c r="G9851" s="25"/>
      <c r="H9851" s="27"/>
      <c r="I9851" s="28"/>
      <c r="J9851" s="39"/>
      <c r="K9851" s="41"/>
      <c r="L9851" s="31" t="str">
        <f>IFERROR(__xludf.DUMMYFUNCTION("IF(OR(E9851="""",K9851=""""),"""",IFERROR(IF(K9851="""","""",query('tbl user'!$A$2:$D10975,""SELECT A WHERE D = '""&amp;K9851&amp;""'"")),""USER TIDAK DIKETAHUI""))"),"")</f>
        <v/>
      </c>
    </row>
    <row r="9852">
      <c r="A9852" s="21" t="str">
        <f t="shared" si="3"/>
        <v/>
      </c>
      <c r="B9852" s="38"/>
      <c r="C9852" s="23"/>
      <c r="D9852" s="23"/>
      <c r="E9852" s="24"/>
      <c r="F9852" s="25"/>
      <c r="G9852" s="25"/>
      <c r="H9852" s="27"/>
      <c r="I9852" s="28"/>
      <c r="J9852" s="39"/>
      <c r="K9852" s="41"/>
      <c r="L9852" s="31" t="str">
        <f>IFERROR(__xludf.DUMMYFUNCTION("IF(OR(E9852="""",K9852=""""),"""",IFERROR(IF(K9852="""","""",query('tbl user'!$A$2:$D10975,""SELECT A WHERE D = '""&amp;K9852&amp;""'"")),""USER TIDAK DIKETAHUI""))"),"")</f>
        <v/>
      </c>
    </row>
    <row r="9853">
      <c r="A9853" s="21" t="str">
        <f t="shared" si="3"/>
        <v/>
      </c>
      <c r="B9853" s="38"/>
      <c r="C9853" s="23"/>
      <c r="D9853" s="23"/>
      <c r="E9853" s="24"/>
      <c r="F9853" s="25"/>
      <c r="G9853" s="25"/>
      <c r="H9853" s="27"/>
      <c r="I9853" s="28"/>
      <c r="J9853" s="39"/>
      <c r="K9853" s="41"/>
      <c r="L9853" s="31" t="str">
        <f>IFERROR(__xludf.DUMMYFUNCTION("IF(OR(E9853="""",K9853=""""),"""",IFERROR(IF(K9853="""","""",query('tbl user'!$A$2:$D10975,""SELECT A WHERE D = '""&amp;K9853&amp;""'"")),""USER TIDAK DIKETAHUI""))"),"")</f>
        <v/>
      </c>
    </row>
    <row r="9854">
      <c r="A9854" s="21" t="str">
        <f t="shared" si="3"/>
        <v/>
      </c>
      <c r="B9854" s="38"/>
      <c r="C9854" s="23"/>
      <c r="D9854" s="23"/>
      <c r="E9854" s="24"/>
      <c r="F9854" s="25"/>
      <c r="G9854" s="25"/>
      <c r="H9854" s="27"/>
      <c r="I9854" s="28"/>
      <c r="J9854" s="39"/>
      <c r="K9854" s="41"/>
      <c r="L9854" s="31" t="str">
        <f>IFERROR(__xludf.DUMMYFUNCTION("IF(OR(E9854="""",K9854=""""),"""",IFERROR(IF(K9854="""","""",query('tbl user'!$A$2:$D10975,""SELECT A WHERE D = '""&amp;K9854&amp;""'"")),""USER TIDAK DIKETAHUI""))"),"")</f>
        <v/>
      </c>
    </row>
    <row r="9855">
      <c r="A9855" s="21" t="str">
        <f t="shared" si="3"/>
        <v/>
      </c>
      <c r="B9855" s="38"/>
      <c r="C9855" s="23"/>
      <c r="D9855" s="23"/>
      <c r="E9855" s="24"/>
      <c r="F9855" s="25"/>
      <c r="G9855" s="25"/>
      <c r="H9855" s="27"/>
      <c r="I9855" s="28"/>
      <c r="J9855" s="39"/>
      <c r="K9855" s="41"/>
      <c r="L9855" s="31" t="str">
        <f>IFERROR(__xludf.DUMMYFUNCTION("IF(OR(E9855="""",K9855=""""),"""",IFERROR(IF(K9855="""","""",query('tbl user'!$A$2:$D10975,""SELECT A WHERE D = '""&amp;K9855&amp;""'"")),""USER TIDAK DIKETAHUI""))"),"")</f>
        <v/>
      </c>
    </row>
    <row r="9856">
      <c r="A9856" s="21" t="str">
        <f t="shared" si="3"/>
        <v/>
      </c>
      <c r="B9856" s="38"/>
      <c r="C9856" s="23"/>
      <c r="D9856" s="23"/>
      <c r="E9856" s="24"/>
      <c r="F9856" s="25"/>
      <c r="G9856" s="25"/>
      <c r="H9856" s="27"/>
      <c r="I9856" s="28"/>
      <c r="J9856" s="39"/>
      <c r="K9856" s="41"/>
      <c r="L9856" s="31" t="str">
        <f>IFERROR(__xludf.DUMMYFUNCTION("IF(OR(E9856="""",K9856=""""),"""",IFERROR(IF(K9856="""","""",query('tbl user'!$A$2:$D10975,""SELECT A WHERE D = '""&amp;K9856&amp;""'"")),""USER TIDAK DIKETAHUI""))"),"")</f>
        <v/>
      </c>
    </row>
    <row r="9857">
      <c r="A9857" s="21" t="str">
        <f t="shared" si="3"/>
        <v/>
      </c>
      <c r="B9857" s="38"/>
      <c r="C9857" s="23"/>
      <c r="D9857" s="23"/>
      <c r="E9857" s="24"/>
      <c r="F9857" s="25"/>
      <c r="G9857" s="25"/>
      <c r="H9857" s="27"/>
      <c r="I9857" s="28"/>
      <c r="J9857" s="39"/>
      <c r="K9857" s="41"/>
      <c r="L9857" s="31" t="str">
        <f>IFERROR(__xludf.DUMMYFUNCTION("IF(OR(E9857="""",K9857=""""),"""",IFERROR(IF(K9857="""","""",query('tbl user'!$A$2:$D10975,""SELECT A WHERE D = '""&amp;K9857&amp;""'"")),""USER TIDAK DIKETAHUI""))"),"")</f>
        <v/>
      </c>
    </row>
    <row r="9858">
      <c r="A9858" s="21" t="str">
        <f t="shared" si="3"/>
        <v/>
      </c>
      <c r="B9858" s="38"/>
      <c r="C9858" s="23"/>
      <c r="D9858" s="23"/>
      <c r="E9858" s="24"/>
      <c r="F9858" s="25"/>
      <c r="G9858" s="25"/>
      <c r="H9858" s="27"/>
      <c r="I9858" s="28"/>
      <c r="J9858" s="39"/>
      <c r="K9858" s="41"/>
      <c r="L9858" s="31" t="str">
        <f>IFERROR(__xludf.DUMMYFUNCTION("IF(OR(E9858="""",K9858=""""),"""",IFERROR(IF(K9858="""","""",query('tbl user'!$A$2:$D10975,""SELECT A WHERE D = '""&amp;K9858&amp;""'"")),""USER TIDAK DIKETAHUI""))"),"")</f>
        <v/>
      </c>
    </row>
    <row r="9859">
      <c r="A9859" s="21" t="str">
        <f t="shared" si="3"/>
        <v/>
      </c>
      <c r="B9859" s="38"/>
      <c r="C9859" s="23"/>
      <c r="D9859" s="23"/>
      <c r="E9859" s="24"/>
      <c r="F9859" s="25"/>
      <c r="G9859" s="25"/>
      <c r="H9859" s="27"/>
      <c r="I9859" s="28"/>
      <c r="J9859" s="39"/>
      <c r="K9859" s="41"/>
      <c r="L9859" s="31" t="str">
        <f>IFERROR(__xludf.DUMMYFUNCTION("IF(OR(E9859="""",K9859=""""),"""",IFERROR(IF(K9859="""","""",query('tbl user'!$A$2:$D10975,""SELECT A WHERE D = '""&amp;K9859&amp;""'"")),""USER TIDAK DIKETAHUI""))"),"")</f>
        <v/>
      </c>
    </row>
    <row r="9860">
      <c r="A9860" s="21" t="str">
        <f t="shared" si="3"/>
        <v/>
      </c>
      <c r="B9860" s="38"/>
      <c r="C9860" s="23"/>
      <c r="D9860" s="23"/>
      <c r="E9860" s="24"/>
      <c r="F9860" s="25"/>
      <c r="G9860" s="25"/>
      <c r="H9860" s="27"/>
      <c r="I9860" s="28"/>
      <c r="J9860" s="39"/>
      <c r="K9860" s="41"/>
      <c r="L9860" s="31" t="str">
        <f>IFERROR(__xludf.DUMMYFUNCTION("IF(OR(E9860="""",K9860=""""),"""",IFERROR(IF(K9860="""","""",query('tbl user'!$A$2:$D10975,""SELECT A WHERE D = '""&amp;K9860&amp;""'"")),""USER TIDAK DIKETAHUI""))"),"")</f>
        <v/>
      </c>
    </row>
    <row r="9861">
      <c r="A9861" s="21" t="str">
        <f t="shared" si="3"/>
        <v/>
      </c>
      <c r="B9861" s="38"/>
      <c r="C9861" s="23"/>
      <c r="D9861" s="23"/>
      <c r="E9861" s="24"/>
      <c r="F9861" s="25"/>
      <c r="G9861" s="25"/>
      <c r="H9861" s="27"/>
      <c r="I9861" s="28"/>
      <c r="J9861" s="39"/>
      <c r="K9861" s="41"/>
      <c r="L9861" s="31" t="str">
        <f>IFERROR(__xludf.DUMMYFUNCTION("IF(OR(E9861="""",K9861=""""),"""",IFERROR(IF(K9861="""","""",query('tbl user'!$A$2:$D10975,""SELECT A WHERE D = '""&amp;K9861&amp;""'"")),""USER TIDAK DIKETAHUI""))"),"")</f>
        <v/>
      </c>
    </row>
    <row r="9862">
      <c r="A9862" s="21" t="str">
        <f t="shared" si="3"/>
        <v/>
      </c>
      <c r="B9862" s="38"/>
      <c r="C9862" s="23"/>
      <c r="D9862" s="23"/>
      <c r="E9862" s="24"/>
      <c r="F9862" s="25"/>
      <c r="G9862" s="25"/>
      <c r="H9862" s="27"/>
      <c r="I9862" s="28"/>
      <c r="J9862" s="39"/>
      <c r="K9862" s="41"/>
      <c r="L9862" s="31" t="str">
        <f>IFERROR(__xludf.DUMMYFUNCTION("IF(OR(E9862="""",K9862=""""),"""",IFERROR(IF(K9862="""","""",query('tbl user'!$A$2:$D10975,""SELECT A WHERE D = '""&amp;K9862&amp;""'"")),""USER TIDAK DIKETAHUI""))"),"")</f>
        <v/>
      </c>
    </row>
    <row r="9863">
      <c r="A9863" s="21" t="str">
        <f t="shared" si="3"/>
        <v/>
      </c>
      <c r="B9863" s="38"/>
      <c r="C9863" s="23"/>
      <c r="D9863" s="23"/>
      <c r="E9863" s="24"/>
      <c r="F9863" s="25"/>
      <c r="G9863" s="25"/>
      <c r="H9863" s="27"/>
      <c r="I9863" s="28"/>
      <c r="J9863" s="39"/>
      <c r="K9863" s="41"/>
      <c r="L9863" s="31" t="str">
        <f>IFERROR(__xludf.DUMMYFUNCTION("IF(OR(E9863="""",K9863=""""),"""",IFERROR(IF(K9863="""","""",query('tbl user'!$A$2:$D10975,""SELECT A WHERE D = '""&amp;K9863&amp;""'"")),""USER TIDAK DIKETAHUI""))"),"")</f>
        <v/>
      </c>
    </row>
    <row r="9864">
      <c r="A9864" s="21" t="str">
        <f t="shared" si="3"/>
        <v/>
      </c>
      <c r="B9864" s="38"/>
      <c r="C9864" s="23"/>
      <c r="D9864" s="23"/>
      <c r="E9864" s="24"/>
      <c r="F9864" s="25"/>
      <c r="G9864" s="25"/>
      <c r="H9864" s="27"/>
      <c r="I9864" s="28"/>
      <c r="J9864" s="39"/>
      <c r="K9864" s="41"/>
      <c r="L9864" s="31" t="str">
        <f>IFERROR(__xludf.DUMMYFUNCTION("IF(OR(E9864="""",K9864=""""),"""",IFERROR(IF(K9864="""","""",query('tbl user'!$A$2:$D10975,""SELECT A WHERE D = '""&amp;K9864&amp;""'"")),""USER TIDAK DIKETAHUI""))"),"")</f>
        <v/>
      </c>
    </row>
    <row r="9865">
      <c r="A9865" s="21" t="str">
        <f t="shared" si="3"/>
        <v/>
      </c>
      <c r="B9865" s="38"/>
      <c r="C9865" s="23"/>
      <c r="D9865" s="23"/>
      <c r="E9865" s="24"/>
      <c r="F9865" s="25"/>
      <c r="G9865" s="25"/>
      <c r="H9865" s="27"/>
      <c r="I9865" s="28"/>
      <c r="J9865" s="39"/>
      <c r="K9865" s="41"/>
      <c r="L9865" s="31" t="str">
        <f>IFERROR(__xludf.DUMMYFUNCTION("IF(OR(E9865="""",K9865=""""),"""",IFERROR(IF(K9865="""","""",query('tbl user'!$A$2:$D10975,""SELECT A WHERE D = '""&amp;K9865&amp;""'"")),""USER TIDAK DIKETAHUI""))"),"")</f>
        <v/>
      </c>
    </row>
    <row r="9866">
      <c r="A9866" s="21" t="str">
        <f t="shared" si="3"/>
        <v/>
      </c>
      <c r="B9866" s="38"/>
      <c r="C9866" s="23"/>
      <c r="D9866" s="23"/>
      <c r="E9866" s="24"/>
      <c r="F9866" s="25"/>
      <c r="G9866" s="25"/>
      <c r="H9866" s="27"/>
      <c r="I9866" s="28"/>
      <c r="J9866" s="39"/>
      <c r="K9866" s="41"/>
      <c r="L9866" s="31" t="str">
        <f>IFERROR(__xludf.DUMMYFUNCTION("IF(OR(E9866="""",K9866=""""),"""",IFERROR(IF(K9866="""","""",query('tbl user'!$A$2:$D10975,""SELECT A WHERE D = '""&amp;K9866&amp;""'"")),""USER TIDAK DIKETAHUI""))"),"")</f>
        <v/>
      </c>
    </row>
    <row r="9867">
      <c r="A9867" s="21" t="str">
        <f t="shared" si="3"/>
        <v/>
      </c>
      <c r="B9867" s="38"/>
      <c r="C9867" s="23"/>
      <c r="D9867" s="23"/>
      <c r="E9867" s="24"/>
      <c r="F9867" s="25"/>
      <c r="G9867" s="25"/>
      <c r="H9867" s="27"/>
      <c r="I9867" s="28"/>
      <c r="J9867" s="39"/>
      <c r="K9867" s="41"/>
      <c r="L9867" s="31" t="str">
        <f>IFERROR(__xludf.DUMMYFUNCTION("IF(OR(E9867="""",K9867=""""),"""",IFERROR(IF(K9867="""","""",query('tbl user'!$A$2:$D10975,""SELECT A WHERE D = '""&amp;K9867&amp;""'"")),""USER TIDAK DIKETAHUI""))"),"")</f>
        <v/>
      </c>
    </row>
    <row r="9868">
      <c r="A9868" s="21" t="str">
        <f t="shared" si="3"/>
        <v/>
      </c>
      <c r="B9868" s="38"/>
      <c r="C9868" s="23"/>
      <c r="D9868" s="23"/>
      <c r="E9868" s="24"/>
      <c r="F9868" s="25"/>
      <c r="G9868" s="25"/>
      <c r="H9868" s="27"/>
      <c r="I9868" s="28"/>
      <c r="J9868" s="39"/>
      <c r="K9868" s="41"/>
      <c r="L9868" s="31" t="str">
        <f>IFERROR(__xludf.DUMMYFUNCTION("IF(OR(E9868="""",K9868=""""),"""",IFERROR(IF(K9868="""","""",query('tbl user'!$A$2:$D10975,""SELECT A WHERE D = '""&amp;K9868&amp;""'"")),""USER TIDAK DIKETAHUI""))"),"")</f>
        <v/>
      </c>
    </row>
    <row r="9869">
      <c r="A9869" s="21" t="str">
        <f t="shared" si="3"/>
        <v/>
      </c>
      <c r="B9869" s="38"/>
      <c r="C9869" s="23"/>
      <c r="D9869" s="23"/>
      <c r="E9869" s="24"/>
      <c r="F9869" s="25"/>
      <c r="G9869" s="25"/>
      <c r="H9869" s="27"/>
      <c r="I9869" s="28"/>
      <c r="J9869" s="39"/>
      <c r="K9869" s="41"/>
      <c r="L9869" s="31" t="str">
        <f>IFERROR(__xludf.DUMMYFUNCTION("IF(OR(E9869="""",K9869=""""),"""",IFERROR(IF(K9869="""","""",query('tbl user'!$A$2:$D10975,""SELECT A WHERE D = '""&amp;K9869&amp;""'"")),""USER TIDAK DIKETAHUI""))"),"")</f>
        <v/>
      </c>
    </row>
    <row r="9870">
      <c r="A9870" s="21" t="str">
        <f t="shared" si="3"/>
        <v/>
      </c>
      <c r="B9870" s="38"/>
      <c r="C9870" s="23"/>
      <c r="D9870" s="23"/>
      <c r="E9870" s="24"/>
      <c r="F9870" s="25"/>
      <c r="G9870" s="25"/>
      <c r="H9870" s="27"/>
      <c r="I9870" s="28"/>
      <c r="J9870" s="39"/>
      <c r="K9870" s="41"/>
      <c r="L9870" s="31" t="str">
        <f>IFERROR(__xludf.DUMMYFUNCTION("IF(OR(E9870="""",K9870=""""),"""",IFERROR(IF(K9870="""","""",query('tbl user'!$A$2:$D10975,""SELECT A WHERE D = '""&amp;K9870&amp;""'"")),""USER TIDAK DIKETAHUI""))"),"")</f>
        <v/>
      </c>
    </row>
    <row r="9871">
      <c r="A9871" s="21" t="str">
        <f t="shared" si="3"/>
        <v/>
      </c>
      <c r="B9871" s="38"/>
      <c r="C9871" s="23"/>
      <c r="D9871" s="23"/>
      <c r="E9871" s="24"/>
      <c r="F9871" s="25"/>
      <c r="G9871" s="25"/>
      <c r="H9871" s="27"/>
      <c r="I9871" s="28"/>
      <c r="J9871" s="39"/>
      <c r="K9871" s="41"/>
      <c r="L9871" s="31" t="str">
        <f>IFERROR(__xludf.DUMMYFUNCTION("IF(OR(E9871="""",K9871=""""),"""",IFERROR(IF(K9871="""","""",query('tbl user'!$A$2:$D10975,""SELECT A WHERE D = '""&amp;K9871&amp;""'"")),""USER TIDAK DIKETAHUI""))"),"")</f>
        <v/>
      </c>
    </row>
    <row r="9872">
      <c r="A9872" s="21" t="str">
        <f t="shared" si="3"/>
        <v/>
      </c>
      <c r="B9872" s="38"/>
      <c r="C9872" s="23"/>
      <c r="D9872" s="23"/>
      <c r="E9872" s="24"/>
      <c r="F9872" s="25"/>
      <c r="G9872" s="25"/>
      <c r="H9872" s="27"/>
      <c r="I9872" s="28"/>
      <c r="J9872" s="39"/>
      <c r="K9872" s="41"/>
      <c r="L9872" s="31" t="str">
        <f>IFERROR(__xludf.DUMMYFUNCTION("IF(OR(E9872="""",K9872=""""),"""",IFERROR(IF(K9872="""","""",query('tbl user'!$A$2:$D10975,""SELECT A WHERE D = '""&amp;K9872&amp;""'"")),""USER TIDAK DIKETAHUI""))"),"")</f>
        <v/>
      </c>
    </row>
    <row r="9873">
      <c r="A9873" s="21" t="str">
        <f t="shared" si="3"/>
        <v/>
      </c>
      <c r="B9873" s="38"/>
      <c r="C9873" s="23"/>
      <c r="D9873" s="23"/>
      <c r="E9873" s="24"/>
      <c r="F9873" s="25"/>
      <c r="G9873" s="25"/>
      <c r="H9873" s="27"/>
      <c r="I9873" s="28"/>
      <c r="J9873" s="39"/>
      <c r="K9873" s="41"/>
      <c r="L9873" s="31" t="str">
        <f>IFERROR(__xludf.DUMMYFUNCTION("IF(OR(E9873="""",K9873=""""),"""",IFERROR(IF(K9873="""","""",query('tbl user'!$A$2:$D10975,""SELECT A WHERE D = '""&amp;K9873&amp;""'"")),""USER TIDAK DIKETAHUI""))"),"")</f>
        <v/>
      </c>
    </row>
    <row r="9874">
      <c r="A9874" s="21" t="str">
        <f t="shared" si="3"/>
        <v/>
      </c>
      <c r="B9874" s="38"/>
      <c r="C9874" s="23"/>
      <c r="D9874" s="23"/>
      <c r="E9874" s="24"/>
      <c r="F9874" s="25"/>
      <c r="G9874" s="25"/>
      <c r="H9874" s="27"/>
      <c r="I9874" s="28"/>
      <c r="J9874" s="39"/>
      <c r="K9874" s="41"/>
      <c r="L9874" s="31" t="str">
        <f>IFERROR(__xludf.DUMMYFUNCTION("IF(OR(E9874="""",K9874=""""),"""",IFERROR(IF(K9874="""","""",query('tbl user'!$A$2:$D10975,""SELECT A WHERE D = '""&amp;K9874&amp;""'"")),""USER TIDAK DIKETAHUI""))"),"")</f>
        <v/>
      </c>
    </row>
    <row r="9875">
      <c r="A9875" s="21" t="str">
        <f t="shared" si="3"/>
        <v/>
      </c>
      <c r="B9875" s="38"/>
      <c r="C9875" s="23"/>
      <c r="D9875" s="23"/>
      <c r="E9875" s="24"/>
      <c r="F9875" s="25"/>
      <c r="G9875" s="25"/>
      <c r="H9875" s="27"/>
      <c r="I9875" s="28"/>
      <c r="J9875" s="39"/>
      <c r="K9875" s="41"/>
      <c r="L9875" s="31" t="str">
        <f>IFERROR(__xludf.DUMMYFUNCTION("IF(OR(E9875="""",K9875=""""),"""",IFERROR(IF(K9875="""","""",query('tbl user'!$A$2:$D10975,""SELECT A WHERE D = '""&amp;K9875&amp;""'"")),""USER TIDAK DIKETAHUI""))"),"")</f>
        <v/>
      </c>
    </row>
    <row r="9876">
      <c r="A9876" s="21" t="str">
        <f t="shared" si="3"/>
        <v/>
      </c>
      <c r="B9876" s="38"/>
      <c r="C9876" s="23"/>
      <c r="D9876" s="23"/>
      <c r="E9876" s="24"/>
      <c r="F9876" s="25"/>
      <c r="G9876" s="25"/>
      <c r="H9876" s="27"/>
      <c r="I9876" s="28"/>
      <c r="J9876" s="39"/>
      <c r="K9876" s="41"/>
      <c r="L9876" s="31" t="str">
        <f>IFERROR(__xludf.DUMMYFUNCTION("IF(OR(E9876="""",K9876=""""),"""",IFERROR(IF(K9876="""","""",query('tbl user'!$A$2:$D10975,""SELECT A WHERE D = '""&amp;K9876&amp;""'"")),""USER TIDAK DIKETAHUI""))"),"")</f>
        <v/>
      </c>
    </row>
    <row r="9877">
      <c r="A9877" s="21" t="str">
        <f t="shared" si="3"/>
        <v/>
      </c>
      <c r="B9877" s="38"/>
      <c r="C9877" s="23"/>
      <c r="D9877" s="23"/>
      <c r="E9877" s="24"/>
      <c r="F9877" s="25"/>
      <c r="G9877" s="25"/>
      <c r="H9877" s="27"/>
      <c r="I9877" s="28"/>
      <c r="J9877" s="39"/>
      <c r="K9877" s="41"/>
      <c r="L9877" s="31" t="str">
        <f>IFERROR(__xludf.DUMMYFUNCTION("IF(OR(E9877="""",K9877=""""),"""",IFERROR(IF(K9877="""","""",query('tbl user'!$A$2:$D10975,""SELECT A WHERE D = '""&amp;K9877&amp;""'"")),""USER TIDAK DIKETAHUI""))"),"")</f>
        <v/>
      </c>
    </row>
    <row r="9878">
      <c r="A9878" s="21" t="str">
        <f t="shared" si="3"/>
        <v/>
      </c>
      <c r="B9878" s="38"/>
      <c r="C9878" s="23"/>
      <c r="D9878" s="23"/>
      <c r="E9878" s="24"/>
      <c r="F9878" s="25"/>
      <c r="G9878" s="25"/>
      <c r="H9878" s="27"/>
      <c r="I9878" s="28"/>
      <c r="J9878" s="39"/>
      <c r="K9878" s="41"/>
      <c r="L9878" s="31" t="str">
        <f>IFERROR(__xludf.DUMMYFUNCTION("IF(OR(E9878="""",K9878=""""),"""",IFERROR(IF(K9878="""","""",query('tbl user'!$A$2:$D10975,""SELECT A WHERE D = '""&amp;K9878&amp;""'"")),""USER TIDAK DIKETAHUI""))"),"")</f>
        <v/>
      </c>
    </row>
    <row r="9879">
      <c r="A9879" s="21" t="str">
        <f t="shared" si="3"/>
        <v/>
      </c>
      <c r="B9879" s="38"/>
      <c r="C9879" s="23"/>
      <c r="D9879" s="23"/>
      <c r="E9879" s="24"/>
      <c r="F9879" s="25"/>
      <c r="G9879" s="25"/>
      <c r="H9879" s="27"/>
      <c r="I9879" s="28"/>
      <c r="J9879" s="39"/>
      <c r="K9879" s="41"/>
      <c r="L9879" s="31" t="str">
        <f>IFERROR(__xludf.DUMMYFUNCTION("IF(OR(E9879="""",K9879=""""),"""",IFERROR(IF(K9879="""","""",query('tbl user'!$A$2:$D10975,""SELECT A WHERE D = '""&amp;K9879&amp;""'"")),""USER TIDAK DIKETAHUI""))"),"")</f>
        <v/>
      </c>
    </row>
    <row r="9880">
      <c r="A9880" s="21" t="str">
        <f t="shared" si="3"/>
        <v/>
      </c>
      <c r="B9880" s="38"/>
      <c r="C9880" s="23"/>
      <c r="D9880" s="23"/>
      <c r="E9880" s="24"/>
      <c r="F9880" s="25"/>
      <c r="G9880" s="25"/>
      <c r="H9880" s="27"/>
      <c r="I9880" s="28"/>
      <c r="J9880" s="39"/>
      <c r="K9880" s="41"/>
      <c r="L9880" s="31" t="str">
        <f>IFERROR(__xludf.DUMMYFUNCTION("IF(OR(E9880="""",K9880=""""),"""",IFERROR(IF(K9880="""","""",query('tbl user'!$A$2:$D10975,""SELECT A WHERE D = '""&amp;K9880&amp;""'"")),""USER TIDAK DIKETAHUI""))"),"")</f>
        <v/>
      </c>
    </row>
    <row r="9881">
      <c r="A9881" s="21" t="str">
        <f t="shared" si="3"/>
        <v/>
      </c>
      <c r="B9881" s="38"/>
      <c r="C9881" s="23"/>
      <c r="D9881" s="23"/>
      <c r="E9881" s="24"/>
      <c r="F9881" s="25"/>
      <c r="G9881" s="25"/>
      <c r="H9881" s="27"/>
      <c r="I9881" s="28"/>
      <c r="J9881" s="39"/>
      <c r="K9881" s="41"/>
      <c r="L9881" s="31" t="str">
        <f>IFERROR(__xludf.DUMMYFUNCTION("IF(OR(E9881="""",K9881=""""),"""",IFERROR(IF(K9881="""","""",query('tbl user'!$A$2:$D10975,""SELECT A WHERE D = '""&amp;K9881&amp;""'"")),""USER TIDAK DIKETAHUI""))"),"")</f>
        <v/>
      </c>
    </row>
    <row r="9882">
      <c r="A9882" s="21" t="str">
        <f t="shared" si="3"/>
        <v/>
      </c>
      <c r="B9882" s="38"/>
      <c r="C9882" s="23"/>
      <c r="D9882" s="23"/>
      <c r="E9882" s="24"/>
      <c r="F9882" s="25"/>
      <c r="G9882" s="25"/>
      <c r="H9882" s="27"/>
      <c r="I9882" s="28"/>
      <c r="J9882" s="39"/>
      <c r="K9882" s="41"/>
      <c r="L9882" s="31" t="str">
        <f>IFERROR(__xludf.DUMMYFUNCTION("IF(OR(E9882="""",K9882=""""),"""",IFERROR(IF(K9882="""","""",query('tbl user'!$A$2:$D10975,""SELECT A WHERE D = '""&amp;K9882&amp;""'"")),""USER TIDAK DIKETAHUI""))"),"")</f>
        <v/>
      </c>
    </row>
    <row r="9883">
      <c r="A9883" s="21" t="str">
        <f t="shared" si="3"/>
        <v/>
      </c>
      <c r="B9883" s="38"/>
      <c r="C9883" s="23"/>
      <c r="D9883" s="23"/>
      <c r="E9883" s="24"/>
      <c r="F9883" s="25"/>
      <c r="G9883" s="25"/>
      <c r="H9883" s="27"/>
      <c r="I9883" s="28"/>
      <c r="J9883" s="39"/>
      <c r="K9883" s="41"/>
      <c r="L9883" s="31" t="str">
        <f>IFERROR(__xludf.DUMMYFUNCTION("IF(OR(E9883="""",K9883=""""),"""",IFERROR(IF(K9883="""","""",query('tbl user'!$A$2:$D10975,""SELECT A WHERE D = '""&amp;K9883&amp;""'"")),""USER TIDAK DIKETAHUI""))"),"")</f>
        <v/>
      </c>
    </row>
    <row r="9884">
      <c r="A9884" s="21" t="str">
        <f t="shared" si="3"/>
        <v/>
      </c>
      <c r="B9884" s="38"/>
      <c r="C9884" s="23"/>
      <c r="D9884" s="23"/>
      <c r="E9884" s="24"/>
      <c r="F9884" s="25"/>
      <c r="G9884" s="25"/>
      <c r="H9884" s="27"/>
      <c r="I9884" s="28"/>
      <c r="J9884" s="39"/>
      <c r="K9884" s="41"/>
      <c r="L9884" s="31" t="str">
        <f>IFERROR(__xludf.DUMMYFUNCTION("IF(OR(E9884="""",K9884=""""),"""",IFERROR(IF(K9884="""","""",query('tbl user'!$A$2:$D10975,""SELECT A WHERE D = '""&amp;K9884&amp;""'"")),""USER TIDAK DIKETAHUI""))"),"")</f>
        <v/>
      </c>
    </row>
    <row r="9885">
      <c r="A9885" s="21" t="str">
        <f t="shared" si="3"/>
        <v/>
      </c>
      <c r="B9885" s="38"/>
      <c r="C9885" s="23"/>
      <c r="D9885" s="23"/>
      <c r="E9885" s="24"/>
      <c r="F9885" s="25"/>
      <c r="G9885" s="25"/>
      <c r="H9885" s="27"/>
      <c r="I9885" s="28"/>
      <c r="J9885" s="39"/>
      <c r="K9885" s="41"/>
      <c r="L9885" s="31" t="str">
        <f>IFERROR(__xludf.DUMMYFUNCTION("IF(OR(E9885="""",K9885=""""),"""",IFERROR(IF(K9885="""","""",query('tbl user'!$A$2:$D10975,""SELECT A WHERE D = '""&amp;K9885&amp;""'"")),""USER TIDAK DIKETAHUI""))"),"")</f>
        <v/>
      </c>
    </row>
    <row r="9886">
      <c r="A9886" s="21" t="str">
        <f t="shared" si="3"/>
        <v/>
      </c>
      <c r="B9886" s="38"/>
      <c r="C9886" s="23"/>
      <c r="D9886" s="23"/>
      <c r="E9886" s="24"/>
      <c r="F9886" s="25"/>
      <c r="G9886" s="25"/>
      <c r="H9886" s="27"/>
      <c r="I9886" s="28"/>
      <c r="J9886" s="39"/>
      <c r="K9886" s="41"/>
      <c r="L9886" s="31" t="str">
        <f>IFERROR(__xludf.DUMMYFUNCTION("IF(OR(E9886="""",K9886=""""),"""",IFERROR(IF(K9886="""","""",query('tbl user'!$A$2:$D10975,""SELECT A WHERE D = '""&amp;K9886&amp;""'"")),""USER TIDAK DIKETAHUI""))"),"")</f>
        <v/>
      </c>
    </row>
    <row r="9887">
      <c r="A9887" s="21" t="str">
        <f t="shared" si="3"/>
        <v/>
      </c>
      <c r="B9887" s="38"/>
      <c r="C9887" s="23"/>
      <c r="D9887" s="23"/>
      <c r="E9887" s="24"/>
      <c r="F9887" s="25"/>
      <c r="G9887" s="25"/>
      <c r="H9887" s="27"/>
      <c r="I9887" s="28"/>
      <c r="J9887" s="39"/>
      <c r="K9887" s="41"/>
      <c r="L9887" s="31" t="str">
        <f>IFERROR(__xludf.DUMMYFUNCTION("IF(OR(E9887="""",K9887=""""),"""",IFERROR(IF(K9887="""","""",query('tbl user'!$A$2:$D10975,""SELECT A WHERE D = '""&amp;K9887&amp;""'"")),""USER TIDAK DIKETAHUI""))"),"")</f>
        <v/>
      </c>
    </row>
    <row r="9888">
      <c r="A9888" s="21" t="str">
        <f t="shared" si="3"/>
        <v/>
      </c>
      <c r="B9888" s="38"/>
      <c r="C9888" s="23"/>
      <c r="D9888" s="23"/>
      <c r="E9888" s="24"/>
      <c r="F9888" s="25"/>
      <c r="G9888" s="25"/>
      <c r="H9888" s="27"/>
      <c r="I9888" s="28"/>
      <c r="J9888" s="39"/>
      <c r="K9888" s="41"/>
      <c r="L9888" s="31" t="str">
        <f>IFERROR(__xludf.DUMMYFUNCTION("IF(OR(E9888="""",K9888=""""),"""",IFERROR(IF(K9888="""","""",query('tbl user'!$A$2:$D10975,""SELECT A WHERE D = '""&amp;K9888&amp;""'"")),""USER TIDAK DIKETAHUI""))"),"")</f>
        <v/>
      </c>
    </row>
    <row r="9889">
      <c r="A9889" s="21" t="str">
        <f t="shared" si="3"/>
        <v/>
      </c>
      <c r="B9889" s="38"/>
      <c r="C9889" s="23"/>
      <c r="D9889" s="23"/>
      <c r="E9889" s="24"/>
      <c r="F9889" s="25"/>
      <c r="G9889" s="25"/>
      <c r="H9889" s="27"/>
      <c r="I9889" s="28"/>
      <c r="J9889" s="39"/>
      <c r="K9889" s="41"/>
      <c r="L9889" s="31" t="str">
        <f>IFERROR(__xludf.DUMMYFUNCTION("IF(OR(E9889="""",K9889=""""),"""",IFERROR(IF(K9889="""","""",query('tbl user'!$A$2:$D10975,""SELECT A WHERE D = '""&amp;K9889&amp;""'"")),""USER TIDAK DIKETAHUI""))"),"")</f>
        <v/>
      </c>
    </row>
    <row r="9890">
      <c r="A9890" s="21" t="str">
        <f t="shared" si="3"/>
        <v/>
      </c>
      <c r="B9890" s="38"/>
      <c r="C9890" s="23"/>
      <c r="D9890" s="23"/>
      <c r="E9890" s="24"/>
      <c r="F9890" s="25"/>
      <c r="G9890" s="25"/>
      <c r="H9890" s="27"/>
      <c r="I9890" s="28"/>
      <c r="J9890" s="39"/>
      <c r="K9890" s="41"/>
      <c r="L9890" s="31" t="str">
        <f>IFERROR(__xludf.DUMMYFUNCTION("IF(OR(E9890="""",K9890=""""),"""",IFERROR(IF(K9890="""","""",query('tbl user'!$A$2:$D10975,""SELECT A WHERE D = '""&amp;K9890&amp;""'"")),""USER TIDAK DIKETAHUI""))"),"")</f>
        <v/>
      </c>
    </row>
    <row r="9891">
      <c r="A9891" s="21" t="str">
        <f t="shared" si="3"/>
        <v/>
      </c>
      <c r="B9891" s="38"/>
      <c r="C9891" s="23"/>
      <c r="D9891" s="23"/>
      <c r="E9891" s="24"/>
      <c r="F9891" s="25"/>
      <c r="G9891" s="25"/>
      <c r="H9891" s="27"/>
      <c r="I9891" s="28"/>
      <c r="J9891" s="39"/>
      <c r="K9891" s="41"/>
      <c r="L9891" s="31" t="str">
        <f>IFERROR(__xludf.DUMMYFUNCTION("IF(OR(E9891="""",K9891=""""),"""",IFERROR(IF(K9891="""","""",query('tbl user'!$A$2:$D10975,""SELECT A WHERE D = '""&amp;K9891&amp;""'"")),""USER TIDAK DIKETAHUI""))"),"")</f>
        <v/>
      </c>
    </row>
    <row r="9892">
      <c r="A9892" s="21" t="str">
        <f t="shared" si="3"/>
        <v/>
      </c>
      <c r="B9892" s="38"/>
      <c r="C9892" s="23"/>
      <c r="D9892" s="23"/>
      <c r="E9892" s="24"/>
      <c r="F9892" s="25"/>
      <c r="G9892" s="25"/>
      <c r="H9892" s="27"/>
      <c r="I9892" s="28"/>
      <c r="J9892" s="39"/>
      <c r="K9892" s="41"/>
      <c r="L9892" s="31" t="str">
        <f>IFERROR(__xludf.DUMMYFUNCTION("IF(OR(E9892="""",K9892=""""),"""",IFERROR(IF(K9892="""","""",query('tbl user'!$A$2:$D10975,""SELECT A WHERE D = '""&amp;K9892&amp;""'"")),""USER TIDAK DIKETAHUI""))"),"")</f>
        <v/>
      </c>
    </row>
    <row r="9893">
      <c r="A9893" s="21" t="str">
        <f t="shared" si="3"/>
        <v/>
      </c>
      <c r="B9893" s="38"/>
      <c r="C9893" s="23"/>
      <c r="D9893" s="23"/>
      <c r="E9893" s="24"/>
      <c r="F9893" s="25"/>
      <c r="G9893" s="25"/>
      <c r="H9893" s="27"/>
      <c r="I9893" s="28"/>
      <c r="J9893" s="39"/>
      <c r="K9893" s="41"/>
      <c r="L9893" s="31" t="str">
        <f>IFERROR(__xludf.DUMMYFUNCTION("IF(OR(E9893="""",K9893=""""),"""",IFERROR(IF(K9893="""","""",query('tbl user'!$A$2:$D10975,""SELECT A WHERE D = '""&amp;K9893&amp;""'"")),""USER TIDAK DIKETAHUI""))"),"")</f>
        <v/>
      </c>
    </row>
    <row r="9894">
      <c r="A9894" s="21" t="str">
        <f t="shared" si="3"/>
        <v/>
      </c>
      <c r="B9894" s="38"/>
      <c r="C9894" s="23"/>
      <c r="D9894" s="23"/>
      <c r="E9894" s="24"/>
      <c r="F9894" s="25"/>
      <c r="G9894" s="25"/>
      <c r="H9894" s="27"/>
      <c r="I9894" s="28"/>
      <c r="J9894" s="39"/>
      <c r="K9894" s="41"/>
      <c r="L9894" s="31" t="str">
        <f>IFERROR(__xludf.DUMMYFUNCTION("IF(OR(E9894="""",K9894=""""),"""",IFERROR(IF(K9894="""","""",query('tbl user'!$A$2:$D10975,""SELECT A WHERE D = '""&amp;K9894&amp;""'"")),""USER TIDAK DIKETAHUI""))"),"")</f>
        <v/>
      </c>
    </row>
    <row r="9895">
      <c r="A9895" s="21" t="str">
        <f t="shared" si="3"/>
        <v/>
      </c>
      <c r="B9895" s="38"/>
      <c r="C9895" s="23"/>
      <c r="D9895" s="23"/>
      <c r="E9895" s="24"/>
      <c r="F9895" s="25"/>
      <c r="G9895" s="25"/>
      <c r="H9895" s="27"/>
      <c r="I9895" s="28"/>
      <c r="J9895" s="39"/>
      <c r="K9895" s="41"/>
      <c r="L9895" s="31" t="str">
        <f>IFERROR(__xludf.DUMMYFUNCTION("IF(OR(E9895="""",K9895=""""),"""",IFERROR(IF(K9895="""","""",query('tbl user'!$A$2:$D10975,""SELECT A WHERE D = '""&amp;K9895&amp;""'"")),""USER TIDAK DIKETAHUI""))"),"")</f>
        <v/>
      </c>
    </row>
    <row r="9896">
      <c r="A9896" s="21" t="str">
        <f t="shared" si="3"/>
        <v/>
      </c>
      <c r="B9896" s="38"/>
      <c r="C9896" s="23"/>
      <c r="D9896" s="23"/>
      <c r="E9896" s="24"/>
      <c r="F9896" s="25"/>
      <c r="G9896" s="25"/>
      <c r="H9896" s="27"/>
      <c r="I9896" s="28"/>
      <c r="J9896" s="39"/>
      <c r="K9896" s="41"/>
      <c r="L9896" s="31" t="str">
        <f>IFERROR(__xludf.DUMMYFUNCTION("IF(OR(E9896="""",K9896=""""),"""",IFERROR(IF(K9896="""","""",query('tbl user'!$A$2:$D10975,""SELECT A WHERE D = '""&amp;K9896&amp;""'"")),""USER TIDAK DIKETAHUI""))"),"")</f>
        <v/>
      </c>
    </row>
    <row r="9897">
      <c r="A9897" s="21" t="str">
        <f t="shared" si="3"/>
        <v/>
      </c>
      <c r="B9897" s="38"/>
      <c r="C9897" s="23"/>
      <c r="D9897" s="23"/>
      <c r="E9897" s="24"/>
      <c r="F9897" s="25"/>
      <c r="G9897" s="25"/>
      <c r="H9897" s="27"/>
      <c r="I9897" s="28"/>
      <c r="J9897" s="39"/>
      <c r="K9897" s="41"/>
      <c r="L9897" s="31" t="str">
        <f>IFERROR(__xludf.DUMMYFUNCTION("IF(OR(E9897="""",K9897=""""),"""",IFERROR(IF(K9897="""","""",query('tbl user'!$A$2:$D10975,""SELECT A WHERE D = '""&amp;K9897&amp;""'"")),""USER TIDAK DIKETAHUI""))"),"")</f>
        <v/>
      </c>
    </row>
    <row r="9898">
      <c r="A9898" s="21" t="str">
        <f t="shared" si="3"/>
        <v/>
      </c>
      <c r="B9898" s="38"/>
      <c r="C9898" s="23"/>
      <c r="D9898" s="23"/>
      <c r="E9898" s="24"/>
      <c r="F9898" s="25"/>
      <c r="G9898" s="25"/>
      <c r="H9898" s="27"/>
      <c r="I9898" s="28"/>
      <c r="J9898" s="39"/>
      <c r="K9898" s="41"/>
      <c r="L9898" s="31" t="str">
        <f>IFERROR(__xludf.DUMMYFUNCTION("IF(OR(E9898="""",K9898=""""),"""",IFERROR(IF(K9898="""","""",query('tbl user'!$A$2:$D10975,""SELECT A WHERE D = '""&amp;K9898&amp;""'"")),""USER TIDAK DIKETAHUI""))"),"")</f>
        <v/>
      </c>
    </row>
    <row r="9899">
      <c r="A9899" s="21" t="str">
        <f t="shared" si="3"/>
        <v/>
      </c>
      <c r="B9899" s="38"/>
      <c r="C9899" s="23"/>
      <c r="D9899" s="23"/>
      <c r="E9899" s="24"/>
      <c r="F9899" s="25"/>
      <c r="G9899" s="25"/>
      <c r="H9899" s="27"/>
      <c r="I9899" s="28"/>
      <c r="J9899" s="39"/>
      <c r="K9899" s="41"/>
      <c r="L9899" s="31" t="str">
        <f>IFERROR(__xludf.DUMMYFUNCTION("IF(OR(E9899="""",K9899=""""),"""",IFERROR(IF(K9899="""","""",query('tbl user'!$A$2:$D10975,""SELECT A WHERE D = '""&amp;K9899&amp;""'"")),""USER TIDAK DIKETAHUI""))"),"")</f>
        <v/>
      </c>
    </row>
    <row r="9900">
      <c r="A9900" s="21" t="str">
        <f t="shared" si="3"/>
        <v/>
      </c>
      <c r="B9900" s="38"/>
      <c r="C9900" s="23"/>
      <c r="D9900" s="23"/>
      <c r="E9900" s="24"/>
      <c r="F9900" s="25"/>
      <c r="G9900" s="25"/>
      <c r="H9900" s="27"/>
      <c r="I9900" s="28"/>
      <c r="J9900" s="39"/>
      <c r="K9900" s="41"/>
      <c r="L9900" s="31" t="str">
        <f>IFERROR(__xludf.DUMMYFUNCTION("IF(OR(E9900="""",K9900=""""),"""",IFERROR(IF(K9900="""","""",query('tbl user'!$A$2:$D10975,""SELECT A WHERE D = '""&amp;K9900&amp;""'"")),""USER TIDAK DIKETAHUI""))"),"")</f>
        <v/>
      </c>
    </row>
    <row r="9901">
      <c r="A9901" s="21" t="str">
        <f t="shared" si="3"/>
        <v/>
      </c>
      <c r="B9901" s="38"/>
      <c r="C9901" s="23"/>
      <c r="D9901" s="23"/>
      <c r="E9901" s="24"/>
      <c r="F9901" s="25"/>
      <c r="G9901" s="25"/>
      <c r="H9901" s="27"/>
      <c r="I9901" s="28"/>
      <c r="J9901" s="39"/>
      <c r="K9901" s="41"/>
      <c r="L9901" s="31" t="str">
        <f>IFERROR(__xludf.DUMMYFUNCTION("IF(OR(E9901="""",K9901=""""),"""",IFERROR(IF(K9901="""","""",query('tbl user'!$A$2:$D10975,""SELECT A WHERE D = '""&amp;K9901&amp;""'"")),""USER TIDAK DIKETAHUI""))"),"")</f>
        <v/>
      </c>
    </row>
    <row r="9902">
      <c r="A9902" s="21" t="str">
        <f t="shared" si="3"/>
        <v/>
      </c>
      <c r="B9902" s="38"/>
      <c r="C9902" s="23"/>
      <c r="D9902" s="23"/>
      <c r="E9902" s="24"/>
      <c r="F9902" s="25"/>
      <c r="G9902" s="25"/>
      <c r="H9902" s="27"/>
      <c r="I9902" s="28"/>
      <c r="J9902" s="39"/>
      <c r="K9902" s="41"/>
      <c r="L9902" s="31" t="str">
        <f>IFERROR(__xludf.DUMMYFUNCTION("IF(OR(E9902="""",K9902=""""),"""",IFERROR(IF(K9902="""","""",query('tbl user'!$A$2:$D10975,""SELECT A WHERE D = '""&amp;K9902&amp;""'"")),""USER TIDAK DIKETAHUI""))"),"")</f>
        <v/>
      </c>
    </row>
    <row r="9903">
      <c r="A9903" s="21" t="str">
        <f t="shared" si="3"/>
        <v/>
      </c>
      <c r="B9903" s="38"/>
      <c r="C9903" s="23"/>
      <c r="D9903" s="23"/>
      <c r="E9903" s="24"/>
      <c r="F9903" s="25"/>
      <c r="G9903" s="25"/>
      <c r="H9903" s="27"/>
      <c r="I9903" s="28"/>
      <c r="J9903" s="39"/>
      <c r="K9903" s="41"/>
      <c r="L9903" s="31" t="str">
        <f>IFERROR(__xludf.DUMMYFUNCTION("IF(OR(E9903="""",K9903=""""),"""",IFERROR(IF(K9903="""","""",query('tbl user'!$A$2:$D10975,""SELECT A WHERE D = '""&amp;K9903&amp;""'"")),""USER TIDAK DIKETAHUI""))"),"")</f>
        <v/>
      </c>
    </row>
    <row r="9904">
      <c r="A9904" s="21" t="str">
        <f t="shared" si="3"/>
        <v/>
      </c>
      <c r="B9904" s="38"/>
      <c r="C9904" s="23"/>
      <c r="D9904" s="23"/>
      <c r="E9904" s="24"/>
      <c r="F9904" s="25"/>
      <c r="G9904" s="25"/>
      <c r="H9904" s="27"/>
      <c r="I9904" s="28"/>
      <c r="J9904" s="39"/>
      <c r="K9904" s="41"/>
      <c r="L9904" s="31" t="str">
        <f>IFERROR(__xludf.DUMMYFUNCTION("IF(OR(E9904="""",K9904=""""),"""",IFERROR(IF(K9904="""","""",query('tbl user'!$A$2:$D10975,""SELECT A WHERE D = '""&amp;K9904&amp;""'"")),""USER TIDAK DIKETAHUI""))"),"")</f>
        <v/>
      </c>
    </row>
    <row r="9905">
      <c r="A9905" s="21" t="str">
        <f t="shared" si="3"/>
        <v/>
      </c>
      <c r="B9905" s="38"/>
      <c r="C9905" s="23"/>
      <c r="D9905" s="23"/>
      <c r="E9905" s="24"/>
      <c r="F9905" s="25"/>
      <c r="G9905" s="25"/>
      <c r="H9905" s="27"/>
      <c r="I9905" s="28"/>
      <c r="J9905" s="39"/>
      <c r="K9905" s="41"/>
      <c r="L9905" s="31" t="str">
        <f>IFERROR(__xludf.DUMMYFUNCTION("IF(OR(E9905="""",K9905=""""),"""",IFERROR(IF(K9905="""","""",query('tbl user'!$A$2:$D10975,""SELECT A WHERE D = '""&amp;K9905&amp;""'"")),""USER TIDAK DIKETAHUI""))"),"")</f>
        <v/>
      </c>
    </row>
    <row r="9906">
      <c r="A9906" s="21" t="str">
        <f t="shared" si="3"/>
        <v/>
      </c>
      <c r="B9906" s="38"/>
      <c r="C9906" s="23"/>
      <c r="D9906" s="23"/>
      <c r="E9906" s="24"/>
      <c r="F9906" s="25"/>
      <c r="G9906" s="25"/>
      <c r="H9906" s="27"/>
      <c r="I9906" s="28"/>
      <c r="J9906" s="39"/>
      <c r="K9906" s="41"/>
      <c r="L9906" s="31" t="str">
        <f>IFERROR(__xludf.DUMMYFUNCTION("IF(OR(E9906="""",K9906=""""),"""",IFERROR(IF(K9906="""","""",query('tbl user'!$A$2:$D10975,""SELECT A WHERE D = '""&amp;K9906&amp;""'"")),""USER TIDAK DIKETAHUI""))"),"")</f>
        <v/>
      </c>
    </row>
    <row r="9907">
      <c r="A9907" s="21" t="str">
        <f t="shared" si="3"/>
        <v/>
      </c>
      <c r="B9907" s="38"/>
      <c r="C9907" s="23"/>
      <c r="D9907" s="23"/>
      <c r="E9907" s="24"/>
      <c r="F9907" s="25"/>
      <c r="G9907" s="25"/>
      <c r="H9907" s="27"/>
      <c r="I9907" s="28"/>
      <c r="J9907" s="39"/>
      <c r="K9907" s="41"/>
      <c r="L9907" s="31" t="str">
        <f>IFERROR(__xludf.DUMMYFUNCTION("IF(OR(E9907="""",K9907=""""),"""",IFERROR(IF(K9907="""","""",query('tbl user'!$A$2:$D10975,""SELECT A WHERE D = '""&amp;K9907&amp;""'"")),""USER TIDAK DIKETAHUI""))"),"")</f>
        <v/>
      </c>
    </row>
    <row r="9908">
      <c r="A9908" s="21" t="str">
        <f t="shared" si="3"/>
        <v/>
      </c>
      <c r="B9908" s="38"/>
      <c r="C9908" s="23"/>
      <c r="D9908" s="23"/>
      <c r="E9908" s="24"/>
      <c r="F9908" s="25"/>
      <c r="G9908" s="25"/>
      <c r="H9908" s="27"/>
      <c r="I9908" s="28"/>
      <c r="J9908" s="39"/>
      <c r="K9908" s="41"/>
      <c r="L9908" s="31" t="str">
        <f>IFERROR(__xludf.DUMMYFUNCTION("IF(OR(E9908="""",K9908=""""),"""",IFERROR(IF(K9908="""","""",query('tbl user'!$A$2:$D10975,""SELECT A WHERE D = '""&amp;K9908&amp;""'"")),""USER TIDAK DIKETAHUI""))"),"")</f>
        <v/>
      </c>
    </row>
    <row r="9909">
      <c r="A9909" s="21" t="str">
        <f t="shared" si="3"/>
        <v/>
      </c>
      <c r="B9909" s="38"/>
      <c r="C9909" s="23"/>
      <c r="D9909" s="23"/>
      <c r="E9909" s="24"/>
      <c r="F9909" s="25"/>
      <c r="G9909" s="25"/>
      <c r="H9909" s="27"/>
      <c r="I9909" s="28"/>
      <c r="J9909" s="39"/>
      <c r="K9909" s="41"/>
      <c r="L9909" s="31" t="str">
        <f>IFERROR(__xludf.DUMMYFUNCTION("IF(OR(E9909="""",K9909=""""),"""",IFERROR(IF(K9909="""","""",query('tbl user'!$A$2:$D10975,""SELECT A WHERE D = '""&amp;K9909&amp;""'"")),""USER TIDAK DIKETAHUI""))"),"")</f>
        <v/>
      </c>
    </row>
    <row r="9910">
      <c r="A9910" s="21" t="str">
        <f t="shared" si="3"/>
        <v/>
      </c>
      <c r="B9910" s="38"/>
      <c r="C9910" s="23"/>
      <c r="D9910" s="23"/>
      <c r="E9910" s="24"/>
      <c r="F9910" s="25"/>
      <c r="G9910" s="25"/>
      <c r="H9910" s="27"/>
      <c r="I9910" s="28"/>
      <c r="J9910" s="39"/>
      <c r="K9910" s="41"/>
      <c r="L9910" s="31" t="str">
        <f>IFERROR(__xludf.DUMMYFUNCTION("IF(OR(E9910="""",K9910=""""),"""",IFERROR(IF(K9910="""","""",query('tbl user'!$A$2:$D10975,""SELECT A WHERE D = '""&amp;K9910&amp;""'"")),""USER TIDAK DIKETAHUI""))"),"")</f>
        <v/>
      </c>
    </row>
    <row r="9911">
      <c r="A9911" s="21" t="str">
        <f t="shared" si="3"/>
        <v/>
      </c>
      <c r="B9911" s="38"/>
      <c r="C9911" s="23"/>
      <c r="D9911" s="23"/>
      <c r="E9911" s="24"/>
      <c r="F9911" s="25"/>
      <c r="G9911" s="25"/>
      <c r="H9911" s="27"/>
      <c r="I9911" s="28"/>
      <c r="J9911" s="39"/>
      <c r="K9911" s="41"/>
      <c r="L9911" s="31" t="str">
        <f>IFERROR(__xludf.DUMMYFUNCTION("IF(OR(E9911="""",K9911=""""),"""",IFERROR(IF(K9911="""","""",query('tbl user'!$A$2:$D10975,""SELECT A WHERE D = '""&amp;K9911&amp;""'"")),""USER TIDAK DIKETAHUI""))"),"")</f>
        <v/>
      </c>
    </row>
    <row r="9912">
      <c r="A9912" s="21" t="str">
        <f t="shared" si="3"/>
        <v/>
      </c>
      <c r="B9912" s="38"/>
      <c r="C9912" s="23"/>
      <c r="D9912" s="23"/>
      <c r="E9912" s="24"/>
      <c r="F9912" s="25"/>
      <c r="G9912" s="25"/>
      <c r="H9912" s="27"/>
      <c r="I9912" s="28"/>
      <c r="J9912" s="39"/>
      <c r="K9912" s="41"/>
      <c r="L9912" s="31" t="str">
        <f>IFERROR(__xludf.DUMMYFUNCTION("IF(OR(E9912="""",K9912=""""),"""",IFERROR(IF(K9912="""","""",query('tbl user'!$A$2:$D10975,""SELECT A WHERE D = '""&amp;K9912&amp;""'"")),""USER TIDAK DIKETAHUI""))"),"")</f>
        <v/>
      </c>
    </row>
    <row r="9913">
      <c r="A9913" s="21" t="str">
        <f t="shared" si="3"/>
        <v/>
      </c>
      <c r="B9913" s="38"/>
      <c r="C9913" s="23"/>
      <c r="D9913" s="23"/>
      <c r="E9913" s="24"/>
      <c r="F9913" s="25"/>
      <c r="G9913" s="25"/>
      <c r="H9913" s="27"/>
      <c r="I9913" s="28"/>
      <c r="J9913" s="39"/>
      <c r="K9913" s="41"/>
      <c r="L9913" s="31" t="str">
        <f>IFERROR(__xludf.DUMMYFUNCTION("IF(OR(E9913="""",K9913=""""),"""",IFERROR(IF(K9913="""","""",query('tbl user'!$A$2:$D10975,""SELECT A WHERE D = '""&amp;K9913&amp;""'"")),""USER TIDAK DIKETAHUI""))"),"")</f>
        <v/>
      </c>
    </row>
    <row r="9914">
      <c r="A9914" s="21" t="str">
        <f t="shared" si="3"/>
        <v/>
      </c>
      <c r="B9914" s="38"/>
      <c r="C9914" s="23"/>
      <c r="D9914" s="23"/>
      <c r="E9914" s="24"/>
      <c r="F9914" s="25"/>
      <c r="G9914" s="25"/>
      <c r="H9914" s="27"/>
      <c r="I9914" s="28"/>
      <c r="J9914" s="39"/>
      <c r="K9914" s="41"/>
      <c r="L9914" s="31" t="str">
        <f>IFERROR(__xludf.DUMMYFUNCTION("IF(OR(E9914="""",K9914=""""),"""",IFERROR(IF(K9914="""","""",query('tbl user'!$A$2:$D10975,""SELECT A WHERE D = '""&amp;K9914&amp;""'"")),""USER TIDAK DIKETAHUI""))"),"")</f>
        <v/>
      </c>
    </row>
    <row r="9915">
      <c r="A9915" s="21" t="str">
        <f t="shared" si="3"/>
        <v/>
      </c>
      <c r="B9915" s="38"/>
      <c r="C9915" s="23"/>
      <c r="D9915" s="23"/>
      <c r="E9915" s="24"/>
      <c r="F9915" s="25"/>
      <c r="G9915" s="25"/>
      <c r="H9915" s="27"/>
      <c r="I9915" s="28"/>
      <c r="J9915" s="39"/>
      <c r="K9915" s="41"/>
      <c r="L9915" s="31" t="str">
        <f>IFERROR(__xludf.DUMMYFUNCTION("IF(OR(E9915="""",K9915=""""),"""",IFERROR(IF(K9915="""","""",query('tbl user'!$A$2:$D10975,""SELECT A WHERE D = '""&amp;K9915&amp;""'"")),""USER TIDAK DIKETAHUI""))"),"")</f>
        <v/>
      </c>
    </row>
    <row r="9916">
      <c r="A9916" s="21" t="str">
        <f t="shared" si="3"/>
        <v/>
      </c>
      <c r="B9916" s="38"/>
      <c r="C9916" s="23"/>
      <c r="D9916" s="23"/>
      <c r="E9916" s="24"/>
      <c r="F9916" s="25"/>
      <c r="G9916" s="25"/>
      <c r="H9916" s="27"/>
      <c r="I9916" s="28"/>
      <c r="J9916" s="39"/>
      <c r="K9916" s="41"/>
      <c r="L9916" s="31" t="str">
        <f>IFERROR(__xludf.DUMMYFUNCTION("IF(OR(E9916="""",K9916=""""),"""",IFERROR(IF(K9916="""","""",query('tbl user'!$A$2:$D10975,""SELECT A WHERE D = '""&amp;K9916&amp;""'"")),""USER TIDAK DIKETAHUI""))"),"")</f>
        <v/>
      </c>
    </row>
    <row r="9917">
      <c r="A9917" s="21" t="str">
        <f t="shared" si="3"/>
        <v/>
      </c>
      <c r="B9917" s="38"/>
      <c r="C9917" s="23"/>
      <c r="D9917" s="23"/>
      <c r="E9917" s="24"/>
      <c r="F9917" s="25"/>
      <c r="G9917" s="25"/>
      <c r="H9917" s="27"/>
      <c r="I9917" s="28"/>
      <c r="J9917" s="39"/>
      <c r="K9917" s="41"/>
      <c r="L9917" s="31" t="str">
        <f>IFERROR(__xludf.DUMMYFUNCTION("IF(OR(E9917="""",K9917=""""),"""",IFERROR(IF(K9917="""","""",query('tbl user'!$A$2:$D10975,""SELECT A WHERE D = '""&amp;K9917&amp;""'"")),""USER TIDAK DIKETAHUI""))"),"")</f>
        <v/>
      </c>
    </row>
    <row r="9918">
      <c r="A9918" s="21" t="str">
        <f t="shared" si="3"/>
        <v/>
      </c>
      <c r="B9918" s="38"/>
      <c r="C9918" s="23"/>
      <c r="D9918" s="23"/>
      <c r="E9918" s="24"/>
      <c r="F9918" s="25"/>
      <c r="G9918" s="25"/>
      <c r="H9918" s="27"/>
      <c r="I9918" s="28"/>
      <c r="J9918" s="39"/>
      <c r="K9918" s="41"/>
      <c r="L9918" s="31" t="str">
        <f>IFERROR(__xludf.DUMMYFUNCTION("IF(OR(E9918="""",K9918=""""),"""",IFERROR(IF(K9918="""","""",query('tbl user'!$A$2:$D10975,""SELECT A WHERE D = '""&amp;K9918&amp;""'"")),""USER TIDAK DIKETAHUI""))"),"")</f>
        <v/>
      </c>
    </row>
    <row r="9919">
      <c r="A9919" s="21" t="str">
        <f t="shared" si="3"/>
        <v/>
      </c>
      <c r="B9919" s="38"/>
      <c r="C9919" s="23"/>
      <c r="D9919" s="23"/>
      <c r="E9919" s="24"/>
      <c r="F9919" s="25"/>
      <c r="G9919" s="25"/>
      <c r="H9919" s="27"/>
      <c r="I9919" s="28"/>
      <c r="J9919" s="39"/>
      <c r="K9919" s="41"/>
      <c r="L9919" s="31" t="str">
        <f>IFERROR(__xludf.DUMMYFUNCTION("IF(OR(E9919="""",K9919=""""),"""",IFERROR(IF(K9919="""","""",query('tbl user'!$A$2:$D10975,""SELECT A WHERE D = '""&amp;K9919&amp;""'"")),""USER TIDAK DIKETAHUI""))"),"")</f>
        <v/>
      </c>
    </row>
    <row r="9920">
      <c r="A9920" s="21" t="str">
        <f t="shared" si="3"/>
        <v/>
      </c>
      <c r="B9920" s="38"/>
      <c r="C9920" s="23"/>
      <c r="D9920" s="23"/>
      <c r="E9920" s="24"/>
      <c r="F9920" s="25"/>
      <c r="G9920" s="25"/>
      <c r="H9920" s="27"/>
      <c r="I9920" s="28"/>
      <c r="J9920" s="39"/>
      <c r="K9920" s="41"/>
      <c r="L9920" s="31" t="str">
        <f>IFERROR(__xludf.DUMMYFUNCTION("IF(OR(E9920="""",K9920=""""),"""",IFERROR(IF(K9920="""","""",query('tbl user'!$A$2:$D10975,""SELECT A WHERE D = '""&amp;K9920&amp;""'"")),""USER TIDAK DIKETAHUI""))"),"")</f>
        <v/>
      </c>
    </row>
    <row r="9921">
      <c r="A9921" s="21" t="str">
        <f t="shared" si="3"/>
        <v/>
      </c>
      <c r="B9921" s="38"/>
      <c r="C9921" s="23"/>
      <c r="D9921" s="23"/>
      <c r="E9921" s="24"/>
      <c r="F9921" s="25"/>
      <c r="G9921" s="25"/>
      <c r="H9921" s="27"/>
      <c r="I9921" s="28"/>
      <c r="J9921" s="39"/>
      <c r="K9921" s="41"/>
      <c r="L9921" s="31" t="str">
        <f>IFERROR(__xludf.DUMMYFUNCTION("IF(OR(E9921="""",K9921=""""),"""",IFERROR(IF(K9921="""","""",query('tbl user'!$A$2:$D10975,""SELECT A WHERE D = '""&amp;K9921&amp;""'"")),""USER TIDAK DIKETAHUI""))"),"")</f>
        <v/>
      </c>
    </row>
    <row r="9922">
      <c r="A9922" s="21" t="str">
        <f t="shared" si="3"/>
        <v/>
      </c>
      <c r="B9922" s="38"/>
      <c r="C9922" s="23"/>
      <c r="D9922" s="23"/>
      <c r="E9922" s="24"/>
      <c r="F9922" s="25"/>
      <c r="G9922" s="25"/>
      <c r="H9922" s="27"/>
      <c r="I9922" s="28"/>
      <c r="J9922" s="39"/>
      <c r="K9922" s="41"/>
      <c r="L9922" s="31" t="str">
        <f>IFERROR(__xludf.DUMMYFUNCTION("IF(OR(E9922="""",K9922=""""),"""",IFERROR(IF(K9922="""","""",query('tbl user'!$A$2:$D10975,""SELECT A WHERE D = '""&amp;K9922&amp;""'"")),""USER TIDAK DIKETAHUI""))"),"")</f>
        <v/>
      </c>
    </row>
    <row r="9923">
      <c r="A9923" s="21" t="str">
        <f t="shared" si="3"/>
        <v/>
      </c>
      <c r="B9923" s="38"/>
      <c r="C9923" s="23"/>
      <c r="D9923" s="23"/>
      <c r="E9923" s="24"/>
      <c r="F9923" s="25"/>
      <c r="G9923" s="25"/>
      <c r="H9923" s="27"/>
      <c r="I9923" s="28"/>
      <c r="J9923" s="39"/>
      <c r="K9923" s="41"/>
      <c r="L9923" s="31" t="str">
        <f>IFERROR(__xludf.DUMMYFUNCTION("IF(OR(E9923="""",K9923=""""),"""",IFERROR(IF(K9923="""","""",query('tbl user'!$A$2:$D10975,""SELECT A WHERE D = '""&amp;K9923&amp;""'"")),""USER TIDAK DIKETAHUI""))"),"")</f>
        <v/>
      </c>
    </row>
    <row r="9924">
      <c r="A9924" s="21" t="str">
        <f t="shared" si="3"/>
        <v/>
      </c>
      <c r="B9924" s="38"/>
      <c r="C9924" s="23"/>
      <c r="D9924" s="23"/>
      <c r="E9924" s="24"/>
      <c r="F9924" s="25"/>
      <c r="G9924" s="25"/>
      <c r="H9924" s="27"/>
      <c r="I9924" s="28"/>
      <c r="J9924" s="39"/>
      <c r="K9924" s="41"/>
      <c r="L9924" s="31" t="str">
        <f>IFERROR(__xludf.DUMMYFUNCTION("IF(OR(E9924="""",K9924=""""),"""",IFERROR(IF(K9924="""","""",query('tbl user'!$A$2:$D10975,""SELECT A WHERE D = '""&amp;K9924&amp;""'"")),""USER TIDAK DIKETAHUI""))"),"")</f>
        <v/>
      </c>
    </row>
    <row r="9925">
      <c r="A9925" s="21" t="str">
        <f t="shared" si="3"/>
        <v/>
      </c>
      <c r="B9925" s="38"/>
      <c r="C9925" s="23"/>
      <c r="D9925" s="23"/>
      <c r="E9925" s="24"/>
      <c r="F9925" s="25"/>
      <c r="G9925" s="25"/>
      <c r="H9925" s="27"/>
      <c r="I9925" s="28"/>
      <c r="J9925" s="39"/>
      <c r="K9925" s="41"/>
      <c r="L9925" s="31" t="str">
        <f>IFERROR(__xludf.DUMMYFUNCTION("IF(OR(E9925="""",K9925=""""),"""",IFERROR(IF(K9925="""","""",query('tbl user'!$A$2:$D10975,""SELECT A WHERE D = '""&amp;K9925&amp;""'"")),""USER TIDAK DIKETAHUI""))"),"")</f>
        <v/>
      </c>
    </row>
    <row r="9926">
      <c r="A9926" s="21" t="str">
        <f t="shared" si="3"/>
        <v/>
      </c>
      <c r="B9926" s="38"/>
      <c r="C9926" s="23"/>
      <c r="D9926" s="23"/>
      <c r="E9926" s="24"/>
      <c r="F9926" s="25"/>
      <c r="G9926" s="25"/>
      <c r="H9926" s="27"/>
      <c r="I9926" s="28"/>
      <c r="J9926" s="39"/>
      <c r="K9926" s="41"/>
      <c r="L9926" s="31" t="str">
        <f>IFERROR(__xludf.DUMMYFUNCTION("IF(OR(E9926="""",K9926=""""),"""",IFERROR(IF(K9926="""","""",query('tbl user'!$A$2:$D10975,""SELECT A WHERE D = '""&amp;K9926&amp;""'"")),""USER TIDAK DIKETAHUI""))"),"")</f>
        <v/>
      </c>
    </row>
    <row r="9927">
      <c r="A9927" s="21" t="str">
        <f t="shared" si="3"/>
        <v/>
      </c>
      <c r="B9927" s="38"/>
      <c r="C9927" s="23"/>
      <c r="D9927" s="23"/>
      <c r="E9927" s="24"/>
      <c r="F9927" s="25"/>
      <c r="G9927" s="25"/>
      <c r="H9927" s="27"/>
      <c r="I9927" s="28"/>
      <c r="J9927" s="39"/>
      <c r="K9927" s="41"/>
      <c r="L9927" s="31" t="str">
        <f>IFERROR(__xludf.DUMMYFUNCTION("IF(OR(E9927="""",K9927=""""),"""",IFERROR(IF(K9927="""","""",query('tbl user'!$A$2:$D10975,""SELECT A WHERE D = '""&amp;K9927&amp;""'"")),""USER TIDAK DIKETAHUI""))"),"")</f>
        <v/>
      </c>
    </row>
    <row r="9928">
      <c r="A9928" s="21" t="str">
        <f t="shared" si="3"/>
        <v/>
      </c>
      <c r="B9928" s="38"/>
      <c r="C9928" s="23"/>
      <c r="D9928" s="23"/>
      <c r="E9928" s="24"/>
      <c r="F9928" s="25"/>
      <c r="G9928" s="25"/>
      <c r="H9928" s="27"/>
      <c r="I9928" s="28"/>
      <c r="J9928" s="39"/>
      <c r="K9928" s="41"/>
      <c r="L9928" s="31" t="str">
        <f>IFERROR(__xludf.DUMMYFUNCTION("IF(OR(E9928="""",K9928=""""),"""",IFERROR(IF(K9928="""","""",query('tbl user'!$A$2:$D10975,""SELECT A WHERE D = '""&amp;K9928&amp;""'"")),""USER TIDAK DIKETAHUI""))"),"")</f>
        <v/>
      </c>
    </row>
    <row r="9929">
      <c r="A9929" s="21" t="str">
        <f t="shared" si="3"/>
        <v/>
      </c>
      <c r="B9929" s="38"/>
      <c r="C9929" s="23"/>
      <c r="D9929" s="23"/>
      <c r="E9929" s="24"/>
      <c r="F9929" s="25"/>
      <c r="G9929" s="25"/>
      <c r="H9929" s="27"/>
      <c r="I9929" s="28"/>
      <c r="J9929" s="39"/>
      <c r="K9929" s="41"/>
      <c r="L9929" s="31" t="str">
        <f>IFERROR(__xludf.DUMMYFUNCTION("IF(OR(E9929="""",K9929=""""),"""",IFERROR(IF(K9929="""","""",query('tbl user'!$A$2:$D10975,""SELECT A WHERE D = '""&amp;K9929&amp;""'"")),""USER TIDAK DIKETAHUI""))"),"")</f>
        <v/>
      </c>
    </row>
    <row r="9930">
      <c r="A9930" s="21" t="str">
        <f t="shared" si="3"/>
        <v/>
      </c>
      <c r="B9930" s="38"/>
      <c r="C9930" s="23"/>
      <c r="D9930" s="23"/>
      <c r="E9930" s="24"/>
      <c r="F9930" s="25"/>
      <c r="G9930" s="25"/>
      <c r="H9930" s="27"/>
      <c r="I9930" s="28"/>
      <c r="J9930" s="39"/>
      <c r="K9930" s="41"/>
      <c r="L9930" s="31" t="str">
        <f>IFERROR(__xludf.DUMMYFUNCTION("IF(OR(E9930="""",K9930=""""),"""",IFERROR(IF(K9930="""","""",query('tbl user'!$A$2:$D10975,""SELECT A WHERE D = '""&amp;K9930&amp;""'"")),""USER TIDAK DIKETAHUI""))"),"")</f>
        <v/>
      </c>
    </row>
    <row r="9931">
      <c r="A9931" s="21" t="str">
        <f t="shared" si="3"/>
        <v/>
      </c>
      <c r="B9931" s="38"/>
      <c r="C9931" s="23"/>
      <c r="D9931" s="23"/>
      <c r="E9931" s="24"/>
      <c r="F9931" s="25"/>
      <c r="G9931" s="25"/>
      <c r="H9931" s="27"/>
      <c r="I9931" s="28"/>
      <c r="J9931" s="39"/>
      <c r="K9931" s="41"/>
      <c r="L9931" s="31" t="str">
        <f>IFERROR(__xludf.DUMMYFUNCTION("IF(OR(E9931="""",K9931=""""),"""",IFERROR(IF(K9931="""","""",query('tbl user'!$A$2:$D10975,""SELECT A WHERE D = '""&amp;K9931&amp;""'"")),""USER TIDAK DIKETAHUI""))"),"")</f>
        <v/>
      </c>
    </row>
    <row r="9932">
      <c r="A9932" s="21" t="str">
        <f t="shared" si="3"/>
        <v/>
      </c>
      <c r="B9932" s="38"/>
      <c r="C9932" s="23"/>
      <c r="D9932" s="23"/>
      <c r="E9932" s="24"/>
      <c r="F9932" s="25"/>
      <c r="G9932" s="25"/>
      <c r="H9932" s="27"/>
      <c r="I9932" s="28"/>
      <c r="J9932" s="39"/>
      <c r="K9932" s="41"/>
      <c r="L9932" s="31" t="str">
        <f>IFERROR(__xludf.DUMMYFUNCTION("IF(OR(E9932="""",K9932=""""),"""",IFERROR(IF(K9932="""","""",query('tbl user'!$A$2:$D10975,""SELECT A WHERE D = '""&amp;K9932&amp;""'"")),""USER TIDAK DIKETAHUI""))"),"")</f>
        <v/>
      </c>
    </row>
    <row r="9933">
      <c r="A9933" s="21" t="str">
        <f t="shared" si="3"/>
        <v/>
      </c>
      <c r="B9933" s="38"/>
      <c r="C9933" s="23"/>
      <c r="D9933" s="23"/>
      <c r="E9933" s="24"/>
      <c r="F9933" s="25"/>
      <c r="G9933" s="25"/>
      <c r="H9933" s="27"/>
      <c r="I9933" s="28"/>
      <c r="J9933" s="39"/>
      <c r="K9933" s="41"/>
      <c r="L9933" s="31" t="str">
        <f>IFERROR(__xludf.DUMMYFUNCTION("IF(OR(E9933="""",K9933=""""),"""",IFERROR(IF(K9933="""","""",query('tbl user'!$A$2:$D10975,""SELECT A WHERE D = '""&amp;K9933&amp;""'"")),""USER TIDAK DIKETAHUI""))"),"")</f>
        <v/>
      </c>
    </row>
    <row r="9934">
      <c r="A9934" s="21" t="str">
        <f t="shared" si="3"/>
        <v/>
      </c>
      <c r="B9934" s="38"/>
      <c r="C9934" s="23"/>
      <c r="D9934" s="23"/>
      <c r="E9934" s="24"/>
      <c r="F9934" s="25"/>
      <c r="G9934" s="25"/>
      <c r="H9934" s="27"/>
      <c r="I9934" s="28"/>
      <c r="J9934" s="39"/>
      <c r="K9934" s="41"/>
      <c r="L9934" s="31" t="str">
        <f>IFERROR(__xludf.DUMMYFUNCTION("IF(OR(E9934="""",K9934=""""),"""",IFERROR(IF(K9934="""","""",query('tbl user'!$A$2:$D10975,""SELECT A WHERE D = '""&amp;K9934&amp;""'"")),""USER TIDAK DIKETAHUI""))"),"")</f>
        <v/>
      </c>
    </row>
    <row r="9935">
      <c r="A9935" s="21" t="str">
        <f t="shared" si="3"/>
        <v/>
      </c>
      <c r="B9935" s="38"/>
      <c r="C9935" s="23"/>
      <c r="D9935" s="23"/>
      <c r="E9935" s="24"/>
      <c r="F9935" s="25"/>
      <c r="G9935" s="25"/>
      <c r="H9935" s="27"/>
      <c r="I9935" s="28"/>
      <c r="J9935" s="39"/>
      <c r="K9935" s="41"/>
      <c r="L9935" s="31" t="str">
        <f>IFERROR(__xludf.DUMMYFUNCTION("IF(OR(E9935="""",K9935=""""),"""",IFERROR(IF(K9935="""","""",query('tbl user'!$A$2:$D10975,""SELECT A WHERE D = '""&amp;K9935&amp;""'"")),""USER TIDAK DIKETAHUI""))"),"")</f>
        <v/>
      </c>
    </row>
    <row r="9936">
      <c r="A9936" s="21" t="str">
        <f t="shared" si="3"/>
        <v/>
      </c>
      <c r="B9936" s="38"/>
      <c r="C9936" s="23"/>
      <c r="D9936" s="23"/>
      <c r="E9936" s="24"/>
      <c r="F9936" s="25"/>
      <c r="G9936" s="25"/>
      <c r="H9936" s="27"/>
      <c r="I9936" s="28"/>
      <c r="J9936" s="39"/>
      <c r="K9936" s="41"/>
      <c r="L9936" s="31" t="str">
        <f>IFERROR(__xludf.DUMMYFUNCTION("IF(OR(E9936="""",K9936=""""),"""",IFERROR(IF(K9936="""","""",query('tbl user'!$A$2:$D10975,""SELECT A WHERE D = '""&amp;K9936&amp;""'"")),""USER TIDAK DIKETAHUI""))"),"")</f>
        <v/>
      </c>
    </row>
    <row r="9937">
      <c r="A9937" s="21" t="str">
        <f t="shared" si="3"/>
        <v/>
      </c>
      <c r="B9937" s="38"/>
      <c r="C9937" s="23"/>
      <c r="D9937" s="23"/>
      <c r="E9937" s="24"/>
      <c r="F9937" s="25"/>
      <c r="G9937" s="25"/>
      <c r="H9937" s="27"/>
      <c r="I9937" s="28"/>
      <c r="J9937" s="39"/>
      <c r="K9937" s="41"/>
      <c r="L9937" s="31" t="str">
        <f>IFERROR(__xludf.DUMMYFUNCTION("IF(OR(E9937="""",K9937=""""),"""",IFERROR(IF(K9937="""","""",query('tbl user'!$A$2:$D10975,""SELECT A WHERE D = '""&amp;K9937&amp;""'"")),""USER TIDAK DIKETAHUI""))"),"")</f>
        <v/>
      </c>
    </row>
    <row r="9938">
      <c r="A9938" s="21" t="str">
        <f t="shared" si="3"/>
        <v/>
      </c>
      <c r="B9938" s="38"/>
      <c r="C9938" s="23"/>
      <c r="D9938" s="23"/>
      <c r="E9938" s="24"/>
      <c r="F9938" s="25"/>
      <c r="G9938" s="25"/>
      <c r="H9938" s="27"/>
      <c r="I9938" s="28"/>
      <c r="J9938" s="39"/>
      <c r="K9938" s="41"/>
      <c r="L9938" s="31" t="str">
        <f>IFERROR(__xludf.DUMMYFUNCTION("IF(OR(E9938="""",K9938=""""),"""",IFERROR(IF(K9938="""","""",query('tbl user'!$A$2:$D10975,""SELECT A WHERE D = '""&amp;K9938&amp;""'"")),""USER TIDAK DIKETAHUI""))"),"")</f>
        <v/>
      </c>
    </row>
    <row r="9939">
      <c r="A9939" s="21" t="str">
        <f t="shared" si="3"/>
        <v/>
      </c>
      <c r="B9939" s="38"/>
      <c r="C9939" s="23"/>
      <c r="D9939" s="23"/>
      <c r="E9939" s="24"/>
      <c r="F9939" s="25"/>
      <c r="G9939" s="25"/>
      <c r="H9939" s="27"/>
      <c r="I9939" s="28"/>
      <c r="J9939" s="39"/>
      <c r="K9939" s="41"/>
      <c r="L9939" s="31" t="str">
        <f>IFERROR(__xludf.DUMMYFUNCTION("IF(OR(E9939="""",K9939=""""),"""",IFERROR(IF(K9939="""","""",query('tbl user'!$A$2:$D10975,""SELECT A WHERE D = '""&amp;K9939&amp;""'"")),""USER TIDAK DIKETAHUI""))"),"")</f>
        <v/>
      </c>
    </row>
    <row r="9940">
      <c r="A9940" s="21" t="str">
        <f t="shared" si="3"/>
        <v/>
      </c>
      <c r="B9940" s="38"/>
      <c r="C9940" s="23"/>
      <c r="D9940" s="23"/>
      <c r="E9940" s="24"/>
      <c r="F9940" s="25"/>
      <c r="G9940" s="25"/>
      <c r="H9940" s="27"/>
      <c r="I9940" s="28"/>
      <c r="J9940" s="39"/>
      <c r="K9940" s="41"/>
      <c r="L9940" s="31" t="str">
        <f>IFERROR(__xludf.DUMMYFUNCTION("IF(OR(E9940="""",K9940=""""),"""",IFERROR(IF(K9940="""","""",query('tbl user'!$A$2:$D10975,""SELECT A WHERE D = '""&amp;K9940&amp;""'"")),""USER TIDAK DIKETAHUI""))"),"")</f>
        <v/>
      </c>
    </row>
    <row r="9941">
      <c r="A9941" s="21" t="str">
        <f t="shared" si="3"/>
        <v/>
      </c>
      <c r="B9941" s="38"/>
      <c r="C9941" s="23"/>
      <c r="D9941" s="23"/>
      <c r="E9941" s="24"/>
      <c r="F9941" s="25"/>
      <c r="G9941" s="25"/>
      <c r="H9941" s="27"/>
      <c r="I9941" s="28"/>
      <c r="J9941" s="39"/>
      <c r="K9941" s="41"/>
      <c r="L9941" s="31" t="str">
        <f>IFERROR(__xludf.DUMMYFUNCTION("IF(OR(E9941="""",K9941=""""),"""",IFERROR(IF(K9941="""","""",query('tbl user'!$A$2:$D10975,""SELECT A WHERE D = '""&amp;K9941&amp;""'"")),""USER TIDAK DIKETAHUI""))"),"")</f>
        <v/>
      </c>
    </row>
    <row r="9942">
      <c r="A9942" s="21" t="str">
        <f t="shared" si="3"/>
        <v/>
      </c>
      <c r="B9942" s="38"/>
      <c r="C9942" s="23"/>
      <c r="D9942" s="23"/>
      <c r="E9942" s="24"/>
      <c r="F9942" s="25"/>
      <c r="G9942" s="25"/>
      <c r="H9942" s="27"/>
      <c r="I9942" s="28"/>
      <c r="J9942" s="39"/>
      <c r="K9942" s="41"/>
      <c r="L9942" s="31" t="str">
        <f>IFERROR(__xludf.DUMMYFUNCTION("IF(OR(E9942="""",K9942=""""),"""",IFERROR(IF(K9942="""","""",query('tbl user'!$A$2:$D10975,""SELECT A WHERE D = '""&amp;K9942&amp;""'"")),""USER TIDAK DIKETAHUI""))"),"")</f>
        <v/>
      </c>
    </row>
    <row r="9943">
      <c r="A9943" s="21" t="str">
        <f t="shared" si="3"/>
        <v/>
      </c>
      <c r="B9943" s="38"/>
      <c r="C9943" s="23"/>
      <c r="D9943" s="23"/>
      <c r="E9943" s="24"/>
      <c r="F9943" s="25"/>
      <c r="G9943" s="25"/>
      <c r="H9943" s="27"/>
      <c r="I9943" s="28"/>
      <c r="J9943" s="39"/>
      <c r="K9943" s="41"/>
      <c r="L9943" s="31" t="str">
        <f>IFERROR(__xludf.DUMMYFUNCTION("IF(OR(E9943="""",K9943=""""),"""",IFERROR(IF(K9943="""","""",query('tbl user'!$A$2:$D10975,""SELECT A WHERE D = '""&amp;K9943&amp;""'"")),""USER TIDAK DIKETAHUI""))"),"")</f>
        <v/>
      </c>
    </row>
    <row r="9944">
      <c r="A9944" s="21" t="str">
        <f t="shared" si="3"/>
        <v/>
      </c>
      <c r="B9944" s="38"/>
      <c r="C9944" s="23"/>
      <c r="D9944" s="23"/>
      <c r="E9944" s="24"/>
      <c r="F9944" s="25"/>
      <c r="G9944" s="25"/>
      <c r="H9944" s="27"/>
      <c r="I9944" s="28"/>
      <c r="J9944" s="39"/>
      <c r="K9944" s="41"/>
      <c r="L9944" s="31" t="str">
        <f>IFERROR(__xludf.DUMMYFUNCTION("IF(OR(E9944="""",K9944=""""),"""",IFERROR(IF(K9944="""","""",query('tbl user'!$A$2:$D10975,""SELECT A WHERE D = '""&amp;K9944&amp;""'"")),""USER TIDAK DIKETAHUI""))"),"")</f>
        <v/>
      </c>
    </row>
    <row r="9945">
      <c r="A9945" s="21" t="str">
        <f t="shared" si="3"/>
        <v/>
      </c>
      <c r="B9945" s="38"/>
      <c r="C9945" s="23"/>
      <c r="D9945" s="23"/>
      <c r="E9945" s="24"/>
      <c r="F9945" s="25"/>
      <c r="G9945" s="25"/>
      <c r="H9945" s="27"/>
      <c r="I9945" s="28"/>
      <c r="J9945" s="39"/>
      <c r="K9945" s="41"/>
      <c r="L9945" s="31" t="str">
        <f>IFERROR(__xludf.DUMMYFUNCTION("IF(OR(E9945="""",K9945=""""),"""",IFERROR(IF(K9945="""","""",query('tbl user'!$A$2:$D10975,""SELECT A WHERE D = '""&amp;K9945&amp;""'"")),""USER TIDAK DIKETAHUI""))"),"")</f>
        <v/>
      </c>
    </row>
    <row r="9946">
      <c r="A9946" s="21" t="str">
        <f t="shared" si="3"/>
        <v/>
      </c>
      <c r="B9946" s="38"/>
      <c r="C9946" s="23"/>
      <c r="D9946" s="23"/>
      <c r="E9946" s="24"/>
      <c r="F9946" s="25"/>
      <c r="G9946" s="25"/>
      <c r="H9946" s="27"/>
      <c r="I9946" s="28"/>
      <c r="J9946" s="39"/>
      <c r="K9946" s="41"/>
      <c r="L9946" s="31" t="str">
        <f>IFERROR(__xludf.DUMMYFUNCTION("IF(OR(E9946="""",K9946=""""),"""",IFERROR(IF(K9946="""","""",query('tbl user'!$A$2:$D10975,""SELECT A WHERE D = '""&amp;K9946&amp;""'"")),""USER TIDAK DIKETAHUI""))"),"")</f>
        <v/>
      </c>
    </row>
    <row r="9947">
      <c r="A9947" s="21" t="str">
        <f t="shared" si="3"/>
        <v/>
      </c>
      <c r="B9947" s="38"/>
      <c r="C9947" s="23"/>
      <c r="D9947" s="23"/>
      <c r="E9947" s="24"/>
      <c r="F9947" s="25"/>
      <c r="G9947" s="25"/>
      <c r="H9947" s="27"/>
      <c r="I9947" s="28"/>
      <c r="J9947" s="39"/>
      <c r="K9947" s="41"/>
      <c r="L9947" s="31" t="str">
        <f>IFERROR(__xludf.DUMMYFUNCTION("IF(OR(E9947="""",K9947=""""),"""",IFERROR(IF(K9947="""","""",query('tbl user'!$A$2:$D10975,""SELECT A WHERE D = '""&amp;K9947&amp;""'"")),""USER TIDAK DIKETAHUI""))"),"")</f>
        <v/>
      </c>
    </row>
    <row r="9948">
      <c r="A9948" s="21" t="str">
        <f t="shared" si="3"/>
        <v/>
      </c>
      <c r="B9948" s="38"/>
      <c r="C9948" s="23"/>
      <c r="D9948" s="23"/>
      <c r="E9948" s="24"/>
      <c r="F9948" s="25"/>
      <c r="G9948" s="25"/>
      <c r="H9948" s="27"/>
      <c r="I9948" s="28"/>
      <c r="J9948" s="39"/>
      <c r="K9948" s="41"/>
      <c r="L9948" s="31" t="str">
        <f>IFERROR(__xludf.DUMMYFUNCTION("IF(OR(E9948="""",K9948=""""),"""",IFERROR(IF(K9948="""","""",query('tbl user'!$A$2:$D10975,""SELECT A WHERE D = '""&amp;K9948&amp;""'"")),""USER TIDAK DIKETAHUI""))"),"")</f>
        <v/>
      </c>
    </row>
    <row r="9949">
      <c r="A9949" s="21" t="str">
        <f t="shared" si="3"/>
        <v/>
      </c>
      <c r="B9949" s="38"/>
      <c r="C9949" s="23"/>
      <c r="D9949" s="23"/>
      <c r="E9949" s="24"/>
      <c r="F9949" s="25"/>
      <c r="G9949" s="25"/>
      <c r="H9949" s="27"/>
      <c r="I9949" s="28"/>
      <c r="J9949" s="39"/>
      <c r="K9949" s="41"/>
      <c r="L9949" s="31" t="str">
        <f>IFERROR(__xludf.DUMMYFUNCTION("IF(OR(E9949="""",K9949=""""),"""",IFERROR(IF(K9949="""","""",query('tbl user'!$A$2:$D10975,""SELECT A WHERE D = '""&amp;K9949&amp;""'"")),""USER TIDAK DIKETAHUI""))"),"")</f>
        <v/>
      </c>
    </row>
    <row r="9950">
      <c r="A9950" s="21" t="str">
        <f t="shared" si="3"/>
        <v/>
      </c>
      <c r="B9950" s="38"/>
      <c r="C9950" s="23"/>
      <c r="D9950" s="23"/>
      <c r="E9950" s="24"/>
      <c r="F9950" s="25"/>
      <c r="G9950" s="25"/>
      <c r="H9950" s="27"/>
      <c r="I9950" s="28"/>
      <c r="J9950" s="39"/>
      <c r="K9950" s="41"/>
      <c r="L9950" s="31" t="str">
        <f>IFERROR(__xludf.DUMMYFUNCTION("IF(OR(E9950="""",K9950=""""),"""",IFERROR(IF(K9950="""","""",query('tbl user'!$A$2:$D10975,""SELECT A WHERE D = '""&amp;K9950&amp;""'"")),""USER TIDAK DIKETAHUI""))"),"")</f>
        <v/>
      </c>
    </row>
    <row r="9951">
      <c r="A9951" s="21" t="str">
        <f t="shared" si="3"/>
        <v/>
      </c>
      <c r="B9951" s="38"/>
      <c r="C9951" s="23"/>
      <c r="D9951" s="23"/>
      <c r="E9951" s="24"/>
      <c r="F9951" s="25"/>
      <c r="G9951" s="25"/>
      <c r="H9951" s="27"/>
      <c r="I9951" s="28"/>
      <c r="J9951" s="39"/>
      <c r="K9951" s="41"/>
      <c r="L9951" s="31" t="str">
        <f>IFERROR(__xludf.DUMMYFUNCTION("IF(OR(E9951="""",K9951=""""),"""",IFERROR(IF(K9951="""","""",query('tbl user'!$A$2:$D10975,""SELECT A WHERE D = '""&amp;K9951&amp;""'"")),""USER TIDAK DIKETAHUI""))"),"")</f>
        <v/>
      </c>
    </row>
    <row r="9952">
      <c r="A9952" s="21" t="str">
        <f t="shared" si="3"/>
        <v/>
      </c>
      <c r="B9952" s="38"/>
      <c r="C9952" s="23"/>
      <c r="D9952" s="23"/>
      <c r="E9952" s="24"/>
      <c r="F9952" s="25"/>
      <c r="G9952" s="25"/>
      <c r="H9952" s="27"/>
      <c r="I9952" s="28"/>
      <c r="J9952" s="39"/>
      <c r="K9952" s="41"/>
      <c r="L9952" s="31" t="str">
        <f>IFERROR(__xludf.DUMMYFUNCTION("IF(OR(E9952="""",K9952=""""),"""",IFERROR(IF(K9952="""","""",query('tbl user'!$A$2:$D10975,""SELECT A WHERE D = '""&amp;K9952&amp;""'"")),""USER TIDAK DIKETAHUI""))"),"")</f>
        <v/>
      </c>
    </row>
    <row r="9953">
      <c r="A9953" s="21" t="str">
        <f t="shared" si="3"/>
        <v/>
      </c>
      <c r="B9953" s="38"/>
      <c r="C9953" s="23"/>
      <c r="D9953" s="23"/>
      <c r="E9953" s="24"/>
      <c r="F9953" s="25"/>
      <c r="G9953" s="25"/>
      <c r="H9953" s="27"/>
      <c r="I9953" s="28"/>
      <c r="J9953" s="39"/>
      <c r="K9953" s="41"/>
      <c r="L9953" s="31" t="str">
        <f>IFERROR(__xludf.DUMMYFUNCTION("IF(OR(E9953="""",K9953=""""),"""",IFERROR(IF(K9953="""","""",query('tbl user'!$A$2:$D10975,""SELECT A WHERE D = '""&amp;K9953&amp;""'"")),""USER TIDAK DIKETAHUI""))"),"")</f>
        <v/>
      </c>
    </row>
    <row r="9954">
      <c r="A9954" s="21" t="str">
        <f t="shared" si="3"/>
        <v/>
      </c>
      <c r="B9954" s="38"/>
      <c r="C9954" s="23"/>
      <c r="D9954" s="23"/>
      <c r="E9954" s="24"/>
      <c r="F9954" s="25"/>
      <c r="G9954" s="25"/>
      <c r="H9954" s="27"/>
      <c r="I9954" s="28"/>
      <c r="J9954" s="39"/>
      <c r="K9954" s="41"/>
      <c r="L9954" s="31" t="str">
        <f>IFERROR(__xludf.DUMMYFUNCTION("IF(OR(E9954="""",K9954=""""),"""",IFERROR(IF(K9954="""","""",query('tbl user'!$A$2:$D10975,""SELECT A WHERE D = '""&amp;K9954&amp;""'"")),""USER TIDAK DIKETAHUI""))"),"")</f>
        <v/>
      </c>
    </row>
    <row r="9955">
      <c r="A9955" s="21" t="str">
        <f t="shared" si="3"/>
        <v/>
      </c>
      <c r="B9955" s="38"/>
      <c r="C9955" s="23"/>
      <c r="D9955" s="23"/>
      <c r="E9955" s="24"/>
      <c r="F9955" s="25"/>
      <c r="G9955" s="25"/>
      <c r="H9955" s="27"/>
      <c r="I9955" s="28"/>
      <c r="J9955" s="39"/>
      <c r="K9955" s="41"/>
      <c r="L9955" s="31" t="str">
        <f>IFERROR(__xludf.DUMMYFUNCTION("IF(OR(E9955="""",K9955=""""),"""",IFERROR(IF(K9955="""","""",query('tbl user'!$A$2:$D10975,""SELECT A WHERE D = '""&amp;K9955&amp;""'"")),""USER TIDAK DIKETAHUI""))"),"")</f>
        <v/>
      </c>
    </row>
    <row r="9956">
      <c r="A9956" s="21" t="str">
        <f t="shared" si="3"/>
        <v/>
      </c>
      <c r="B9956" s="38"/>
      <c r="C9956" s="23"/>
      <c r="D9956" s="23"/>
      <c r="E9956" s="24"/>
      <c r="F9956" s="25"/>
      <c r="G9956" s="25"/>
      <c r="H9956" s="27"/>
      <c r="I9956" s="28"/>
      <c r="J9956" s="39"/>
      <c r="K9956" s="41"/>
      <c r="L9956" s="31" t="str">
        <f>IFERROR(__xludf.DUMMYFUNCTION("IF(OR(E9956="""",K9956=""""),"""",IFERROR(IF(K9956="""","""",query('tbl user'!$A$2:$D10975,""SELECT A WHERE D = '""&amp;K9956&amp;""'"")),""USER TIDAK DIKETAHUI""))"),"")</f>
        <v/>
      </c>
    </row>
    <row r="9957">
      <c r="A9957" s="21" t="str">
        <f t="shared" si="3"/>
        <v/>
      </c>
      <c r="B9957" s="38"/>
      <c r="C9957" s="23"/>
      <c r="D9957" s="23"/>
      <c r="E9957" s="24"/>
      <c r="F9957" s="25"/>
      <c r="G9957" s="25"/>
      <c r="H9957" s="27"/>
      <c r="I9957" s="28"/>
      <c r="J9957" s="39"/>
      <c r="K9957" s="41"/>
      <c r="L9957" s="31" t="str">
        <f>IFERROR(__xludf.DUMMYFUNCTION("IF(OR(E9957="""",K9957=""""),"""",IFERROR(IF(K9957="""","""",query('tbl user'!$A$2:$D10975,""SELECT A WHERE D = '""&amp;K9957&amp;""'"")),""USER TIDAK DIKETAHUI""))"),"")</f>
        <v/>
      </c>
    </row>
    <row r="9958">
      <c r="A9958" s="21" t="str">
        <f t="shared" si="3"/>
        <v/>
      </c>
      <c r="B9958" s="38"/>
      <c r="C9958" s="23"/>
      <c r="D9958" s="23"/>
      <c r="E9958" s="24"/>
      <c r="F9958" s="25"/>
      <c r="G9958" s="25"/>
      <c r="H9958" s="27"/>
      <c r="I9958" s="28"/>
      <c r="J9958" s="39"/>
      <c r="K9958" s="41"/>
      <c r="L9958" s="31" t="str">
        <f>IFERROR(__xludf.DUMMYFUNCTION("IF(OR(E9958="""",K9958=""""),"""",IFERROR(IF(K9958="""","""",query('tbl user'!$A$2:$D10975,""SELECT A WHERE D = '""&amp;K9958&amp;""'"")),""USER TIDAK DIKETAHUI""))"),"")</f>
        <v/>
      </c>
    </row>
    <row r="9959">
      <c r="A9959" s="21" t="str">
        <f t="shared" si="3"/>
        <v/>
      </c>
      <c r="B9959" s="38"/>
      <c r="C9959" s="23"/>
      <c r="D9959" s="23"/>
      <c r="E9959" s="24"/>
      <c r="F9959" s="25"/>
      <c r="G9959" s="25"/>
      <c r="H9959" s="27"/>
      <c r="I9959" s="28"/>
      <c r="J9959" s="39"/>
      <c r="K9959" s="41"/>
      <c r="L9959" s="31" t="str">
        <f>IFERROR(__xludf.DUMMYFUNCTION("IF(OR(E9959="""",K9959=""""),"""",IFERROR(IF(K9959="""","""",query('tbl user'!$A$2:$D10975,""SELECT A WHERE D = '""&amp;K9959&amp;""'"")),""USER TIDAK DIKETAHUI""))"),"")</f>
        <v/>
      </c>
    </row>
    <row r="9960">
      <c r="A9960" s="21" t="str">
        <f t="shared" si="3"/>
        <v/>
      </c>
      <c r="B9960" s="38"/>
      <c r="C9960" s="23"/>
      <c r="D9960" s="23"/>
      <c r="E9960" s="24"/>
      <c r="F9960" s="25"/>
      <c r="G9960" s="25"/>
      <c r="H9960" s="27"/>
      <c r="I9960" s="28"/>
      <c r="J9960" s="39"/>
      <c r="K9960" s="41"/>
      <c r="L9960" s="31" t="str">
        <f>IFERROR(__xludf.DUMMYFUNCTION("IF(OR(E9960="""",K9960=""""),"""",IFERROR(IF(K9960="""","""",query('tbl user'!$A$2:$D10975,""SELECT A WHERE D = '""&amp;K9960&amp;""'"")),""USER TIDAK DIKETAHUI""))"),"")</f>
        <v/>
      </c>
    </row>
    <row r="9961">
      <c r="A9961" s="21" t="str">
        <f t="shared" si="3"/>
        <v/>
      </c>
      <c r="B9961" s="38"/>
      <c r="C9961" s="23"/>
      <c r="D9961" s="23"/>
      <c r="E9961" s="24"/>
      <c r="F9961" s="25"/>
      <c r="G9961" s="25"/>
      <c r="H9961" s="27"/>
      <c r="I9961" s="28"/>
      <c r="J9961" s="39"/>
      <c r="K9961" s="41"/>
      <c r="L9961" s="31" t="str">
        <f>IFERROR(__xludf.DUMMYFUNCTION("IF(OR(E9961="""",K9961=""""),"""",IFERROR(IF(K9961="""","""",query('tbl user'!$A$2:$D10975,""SELECT A WHERE D = '""&amp;K9961&amp;""'"")),""USER TIDAK DIKETAHUI""))"),"")</f>
        <v/>
      </c>
    </row>
    <row r="9962">
      <c r="A9962" s="21" t="str">
        <f t="shared" si="3"/>
        <v/>
      </c>
      <c r="B9962" s="38"/>
      <c r="C9962" s="23"/>
      <c r="D9962" s="23"/>
      <c r="E9962" s="24"/>
      <c r="F9962" s="25"/>
      <c r="G9962" s="25"/>
      <c r="H9962" s="27"/>
      <c r="I9962" s="28"/>
      <c r="J9962" s="39"/>
      <c r="K9962" s="41"/>
      <c r="L9962" s="31" t="str">
        <f>IFERROR(__xludf.DUMMYFUNCTION("IF(OR(E9962="""",K9962=""""),"""",IFERROR(IF(K9962="""","""",query('tbl user'!$A$2:$D10975,""SELECT A WHERE D = '""&amp;K9962&amp;""'"")),""USER TIDAK DIKETAHUI""))"),"")</f>
        <v/>
      </c>
    </row>
    <row r="9963">
      <c r="A9963" s="21" t="str">
        <f t="shared" si="3"/>
        <v/>
      </c>
      <c r="B9963" s="38"/>
      <c r="C9963" s="23"/>
      <c r="D9963" s="23"/>
      <c r="E9963" s="24"/>
      <c r="F9963" s="25"/>
      <c r="G9963" s="25"/>
      <c r="H9963" s="27"/>
      <c r="I9963" s="28"/>
      <c r="J9963" s="39"/>
      <c r="K9963" s="41"/>
      <c r="L9963" s="31" t="str">
        <f>IFERROR(__xludf.DUMMYFUNCTION("IF(OR(E9963="""",K9963=""""),"""",IFERROR(IF(K9963="""","""",query('tbl user'!$A$2:$D10975,""SELECT A WHERE D = '""&amp;K9963&amp;""'"")),""USER TIDAK DIKETAHUI""))"),"")</f>
        <v/>
      </c>
    </row>
    <row r="9964">
      <c r="A9964" s="21" t="str">
        <f t="shared" si="3"/>
        <v/>
      </c>
      <c r="B9964" s="38"/>
      <c r="C9964" s="23"/>
      <c r="D9964" s="23"/>
      <c r="E9964" s="24"/>
      <c r="F9964" s="25"/>
      <c r="G9964" s="25"/>
      <c r="H9964" s="27"/>
      <c r="I9964" s="28"/>
      <c r="J9964" s="39"/>
      <c r="K9964" s="41"/>
      <c r="L9964" s="31" t="str">
        <f>IFERROR(__xludf.DUMMYFUNCTION("IF(OR(E9964="""",K9964=""""),"""",IFERROR(IF(K9964="""","""",query('tbl user'!$A$2:$D10975,""SELECT A WHERE D = '""&amp;K9964&amp;""'"")),""USER TIDAK DIKETAHUI""))"),"")</f>
        <v/>
      </c>
    </row>
    <row r="9965">
      <c r="A9965" s="21" t="str">
        <f t="shared" si="3"/>
        <v/>
      </c>
      <c r="B9965" s="38"/>
      <c r="C9965" s="23"/>
      <c r="D9965" s="23"/>
      <c r="E9965" s="24"/>
      <c r="F9965" s="25"/>
      <c r="G9965" s="25"/>
      <c r="H9965" s="27"/>
      <c r="I9965" s="28"/>
      <c r="J9965" s="39"/>
      <c r="K9965" s="41"/>
      <c r="L9965" s="31" t="str">
        <f>IFERROR(__xludf.DUMMYFUNCTION("IF(OR(E9965="""",K9965=""""),"""",IFERROR(IF(K9965="""","""",query('tbl user'!$A$2:$D10975,""SELECT A WHERE D = '""&amp;K9965&amp;""'"")),""USER TIDAK DIKETAHUI""))"),"")</f>
        <v/>
      </c>
    </row>
    <row r="9966">
      <c r="A9966" s="21" t="str">
        <f t="shared" si="3"/>
        <v/>
      </c>
      <c r="B9966" s="38"/>
      <c r="C9966" s="23"/>
      <c r="D9966" s="23"/>
      <c r="E9966" s="24"/>
      <c r="F9966" s="25"/>
      <c r="G9966" s="25"/>
      <c r="H9966" s="27"/>
      <c r="I9966" s="28"/>
      <c r="J9966" s="39"/>
      <c r="K9966" s="41"/>
      <c r="L9966" s="31" t="str">
        <f>IFERROR(__xludf.DUMMYFUNCTION("IF(OR(E9966="""",K9966=""""),"""",IFERROR(IF(K9966="""","""",query('tbl user'!$A$2:$D10975,""SELECT A WHERE D = '""&amp;K9966&amp;""'"")),""USER TIDAK DIKETAHUI""))"),"")</f>
        <v/>
      </c>
    </row>
    <row r="9967">
      <c r="A9967" s="21" t="str">
        <f t="shared" si="3"/>
        <v/>
      </c>
      <c r="B9967" s="38"/>
      <c r="C9967" s="23"/>
      <c r="D9967" s="23"/>
      <c r="E9967" s="24"/>
      <c r="F9967" s="25"/>
      <c r="G9967" s="25"/>
      <c r="H9967" s="27"/>
      <c r="I9967" s="28"/>
      <c r="J9967" s="39"/>
      <c r="K9967" s="41"/>
      <c r="L9967" s="31" t="str">
        <f>IFERROR(__xludf.DUMMYFUNCTION("IF(OR(E9967="""",K9967=""""),"""",IFERROR(IF(K9967="""","""",query('tbl user'!$A$2:$D10975,""SELECT A WHERE D = '""&amp;K9967&amp;""'"")),""USER TIDAK DIKETAHUI""))"),"")</f>
        <v/>
      </c>
    </row>
    <row r="9968">
      <c r="A9968" s="21" t="str">
        <f t="shared" si="3"/>
        <v/>
      </c>
      <c r="B9968" s="38"/>
      <c r="C9968" s="23"/>
      <c r="D9968" s="23"/>
      <c r="E9968" s="24"/>
      <c r="F9968" s="25"/>
      <c r="G9968" s="25"/>
      <c r="H9968" s="27"/>
      <c r="I9968" s="28"/>
      <c r="J9968" s="39"/>
      <c r="K9968" s="41"/>
      <c r="L9968" s="31" t="str">
        <f>IFERROR(__xludf.DUMMYFUNCTION("IF(OR(E9968="""",K9968=""""),"""",IFERROR(IF(K9968="""","""",query('tbl user'!$A$2:$D10975,""SELECT A WHERE D = '""&amp;K9968&amp;""'"")),""USER TIDAK DIKETAHUI""))"),"")</f>
        <v/>
      </c>
    </row>
    <row r="9969">
      <c r="A9969" s="21" t="str">
        <f t="shared" si="3"/>
        <v/>
      </c>
      <c r="B9969" s="38"/>
      <c r="C9969" s="23"/>
      <c r="D9969" s="23"/>
      <c r="E9969" s="24"/>
      <c r="F9969" s="25"/>
      <c r="G9969" s="25"/>
      <c r="H9969" s="27"/>
      <c r="I9969" s="28"/>
      <c r="J9969" s="39"/>
      <c r="K9969" s="41"/>
      <c r="L9969" s="31" t="str">
        <f>IFERROR(__xludf.DUMMYFUNCTION("IF(OR(E9969="""",K9969=""""),"""",IFERROR(IF(K9969="""","""",query('tbl user'!$A$2:$D10975,""SELECT A WHERE D = '""&amp;K9969&amp;""'"")),""USER TIDAK DIKETAHUI""))"),"")</f>
        <v/>
      </c>
    </row>
    <row r="9970">
      <c r="A9970" s="21" t="str">
        <f t="shared" si="3"/>
        <v/>
      </c>
      <c r="B9970" s="38"/>
      <c r="C9970" s="23"/>
      <c r="D9970" s="23"/>
      <c r="E9970" s="24"/>
      <c r="F9970" s="25"/>
      <c r="G9970" s="25"/>
      <c r="H9970" s="27"/>
      <c r="I9970" s="28"/>
      <c r="J9970" s="39"/>
      <c r="K9970" s="41"/>
      <c r="L9970" s="31" t="str">
        <f>IFERROR(__xludf.DUMMYFUNCTION("IF(OR(E9970="""",K9970=""""),"""",IFERROR(IF(K9970="""","""",query('tbl user'!$A$2:$D10975,""SELECT A WHERE D = '""&amp;K9970&amp;""'"")),""USER TIDAK DIKETAHUI""))"),"")</f>
        <v/>
      </c>
    </row>
    <row r="9971">
      <c r="A9971" s="21" t="str">
        <f t="shared" si="3"/>
        <v/>
      </c>
      <c r="B9971" s="38"/>
      <c r="C9971" s="23"/>
      <c r="D9971" s="23"/>
      <c r="E9971" s="24"/>
      <c r="F9971" s="25"/>
      <c r="G9971" s="25"/>
      <c r="H9971" s="27"/>
      <c r="I9971" s="28"/>
      <c r="J9971" s="39"/>
      <c r="K9971" s="41"/>
      <c r="L9971" s="31" t="str">
        <f>IFERROR(__xludf.DUMMYFUNCTION("IF(OR(E9971="""",K9971=""""),"""",IFERROR(IF(K9971="""","""",query('tbl user'!$A$2:$D10975,""SELECT A WHERE D = '""&amp;K9971&amp;""'"")),""USER TIDAK DIKETAHUI""))"),"")</f>
        <v/>
      </c>
    </row>
    <row r="9972">
      <c r="A9972" s="21" t="str">
        <f t="shared" si="3"/>
        <v/>
      </c>
      <c r="B9972" s="38"/>
      <c r="C9972" s="23"/>
      <c r="D9972" s="23"/>
      <c r="E9972" s="24"/>
      <c r="F9972" s="25"/>
      <c r="G9972" s="25"/>
      <c r="H9972" s="27"/>
      <c r="I9972" s="28"/>
      <c r="J9972" s="39"/>
      <c r="K9972" s="41"/>
      <c r="L9972" s="31" t="str">
        <f>IFERROR(__xludf.DUMMYFUNCTION("IF(OR(E9972="""",K9972=""""),"""",IFERROR(IF(K9972="""","""",query('tbl user'!$A$2:$D10975,""SELECT A WHERE D = '""&amp;K9972&amp;""'"")),""USER TIDAK DIKETAHUI""))"),"")</f>
        <v/>
      </c>
    </row>
    <row r="9973">
      <c r="A9973" s="21" t="str">
        <f t="shared" si="3"/>
        <v/>
      </c>
      <c r="B9973" s="38"/>
      <c r="C9973" s="23"/>
      <c r="D9973" s="23"/>
      <c r="E9973" s="24"/>
      <c r="F9973" s="25"/>
      <c r="G9973" s="25"/>
      <c r="H9973" s="27"/>
      <c r="I9973" s="28"/>
      <c r="J9973" s="39"/>
      <c r="K9973" s="41"/>
      <c r="L9973" s="31" t="str">
        <f>IFERROR(__xludf.DUMMYFUNCTION("IF(OR(E9973="""",K9973=""""),"""",IFERROR(IF(K9973="""","""",query('tbl user'!$A$2:$D10975,""SELECT A WHERE D = '""&amp;K9973&amp;""'"")),""USER TIDAK DIKETAHUI""))"),"")</f>
        <v/>
      </c>
    </row>
    <row r="9974">
      <c r="A9974" s="21" t="str">
        <f t="shared" si="3"/>
        <v/>
      </c>
      <c r="B9974" s="38"/>
      <c r="C9974" s="23"/>
      <c r="D9974" s="23"/>
      <c r="E9974" s="24"/>
      <c r="F9974" s="25"/>
      <c r="G9974" s="25"/>
      <c r="H9974" s="27"/>
      <c r="I9974" s="28"/>
      <c r="J9974" s="39"/>
      <c r="K9974" s="41"/>
      <c r="L9974" s="31" t="str">
        <f>IFERROR(__xludf.DUMMYFUNCTION("IF(OR(E9974="""",K9974=""""),"""",IFERROR(IF(K9974="""","""",query('tbl user'!$A$2:$D10975,""SELECT A WHERE D = '""&amp;K9974&amp;""'"")),""USER TIDAK DIKETAHUI""))"),"")</f>
        <v/>
      </c>
    </row>
    <row r="9975">
      <c r="A9975" s="21" t="str">
        <f t="shared" si="3"/>
        <v/>
      </c>
      <c r="B9975" s="38"/>
      <c r="C9975" s="23"/>
      <c r="D9975" s="23"/>
      <c r="E9975" s="24"/>
      <c r="F9975" s="25"/>
      <c r="G9975" s="25"/>
      <c r="H9975" s="27"/>
      <c r="I9975" s="28"/>
      <c r="J9975" s="39"/>
      <c r="K9975" s="41"/>
      <c r="L9975" s="31" t="str">
        <f>IFERROR(__xludf.DUMMYFUNCTION("IF(OR(E9975="""",K9975=""""),"""",IFERROR(IF(K9975="""","""",query('tbl user'!$A$2:$D10975,""SELECT A WHERE D = '""&amp;K9975&amp;""'"")),""USER TIDAK DIKETAHUI""))"),"")</f>
        <v/>
      </c>
    </row>
    <row r="9976">
      <c r="A9976" s="21" t="str">
        <f t="shared" si="3"/>
        <v/>
      </c>
      <c r="B9976" s="38"/>
      <c r="C9976" s="23"/>
      <c r="D9976" s="23"/>
      <c r="E9976" s="24"/>
      <c r="F9976" s="25"/>
      <c r="G9976" s="25"/>
      <c r="H9976" s="27"/>
      <c r="I9976" s="28"/>
      <c r="J9976" s="39"/>
      <c r="K9976" s="41"/>
      <c r="L9976" s="31" t="str">
        <f>IFERROR(__xludf.DUMMYFUNCTION("IF(OR(E9976="""",K9976=""""),"""",IFERROR(IF(K9976="""","""",query('tbl user'!$A$2:$D10975,""SELECT A WHERE D = '""&amp;K9976&amp;""'"")),""USER TIDAK DIKETAHUI""))"),"")</f>
        <v/>
      </c>
    </row>
    <row r="9977">
      <c r="A9977" s="21" t="str">
        <f t="shared" si="3"/>
        <v/>
      </c>
      <c r="B9977" s="38"/>
      <c r="C9977" s="23"/>
      <c r="D9977" s="23"/>
      <c r="E9977" s="24"/>
      <c r="F9977" s="25"/>
      <c r="G9977" s="25"/>
      <c r="H9977" s="27"/>
      <c r="I9977" s="28"/>
      <c r="J9977" s="39"/>
      <c r="K9977" s="41"/>
      <c r="L9977" s="31" t="str">
        <f>IFERROR(__xludf.DUMMYFUNCTION("IF(OR(E9977="""",K9977=""""),"""",IFERROR(IF(K9977="""","""",query('tbl user'!$A$2:$D10975,""SELECT A WHERE D = '""&amp;K9977&amp;""'"")),""USER TIDAK DIKETAHUI""))"),"")</f>
        <v/>
      </c>
    </row>
    <row r="9978">
      <c r="A9978" s="21" t="str">
        <f t="shared" si="3"/>
        <v/>
      </c>
      <c r="B9978" s="38"/>
      <c r="C9978" s="23"/>
      <c r="D9978" s="23"/>
      <c r="E9978" s="24"/>
      <c r="F9978" s="25"/>
      <c r="G9978" s="25"/>
      <c r="H9978" s="27"/>
      <c r="I9978" s="28"/>
      <c r="J9978" s="39"/>
      <c r="K9978" s="41"/>
      <c r="L9978" s="31" t="str">
        <f>IFERROR(__xludf.DUMMYFUNCTION("IF(OR(E9978="""",K9978=""""),"""",IFERROR(IF(K9978="""","""",query('tbl user'!$A$2:$D10975,""SELECT A WHERE D = '""&amp;K9978&amp;""'"")),""USER TIDAK DIKETAHUI""))"),"")</f>
        <v/>
      </c>
    </row>
    <row r="9979">
      <c r="A9979" s="21" t="str">
        <f t="shared" si="3"/>
        <v/>
      </c>
      <c r="B9979" s="38"/>
      <c r="C9979" s="23"/>
      <c r="D9979" s="23"/>
      <c r="E9979" s="24"/>
      <c r="F9979" s="25"/>
      <c r="G9979" s="25"/>
      <c r="H9979" s="27"/>
      <c r="I9979" s="28"/>
      <c r="J9979" s="39"/>
      <c r="K9979" s="41"/>
      <c r="L9979" s="31" t="str">
        <f>IFERROR(__xludf.DUMMYFUNCTION("IF(OR(E9979="""",K9979=""""),"""",IFERROR(IF(K9979="""","""",query('tbl user'!$A$2:$D10975,""SELECT A WHERE D = '""&amp;K9979&amp;""'"")),""USER TIDAK DIKETAHUI""))"),"")</f>
        <v/>
      </c>
    </row>
    <row r="9980">
      <c r="A9980" s="21" t="str">
        <f t="shared" si="3"/>
        <v/>
      </c>
      <c r="B9980" s="38"/>
      <c r="C9980" s="23"/>
      <c r="D9980" s="23"/>
      <c r="E9980" s="24"/>
      <c r="F9980" s="25"/>
      <c r="G9980" s="25"/>
      <c r="H9980" s="27"/>
      <c r="I9980" s="28"/>
      <c r="J9980" s="39"/>
      <c r="K9980" s="41"/>
      <c r="L9980" s="31" t="str">
        <f>IFERROR(__xludf.DUMMYFUNCTION("IF(OR(E9980="""",K9980=""""),"""",IFERROR(IF(K9980="""","""",query('tbl user'!$A$2:$D10975,""SELECT A WHERE D = '""&amp;K9980&amp;""'"")),""USER TIDAK DIKETAHUI""))"),"")</f>
        <v/>
      </c>
    </row>
    <row r="9981">
      <c r="A9981" s="21" t="str">
        <f t="shared" si="3"/>
        <v/>
      </c>
      <c r="B9981" s="38"/>
      <c r="C9981" s="23"/>
      <c r="D9981" s="23"/>
      <c r="E9981" s="24"/>
      <c r="F9981" s="25"/>
      <c r="G9981" s="25"/>
      <c r="H9981" s="27"/>
      <c r="I9981" s="28"/>
      <c r="J9981" s="39"/>
      <c r="K9981" s="41"/>
      <c r="L9981" s="31" t="str">
        <f>IFERROR(__xludf.DUMMYFUNCTION("IF(OR(E9981="""",K9981=""""),"""",IFERROR(IF(K9981="""","""",query('tbl user'!$A$2:$D10975,""SELECT A WHERE D = '""&amp;K9981&amp;""'"")),""USER TIDAK DIKETAHUI""))"),"")</f>
        <v/>
      </c>
    </row>
    <row r="9982">
      <c r="A9982" s="21" t="str">
        <f t="shared" si="3"/>
        <v/>
      </c>
      <c r="B9982" s="38"/>
      <c r="C9982" s="23"/>
      <c r="D9982" s="23"/>
      <c r="E9982" s="24"/>
      <c r="F9982" s="25"/>
      <c r="G9982" s="25"/>
      <c r="H9982" s="27"/>
      <c r="I9982" s="28"/>
      <c r="J9982" s="39"/>
      <c r="K9982" s="41"/>
      <c r="L9982" s="31" t="str">
        <f>IFERROR(__xludf.DUMMYFUNCTION("IF(OR(E9982="""",K9982=""""),"""",IFERROR(IF(K9982="""","""",query('tbl user'!$A$2:$D10975,""SELECT A WHERE D = '""&amp;K9982&amp;""'"")),""USER TIDAK DIKETAHUI""))"),"")</f>
        <v/>
      </c>
    </row>
    <row r="9983">
      <c r="A9983" s="21" t="str">
        <f t="shared" si="3"/>
        <v/>
      </c>
      <c r="B9983" s="38"/>
      <c r="C9983" s="23"/>
      <c r="D9983" s="23"/>
      <c r="E9983" s="24"/>
      <c r="F9983" s="25"/>
      <c r="G9983" s="25"/>
      <c r="H9983" s="27"/>
      <c r="I9983" s="28"/>
      <c r="J9983" s="39"/>
      <c r="K9983" s="41"/>
      <c r="L9983" s="31" t="str">
        <f>IFERROR(__xludf.DUMMYFUNCTION("IF(OR(E9983="""",K9983=""""),"""",IFERROR(IF(K9983="""","""",query('tbl user'!$A$2:$D10975,""SELECT A WHERE D = '""&amp;K9983&amp;""'"")),""USER TIDAK DIKETAHUI""))"),"")</f>
        <v/>
      </c>
    </row>
    <row r="9984">
      <c r="A9984" s="21" t="str">
        <f t="shared" si="3"/>
        <v/>
      </c>
      <c r="B9984" s="38"/>
      <c r="C9984" s="23"/>
      <c r="D9984" s="23"/>
      <c r="E9984" s="24"/>
      <c r="F9984" s="25"/>
      <c r="G9984" s="25"/>
      <c r="H9984" s="27"/>
      <c r="I9984" s="28"/>
      <c r="J9984" s="39"/>
      <c r="K9984" s="41"/>
      <c r="L9984" s="31" t="str">
        <f>IFERROR(__xludf.DUMMYFUNCTION("IF(OR(E9984="""",K9984=""""),"""",IFERROR(IF(K9984="""","""",query('tbl user'!$A$2:$D10975,""SELECT A WHERE D = '""&amp;K9984&amp;""'"")),""USER TIDAK DIKETAHUI""))"),"")</f>
        <v/>
      </c>
    </row>
    <row r="9985">
      <c r="A9985" s="21" t="str">
        <f t="shared" si="3"/>
        <v/>
      </c>
      <c r="B9985" s="38"/>
      <c r="C9985" s="23"/>
      <c r="D9985" s="23"/>
      <c r="E9985" s="24"/>
      <c r="F9985" s="25"/>
      <c r="G9985" s="25"/>
      <c r="H9985" s="27"/>
      <c r="I9985" s="28"/>
      <c r="J9985" s="39"/>
      <c r="K9985" s="41"/>
      <c r="L9985" s="31" t="str">
        <f>IFERROR(__xludf.DUMMYFUNCTION("IF(OR(E9985="""",K9985=""""),"""",IFERROR(IF(K9985="""","""",query('tbl user'!$A$2:$D10975,""SELECT A WHERE D = '""&amp;K9985&amp;""'"")),""USER TIDAK DIKETAHUI""))"),"")</f>
        <v/>
      </c>
    </row>
    <row r="9986">
      <c r="A9986" s="21" t="str">
        <f t="shared" si="3"/>
        <v/>
      </c>
      <c r="B9986" s="38"/>
      <c r="C9986" s="23"/>
      <c r="D9986" s="23"/>
      <c r="E9986" s="24"/>
      <c r="F9986" s="25"/>
      <c r="G9986" s="25"/>
      <c r="H9986" s="27"/>
      <c r="I9986" s="28"/>
      <c r="J9986" s="39"/>
      <c r="K9986" s="41"/>
      <c r="L9986" s="31" t="str">
        <f>IFERROR(__xludf.DUMMYFUNCTION("IF(OR(E9986="""",K9986=""""),"""",IFERROR(IF(K9986="""","""",query('tbl user'!$A$2:$D10975,""SELECT A WHERE D = '""&amp;K9986&amp;""'"")),""USER TIDAK DIKETAHUI""))"),"")</f>
        <v/>
      </c>
    </row>
    <row r="9987">
      <c r="A9987" s="21" t="str">
        <f t="shared" si="3"/>
        <v/>
      </c>
      <c r="B9987" s="38"/>
      <c r="C9987" s="23"/>
      <c r="D9987" s="23"/>
      <c r="E9987" s="24"/>
      <c r="F9987" s="25"/>
      <c r="G9987" s="25"/>
      <c r="H9987" s="27"/>
      <c r="I9987" s="28"/>
      <c r="J9987" s="39"/>
      <c r="K9987" s="41"/>
      <c r="L9987" s="31" t="str">
        <f>IFERROR(__xludf.DUMMYFUNCTION("IF(OR(E9987="""",K9987=""""),"""",IFERROR(IF(K9987="""","""",query('tbl user'!$A$2:$D10975,""SELECT A WHERE D = '""&amp;K9987&amp;""'"")),""USER TIDAK DIKETAHUI""))"),"")</f>
        <v/>
      </c>
    </row>
    <row r="9988">
      <c r="A9988" s="21" t="str">
        <f t="shared" si="3"/>
        <v/>
      </c>
      <c r="B9988" s="38"/>
      <c r="C9988" s="23"/>
      <c r="D9988" s="23"/>
      <c r="E9988" s="24"/>
      <c r="F9988" s="25"/>
      <c r="G9988" s="25"/>
      <c r="H9988" s="27"/>
      <c r="I9988" s="28"/>
      <c r="J9988" s="39"/>
      <c r="K9988" s="41"/>
      <c r="L9988" s="31" t="str">
        <f>IFERROR(__xludf.DUMMYFUNCTION("IF(OR(E9988="""",K9988=""""),"""",IFERROR(IF(K9988="""","""",query('tbl user'!$A$2:$D10975,""SELECT A WHERE D = '""&amp;K9988&amp;""'"")),""USER TIDAK DIKETAHUI""))"),"")</f>
        <v/>
      </c>
    </row>
    <row r="9989">
      <c r="A9989" s="21" t="str">
        <f t="shared" si="3"/>
        <v/>
      </c>
      <c r="B9989" s="38"/>
      <c r="C9989" s="23"/>
      <c r="D9989" s="23"/>
      <c r="E9989" s="24"/>
      <c r="F9989" s="25"/>
      <c r="G9989" s="25"/>
      <c r="H9989" s="27"/>
      <c r="I9989" s="28"/>
      <c r="J9989" s="39"/>
      <c r="K9989" s="41"/>
      <c r="L9989" s="31" t="str">
        <f>IFERROR(__xludf.DUMMYFUNCTION("IF(OR(E9989="""",K9989=""""),"""",IFERROR(IF(K9989="""","""",query('tbl user'!$A$2:$D10975,""SELECT A WHERE D = '""&amp;K9989&amp;""'"")),""USER TIDAK DIKETAHUI""))"),"")</f>
        <v/>
      </c>
    </row>
    <row r="9990">
      <c r="A9990" s="21" t="str">
        <f t="shared" si="3"/>
        <v/>
      </c>
      <c r="B9990" s="38"/>
      <c r="C9990" s="23"/>
      <c r="D9990" s="23"/>
      <c r="E9990" s="24"/>
      <c r="F9990" s="25"/>
      <c r="G9990" s="25"/>
      <c r="H9990" s="27"/>
      <c r="I9990" s="28"/>
      <c r="J9990" s="39"/>
      <c r="K9990" s="41"/>
      <c r="L9990" s="31" t="str">
        <f>IFERROR(__xludf.DUMMYFUNCTION("IF(OR(E9990="""",K9990=""""),"""",IFERROR(IF(K9990="""","""",query('tbl user'!$A$2:$D10975,""SELECT A WHERE D = '""&amp;K9990&amp;""'"")),""USER TIDAK DIKETAHUI""))"),"")</f>
        <v/>
      </c>
    </row>
    <row r="9991">
      <c r="A9991" s="21" t="str">
        <f t="shared" si="3"/>
        <v/>
      </c>
      <c r="B9991" s="38"/>
      <c r="C9991" s="23"/>
      <c r="D9991" s="23"/>
      <c r="E9991" s="24"/>
      <c r="F9991" s="25"/>
      <c r="G9991" s="25"/>
      <c r="H9991" s="27"/>
      <c r="I9991" s="28"/>
      <c r="J9991" s="39"/>
      <c r="K9991" s="41"/>
      <c r="L9991" s="31" t="str">
        <f>IFERROR(__xludf.DUMMYFUNCTION("IF(OR(E9991="""",K9991=""""),"""",IFERROR(IF(K9991="""","""",query('tbl user'!$A$2:$D10975,""SELECT A WHERE D = '""&amp;K9991&amp;""'"")),""USER TIDAK DIKETAHUI""))"),"")</f>
        <v/>
      </c>
    </row>
    <row r="9992">
      <c r="A9992" s="21" t="str">
        <f t="shared" si="3"/>
        <v/>
      </c>
      <c r="B9992" s="38"/>
      <c r="C9992" s="23"/>
      <c r="D9992" s="23"/>
      <c r="E9992" s="24"/>
      <c r="F9992" s="25"/>
      <c r="G9992" s="25"/>
      <c r="H9992" s="27"/>
      <c r="I9992" s="28"/>
      <c r="J9992" s="39"/>
      <c r="K9992" s="41"/>
      <c r="L9992" s="31" t="str">
        <f>IFERROR(__xludf.DUMMYFUNCTION("IF(OR(E9992="""",K9992=""""),"""",IFERROR(IF(K9992="""","""",query('tbl user'!$A$2:$D10975,""SELECT A WHERE D = '""&amp;K9992&amp;""'"")),""USER TIDAK DIKETAHUI""))"),"")</f>
        <v/>
      </c>
    </row>
    <row r="9993">
      <c r="A9993" s="21" t="str">
        <f t="shared" si="3"/>
        <v/>
      </c>
      <c r="B9993" s="38"/>
      <c r="C9993" s="23"/>
      <c r="D9993" s="23"/>
      <c r="E9993" s="24"/>
      <c r="F9993" s="25"/>
      <c r="G9993" s="25"/>
      <c r="H9993" s="27"/>
      <c r="I9993" s="28"/>
      <c r="J9993" s="39"/>
      <c r="K9993" s="41"/>
      <c r="L9993" s="31" t="str">
        <f>IFERROR(__xludf.DUMMYFUNCTION("IF(OR(E9993="""",K9993=""""),"""",IFERROR(IF(K9993="""","""",query('tbl user'!$A$2:$D10975,""SELECT A WHERE D = '""&amp;K9993&amp;""'"")),""USER TIDAK DIKETAHUI""))"),"")</f>
        <v/>
      </c>
    </row>
    <row r="9994">
      <c r="A9994" s="21" t="str">
        <f t="shared" si="3"/>
        <v/>
      </c>
      <c r="B9994" s="38"/>
      <c r="C9994" s="23"/>
      <c r="D9994" s="23"/>
      <c r="E9994" s="24"/>
      <c r="F9994" s="25"/>
      <c r="G9994" s="25"/>
      <c r="H9994" s="27"/>
      <c r="I9994" s="28"/>
      <c r="J9994" s="39"/>
      <c r="K9994" s="41"/>
      <c r="L9994" s="31" t="str">
        <f>IFERROR(__xludf.DUMMYFUNCTION("IF(OR(E9994="""",K9994=""""),"""",IFERROR(IF(K9994="""","""",query('tbl user'!$A$2:$D10975,""SELECT A WHERE D = '""&amp;K9994&amp;""'"")),""USER TIDAK DIKETAHUI""))"),"")</f>
        <v/>
      </c>
    </row>
    <row r="9995">
      <c r="A9995" s="21" t="str">
        <f t="shared" si="3"/>
        <v/>
      </c>
      <c r="B9995" s="38"/>
      <c r="C9995" s="23"/>
      <c r="D9995" s="23"/>
      <c r="E9995" s="24"/>
      <c r="F9995" s="25"/>
      <c r="G9995" s="25"/>
      <c r="H9995" s="27"/>
      <c r="I9995" s="28"/>
      <c r="J9995" s="39"/>
      <c r="K9995" s="41"/>
      <c r="L9995" s="31" t="str">
        <f>IFERROR(__xludf.DUMMYFUNCTION("IF(OR(E9995="""",K9995=""""),"""",IFERROR(IF(K9995="""","""",query('tbl user'!$A$2:$D10975,""SELECT A WHERE D = '""&amp;K9995&amp;""'"")),""USER TIDAK DIKETAHUI""))"),"")</f>
        <v/>
      </c>
    </row>
    <row r="9996">
      <c r="A9996" s="21" t="str">
        <f t="shared" si="3"/>
        <v/>
      </c>
      <c r="B9996" s="38"/>
      <c r="C9996" s="23"/>
      <c r="D9996" s="23"/>
      <c r="E9996" s="24"/>
      <c r="F9996" s="25"/>
      <c r="G9996" s="25"/>
      <c r="H9996" s="27"/>
      <c r="I9996" s="28"/>
      <c r="J9996" s="39"/>
      <c r="K9996" s="41"/>
      <c r="L9996" s="31" t="str">
        <f>IFERROR(__xludf.DUMMYFUNCTION("IF(OR(E9996="""",K9996=""""),"""",IFERROR(IF(K9996="""","""",query('tbl user'!$A$2:$D10975,""SELECT A WHERE D = '""&amp;K9996&amp;""'"")),""USER TIDAK DIKETAHUI""))"),"")</f>
        <v/>
      </c>
    </row>
    <row r="9997">
      <c r="A9997" s="21" t="str">
        <f t="shared" si="3"/>
        <v/>
      </c>
      <c r="B9997" s="38"/>
      <c r="C9997" s="23"/>
      <c r="D9997" s="23"/>
      <c r="E9997" s="24"/>
      <c r="F9997" s="25"/>
      <c r="G9997" s="25"/>
      <c r="H9997" s="27"/>
      <c r="I9997" s="28"/>
      <c r="J9997" s="39"/>
      <c r="K9997" s="41"/>
      <c r="L9997" s="31" t="str">
        <f>IFERROR(__xludf.DUMMYFUNCTION("IF(OR(E9997="""",K9997=""""),"""",IFERROR(IF(K9997="""","""",query('tbl user'!$A$2:$D10975,""SELECT A WHERE D = '""&amp;K9997&amp;""'"")),""USER TIDAK DIKETAHUI""))"),"")</f>
        <v/>
      </c>
    </row>
    <row r="9998">
      <c r="A9998" s="21" t="str">
        <f t="shared" si="3"/>
        <v/>
      </c>
      <c r="B9998" s="38"/>
      <c r="C9998" s="23"/>
      <c r="D9998" s="23"/>
      <c r="E9998" s="24"/>
      <c r="F9998" s="25"/>
      <c r="G9998" s="25"/>
      <c r="H9998" s="27"/>
      <c r="I9998" s="28"/>
      <c r="J9998" s="39"/>
      <c r="K9998" s="41"/>
      <c r="L9998" s="31" t="str">
        <f>IFERROR(__xludf.DUMMYFUNCTION("IF(OR(E9998="""",K9998=""""),"""",IFERROR(IF(K9998="""","""",query('tbl user'!$A$2:$D10975,""SELECT A WHERE D = '""&amp;K9998&amp;""'"")),""USER TIDAK DIKETAHUI""))"),"")</f>
        <v/>
      </c>
    </row>
    <row r="9999">
      <c r="A9999" s="21" t="str">
        <f t="shared" si="3"/>
        <v/>
      </c>
      <c r="B9999" s="38"/>
      <c r="C9999" s="23"/>
      <c r="D9999" s="23"/>
      <c r="E9999" s="24"/>
      <c r="F9999" s="25"/>
      <c r="G9999" s="25"/>
      <c r="H9999" s="27"/>
      <c r="I9999" s="28"/>
      <c r="J9999" s="39"/>
      <c r="K9999" s="41"/>
      <c r="L9999" s="31" t="str">
        <f>IFERROR(__xludf.DUMMYFUNCTION("IF(OR(E9999="""",K9999=""""),"""",IFERROR(IF(K9999="""","""",query('tbl user'!$A$2:$D10975,""SELECT A WHERE D = '""&amp;K9999&amp;""'"")),""USER TIDAK DIKETAHUI""))"),"")</f>
        <v/>
      </c>
    </row>
    <row r="10000">
      <c r="A10000" s="21" t="str">
        <f t="shared" si="3"/>
        <v/>
      </c>
      <c r="B10000" s="38"/>
      <c r="C10000" s="23"/>
      <c r="D10000" s="23"/>
      <c r="E10000" s="24"/>
      <c r="F10000" s="25"/>
      <c r="G10000" s="25"/>
      <c r="H10000" s="27"/>
      <c r="I10000" s="28"/>
      <c r="J10000" s="39"/>
      <c r="K10000" s="41"/>
      <c r="L10000" s="31" t="str">
        <f>IFERROR(__xludf.DUMMYFUNCTION("IF(OR(E10000="""",K10000=""""),"""",IFERROR(IF(K10000="""","""",query('tbl user'!$A$2:$D10975,""SELECT A WHERE D = '""&amp;K10000&amp;""'"")),""USER TIDAK DIKETAHUI""))"),"")</f>
        <v/>
      </c>
    </row>
    <row r="10001">
      <c r="A10001" s="21" t="str">
        <f t="shared" si="3"/>
        <v/>
      </c>
      <c r="B10001" s="38"/>
      <c r="C10001" s="23"/>
      <c r="D10001" s="23"/>
      <c r="E10001" s="24"/>
      <c r="F10001" s="25"/>
      <c r="G10001" s="25"/>
      <c r="H10001" s="27"/>
      <c r="I10001" s="28"/>
      <c r="J10001" s="39"/>
      <c r="K10001" s="41"/>
      <c r="L10001" s="31" t="str">
        <f>IFERROR(__xludf.DUMMYFUNCTION("IF(OR(E10001="""",K10001=""""),"""",IFERROR(IF(K10001="""","""",query('tbl user'!$A$2:$D10975,""SELECT A WHERE D = '""&amp;K10001&amp;""'"")),""USER TIDAK DIKETAHUI""))"),"")</f>
        <v/>
      </c>
    </row>
    <row r="10002">
      <c r="A10002" s="21" t="str">
        <f t="shared" si="3"/>
        <v/>
      </c>
      <c r="B10002" s="38"/>
      <c r="C10002" s="23"/>
      <c r="D10002" s="23"/>
      <c r="E10002" s="24"/>
      <c r="F10002" s="25"/>
      <c r="G10002" s="25"/>
      <c r="H10002" s="27"/>
      <c r="I10002" s="28"/>
      <c r="J10002" s="39"/>
      <c r="K10002" s="41"/>
      <c r="L10002" s="31" t="str">
        <f>IFERROR(__xludf.DUMMYFUNCTION("IF(OR(E10002="""",K10002=""""),"""",IFERROR(IF(K10002="""","""",query('tbl user'!$A$2:$D10975,""SELECT A WHERE D = '""&amp;K10002&amp;""'"")),""USER TIDAK DIKETAHUI""))"),"")</f>
        <v/>
      </c>
    </row>
    <row r="10003">
      <c r="A10003" s="21" t="str">
        <f t="shared" si="3"/>
        <v/>
      </c>
      <c r="B10003" s="38"/>
      <c r="C10003" s="23"/>
      <c r="D10003" s="23"/>
      <c r="E10003" s="24"/>
      <c r="F10003" s="25"/>
      <c r="G10003" s="25"/>
      <c r="H10003" s="27"/>
      <c r="I10003" s="28"/>
      <c r="J10003" s="39"/>
      <c r="K10003" s="41"/>
      <c r="L10003" s="31" t="str">
        <f>IFERROR(__xludf.DUMMYFUNCTION("IF(OR(E10003="""",K10003=""""),"""",IFERROR(IF(K10003="""","""",query('tbl user'!$A$2:$D10975,""SELECT A WHERE D = '""&amp;K10003&amp;""'"")),""USER TIDAK DIKETAHUI""))"),"")</f>
        <v/>
      </c>
    </row>
    <row r="10004">
      <c r="A10004" s="21" t="str">
        <f t="shared" si="3"/>
        <v/>
      </c>
      <c r="B10004" s="38"/>
      <c r="C10004" s="23"/>
      <c r="D10004" s="23"/>
      <c r="E10004" s="24"/>
      <c r="F10004" s="25"/>
      <c r="G10004" s="25"/>
      <c r="H10004" s="27"/>
      <c r="I10004" s="28"/>
      <c r="J10004" s="39"/>
      <c r="K10004" s="41"/>
      <c r="L10004" s="31" t="str">
        <f>IFERROR(__xludf.DUMMYFUNCTION("IF(OR(E10004="""",K10004=""""),"""",IFERROR(IF(K10004="""","""",query('tbl user'!$A$2:$D10975,""SELECT A WHERE D = '""&amp;K10004&amp;""'"")),""USER TIDAK DIKETAHUI""))"),"")</f>
        <v/>
      </c>
    </row>
    <row r="10005">
      <c r="A10005" s="21" t="str">
        <f t="shared" si="3"/>
        <v/>
      </c>
      <c r="B10005" s="38"/>
      <c r="C10005" s="23"/>
      <c r="D10005" s="23"/>
      <c r="E10005" s="24"/>
      <c r="F10005" s="25"/>
      <c r="G10005" s="25"/>
      <c r="H10005" s="27"/>
      <c r="I10005" s="28"/>
      <c r="J10005" s="39"/>
      <c r="K10005" s="41"/>
      <c r="L10005" s="31" t="str">
        <f>IFERROR(__xludf.DUMMYFUNCTION("IF(OR(E10005="""",K10005=""""),"""",IFERROR(IF(K10005="""","""",query('tbl user'!$A$2:$D10975,""SELECT A WHERE D = '""&amp;K10005&amp;""'"")),""USER TIDAK DIKETAHUI""))"),"")</f>
        <v/>
      </c>
    </row>
    <row r="10006">
      <c r="A10006" s="21" t="str">
        <f t="shared" si="3"/>
        <v/>
      </c>
      <c r="B10006" s="38"/>
      <c r="C10006" s="23"/>
      <c r="D10006" s="23"/>
      <c r="E10006" s="24"/>
      <c r="F10006" s="25"/>
      <c r="G10006" s="25"/>
      <c r="H10006" s="27"/>
      <c r="I10006" s="28"/>
      <c r="J10006" s="39"/>
      <c r="K10006" s="41"/>
      <c r="L10006" s="31" t="str">
        <f>IFERROR(__xludf.DUMMYFUNCTION("IF(OR(E10006="""",K10006=""""),"""",IFERROR(IF(K10006="""","""",query('tbl user'!$A$2:$D10975,""SELECT A WHERE D = '""&amp;K10006&amp;""'"")),""USER TIDAK DIKETAHUI""))"),"")</f>
        <v/>
      </c>
    </row>
    <row r="10007">
      <c r="A10007" s="21" t="str">
        <f t="shared" si="3"/>
        <v/>
      </c>
      <c r="B10007" s="38"/>
      <c r="C10007" s="23"/>
      <c r="D10007" s="23"/>
      <c r="E10007" s="24"/>
      <c r="F10007" s="25"/>
      <c r="G10007" s="25"/>
      <c r="H10007" s="27"/>
      <c r="I10007" s="28"/>
      <c r="J10007" s="39"/>
      <c r="K10007" s="41"/>
      <c r="L10007" s="31" t="str">
        <f>IFERROR(__xludf.DUMMYFUNCTION("IF(OR(E10007="""",K10007=""""),"""",IFERROR(IF(K10007="""","""",query('tbl user'!$A$2:$D10975,""SELECT A WHERE D = '""&amp;K10007&amp;""'"")),""USER TIDAK DIKETAHUI""))"),"")</f>
        <v/>
      </c>
    </row>
    <row r="10008">
      <c r="A10008" s="21" t="str">
        <f t="shared" si="3"/>
        <v/>
      </c>
      <c r="B10008" s="38"/>
      <c r="C10008" s="23"/>
      <c r="D10008" s="23"/>
      <c r="E10008" s="24"/>
      <c r="F10008" s="25"/>
      <c r="G10008" s="25"/>
      <c r="H10008" s="27"/>
      <c r="I10008" s="28"/>
      <c r="J10008" s="39"/>
      <c r="K10008" s="41"/>
      <c r="L10008" s="31" t="str">
        <f>IFERROR(__xludf.DUMMYFUNCTION("IF(OR(E10008="""",K10008=""""),"""",IFERROR(IF(K10008="""","""",query('tbl user'!$A$2:$D10975,""SELECT A WHERE D = '""&amp;K10008&amp;""'"")),""USER TIDAK DIKETAHUI""))"),"")</f>
        <v/>
      </c>
    </row>
    <row r="10009">
      <c r="A10009" s="21" t="str">
        <f t="shared" si="3"/>
        <v/>
      </c>
      <c r="B10009" s="38"/>
      <c r="C10009" s="23"/>
      <c r="D10009" s="23"/>
      <c r="E10009" s="24"/>
      <c r="F10009" s="25"/>
      <c r="G10009" s="25"/>
      <c r="H10009" s="27"/>
      <c r="I10009" s="28"/>
      <c r="J10009" s="39"/>
      <c r="K10009" s="41"/>
      <c r="L10009" s="31" t="str">
        <f>IFERROR(__xludf.DUMMYFUNCTION("IF(OR(E10009="""",K10009=""""),"""",IFERROR(IF(K10009="""","""",query('tbl user'!$A$2:$D10975,""SELECT A WHERE D = '""&amp;K10009&amp;""'"")),""USER TIDAK DIKETAHUI""))"),"")</f>
        <v/>
      </c>
    </row>
    <row r="10010">
      <c r="A10010" s="21" t="str">
        <f t="shared" si="3"/>
        <v/>
      </c>
      <c r="B10010" s="38"/>
      <c r="C10010" s="23"/>
      <c r="D10010" s="23"/>
      <c r="E10010" s="24"/>
      <c r="F10010" s="25"/>
      <c r="G10010" s="25"/>
      <c r="H10010" s="27"/>
      <c r="I10010" s="28"/>
      <c r="J10010" s="39"/>
      <c r="K10010" s="41"/>
      <c r="L10010" s="31" t="str">
        <f>IFERROR(__xludf.DUMMYFUNCTION("IF(OR(E10010="""",K10010=""""),"""",IFERROR(IF(K10010="""","""",query('tbl user'!$A$2:$D10975,""SELECT A WHERE D = '""&amp;K10010&amp;""'"")),""USER TIDAK DIKETAHUI""))"),"")</f>
        <v/>
      </c>
    </row>
    <row r="10011">
      <c r="A10011" s="21" t="str">
        <f t="shared" si="3"/>
        <v/>
      </c>
      <c r="B10011" s="38"/>
      <c r="C10011" s="23"/>
      <c r="D10011" s="23"/>
      <c r="E10011" s="24"/>
      <c r="F10011" s="25"/>
      <c r="G10011" s="25"/>
      <c r="H10011" s="27"/>
      <c r="I10011" s="28"/>
      <c r="J10011" s="39"/>
      <c r="K10011" s="41"/>
      <c r="L10011" s="31" t="str">
        <f>IFERROR(__xludf.DUMMYFUNCTION("IF(OR(E10011="""",K10011=""""),"""",IFERROR(IF(K10011="""","""",query('tbl user'!$A$2:$D10975,""SELECT A WHERE D = '""&amp;K10011&amp;""'"")),""USER TIDAK DIKETAHUI""))"),"")</f>
        <v/>
      </c>
    </row>
    <row r="10012">
      <c r="A10012" s="21" t="str">
        <f t="shared" si="3"/>
        <v/>
      </c>
      <c r="B10012" s="38"/>
      <c r="C10012" s="23"/>
      <c r="D10012" s="23"/>
      <c r="E10012" s="24"/>
      <c r="F10012" s="25"/>
      <c r="G10012" s="25"/>
      <c r="H10012" s="27"/>
      <c r="I10012" s="28"/>
      <c r="J10012" s="39"/>
      <c r="K10012" s="41"/>
      <c r="L10012" s="31" t="str">
        <f>IFERROR(__xludf.DUMMYFUNCTION("IF(OR(E10012="""",K10012=""""),"""",IFERROR(IF(K10012="""","""",query('tbl user'!$A$2:$D10975,""SELECT A WHERE D = '""&amp;K10012&amp;""'"")),""USER TIDAK DIKETAHUI""))"),"")</f>
        <v/>
      </c>
    </row>
    <row r="10013">
      <c r="A10013" s="21" t="str">
        <f t="shared" si="3"/>
        <v/>
      </c>
      <c r="B10013" s="38"/>
      <c r="C10013" s="23"/>
      <c r="D10013" s="23"/>
      <c r="E10013" s="24"/>
      <c r="F10013" s="25"/>
      <c r="G10013" s="25"/>
      <c r="H10013" s="27"/>
      <c r="I10013" s="28"/>
      <c r="J10013" s="39"/>
      <c r="K10013" s="41"/>
      <c r="L10013" s="31" t="str">
        <f>IFERROR(__xludf.DUMMYFUNCTION("IF(OR(E10013="""",K10013=""""),"""",IFERROR(IF(K10013="""","""",query('tbl user'!$A$2:$D10975,""SELECT A WHERE D = '""&amp;K10013&amp;""'"")),""USER TIDAK DIKETAHUI""))"),"")</f>
        <v/>
      </c>
    </row>
    <row r="10014">
      <c r="A10014" s="21" t="str">
        <f t="shared" si="3"/>
        <v/>
      </c>
      <c r="B10014" s="38"/>
      <c r="C10014" s="23"/>
      <c r="D10014" s="23"/>
      <c r="E10014" s="24"/>
      <c r="F10014" s="25"/>
      <c r="G10014" s="25"/>
      <c r="H10014" s="27"/>
      <c r="I10014" s="28"/>
      <c r="J10014" s="39"/>
      <c r="K10014" s="41"/>
      <c r="L10014" s="31" t="str">
        <f>IFERROR(__xludf.DUMMYFUNCTION("IF(OR(E10014="""",K10014=""""),"""",IFERROR(IF(K10014="""","""",query('tbl user'!$A$2:$D10975,""SELECT A WHERE D = '""&amp;K10014&amp;""'"")),""USER TIDAK DIKETAHUI""))"),"")</f>
        <v/>
      </c>
    </row>
    <row r="10015">
      <c r="A10015" s="21" t="str">
        <f t="shared" si="3"/>
        <v/>
      </c>
      <c r="B10015" s="38"/>
      <c r="C10015" s="23"/>
      <c r="D10015" s="23"/>
      <c r="E10015" s="24"/>
      <c r="F10015" s="25"/>
      <c r="G10015" s="25"/>
      <c r="H10015" s="27"/>
      <c r="I10015" s="28"/>
      <c r="J10015" s="39"/>
      <c r="K10015" s="41"/>
      <c r="L10015" s="31" t="str">
        <f>IFERROR(__xludf.DUMMYFUNCTION("IF(OR(E10015="""",K10015=""""),"""",IFERROR(IF(K10015="""","""",query('tbl user'!$A$2:$D10975,""SELECT A WHERE D = '""&amp;K10015&amp;""'"")),""USER TIDAK DIKETAHUI""))"),"")</f>
        <v/>
      </c>
    </row>
    <row r="10016">
      <c r="A10016" s="21" t="str">
        <f t="shared" si="3"/>
        <v/>
      </c>
      <c r="B10016" s="38"/>
      <c r="C10016" s="23"/>
      <c r="D10016" s="23"/>
      <c r="E10016" s="24"/>
      <c r="F10016" s="25"/>
      <c r="G10016" s="25"/>
      <c r="H10016" s="27"/>
      <c r="I10016" s="28"/>
      <c r="J10016" s="39"/>
      <c r="K10016" s="41"/>
      <c r="L10016" s="31" t="str">
        <f>IFERROR(__xludf.DUMMYFUNCTION("IF(OR(E10016="""",K10016=""""),"""",IFERROR(IF(K10016="""","""",query('tbl user'!$A$2:$D10975,""SELECT A WHERE D = '""&amp;K10016&amp;""'"")),""USER TIDAK DIKETAHUI""))"),"")</f>
        <v/>
      </c>
    </row>
    <row r="10017">
      <c r="A10017" s="21" t="str">
        <f t="shared" si="3"/>
        <v/>
      </c>
      <c r="B10017" s="38"/>
      <c r="C10017" s="23"/>
      <c r="D10017" s="23"/>
      <c r="E10017" s="24"/>
      <c r="F10017" s="25"/>
      <c r="G10017" s="25"/>
      <c r="H10017" s="27"/>
      <c r="I10017" s="28"/>
      <c r="J10017" s="39"/>
      <c r="K10017" s="41"/>
      <c r="L10017" s="31" t="str">
        <f>IFERROR(__xludf.DUMMYFUNCTION("IF(OR(E10017="""",K10017=""""),"""",IFERROR(IF(K10017="""","""",query('tbl user'!$A$2:$D10975,""SELECT A WHERE D = '""&amp;K10017&amp;""'"")),""USER TIDAK DIKETAHUI""))"),"")</f>
        <v/>
      </c>
    </row>
    <row r="10018">
      <c r="A10018" s="21" t="str">
        <f t="shared" si="3"/>
        <v/>
      </c>
      <c r="B10018" s="38"/>
      <c r="C10018" s="23"/>
      <c r="D10018" s="23"/>
      <c r="E10018" s="24"/>
      <c r="F10018" s="25"/>
      <c r="G10018" s="25"/>
      <c r="H10018" s="27"/>
      <c r="I10018" s="28"/>
      <c r="J10018" s="39"/>
      <c r="K10018" s="41"/>
      <c r="L10018" s="31" t="str">
        <f>IFERROR(__xludf.DUMMYFUNCTION("IF(OR(E10018="""",K10018=""""),"""",IFERROR(IF(K10018="""","""",query('tbl user'!$A$2:$D10975,""SELECT A WHERE D = '""&amp;K10018&amp;""'"")),""USER TIDAK DIKETAHUI""))"),"")</f>
        <v/>
      </c>
    </row>
    <row r="10019">
      <c r="A10019" s="21" t="str">
        <f t="shared" si="3"/>
        <v/>
      </c>
      <c r="B10019" s="38"/>
      <c r="C10019" s="23"/>
      <c r="D10019" s="23"/>
      <c r="E10019" s="24"/>
      <c r="F10019" s="25"/>
      <c r="G10019" s="25"/>
      <c r="H10019" s="27"/>
      <c r="I10019" s="28"/>
      <c r="J10019" s="39"/>
      <c r="K10019" s="41"/>
      <c r="L10019" s="31" t="str">
        <f>IFERROR(__xludf.DUMMYFUNCTION("IF(OR(E10019="""",K10019=""""),"""",IFERROR(IF(K10019="""","""",query('tbl user'!$A$2:$D10975,""SELECT A WHERE D = '""&amp;K10019&amp;""'"")),""USER TIDAK DIKETAHUI""))"),"")</f>
        <v/>
      </c>
    </row>
    <row r="10020">
      <c r="A10020" s="21" t="str">
        <f t="shared" si="3"/>
        <v/>
      </c>
      <c r="B10020" s="38"/>
      <c r="C10020" s="23"/>
      <c r="D10020" s="23"/>
      <c r="E10020" s="24"/>
      <c r="F10020" s="25"/>
      <c r="G10020" s="25"/>
      <c r="H10020" s="27"/>
      <c r="I10020" s="28"/>
      <c r="J10020" s="39"/>
      <c r="K10020" s="41"/>
      <c r="L10020" s="31" t="str">
        <f>IFERROR(__xludf.DUMMYFUNCTION("IF(OR(E10020="""",K10020=""""),"""",IFERROR(IF(K10020="""","""",query('tbl user'!$A$2:$D10975,""SELECT A WHERE D = '""&amp;K10020&amp;""'"")),""USER TIDAK DIKETAHUI""))"),"")</f>
        <v/>
      </c>
    </row>
    <row r="10021">
      <c r="A10021" s="21" t="str">
        <f t="shared" si="3"/>
        <v/>
      </c>
      <c r="B10021" s="38"/>
      <c r="C10021" s="23"/>
      <c r="D10021" s="23"/>
      <c r="E10021" s="24"/>
      <c r="F10021" s="25"/>
      <c r="G10021" s="25"/>
      <c r="H10021" s="27"/>
      <c r="I10021" s="28"/>
      <c r="J10021" s="39"/>
      <c r="K10021" s="41"/>
      <c r="L10021" s="31" t="str">
        <f>IFERROR(__xludf.DUMMYFUNCTION("IF(OR(E10021="""",K10021=""""),"""",IFERROR(IF(K10021="""","""",query('tbl user'!$A$2:$D10975,""SELECT A WHERE D = '""&amp;K10021&amp;""'"")),""USER TIDAK DIKETAHUI""))"),"")</f>
        <v/>
      </c>
    </row>
    <row r="10022">
      <c r="A10022" s="21" t="str">
        <f t="shared" si="3"/>
        <v/>
      </c>
      <c r="B10022" s="38"/>
      <c r="C10022" s="23"/>
      <c r="D10022" s="23"/>
      <c r="E10022" s="24"/>
      <c r="F10022" s="25"/>
      <c r="G10022" s="25"/>
      <c r="H10022" s="27"/>
      <c r="I10022" s="28"/>
      <c r="J10022" s="39"/>
      <c r="K10022" s="41"/>
      <c r="L10022" s="31" t="str">
        <f>IFERROR(__xludf.DUMMYFUNCTION("IF(OR(E10022="""",K10022=""""),"""",IFERROR(IF(K10022="""","""",query('tbl user'!$A$2:$D10975,""SELECT A WHERE D = '""&amp;K10022&amp;""'"")),""USER TIDAK DIKETAHUI""))"),"")</f>
        <v/>
      </c>
    </row>
    <row r="10023">
      <c r="A10023" s="21" t="str">
        <f t="shared" si="3"/>
        <v/>
      </c>
      <c r="B10023" s="38"/>
      <c r="C10023" s="23"/>
      <c r="D10023" s="23"/>
      <c r="E10023" s="24"/>
      <c r="F10023" s="25"/>
      <c r="G10023" s="25"/>
      <c r="H10023" s="27"/>
      <c r="I10023" s="28"/>
      <c r="J10023" s="39"/>
      <c r="K10023" s="41"/>
      <c r="L10023" s="31" t="str">
        <f>IFERROR(__xludf.DUMMYFUNCTION("IF(OR(E10023="""",K10023=""""),"""",IFERROR(IF(K10023="""","""",query('tbl user'!$A$2:$D10975,""SELECT A WHERE D = '""&amp;K10023&amp;""'"")),""USER TIDAK DIKETAHUI""))"),"")</f>
        <v/>
      </c>
    </row>
    <row r="10024">
      <c r="A10024" s="21" t="str">
        <f t="shared" si="3"/>
        <v/>
      </c>
      <c r="B10024" s="38"/>
      <c r="C10024" s="23"/>
      <c r="D10024" s="23"/>
      <c r="E10024" s="24"/>
      <c r="F10024" s="25"/>
      <c r="G10024" s="25"/>
      <c r="H10024" s="27"/>
      <c r="I10024" s="28"/>
      <c r="J10024" s="39"/>
      <c r="K10024" s="41"/>
      <c r="L10024" s="31" t="str">
        <f>IFERROR(__xludf.DUMMYFUNCTION("IF(OR(E10024="""",K10024=""""),"""",IFERROR(IF(K10024="""","""",query('tbl user'!$A$2:$D10975,""SELECT A WHERE D = '""&amp;K10024&amp;""'"")),""USER TIDAK DIKETAHUI""))"),"")</f>
        <v/>
      </c>
    </row>
    <row r="10025">
      <c r="A10025" s="21" t="str">
        <f t="shared" si="3"/>
        <v/>
      </c>
      <c r="B10025" s="38"/>
      <c r="C10025" s="23"/>
      <c r="D10025" s="23"/>
      <c r="E10025" s="24"/>
      <c r="F10025" s="25"/>
      <c r="G10025" s="25"/>
      <c r="H10025" s="27"/>
      <c r="I10025" s="28"/>
      <c r="J10025" s="39"/>
      <c r="K10025" s="41"/>
      <c r="L10025" s="31" t="str">
        <f>IFERROR(__xludf.DUMMYFUNCTION("IF(OR(E10025="""",K10025=""""),"""",IFERROR(IF(K10025="""","""",query('tbl user'!$A$2:$D10975,""SELECT A WHERE D = '""&amp;K10025&amp;""'"")),""USER TIDAK DIKETAHUI""))"),"")</f>
        <v/>
      </c>
    </row>
    <row r="10026">
      <c r="A10026" s="21" t="str">
        <f t="shared" si="3"/>
        <v/>
      </c>
      <c r="B10026" s="38"/>
      <c r="C10026" s="23"/>
      <c r="D10026" s="23"/>
      <c r="E10026" s="24"/>
      <c r="F10026" s="25"/>
      <c r="G10026" s="25"/>
      <c r="H10026" s="27"/>
      <c r="I10026" s="28"/>
      <c r="J10026" s="39"/>
      <c r="K10026" s="41"/>
      <c r="L10026" s="31" t="str">
        <f>IFERROR(__xludf.DUMMYFUNCTION("IF(OR(E10026="""",K10026=""""),"""",IFERROR(IF(K10026="""","""",query('tbl user'!$A$2:$D10975,""SELECT A WHERE D = '""&amp;K10026&amp;""'"")),""USER TIDAK DIKETAHUI""))"),"")</f>
        <v/>
      </c>
    </row>
    <row r="10027">
      <c r="A10027" s="21" t="str">
        <f t="shared" si="3"/>
        <v/>
      </c>
      <c r="B10027" s="38"/>
      <c r="C10027" s="23"/>
      <c r="D10027" s="23"/>
      <c r="E10027" s="24"/>
      <c r="F10027" s="25"/>
      <c r="G10027" s="25"/>
      <c r="H10027" s="27"/>
      <c r="I10027" s="28"/>
      <c r="J10027" s="39"/>
      <c r="K10027" s="41"/>
      <c r="L10027" s="31" t="str">
        <f>IFERROR(__xludf.DUMMYFUNCTION("IF(OR(E10027="""",K10027=""""),"""",IFERROR(IF(K10027="""","""",query('tbl user'!$A$2:$D10975,""SELECT A WHERE D = '""&amp;K10027&amp;""'"")),""USER TIDAK DIKETAHUI""))"),"")</f>
        <v/>
      </c>
    </row>
    <row r="10028">
      <c r="A10028" s="21" t="str">
        <f t="shared" si="3"/>
        <v/>
      </c>
      <c r="B10028" s="38"/>
      <c r="C10028" s="23"/>
      <c r="D10028" s="23"/>
      <c r="E10028" s="24"/>
      <c r="F10028" s="25"/>
      <c r="G10028" s="25"/>
      <c r="H10028" s="27"/>
      <c r="I10028" s="28"/>
      <c r="J10028" s="39"/>
      <c r="K10028" s="41"/>
      <c r="L10028" s="31" t="str">
        <f>IFERROR(__xludf.DUMMYFUNCTION("IF(OR(E10028="""",K10028=""""),"""",IFERROR(IF(K10028="""","""",query('tbl user'!$A$2:$D10975,""SELECT A WHERE D = '""&amp;K10028&amp;""'"")),""USER TIDAK DIKETAHUI""))"),"")</f>
        <v/>
      </c>
    </row>
    <row r="10029">
      <c r="A10029" s="21" t="str">
        <f t="shared" si="3"/>
        <v/>
      </c>
      <c r="B10029" s="38"/>
      <c r="C10029" s="23"/>
      <c r="D10029" s="23"/>
      <c r="E10029" s="24"/>
      <c r="F10029" s="25"/>
      <c r="G10029" s="25"/>
      <c r="H10029" s="27"/>
      <c r="I10029" s="28"/>
      <c r="J10029" s="39"/>
      <c r="K10029" s="41"/>
      <c r="L10029" s="31" t="str">
        <f>IFERROR(__xludf.DUMMYFUNCTION("IF(OR(E10029="""",K10029=""""),"""",IFERROR(IF(K10029="""","""",query('tbl user'!$A$2:$D10975,""SELECT A WHERE D = '""&amp;K10029&amp;""'"")),""USER TIDAK DIKETAHUI""))"),"")</f>
        <v/>
      </c>
    </row>
    <row r="10030">
      <c r="A10030" s="21" t="str">
        <f t="shared" si="3"/>
        <v/>
      </c>
      <c r="B10030" s="38"/>
      <c r="C10030" s="23"/>
      <c r="D10030" s="23"/>
      <c r="E10030" s="24"/>
      <c r="F10030" s="25"/>
      <c r="G10030" s="25"/>
      <c r="H10030" s="27"/>
      <c r="I10030" s="28"/>
      <c r="J10030" s="39"/>
      <c r="K10030" s="41"/>
      <c r="L10030" s="31" t="str">
        <f>IFERROR(__xludf.DUMMYFUNCTION("IF(OR(E10030="""",K10030=""""),"""",IFERROR(IF(K10030="""","""",query('tbl user'!$A$2:$D10975,""SELECT A WHERE D = '""&amp;K10030&amp;""'"")),""USER TIDAK DIKETAHUI""))"),"")</f>
        <v/>
      </c>
    </row>
    <row r="10031">
      <c r="A10031" s="21" t="str">
        <f t="shared" si="3"/>
        <v/>
      </c>
      <c r="B10031" s="38"/>
      <c r="C10031" s="23"/>
      <c r="D10031" s="23"/>
      <c r="E10031" s="24"/>
      <c r="F10031" s="25"/>
      <c r="G10031" s="25"/>
      <c r="H10031" s="27"/>
      <c r="I10031" s="28"/>
      <c r="J10031" s="39"/>
      <c r="K10031" s="41"/>
      <c r="L10031" s="31" t="str">
        <f>IFERROR(__xludf.DUMMYFUNCTION("IF(OR(E10031="""",K10031=""""),"""",IFERROR(IF(K10031="""","""",query('tbl user'!$A$2:$D10975,""SELECT A WHERE D = '""&amp;K10031&amp;""'"")),""USER TIDAK DIKETAHUI""))"),"")</f>
        <v/>
      </c>
    </row>
    <row r="10032">
      <c r="A10032" s="21" t="str">
        <f t="shared" si="3"/>
        <v/>
      </c>
      <c r="B10032" s="38"/>
      <c r="C10032" s="23"/>
      <c r="D10032" s="23"/>
      <c r="E10032" s="24"/>
      <c r="F10032" s="25"/>
      <c r="G10032" s="25"/>
      <c r="H10032" s="27"/>
      <c r="I10032" s="28"/>
      <c r="J10032" s="39"/>
      <c r="K10032" s="41"/>
      <c r="L10032" s="31" t="str">
        <f>IFERROR(__xludf.DUMMYFUNCTION("IF(OR(E10032="""",K10032=""""),"""",IFERROR(IF(K10032="""","""",query('tbl user'!$A$2:$D10975,""SELECT A WHERE D = '""&amp;K10032&amp;""'"")),""USER TIDAK DIKETAHUI""))"),"")</f>
        <v/>
      </c>
    </row>
    <row r="10033">
      <c r="A10033" s="21" t="str">
        <f t="shared" si="3"/>
        <v/>
      </c>
      <c r="B10033" s="38"/>
      <c r="C10033" s="23"/>
      <c r="D10033" s="23"/>
      <c r="E10033" s="24"/>
      <c r="F10033" s="25"/>
      <c r="G10033" s="25"/>
      <c r="H10033" s="27"/>
      <c r="I10033" s="28"/>
      <c r="J10033" s="39"/>
      <c r="K10033" s="41"/>
      <c r="L10033" s="31" t="str">
        <f>IFERROR(__xludf.DUMMYFUNCTION("IF(OR(E10033="""",K10033=""""),"""",IFERROR(IF(K10033="""","""",query('tbl user'!$A$2:$D10975,""SELECT A WHERE D = '""&amp;K10033&amp;""'"")),""USER TIDAK DIKETAHUI""))"),"")</f>
        <v/>
      </c>
    </row>
    <row r="10034">
      <c r="A10034" s="21" t="str">
        <f t="shared" si="3"/>
        <v/>
      </c>
      <c r="B10034" s="38"/>
      <c r="C10034" s="23"/>
      <c r="D10034" s="23"/>
      <c r="E10034" s="24"/>
      <c r="F10034" s="25"/>
      <c r="G10034" s="25"/>
      <c r="H10034" s="27"/>
      <c r="I10034" s="28"/>
      <c r="J10034" s="39"/>
      <c r="K10034" s="41"/>
      <c r="L10034" s="31" t="str">
        <f>IFERROR(__xludf.DUMMYFUNCTION("IF(OR(E10034="""",K10034=""""),"""",IFERROR(IF(K10034="""","""",query('tbl user'!$A$2:$D10975,""SELECT A WHERE D = '""&amp;K10034&amp;""'"")),""USER TIDAK DIKETAHUI""))"),"")</f>
        <v/>
      </c>
    </row>
    <row r="10035">
      <c r="A10035" s="21" t="str">
        <f t="shared" si="3"/>
        <v/>
      </c>
      <c r="B10035" s="38"/>
      <c r="C10035" s="23"/>
      <c r="D10035" s="23"/>
      <c r="E10035" s="24"/>
      <c r="F10035" s="25"/>
      <c r="G10035" s="25"/>
      <c r="H10035" s="27"/>
      <c r="I10035" s="28"/>
      <c r="J10035" s="39"/>
      <c r="K10035" s="41"/>
      <c r="L10035" s="31" t="str">
        <f>IFERROR(__xludf.DUMMYFUNCTION("IF(OR(E10035="""",K10035=""""),"""",IFERROR(IF(K10035="""","""",query('tbl user'!$A$2:$D10975,""SELECT A WHERE D = '""&amp;K10035&amp;""'"")),""USER TIDAK DIKETAHUI""))"),"")</f>
        <v/>
      </c>
    </row>
    <row r="10036">
      <c r="A10036" s="21" t="str">
        <f t="shared" si="3"/>
        <v/>
      </c>
      <c r="B10036" s="38"/>
      <c r="C10036" s="23"/>
      <c r="D10036" s="23"/>
      <c r="E10036" s="24"/>
      <c r="F10036" s="25"/>
      <c r="G10036" s="25"/>
      <c r="H10036" s="27"/>
      <c r="I10036" s="28"/>
      <c r="J10036" s="39"/>
      <c r="K10036" s="41"/>
      <c r="L10036" s="31" t="str">
        <f>IFERROR(__xludf.DUMMYFUNCTION("IF(OR(E10036="""",K10036=""""),"""",IFERROR(IF(K10036="""","""",query('tbl user'!$A$2:$D10975,""SELECT A WHERE D = '""&amp;K10036&amp;""'"")),""USER TIDAK DIKETAHUI""))"),"")</f>
        <v/>
      </c>
    </row>
    <row r="10037">
      <c r="A10037" s="21" t="str">
        <f t="shared" si="3"/>
        <v/>
      </c>
      <c r="B10037" s="38"/>
      <c r="C10037" s="23"/>
      <c r="D10037" s="23"/>
      <c r="E10037" s="24"/>
      <c r="F10037" s="25"/>
      <c r="G10037" s="25"/>
      <c r="H10037" s="27"/>
      <c r="I10037" s="28"/>
      <c r="J10037" s="39"/>
      <c r="K10037" s="41"/>
      <c r="L10037" s="31" t="str">
        <f>IFERROR(__xludf.DUMMYFUNCTION("IF(OR(E10037="""",K10037=""""),"""",IFERROR(IF(K10037="""","""",query('tbl user'!$A$2:$D10975,""SELECT A WHERE D = '""&amp;K10037&amp;""'"")),""USER TIDAK DIKETAHUI""))"),"")</f>
        <v/>
      </c>
    </row>
    <row r="10038">
      <c r="A10038" s="21" t="str">
        <f t="shared" si="3"/>
        <v/>
      </c>
      <c r="B10038" s="38"/>
      <c r="C10038" s="23"/>
      <c r="D10038" s="23"/>
      <c r="E10038" s="24"/>
      <c r="F10038" s="25"/>
      <c r="G10038" s="25"/>
      <c r="H10038" s="27"/>
      <c r="I10038" s="28"/>
      <c r="J10038" s="39"/>
      <c r="K10038" s="41"/>
      <c r="L10038" s="31" t="str">
        <f>IFERROR(__xludf.DUMMYFUNCTION("IF(OR(E10038="""",K10038=""""),"""",IFERROR(IF(K10038="""","""",query('tbl user'!$A$2:$D10975,""SELECT A WHERE D = '""&amp;K10038&amp;""'"")),""USER TIDAK DIKETAHUI""))"),"")</f>
        <v/>
      </c>
    </row>
    <row r="10039">
      <c r="A10039" s="21" t="str">
        <f t="shared" si="3"/>
        <v/>
      </c>
      <c r="B10039" s="38"/>
      <c r="C10039" s="23"/>
      <c r="D10039" s="23"/>
      <c r="E10039" s="24"/>
      <c r="F10039" s="25"/>
      <c r="G10039" s="25"/>
      <c r="H10039" s="27"/>
      <c r="I10039" s="28"/>
      <c r="J10039" s="39"/>
      <c r="K10039" s="41"/>
      <c r="L10039" s="31" t="str">
        <f>IFERROR(__xludf.DUMMYFUNCTION("IF(OR(E10039="""",K10039=""""),"""",IFERROR(IF(K10039="""","""",query('tbl user'!$A$2:$D10975,""SELECT A WHERE D = '""&amp;K10039&amp;""'"")),""USER TIDAK DIKETAHUI""))"),"")</f>
        <v/>
      </c>
    </row>
    <row r="10040">
      <c r="A10040" s="21" t="str">
        <f t="shared" si="3"/>
        <v/>
      </c>
      <c r="B10040" s="38"/>
      <c r="C10040" s="23"/>
      <c r="D10040" s="23"/>
      <c r="E10040" s="24"/>
      <c r="F10040" s="25"/>
      <c r="G10040" s="25"/>
      <c r="H10040" s="27"/>
      <c r="I10040" s="28"/>
      <c r="J10040" s="39"/>
      <c r="K10040" s="41"/>
      <c r="L10040" s="31" t="str">
        <f>IFERROR(__xludf.DUMMYFUNCTION("IF(OR(E10040="""",K10040=""""),"""",IFERROR(IF(K10040="""","""",query('tbl user'!$A$2:$D10975,""SELECT A WHERE D = '""&amp;K10040&amp;""'"")),""USER TIDAK DIKETAHUI""))"),"")</f>
        <v/>
      </c>
    </row>
    <row r="10041">
      <c r="A10041" s="21" t="str">
        <f t="shared" si="3"/>
        <v/>
      </c>
      <c r="B10041" s="38"/>
      <c r="C10041" s="23"/>
      <c r="D10041" s="23"/>
      <c r="E10041" s="24"/>
      <c r="F10041" s="25"/>
      <c r="G10041" s="25"/>
      <c r="H10041" s="27"/>
      <c r="I10041" s="28"/>
      <c r="J10041" s="39"/>
      <c r="K10041" s="41"/>
      <c r="L10041" s="31" t="str">
        <f>IFERROR(__xludf.DUMMYFUNCTION("IF(OR(E10041="""",K10041=""""),"""",IFERROR(IF(K10041="""","""",query('tbl user'!$A$2:$D10975,""SELECT A WHERE D = '""&amp;K10041&amp;""'"")),""USER TIDAK DIKETAHUI""))"),"")</f>
        <v/>
      </c>
    </row>
    <row r="10042">
      <c r="A10042" s="21" t="str">
        <f t="shared" si="3"/>
        <v/>
      </c>
      <c r="B10042" s="38"/>
      <c r="C10042" s="23"/>
      <c r="D10042" s="23"/>
      <c r="E10042" s="24"/>
      <c r="F10042" s="25"/>
      <c r="G10042" s="25"/>
      <c r="H10042" s="27"/>
      <c r="I10042" s="28"/>
      <c r="J10042" s="39"/>
      <c r="K10042" s="41"/>
      <c r="L10042" s="31" t="str">
        <f>IFERROR(__xludf.DUMMYFUNCTION("IF(OR(E10042="""",K10042=""""),"""",IFERROR(IF(K10042="""","""",query('tbl user'!$A$2:$D10975,""SELECT A WHERE D = '""&amp;K10042&amp;""'"")),""USER TIDAK DIKETAHUI""))"),"")</f>
        <v/>
      </c>
    </row>
    <row r="10043">
      <c r="A10043" s="21" t="str">
        <f t="shared" si="3"/>
        <v/>
      </c>
      <c r="B10043" s="38"/>
      <c r="C10043" s="23"/>
      <c r="D10043" s="23"/>
      <c r="E10043" s="24"/>
      <c r="F10043" s="25"/>
      <c r="G10043" s="25"/>
      <c r="H10043" s="27"/>
      <c r="I10043" s="28"/>
      <c r="J10043" s="39"/>
      <c r="K10043" s="41"/>
      <c r="L10043" s="31" t="str">
        <f>IFERROR(__xludf.DUMMYFUNCTION("IF(OR(E10043="""",K10043=""""),"""",IFERROR(IF(K10043="""","""",query('tbl user'!$A$2:$D10975,""SELECT A WHERE D = '""&amp;K10043&amp;""'"")),""USER TIDAK DIKETAHUI""))"),"")</f>
        <v/>
      </c>
    </row>
    <row r="10044">
      <c r="A10044" s="21" t="str">
        <f t="shared" si="3"/>
        <v/>
      </c>
      <c r="B10044" s="38"/>
      <c r="C10044" s="23"/>
      <c r="D10044" s="23"/>
      <c r="E10044" s="24"/>
      <c r="F10044" s="25"/>
      <c r="G10044" s="25"/>
      <c r="H10044" s="27"/>
      <c r="I10044" s="28"/>
      <c r="J10044" s="39"/>
      <c r="K10044" s="41"/>
      <c r="L10044" s="31" t="str">
        <f>IFERROR(__xludf.DUMMYFUNCTION("IF(OR(E10044="""",K10044=""""),"""",IFERROR(IF(K10044="""","""",query('tbl user'!$A$2:$D10975,""SELECT A WHERE D = '""&amp;K10044&amp;""'"")),""USER TIDAK DIKETAHUI""))"),"")</f>
        <v/>
      </c>
    </row>
    <row r="10045">
      <c r="A10045" s="21" t="str">
        <f t="shared" si="3"/>
        <v/>
      </c>
      <c r="B10045" s="38"/>
      <c r="C10045" s="23"/>
      <c r="D10045" s="23"/>
      <c r="E10045" s="24"/>
      <c r="F10045" s="25"/>
      <c r="G10045" s="25"/>
      <c r="H10045" s="27"/>
      <c r="I10045" s="28"/>
      <c r="J10045" s="39"/>
      <c r="K10045" s="41"/>
      <c r="L10045" s="31" t="str">
        <f>IFERROR(__xludf.DUMMYFUNCTION("IF(OR(E10045="""",K10045=""""),"""",IFERROR(IF(K10045="""","""",query('tbl user'!$A$2:$D10975,""SELECT A WHERE D = '""&amp;K10045&amp;""'"")),""USER TIDAK DIKETAHUI""))"),"")</f>
        <v/>
      </c>
    </row>
    <row r="10046">
      <c r="A10046" s="21" t="str">
        <f t="shared" si="3"/>
        <v/>
      </c>
      <c r="B10046" s="38"/>
      <c r="C10046" s="23"/>
      <c r="D10046" s="23"/>
      <c r="E10046" s="24"/>
      <c r="F10046" s="25"/>
      <c r="G10046" s="25"/>
      <c r="H10046" s="27"/>
      <c r="I10046" s="28"/>
      <c r="J10046" s="39"/>
      <c r="K10046" s="41"/>
      <c r="L10046" s="31" t="str">
        <f>IFERROR(__xludf.DUMMYFUNCTION("IF(OR(E10046="""",K10046=""""),"""",IFERROR(IF(K10046="""","""",query('tbl user'!$A$2:$D10975,""SELECT A WHERE D = '""&amp;K10046&amp;""'"")),""USER TIDAK DIKETAHUI""))"),"")</f>
        <v/>
      </c>
    </row>
    <row r="10047">
      <c r="A10047" s="21" t="str">
        <f t="shared" si="3"/>
        <v/>
      </c>
      <c r="B10047" s="38"/>
      <c r="C10047" s="23"/>
      <c r="D10047" s="23"/>
      <c r="E10047" s="24"/>
      <c r="F10047" s="25"/>
      <c r="G10047" s="25"/>
      <c r="H10047" s="27"/>
      <c r="I10047" s="28"/>
      <c r="J10047" s="39"/>
      <c r="K10047" s="41"/>
      <c r="L10047" s="31" t="str">
        <f>IFERROR(__xludf.DUMMYFUNCTION("IF(OR(E10047="""",K10047=""""),"""",IFERROR(IF(K10047="""","""",query('tbl user'!$A$2:$D10975,""SELECT A WHERE D = '""&amp;K10047&amp;""'"")),""USER TIDAK DIKETAHUI""))"),"")</f>
        <v/>
      </c>
    </row>
    <row r="10048">
      <c r="A10048" s="21" t="str">
        <f t="shared" si="3"/>
        <v/>
      </c>
      <c r="B10048" s="38"/>
      <c r="C10048" s="23"/>
      <c r="D10048" s="23"/>
      <c r="E10048" s="24"/>
      <c r="F10048" s="25"/>
      <c r="G10048" s="25"/>
      <c r="H10048" s="27"/>
      <c r="I10048" s="28"/>
      <c r="J10048" s="39"/>
      <c r="K10048" s="41"/>
      <c r="L10048" s="31" t="str">
        <f>IFERROR(__xludf.DUMMYFUNCTION("IF(OR(E10048="""",K10048=""""),"""",IFERROR(IF(K10048="""","""",query('tbl user'!$A$2:$D10975,""SELECT A WHERE D = '""&amp;K10048&amp;""'"")),""USER TIDAK DIKETAHUI""))"),"")</f>
        <v/>
      </c>
    </row>
    <row r="10049">
      <c r="A10049" s="21" t="str">
        <f t="shared" si="3"/>
        <v/>
      </c>
      <c r="B10049" s="38"/>
      <c r="C10049" s="23"/>
      <c r="D10049" s="23"/>
      <c r="E10049" s="24"/>
      <c r="F10049" s="25"/>
      <c r="G10049" s="25"/>
      <c r="H10049" s="27"/>
      <c r="I10049" s="28"/>
      <c r="J10049" s="39"/>
      <c r="K10049" s="41"/>
      <c r="L10049" s="31" t="str">
        <f>IFERROR(__xludf.DUMMYFUNCTION("IF(OR(E10049="""",K10049=""""),"""",IFERROR(IF(K10049="""","""",query('tbl user'!$A$2:$D10975,""SELECT A WHERE D = '""&amp;K10049&amp;""'"")),""USER TIDAK DIKETAHUI""))"),"")</f>
        <v/>
      </c>
    </row>
    <row r="10050">
      <c r="A10050" s="21" t="str">
        <f t="shared" si="3"/>
        <v/>
      </c>
      <c r="B10050" s="38"/>
      <c r="C10050" s="23"/>
      <c r="D10050" s="23"/>
      <c r="E10050" s="24"/>
      <c r="F10050" s="25"/>
      <c r="G10050" s="25"/>
      <c r="H10050" s="27"/>
      <c r="I10050" s="28"/>
      <c r="J10050" s="39"/>
      <c r="K10050" s="41"/>
      <c r="L10050" s="31" t="str">
        <f>IFERROR(__xludf.DUMMYFUNCTION("IF(OR(E10050="""",K10050=""""),"""",IFERROR(IF(K10050="""","""",query('tbl user'!$A$2:$D10975,""SELECT A WHERE D = '""&amp;K10050&amp;""'"")),""USER TIDAK DIKETAHUI""))"),"")</f>
        <v/>
      </c>
    </row>
    <row r="10051">
      <c r="A10051" s="21" t="str">
        <f t="shared" si="3"/>
        <v/>
      </c>
      <c r="B10051" s="38"/>
      <c r="C10051" s="23"/>
      <c r="D10051" s="23"/>
      <c r="E10051" s="24"/>
      <c r="F10051" s="25"/>
      <c r="G10051" s="25"/>
      <c r="H10051" s="27"/>
      <c r="I10051" s="28"/>
      <c r="J10051" s="39"/>
      <c r="K10051" s="41"/>
      <c r="L10051" s="31" t="str">
        <f>IFERROR(__xludf.DUMMYFUNCTION("IF(OR(E10051="""",K10051=""""),"""",IFERROR(IF(K10051="""","""",query('tbl user'!$A$2:$D10975,""SELECT A WHERE D = '""&amp;K10051&amp;""'"")),""USER TIDAK DIKETAHUI""))"),"")</f>
        <v/>
      </c>
    </row>
    <row r="10052">
      <c r="A10052" s="21" t="str">
        <f t="shared" si="3"/>
        <v/>
      </c>
      <c r="B10052" s="38"/>
      <c r="C10052" s="23"/>
      <c r="D10052" s="23"/>
      <c r="E10052" s="24"/>
      <c r="F10052" s="25"/>
      <c r="G10052" s="25"/>
      <c r="H10052" s="27"/>
      <c r="I10052" s="28"/>
      <c r="J10052" s="39"/>
      <c r="K10052" s="41"/>
      <c r="L10052" s="31" t="str">
        <f>IFERROR(__xludf.DUMMYFUNCTION("IF(OR(E10052="""",K10052=""""),"""",IFERROR(IF(K10052="""","""",query('tbl user'!$A$2:$D10975,""SELECT A WHERE D = '""&amp;K10052&amp;""'"")),""USER TIDAK DIKETAHUI""))"),"")</f>
        <v/>
      </c>
    </row>
    <row r="10053">
      <c r="A10053" s="21" t="str">
        <f t="shared" si="3"/>
        <v/>
      </c>
      <c r="B10053" s="38"/>
      <c r="C10053" s="23"/>
      <c r="D10053" s="23"/>
      <c r="E10053" s="24"/>
      <c r="F10053" s="25"/>
      <c r="G10053" s="25"/>
      <c r="H10053" s="27"/>
      <c r="I10053" s="28"/>
      <c r="J10053" s="39"/>
      <c r="K10053" s="41"/>
      <c r="L10053" s="31" t="str">
        <f>IFERROR(__xludf.DUMMYFUNCTION("IF(OR(E10053="""",K10053=""""),"""",IFERROR(IF(K10053="""","""",query('tbl user'!$A$2:$D10975,""SELECT A WHERE D = '""&amp;K10053&amp;""'"")),""USER TIDAK DIKETAHUI""))"),"")</f>
        <v/>
      </c>
    </row>
    <row r="10054">
      <c r="A10054" s="21" t="str">
        <f t="shared" si="3"/>
        <v/>
      </c>
      <c r="B10054" s="38"/>
      <c r="C10054" s="23"/>
      <c r="D10054" s="23"/>
      <c r="E10054" s="24"/>
      <c r="F10054" s="25"/>
      <c r="G10054" s="25"/>
      <c r="H10054" s="27"/>
      <c r="I10054" s="28"/>
      <c r="J10054" s="39"/>
      <c r="K10054" s="41"/>
      <c r="L10054" s="31" t="str">
        <f>IFERROR(__xludf.DUMMYFUNCTION("IF(OR(E10054="""",K10054=""""),"""",IFERROR(IF(K10054="""","""",query('tbl user'!$A$2:$D10975,""SELECT A WHERE D = '""&amp;K10054&amp;""'"")),""USER TIDAK DIKETAHUI""))"),"")</f>
        <v/>
      </c>
    </row>
    <row r="10055">
      <c r="A10055" s="21" t="str">
        <f t="shared" si="3"/>
        <v/>
      </c>
      <c r="B10055" s="38"/>
      <c r="C10055" s="23"/>
      <c r="D10055" s="23"/>
      <c r="E10055" s="24"/>
      <c r="F10055" s="25"/>
      <c r="G10055" s="25"/>
      <c r="H10055" s="27"/>
      <c r="I10055" s="28"/>
      <c r="J10055" s="39"/>
      <c r="K10055" s="41"/>
      <c r="L10055" s="31" t="str">
        <f>IFERROR(__xludf.DUMMYFUNCTION("IF(OR(E10055="""",K10055=""""),"""",IFERROR(IF(K10055="""","""",query('tbl user'!$A$2:$D10975,""SELECT A WHERE D = '""&amp;K10055&amp;""'"")),""USER TIDAK DIKETAHUI""))"),"")</f>
        <v/>
      </c>
    </row>
    <row r="10056">
      <c r="A10056" s="21" t="str">
        <f t="shared" si="3"/>
        <v/>
      </c>
      <c r="B10056" s="38"/>
      <c r="C10056" s="23"/>
      <c r="D10056" s="23"/>
      <c r="E10056" s="24"/>
      <c r="F10056" s="25"/>
      <c r="G10056" s="25"/>
      <c r="H10056" s="27"/>
      <c r="I10056" s="28"/>
      <c r="J10056" s="39"/>
      <c r="K10056" s="41"/>
      <c r="L10056" s="31" t="str">
        <f>IFERROR(__xludf.DUMMYFUNCTION("IF(OR(E10056="""",K10056=""""),"""",IFERROR(IF(K10056="""","""",query('tbl user'!$A$2:$D10975,""SELECT A WHERE D = '""&amp;K10056&amp;""'"")),""USER TIDAK DIKETAHUI""))"),"")</f>
        <v/>
      </c>
    </row>
    <row r="10057">
      <c r="A10057" s="21" t="str">
        <f t="shared" si="3"/>
        <v/>
      </c>
      <c r="B10057" s="38"/>
      <c r="C10057" s="23"/>
      <c r="D10057" s="23"/>
      <c r="E10057" s="24"/>
      <c r="F10057" s="25"/>
      <c r="G10057" s="25"/>
      <c r="H10057" s="27"/>
      <c r="I10057" s="28"/>
      <c r="J10057" s="39"/>
      <c r="K10057" s="41"/>
      <c r="L10057" s="31" t="str">
        <f>IFERROR(__xludf.DUMMYFUNCTION("IF(OR(E10057="""",K10057=""""),"""",IFERROR(IF(K10057="""","""",query('tbl user'!$A$2:$D10975,""SELECT A WHERE D = '""&amp;K10057&amp;""'"")),""USER TIDAK DIKETAHUI""))"),"")</f>
        <v/>
      </c>
    </row>
    <row r="10058">
      <c r="A10058" s="21" t="str">
        <f t="shared" si="3"/>
        <v/>
      </c>
      <c r="B10058" s="38"/>
      <c r="C10058" s="23"/>
      <c r="D10058" s="23"/>
      <c r="E10058" s="24"/>
      <c r="F10058" s="25"/>
      <c r="G10058" s="25"/>
      <c r="H10058" s="27"/>
      <c r="I10058" s="28"/>
      <c r="J10058" s="39"/>
      <c r="K10058" s="41"/>
      <c r="L10058" s="31" t="str">
        <f>IFERROR(__xludf.DUMMYFUNCTION("IF(OR(E10058="""",K10058=""""),"""",IFERROR(IF(K10058="""","""",query('tbl user'!$A$2:$D10975,""SELECT A WHERE D = '""&amp;K10058&amp;""'"")),""USER TIDAK DIKETAHUI""))"),"")</f>
        <v/>
      </c>
    </row>
    <row r="10059">
      <c r="A10059" s="21" t="str">
        <f t="shared" si="3"/>
        <v/>
      </c>
      <c r="B10059" s="38"/>
      <c r="C10059" s="23"/>
      <c r="D10059" s="23"/>
      <c r="E10059" s="24"/>
      <c r="F10059" s="25"/>
      <c r="G10059" s="25"/>
      <c r="H10059" s="27"/>
      <c r="I10059" s="28"/>
      <c r="J10059" s="39"/>
      <c r="K10059" s="41"/>
      <c r="L10059" s="31" t="str">
        <f>IFERROR(__xludf.DUMMYFUNCTION("IF(OR(E10059="""",K10059=""""),"""",IFERROR(IF(K10059="""","""",query('tbl user'!$A$2:$D10975,""SELECT A WHERE D = '""&amp;K10059&amp;""'"")),""USER TIDAK DIKETAHUI""))"),"")</f>
        <v/>
      </c>
    </row>
    <row r="10060">
      <c r="A10060" s="21" t="str">
        <f t="shared" si="3"/>
        <v/>
      </c>
      <c r="B10060" s="38"/>
      <c r="C10060" s="23"/>
      <c r="D10060" s="23"/>
      <c r="E10060" s="24"/>
      <c r="F10060" s="25"/>
      <c r="G10060" s="25"/>
      <c r="H10060" s="27"/>
      <c r="I10060" s="28"/>
      <c r="J10060" s="39"/>
      <c r="K10060" s="41"/>
      <c r="L10060" s="31" t="str">
        <f>IFERROR(__xludf.DUMMYFUNCTION("IF(OR(E10060="""",K10060=""""),"""",IFERROR(IF(K10060="""","""",query('tbl user'!$A$2:$D10975,""SELECT A WHERE D = '""&amp;K10060&amp;""'"")),""USER TIDAK DIKETAHUI""))"),"")</f>
        <v/>
      </c>
    </row>
    <row r="10061">
      <c r="A10061" s="21" t="str">
        <f t="shared" si="3"/>
        <v/>
      </c>
      <c r="B10061" s="38"/>
      <c r="C10061" s="23"/>
      <c r="D10061" s="23"/>
      <c r="E10061" s="24"/>
      <c r="F10061" s="25"/>
      <c r="G10061" s="25"/>
      <c r="H10061" s="27"/>
      <c r="I10061" s="28"/>
      <c r="J10061" s="39"/>
      <c r="K10061" s="41"/>
      <c r="L10061" s="31" t="str">
        <f>IFERROR(__xludf.DUMMYFUNCTION("IF(OR(E10061="""",K10061=""""),"""",IFERROR(IF(K10061="""","""",query('tbl user'!$A$2:$D10975,""SELECT A WHERE D = '""&amp;K10061&amp;""'"")),""USER TIDAK DIKETAHUI""))"),"")</f>
        <v/>
      </c>
    </row>
    <row r="10062">
      <c r="A10062" s="21" t="str">
        <f t="shared" si="3"/>
        <v/>
      </c>
      <c r="B10062" s="38"/>
      <c r="C10062" s="23"/>
      <c r="D10062" s="23"/>
      <c r="E10062" s="24"/>
      <c r="F10062" s="25"/>
      <c r="G10062" s="25"/>
      <c r="H10062" s="27"/>
      <c r="I10062" s="28"/>
      <c r="J10062" s="39"/>
      <c r="K10062" s="41"/>
      <c r="L10062" s="31" t="str">
        <f>IFERROR(__xludf.DUMMYFUNCTION("IF(OR(E10062="""",K10062=""""),"""",IFERROR(IF(K10062="""","""",query('tbl user'!$A$2:$D10975,""SELECT A WHERE D = '""&amp;K10062&amp;""'"")),""USER TIDAK DIKETAHUI""))"),"")</f>
        <v/>
      </c>
    </row>
    <row r="10063">
      <c r="A10063" s="21" t="str">
        <f t="shared" si="3"/>
        <v/>
      </c>
      <c r="B10063" s="38"/>
      <c r="C10063" s="23"/>
      <c r="D10063" s="23"/>
      <c r="E10063" s="24"/>
      <c r="F10063" s="25"/>
      <c r="G10063" s="25"/>
      <c r="H10063" s="27"/>
      <c r="I10063" s="28"/>
      <c r="J10063" s="39"/>
      <c r="K10063" s="41"/>
      <c r="L10063" s="31" t="str">
        <f>IFERROR(__xludf.DUMMYFUNCTION("IF(OR(E10063="""",K10063=""""),"""",IFERROR(IF(K10063="""","""",query('tbl user'!$A$2:$D10975,""SELECT A WHERE D = '""&amp;K10063&amp;""'"")),""USER TIDAK DIKETAHUI""))"),"")</f>
        <v/>
      </c>
    </row>
    <row r="10064">
      <c r="A10064" s="21" t="str">
        <f t="shared" si="3"/>
        <v/>
      </c>
      <c r="B10064" s="38"/>
      <c r="C10064" s="23"/>
      <c r="D10064" s="23"/>
      <c r="E10064" s="24"/>
      <c r="F10064" s="25"/>
      <c r="G10064" s="25"/>
      <c r="H10064" s="27"/>
      <c r="I10064" s="28"/>
      <c r="J10064" s="39"/>
      <c r="K10064" s="41"/>
      <c r="L10064" s="31" t="str">
        <f>IFERROR(__xludf.DUMMYFUNCTION("IF(OR(E10064="""",K10064=""""),"""",IFERROR(IF(K10064="""","""",query('tbl user'!$A$2:$D10975,""SELECT A WHERE D = '""&amp;K10064&amp;""'"")),""USER TIDAK DIKETAHUI""))"),"")</f>
        <v/>
      </c>
    </row>
    <row r="10065">
      <c r="A10065" s="21" t="str">
        <f t="shared" si="3"/>
        <v/>
      </c>
      <c r="B10065" s="38"/>
      <c r="C10065" s="23"/>
      <c r="D10065" s="23"/>
      <c r="E10065" s="24"/>
      <c r="F10065" s="25"/>
      <c r="G10065" s="25"/>
      <c r="H10065" s="27"/>
      <c r="I10065" s="28"/>
      <c r="J10065" s="39"/>
      <c r="K10065" s="41"/>
      <c r="L10065" s="31" t="str">
        <f>IFERROR(__xludf.DUMMYFUNCTION("IF(OR(E10065="""",K10065=""""),"""",IFERROR(IF(K10065="""","""",query('tbl user'!$A$2:$D10975,""SELECT A WHERE D = '""&amp;K10065&amp;""'"")),""USER TIDAK DIKETAHUI""))"),"")</f>
        <v/>
      </c>
    </row>
    <row r="10066">
      <c r="A10066" s="21" t="str">
        <f t="shared" si="3"/>
        <v/>
      </c>
      <c r="B10066" s="38"/>
      <c r="C10066" s="23"/>
      <c r="D10066" s="23"/>
      <c r="E10066" s="24"/>
      <c r="F10066" s="25"/>
      <c r="G10066" s="25"/>
      <c r="H10066" s="27"/>
      <c r="I10066" s="28"/>
      <c r="J10066" s="39"/>
      <c r="K10066" s="41"/>
      <c r="L10066" s="31" t="str">
        <f>IFERROR(__xludf.DUMMYFUNCTION("IF(OR(E10066="""",K10066=""""),"""",IFERROR(IF(K10066="""","""",query('tbl user'!$A$2:$D10975,""SELECT A WHERE D = '""&amp;K10066&amp;""'"")),""USER TIDAK DIKETAHUI""))"),"")</f>
        <v/>
      </c>
    </row>
    <row r="10067">
      <c r="A10067" s="21" t="str">
        <f t="shared" si="3"/>
        <v/>
      </c>
      <c r="B10067" s="38"/>
      <c r="C10067" s="23"/>
      <c r="D10067" s="23"/>
      <c r="E10067" s="24"/>
      <c r="F10067" s="25"/>
      <c r="G10067" s="25"/>
      <c r="H10067" s="27"/>
      <c r="I10067" s="28"/>
      <c r="J10067" s="39"/>
      <c r="K10067" s="41"/>
      <c r="L10067" s="31" t="str">
        <f>IFERROR(__xludf.DUMMYFUNCTION("IF(OR(E10067="""",K10067=""""),"""",IFERROR(IF(K10067="""","""",query('tbl user'!$A$2:$D10975,""SELECT A WHERE D = '""&amp;K10067&amp;""'"")),""USER TIDAK DIKETAHUI""))"),"")</f>
        <v/>
      </c>
    </row>
    <row r="10068">
      <c r="A10068" s="21" t="str">
        <f t="shared" si="3"/>
        <v/>
      </c>
      <c r="B10068" s="38"/>
      <c r="C10068" s="23"/>
      <c r="D10068" s="23"/>
      <c r="E10068" s="24"/>
      <c r="F10068" s="25"/>
      <c r="G10068" s="25"/>
      <c r="H10068" s="27"/>
      <c r="I10068" s="28"/>
      <c r="J10068" s="39"/>
      <c r="K10068" s="41"/>
      <c r="L10068" s="31" t="str">
        <f>IFERROR(__xludf.DUMMYFUNCTION("IF(OR(E10068="""",K10068=""""),"""",IFERROR(IF(K10068="""","""",query('tbl user'!$A$2:$D10975,""SELECT A WHERE D = '""&amp;K10068&amp;""'"")),""USER TIDAK DIKETAHUI""))"),"")</f>
        <v/>
      </c>
    </row>
    <row r="10069">
      <c r="A10069" s="21" t="str">
        <f t="shared" si="3"/>
        <v/>
      </c>
      <c r="B10069" s="38"/>
      <c r="C10069" s="23"/>
      <c r="D10069" s="23"/>
      <c r="E10069" s="24"/>
      <c r="F10069" s="25"/>
      <c r="G10069" s="25"/>
      <c r="H10069" s="27"/>
      <c r="I10069" s="28"/>
      <c r="J10069" s="39"/>
      <c r="K10069" s="41"/>
      <c r="L10069" s="31" t="str">
        <f>IFERROR(__xludf.DUMMYFUNCTION("IF(OR(E10069="""",K10069=""""),"""",IFERROR(IF(K10069="""","""",query('tbl user'!$A$2:$D10975,""SELECT A WHERE D = '""&amp;K10069&amp;""'"")),""USER TIDAK DIKETAHUI""))"),"")</f>
        <v/>
      </c>
    </row>
    <row r="10070">
      <c r="A10070" s="21" t="str">
        <f t="shared" si="3"/>
        <v/>
      </c>
      <c r="B10070" s="38"/>
      <c r="C10070" s="23"/>
      <c r="D10070" s="23"/>
      <c r="E10070" s="24"/>
      <c r="F10070" s="25"/>
      <c r="G10070" s="25"/>
      <c r="H10070" s="27"/>
      <c r="I10070" s="28"/>
      <c r="J10070" s="39"/>
      <c r="K10070" s="41"/>
      <c r="L10070" s="31" t="str">
        <f>IFERROR(__xludf.DUMMYFUNCTION("IF(OR(E10070="""",K10070=""""),"""",IFERROR(IF(K10070="""","""",query('tbl user'!$A$2:$D10975,""SELECT A WHERE D = '""&amp;K10070&amp;""'"")),""USER TIDAK DIKETAHUI""))"),"")</f>
        <v/>
      </c>
    </row>
    <row r="10071">
      <c r="A10071" s="21" t="str">
        <f t="shared" si="3"/>
        <v/>
      </c>
      <c r="B10071" s="38"/>
      <c r="C10071" s="23"/>
      <c r="D10071" s="23"/>
      <c r="E10071" s="24"/>
      <c r="F10071" s="25"/>
      <c r="G10071" s="25"/>
      <c r="H10071" s="27"/>
      <c r="I10071" s="28"/>
      <c r="J10071" s="39"/>
      <c r="K10071" s="41"/>
      <c r="L10071" s="31" t="str">
        <f>IFERROR(__xludf.DUMMYFUNCTION("IF(OR(E10071="""",K10071=""""),"""",IFERROR(IF(K10071="""","""",query('tbl user'!$A$2:$D10975,""SELECT A WHERE D = '""&amp;K10071&amp;""'"")),""USER TIDAK DIKETAHUI""))"),"")</f>
        <v/>
      </c>
    </row>
    <row r="10072">
      <c r="A10072" s="21" t="str">
        <f t="shared" si="3"/>
        <v/>
      </c>
      <c r="B10072" s="38"/>
      <c r="C10072" s="23"/>
      <c r="D10072" s="23"/>
      <c r="E10072" s="24"/>
      <c r="F10072" s="25"/>
      <c r="G10072" s="25"/>
      <c r="H10072" s="27"/>
      <c r="I10072" s="28"/>
      <c r="J10072" s="39"/>
      <c r="K10072" s="41"/>
      <c r="L10072" s="31" t="str">
        <f>IFERROR(__xludf.DUMMYFUNCTION("IF(OR(E10072="""",K10072=""""),"""",IFERROR(IF(K10072="""","""",query('tbl user'!$A$2:$D10975,""SELECT A WHERE D = '""&amp;K10072&amp;""'"")),""USER TIDAK DIKETAHUI""))"),"")</f>
        <v/>
      </c>
    </row>
    <row r="10073">
      <c r="A10073" s="21" t="str">
        <f t="shared" si="3"/>
        <v/>
      </c>
      <c r="B10073" s="38"/>
      <c r="C10073" s="23"/>
      <c r="D10073" s="23"/>
      <c r="E10073" s="24"/>
      <c r="F10073" s="25"/>
      <c r="G10073" s="25"/>
      <c r="H10073" s="27"/>
      <c r="I10073" s="28"/>
      <c r="J10073" s="39"/>
      <c r="K10073" s="41"/>
      <c r="L10073" s="31" t="str">
        <f>IFERROR(__xludf.DUMMYFUNCTION("IF(OR(E10073="""",K10073=""""),"""",IFERROR(IF(K10073="""","""",query('tbl user'!$A$2:$D10975,""SELECT A WHERE D = '""&amp;K10073&amp;""'"")),""USER TIDAK DIKETAHUI""))"),"")</f>
        <v/>
      </c>
    </row>
    <row r="10074">
      <c r="A10074" s="21" t="str">
        <f t="shared" si="3"/>
        <v/>
      </c>
      <c r="B10074" s="38"/>
      <c r="C10074" s="23"/>
      <c r="D10074" s="23"/>
      <c r="E10074" s="24"/>
      <c r="F10074" s="25"/>
      <c r="G10074" s="25"/>
      <c r="H10074" s="27"/>
      <c r="I10074" s="28"/>
      <c r="J10074" s="39"/>
      <c r="K10074" s="41"/>
      <c r="L10074" s="31" t="str">
        <f>IFERROR(__xludf.DUMMYFUNCTION("IF(OR(E10074="""",K10074=""""),"""",IFERROR(IF(K10074="""","""",query('tbl user'!$A$2:$D10975,""SELECT A WHERE D = '""&amp;K10074&amp;""'"")),""USER TIDAK DIKETAHUI""))"),"")</f>
        <v/>
      </c>
    </row>
    <row r="10075">
      <c r="A10075" s="21" t="str">
        <f t="shared" si="3"/>
        <v/>
      </c>
      <c r="B10075" s="38"/>
      <c r="C10075" s="23"/>
      <c r="D10075" s="23"/>
      <c r="E10075" s="24"/>
      <c r="F10075" s="25"/>
      <c r="G10075" s="25"/>
      <c r="H10075" s="27"/>
      <c r="I10075" s="28"/>
      <c r="J10075" s="39"/>
      <c r="K10075" s="41"/>
      <c r="L10075" s="31" t="str">
        <f>IFERROR(__xludf.DUMMYFUNCTION("IF(OR(E10075="""",K10075=""""),"""",IFERROR(IF(K10075="""","""",query('tbl user'!$A$2:$D10975,""SELECT A WHERE D = '""&amp;K10075&amp;""'"")),""USER TIDAK DIKETAHUI""))"),"")</f>
        <v/>
      </c>
    </row>
    <row r="10076">
      <c r="A10076" s="21" t="str">
        <f t="shared" si="3"/>
        <v/>
      </c>
      <c r="B10076" s="38"/>
      <c r="C10076" s="23"/>
      <c r="D10076" s="23"/>
      <c r="E10076" s="24"/>
      <c r="F10076" s="25"/>
      <c r="G10076" s="25"/>
      <c r="H10076" s="27"/>
      <c r="I10076" s="28"/>
      <c r="J10076" s="39"/>
      <c r="K10076" s="41"/>
      <c r="L10076" s="31" t="str">
        <f>IFERROR(__xludf.DUMMYFUNCTION("IF(OR(E10076="""",K10076=""""),"""",IFERROR(IF(K10076="""","""",query('tbl user'!$A$2:$D10975,""SELECT A WHERE D = '""&amp;K10076&amp;""'"")),""USER TIDAK DIKETAHUI""))"),"")</f>
        <v/>
      </c>
    </row>
    <row r="10077">
      <c r="A10077" s="21" t="str">
        <f t="shared" si="3"/>
        <v/>
      </c>
      <c r="B10077" s="38"/>
      <c r="C10077" s="23"/>
      <c r="D10077" s="23"/>
      <c r="E10077" s="24"/>
      <c r="F10077" s="25"/>
      <c r="G10077" s="25"/>
      <c r="H10077" s="27"/>
      <c r="I10077" s="28"/>
      <c r="J10077" s="39"/>
      <c r="K10077" s="41"/>
      <c r="L10077" s="31" t="str">
        <f>IFERROR(__xludf.DUMMYFUNCTION("IF(OR(E10077="""",K10077=""""),"""",IFERROR(IF(K10077="""","""",query('tbl user'!$A$2:$D10975,""SELECT A WHERE D = '""&amp;K10077&amp;""'"")),""USER TIDAK DIKETAHUI""))"),"")</f>
        <v/>
      </c>
    </row>
    <row r="10078">
      <c r="A10078" s="21" t="str">
        <f t="shared" si="3"/>
        <v/>
      </c>
      <c r="B10078" s="38"/>
      <c r="C10078" s="23"/>
      <c r="D10078" s="23"/>
      <c r="E10078" s="24"/>
      <c r="F10078" s="25"/>
      <c r="G10078" s="25"/>
      <c r="H10078" s="27"/>
      <c r="I10078" s="28"/>
      <c r="J10078" s="39"/>
      <c r="K10078" s="41"/>
      <c r="L10078" s="31" t="str">
        <f>IFERROR(__xludf.DUMMYFUNCTION("IF(OR(E10078="""",K10078=""""),"""",IFERROR(IF(K10078="""","""",query('tbl user'!$A$2:$D10975,""SELECT A WHERE D = '""&amp;K10078&amp;""'"")),""USER TIDAK DIKETAHUI""))"),"")</f>
        <v/>
      </c>
    </row>
    <row r="10079">
      <c r="A10079" s="21" t="str">
        <f t="shared" si="3"/>
        <v/>
      </c>
      <c r="B10079" s="38"/>
      <c r="C10079" s="23"/>
      <c r="D10079" s="23"/>
      <c r="E10079" s="24"/>
      <c r="F10079" s="25"/>
      <c r="G10079" s="25"/>
      <c r="H10079" s="27"/>
      <c r="I10079" s="28"/>
      <c r="J10079" s="39"/>
      <c r="K10079" s="41"/>
      <c r="L10079" s="31" t="str">
        <f>IFERROR(__xludf.DUMMYFUNCTION("IF(OR(E10079="""",K10079=""""),"""",IFERROR(IF(K10079="""","""",query('tbl user'!$A$2:$D10975,""SELECT A WHERE D = '""&amp;K10079&amp;""'"")),""USER TIDAK DIKETAHUI""))"),"")</f>
        <v/>
      </c>
    </row>
    <row r="10080">
      <c r="A10080" s="21" t="str">
        <f t="shared" si="3"/>
        <v/>
      </c>
      <c r="B10080" s="38"/>
      <c r="C10080" s="23"/>
      <c r="D10080" s="23"/>
      <c r="E10080" s="24"/>
      <c r="F10080" s="25"/>
      <c r="G10080" s="25"/>
      <c r="H10080" s="27"/>
      <c r="I10080" s="28"/>
      <c r="J10080" s="39"/>
      <c r="K10080" s="41"/>
      <c r="L10080" s="31" t="str">
        <f>IFERROR(__xludf.DUMMYFUNCTION("IF(OR(E10080="""",K10080=""""),"""",IFERROR(IF(K10080="""","""",query('tbl user'!$A$2:$D10975,""SELECT A WHERE D = '""&amp;K10080&amp;""'"")),""USER TIDAK DIKETAHUI""))"),"")</f>
        <v/>
      </c>
    </row>
    <row r="10081">
      <c r="A10081" s="21" t="str">
        <f t="shared" si="3"/>
        <v/>
      </c>
      <c r="B10081" s="38"/>
      <c r="C10081" s="23"/>
      <c r="D10081" s="23"/>
      <c r="E10081" s="24"/>
      <c r="F10081" s="25"/>
      <c r="G10081" s="25"/>
      <c r="H10081" s="27"/>
      <c r="I10081" s="28"/>
      <c r="J10081" s="39"/>
      <c r="K10081" s="41"/>
      <c r="L10081" s="31" t="str">
        <f>IFERROR(__xludf.DUMMYFUNCTION("IF(OR(E10081="""",K10081=""""),"""",IFERROR(IF(K10081="""","""",query('tbl user'!$A$2:$D10975,""SELECT A WHERE D = '""&amp;K10081&amp;""'"")),""USER TIDAK DIKETAHUI""))"),"")</f>
        <v/>
      </c>
    </row>
    <row r="10082">
      <c r="A10082" s="21" t="str">
        <f t="shared" si="3"/>
        <v/>
      </c>
      <c r="B10082" s="38"/>
      <c r="C10082" s="23"/>
      <c r="D10082" s="23"/>
      <c r="E10082" s="24"/>
      <c r="F10082" s="25"/>
      <c r="G10082" s="25"/>
      <c r="H10082" s="27"/>
      <c r="I10082" s="28"/>
      <c r="J10082" s="39"/>
      <c r="K10082" s="41"/>
      <c r="L10082" s="31" t="str">
        <f>IFERROR(__xludf.DUMMYFUNCTION("IF(OR(E10082="""",K10082=""""),"""",IFERROR(IF(K10082="""","""",query('tbl user'!$A$2:$D10975,""SELECT A WHERE D = '""&amp;K10082&amp;""'"")),""USER TIDAK DIKETAHUI""))"),"")</f>
        <v/>
      </c>
    </row>
    <row r="10083">
      <c r="A10083" s="21" t="str">
        <f t="shared" si="3"/>
        <v/>
      </c>
      <c r="B10083" s="38"/>
      <c r="C10083" s="23"/>
      <c r="D10083" s="23"/>
      <c r="E10083" s="24"/>
      <c r="F10083" s="25"/>
      <c r="G10083" s="25"/>
      <c r="H10083" s="27"/>
      <c r="I10083" s="28"/>
      <c r="J10083" s="39"/>
      <c r="K10083" s="41"/>
      <c r="L10083" s="31" t="str">
        <f>IFERROR(__xludf.DUMMYFUNCTION("IF(OR(E10083="""",K10083=""""),"""",IFERROR(IF(K10083="""","""",query('tbl user'!$A$2:$D10975,""SELECT A WHERE D = '""&amp;K10083&amp;""'"")),""USER TIDAK DIKETAHUI""))"),"")</f>
        <v/>
      </c>
    </row>
    <row r="10084">
      <c r="A10084" s="21" t="str">
        <f t="shared" si="3"/>
        <v/>
      </c>
      <c r="B10084" s="38"/>
      <c r="C10084" s="23"/>
      <c r="D10084" s="23"/>
      <c r="E10084" s="24"/>
      <c r="F10084" s="25"/>
      <c r="G10084" s="25"/>
      <c r="H10084" s="27"/>
      <c r="I10084" s="28"/>
      <c r="J10084" s="39"/>
      <c r="K10084" s="41"/>
      <c r="L10084" s="31" t="str">
        <f>IFERROR(__xludf.DUMMYFUNCTION("IF(OR(E10084="""",K10084=""""),"""",IFERROR(IF(K10084="""","""",query('tbl user'!$A$2:$D10975,""SELECT A WHERE D = '""&amp;K10084&amp;""'"")),""USER TIDAK DIKETAHUI""))"),"")</f>
        <v/>
      </c>
    </row>
    <row r="10085">
      <c r="A10085" s="21" t="str">
        <f t="shared" si="3"/>
        <v/>
      </c>
      <c r="B10085" s="38"/>
      <c r="C10085" s="23"/>
      <c r="D10085" s="23"/>
      <c r="E10085" s="24"/>
      <c r="F10085" s="25"/>
      <c r="G10085" s="25"/>
      <c r="H10085" s="27"/>
      <c r="I10085" s="28"/>
      <c r="J10085" s="39"/>
      <c r="K10085" s="41"/>
      <c r="L10085" s="31" t="str">
        <f>IFERROR(__xludf.DUMMYFUNCTION("IF(OR(E10085="""",K10085=""""),"""",IFERROR(IF(K10085="""","""",query('tbl user'!$A$2:$D10975,""SELECT A WHERE D = '""&amp;K10085&amp;""'"")),""USER TIDAK DIKETAHUI""))"),"")</f>
        <v/>
      </c>
    </row>
    <row r="10086">
      <c r="A10086" s="21" t="str">
        <f t="shared" si="3"/>
        <v/>
      </c>
      <c r="B10086" s="38"/>
      <c r="C10086" s="23"/>
      <c r="D10086" s="23"/>
      <c r="E10086" s="24"/>
      <c r="F10086" s="25"/>
      <c r="G10086" s="25"/>
      <c r="H10086" s="27"/>
      <c r="I10086" s="28"/>
      <c r="J10086" s="39"/>
      <c r="K10086" s="41"/>
      <c r="L10086" s="31" t="str">
        <f>IFERROR(__xludf.DUMMYFUNCTION("IF(OR(E10086="""",K10086=""""),"""",IFERROR(IF(K10086="""","""",query('tbl user'!$A$2:$D10975,""SELECT A WHERE D = '""&amp;K10086&amp;""'"")),""USER TIDAK DIKETAHUI""))"),"")</f>
        <v/>
      </c>
    </row>
    <row r="10087">
      <c r="A10087" s="21" t="str">
        <f t="shared" si="3"/>
        <v/>
      </c>
      <c r="B10087" s="38"/>
      <c r="C10087" s="23"/>
      <c r="D10087" s="23"/>
      <c r="E10087" s="24"/>
      <c r="F10087" s="25"/>
      <c r="G10087" s="25"/>
      <c r="H10087" s="27"/>
      <c r="I10087" s="28"/>
      <c r="J10087" s="39"/>
      <c r="K10087" s="41"/>
      <c r="L10087" s="31" t="str">
        <f>IFERROR(__xludf.DUMMYFUNCTION("IF(OR(E10087="""",K10087=""""),"""",IFERROR(IF(K10087="""","""",query('tbl user'!$A$2:$D10975,""SELECT A WHERE D = '""&amp;K10087&amp;""'"")),""USER TIDAK DIKETAHUI""))"),"")</f>
        <v/>
      </c>
    </row>
    <row r="10088">
      <c r="A10088" s="21" t="str">
        <f t="shared" si="3"/>
        <v/>
      </c>
      <c r="B10088" s="38"/>
      <c r="C10088" s="23"/>
      <c r="D10088" s="23"/>
      <c r="E10088" s="24"/>
      <c r="F10088" s="25"/>
      <c r="G10088" s="25"/>
      <c r="H10088" s="27"/>
      <c r="I10088" s="28"/>
      <c r="J10088" s="39"/>
      <c r="K10088" s="41"/>
      <c r="L10088" s="31" t="str">
        <f>IFERROR(__xludf.DUMMYFUNCTION("IF(OR(E10088="""",K10088=""""),"""",IFERROR(IF(K10088="""","""",query('tbl user'!$A$2:$D10975,""SELECT A WHERE D = '""&amp;K10088&amp;""'"")),""USER TIDAK DIKETAHUI""))"),"")</f>
        <v/>
      </c>
    </row>
    <row r="10089">
      <c r="A10089" s="21" t="str">
        <f t="shared" si="3"/>
        <v/>
      </c>
      <c r="B10089" s="38"/>
      <c r="C10089" s="23"/>
      <c r="D10089" s="23"/>
      <c r="E10089" s="24"/>
      <c r="F10089" s="25"/>
      <c r="G10089" s="25"/>
      <c r="H10089" s="27"/>
      <c r="I10089" s="28"/>
      <c r="J10089" s="39"/>
      <c r="K10089" s="41"/>
      <c r="L10089" s="31" t="str">
        <f>IFERROR(__xludf.DUMMYFUNCTION("IF(OR(E10089="""",K10089=""""),"""",IFERROR(IF(K10089="""","""",query('tbl user'!$A$2:$D10975,""SELECT A WHERE D = '""&amp;K10089&amp;""'"")),""USER TIDAK DIKETAHUI""))"),"")</f>
        <v/>
      </c>
    </row>
    <row r="10090">
      <c r="A10090" s="21" t="str">
        <f t="shared" si="3"/>
        <v/>
      </c>
      <c r="B10090" s="38"/>
      <c r="C10090" s="23"/>
      <c r="D10090" s="23"/>
      <c r="E10090" s="24"/>
      <c r="F10090" s="25"/>
      <c r="G10090" s="25"/>
      <c r="H10090" s="27"/>
      <c r="I10090" s="28"/>
      <c r="J10090" s="39"/>
      <c r="K10090" s="41"/>
      <c r="L10090" s="31" t="str">
        <f>IFERROR(__xludf.DUMMYFUNCTION("IF(OR(E10090="""",K10090=""""),"""",IFERROR(IF(K10090="""","""",query('tbl user'!$A$2:$D10975,""SELECT A WHERE D = '""&amp;K10090&amp;""'"")),""USER TIDAK DIKETAHUI""))"),"")</f>
        <v/>
      </c>
    </row>
    <row r="10091">
      <c r="A10091" s="21" t="str">
        <f t="shared" si="3"/>
        <v/>
      </c>
      <c r="B10091" s="38"/>
      <c r="C10091" s="23"/>
      <c r="D10091" s="23"/>
      <c r="E10091" s="24"/>
      <c r="F10091" s="25"/>
      <c r="G10091" s="25"/>
      <c r="H10091" s="27"/>
      <c r="I10091" s="28"/>
      <c r="J10091" s="39"/>
      <c r="K10091" s="41"/>
      <c r="L10091" s="31" t="str">
        <f>IFERROR(__xludf.DUMMYFUNCTION("IF(OR(E10091="""",K10091=""""),"""",IFERROR(IF(K10091="""","""",query('tbl user'!$A$2:$D10975,""SELECT A WHERE D = '""&amp;K10091&amp;""'"")),""USER TIDAK DIKETAHUI""))"),"")</f>
        <v/>
      </c>
    </row>
    <row r="10092">
      <c r="A10092" s="21" t="str">
        <f t="shared" si="3"/>
        <v/>
      </c>
      <c r="B10092" s="38"/>
      <c r="C10092" s="23"/>
      <c r="D10092" s="23"/>
      <c r="E10092" s="24"/>
      <c r="F10092" s="25"/>
      <c r="G10092" s="25"/>
      <c r="H10092" s="27"/>
      <c r="I10092" s="28"/>
      <c r="J10092" s="39"/>
      <c r="K10092" s="41"/>
      <c r="L10092" s="31" t="str">
        <f>IFERROR(__xludf.DUMMYFUNCTION("IF(OR(E10092="""",K10092=""""),"""",IFERROR(IF(K10092="""","""",query('tbl user'!$A$2:$D10975,""SELECT A WHERE D = '""&amp;K10092&amp;""'"")),""USER TIDAK DIKETAHUI""))"),"")</f>
        <v/>
      </c>
    </row>
    <row r="10093">
      <c r="A10093" s="21" t="str">
        <f t="shared" si="3"/>
        <v/>
      </c>
      <c r="B10093" s="38"/>
      <c r="C10093" s="23"/>
      <c r="D10093" s="23"/>
      <c r="E10093" s="24"/>
      <c r="F10093" s="25"/>
      <c r="G10093" s="25"/>
      <c r="H10093" s="27"/>
      <c r="I10093" s="28"/>
      <c r="J10093" s="39"/>
      <c r="K10093" s="41"/>
      <c r="L10093" s="31" t="str">
        <f>IFERROR(__xludf.DUMMYFUNCTION("IF(OR(E10093="""",K10093=""""),"""",IFERROR(IF(K10093="""","""",query('tbl user'!$A$2:$D10975,""SELECT A WHERE D = '""&amp;K10093&amp;""'"")),""USER TIDAK DIKETAHUI""))"),"")</f>
        <v/>
      </c>
    </row>
    <row r="10094">
      <c r="A10094" s="21" t="str">
        <f t="shared" si="3"/>
        <v/>
      </c>
      <c r="B10094" s="38"/>
      <c r="C10094" s="23"/>
      <c r="D10094" s="23"/>
      <c r="E10094" s="24"/>
      <c r="F10094" s="25"/>
      <c r="G10094" s="25"/>
      <c r="H10094" s="27"/>
      <c r="I10094" s="28"/>
      <c r="J10094" s="39"/>
      <c r="K10094" s="41"/>
      <c r="L10094" s="31" t="str">
        <f>IFERROR(__xludf.DUMMYFUNCTION("IF(OR(E10094="""",K10094=""""),"""",IFERROR(IF(K10094="""","""",query('tbl user'!$A$2:$D10975,""SELECT A WHERE D = '""&amp;K10094&amp;""'"")),""USER TIDAK DIKETAHUI""))"),"")</f>
        <v/>
      </c>
    </row>
    <row r="10095">
      <c r="A10095" s="21" t="str">
        <f t="shared" si="3"/>
        <v/>
      </c>
      <c r="B10095" s="38"/>
      <c r="C10095" s="23"/>
      <c r="D10095" s="23"/>
      <c r="E10095" s="24"/>
      <c r="F10095" s="25"/>
      <c r="G10095" s="25"/>
      <c r="H10095" s="27"/>
      <c r="I10095" s="28"/>
      <c r="J10095" s="39"/>
      <c r="K10095" s="41"/>
      <c r="L10095" s="31" t="str">
        <f>IFERROR(__xludf.DUMMYFUNCTION("IF(OR(E10095="""",K10095=""""),"""",IFERROR(IF(K10095="""","""",query('tbl user'!$A$2:$D10975,""SELECT A WHERE D = '""&amp;K10095&amp;""'"")),""USER TIDAK DIKETAHUI""))"),"")</f>
        <v/>
      </c>
    </row>
    <row r="10096">
      <c r="A10096" s="21" t="str">
        <f t="shared" si="3"/>
        <v/>
      </c>
      <c r="B10096" s="38"/>
      <c r="C10096" s="23"/>
      <c r="D10096" s="23"/>
      <c r="E10096" s="24"/>
      <c r="F10096" s="25"/>
      <c r="G10096" s="25"/>
      <c r="H10096" s="27"/>
      <c r="I10096" s="28"/>
      <c r="J10096" s="39"/>
      <c r="K10096" s="41"/>
      <c r="L10096" s="31" t="str">
        <f>IFERROR(__xludf.DUMMYFUNCTION("IF(OR(E10096="""",K10096=""""),"""",IFERROR(IF(K10096="""","""",query('tbl user'!$A$2:$D10975,""SELECT A WHERE D = '""&amp;K10096&amp;""'"")),""USER TIDAK DIKETAHUI""))"),"")</f>
        <v/>
      </c>
    </row>
    <row r="10097">
      <c r="A10097" s="21" t="str">
        <f t="shared" si="3"/>
        <v/>
      </c>
      <c r="B10097" s="38"/>
      <c r="C10097" s="23"/>
      <c r="D10097" s="23"/>
      <c r="E10097" s="24"/>
      <c r="F10097" s="25"/>
      <c r="G10097" s="25"/>
      <c r="H10097" s="27"/>
      <c r="I10097" s="28"/>
      <c r="J10097" s="39"/>
      <c r="K10097" s="41"/>
      <c r="L10097" s="31" t="str">
        <f>IFERROR(__xludf.DUMMYFUNCTION("IF(OR(E10097="""",K10097=""""),"""",IFERROR(IF(K10097="""","""",query('tbl user'!$A$2:$D10975,""SELECT A WHERE D = '""&amp;K10097&amp;""'"")),""USER TIDAK DIKETAHUI""))"),"")</f>
        <v/>
      </c>
    </row>
    <row r="10098">
      <c r="A10098" s="21" t="str">
        <f t="shared" si="3"/>
        <v/>
      </c>
      <c r="B10098" s="38"/>
      <c r="C10098" s="23"/>
      <c r="D10098" s="23"/>
      <c r="E10098" s="24"/>
      <c r="F10098" s="25"/>
      <c r="G10098" s="25"/>
      <c r="H10098" s="27"/>
      <c r="I10098" s="28"/>
      <c r="J10098" s="39"/>
      <c r="K10098" s="41"/>
      <c r="L10098" s="31" t="str">
        <f>IFERROR(__xludf.DUMMYFUNCTION("IF(OR(E10098="""",K10098=""""),"""",IFERROR(IF(K10098="""","""",query('tbl user'!$A$2:$D10975,""SELECT A WHERE D = '""&amp;K10098&amp;""'"")),""USER TIDAK DIKETAHUI""))"),"")</f>
        <v/>
      </c>
    </row>
    <row r="10099">
      <c r="A10099" s="21" t="str">
        <f t="shared" si="3"/>
        <v/>
      </c>
      <c r="B10099" s="38"/>
      <c r="C10099" s="23"/>
      <c r="D10099" s="23"/>
      <c r="E10099" s="24"/>
      <c r="F10099" s="25"/>
      <c r="G10099" s="25"/>
      <c r="H10099" s="27"/>
      <c r="I10099" s="28"/>
      <c r="J10099" s="39"/>
      <c r="K10099" s="41"/>
      <c r="L10099" s="31" t="str">
        <f>IFERROR(__xludf.DUMMYFUNCTION("IF(OR(E10099="""",K10099=""""),"""",IFERROR(IF(K10099="""","""",query('tbl user'!$A$2:$D10975,""SELECT A WHERE D = '""&amp;K10099&amp;""'"")),""USER TIDAK DIKETAHUI""))"),"")</f>
        <v/>
      </c>
    </row>
    <row r="10100">
      <c r="A10100" s="21" t="str">
        <f t="shared" si="3"/>
        <v/>
      </c>
      <c r="B10100" s="38"/>
      <c r="C10100" s="23"/>
      <c r="D10100" s="23"/>
      <c r="E10100" s="24"/>
      <c r="F10100" s="25"/>
      <c r="G10100" s="25"/>
      <c r="H10100" s="27"/>
      <c r="I10100" s="28"/>
      <c r="J10100" s="39"/>
      <c r="K10100" s="41"/>
      <c r="L10100" s="31" t="str">
        <f>IFERROR(__xludf.DUMMYFUNCTION("IF(OR(E10100="""",K10100=""""),"""",IFERROR(IF(K10100="""","""",query('tbl user'!$A$2:$D10975,""SELECT A WHERE D = '""&amp;K10100&amp;""'"")),""USER TIDAK DIKETAHUI""))"),"")</f>
        <v/>
      </c>
    </row>
    <row r="10101">
      <c r="A10101" s="21" t="str">
        <f t="shared" si="3"/>
        <v/>
      </c>
      <c r="B10101" s="38"/>
      <c r="C10101" s="23"/>
      <c r="D10101" s="23"/>
      <c r="E10101" s="24"/>
      <c r="F10101" s="25"/>
      <c r="G10101" s="25"/>
      <c r="H10101" s="27"/>
      <c r="I10101" s="28"/>
      <c r="J10101" s="39"/>
      <c r="K10101" s="41"/>
      <c r="L10101" s="31" t="str">
        <f>IFERROR(__xludf.DUMMYFUNCTION("IF(OR(E10101="""",K10101=""""),"""",IFERROR(IF(K10101="""","""",query('tbl user'!$A$2:$D10975,""SELECT A WHERE D = '""&amp;K10101&amp;""'"")),""USER TIDAK DIKETAHUI""))"),"")</f>
        <v/>
      </c>
    </row>
    <row r="10102">
      <c r="A10102" s="21" t="str">
        <f t="shared" si="3"/>
        <v/>
      </c>
      <c r="B10102" s="38"/>
      <c r="C10102" s="23"/>
      <c r="D10102" s="23"/>
      <c r="E10102" s="24"/>
      <c r="F10102" s="25"/>
      <c r="G10102" s="25"/>
      <c r="H10102" s="27"/>
      <c r="I10102" s="28"/>
      <c r="J10102" s="39"/>
      <c r="K10102" s="41"/>
      <c r="L10102" s="31" t="str">
        <f>IFERROR(__xludf.DUMMYFUNCTION("IF(OR(E10102="""",K10102=""""),"""",IFERROR(IF(K10102="""","""",query('tbl user'!$A$2:$D10975,""SELECT A WHERE D = '""&amp;K10102&amp;""'"")),""USER TIDAK DIKETAHUI""))"),"")</f>
        <v/>
      </c>
    </row>
    <row r="10103">
      <c r="A10103" s="21" t="str">
        <f t="shared" si="3"/>
        <v/>
      </c>
      <c r="B10103" s="38"/>
      <c r="C10103" s="23"/>
      <c r="D10103" s="23"/>
      <c r="E10103" s="24"/>
      <c r="F10103" s="25"/>
      <c r="G10103" s="25"/>
      <c r="H10103" s="27"/>
      <c r="I10103" s="28"/>
      <c r="J10103" s="39"/>
      <c r="K10103" s="41"/>
      <c r="L10103" s="31" t="str">
        <f>IFERROR(__xludf.DUMMYFUNCTION("IF(OR(E10103="""",K10103=""""),"""",IFERROR(IF(K10103="""","""",query('tbl user'!$A$2:$D10975,""SELECT A WHERE D = '""&amp;K10103&amp;""'"")),""USER TIDAK DIKETAHUI""))"),"")</f>
        <v/>
      </c>
    </row>
    <row r="10104">
      <c r="A10104" s="21" t="str">
        <f t="shared" si="3"/>
        <v/>
      </c>
      <c r="B10104" s="38"/>
      <c r="C10104" s="23"/>
      <c r="D10104" s="23"/>
      <c r="E10104" s="24"/>
      <c r="F10104" s="25"/>
      <c r="G10104" s="25"/>
      <c r="H10104" s="27"/>
      <c r="I10104" s="28"/>
      <c r="J10104" s="39"/>
      <c r="K10104" s="41"/>
      <c r="L10104" s="31" t="str">
        <f>IFERROR(__xludf.DUMMYFUNCTION("IF(OR(E10104="""",K10104=""""),"""",IFERROR(IF(K10104="""","""",query('tbl user'!$A$2:$D10975,""SELECT A WHERE D = '""&amp;K10104&amp;""'"")),""USER TIDAK DIKETAHUI""))"),"")</f>
        <v/>
      </c>
    </row>
    <row r="10105">
      <c r="A10105" s="21" t="str">
        <f t="shared" si="3"/>
        <v/>
      </c>
      <c r="B10105" s="38"/>
      <c r="C10105" s="23"/>
      <c r="D10105" s="23"/>
      <c r="E10105" s="24"/>
      <c r="F10105" s="25"/>
      <c r="G10105" s="25"/>
      <c r="H10105" s="27"/>
      <c r="I10105" s="28"/>
      <c r="J10105" s="39"/>
      <c r="K10105" s="41"/>
      <c r="L10105" s="31" t="str">
        <f>IFERROR(__xludf.DUMMYFUNCTION("IF(OR(E10105="""",K10105=""""),"""",IFERROR(IF(K10105="""","""",query('tbl user'!$A$2:$D10975,""SELECT A WHERE D = '""&amp;K10105&amp;""'"")),""USER TIDAK DIKETAHUI""))"),"")</f>
        <v/>
      </c>
    </row>
    <row r="10106">
      <c r="A10106" s="21" t="str">
        <f t="shared" si="3"/>
        <v/>
      </c>
      <c r="B10106" s="38"/>
      <c r="C10106" s="23"/>
      <c r="D10106" s="23"/>
      <c r="E10106" s="24"/>
      <c r="F10106" s="25"/>
      <c r="G10106" s="25"/>
      <c r="H10106" s="27"/>
      <c r="I10106" s="28"/>
      <c r="J10106" s="39"/>
      <c r="K10106" s="41"/>
      <c r="L10106" s="31" t="str">
        <f>IFERROR(__xludf.DUMMYFUNCTION("IF(OR(E10106="""",K10106=""""),"""",IFERROR(IF(K10106="""","""",query('tbl user'!$A$2:$D10975,""SELECT A WHERE D = '""&amp;K10106&amp;""'"")),""USER TIDAK DIKETAHUI""))"),"")</f>
        <v/>
      </c>
    </row>
    <row r="10107">
      <c r="A10107" s="21" t="str">
        <f t="shared" si="3"/>
        <v/>
      </c>
      <c r="B10107" s="38"/>
      <c r="C10107" s="23"/>
      <c r="D10107" s="23"/>
      <c r="E10107" s="24"/>
      <c r="F10107" s="25"/>
      <c r="G10107" s="25"/>
      <c r="H10107" s="27"/>
      <c r="I10107" s="28"/>
      <c r="J10107" s="39"/>
      <c r="K10107" s="41"/>
      <c r="L10107" s="31" t="str">
        <f>IFERROR(__xludf.DUMMYFUNCTION("IF(OR(E10107="""",K10107=""""),"""",IFERROR(IF(K10107="""","""",query('tbl user'!$A$2:$D10975,""SELECT A WHERE D = '""&amp;K10107&amp;""'"")),""USER TIDAK DIKETAHUI""))"),"")</f>
        <v/>
      </c>
    </row>
    <row r="10108">
      <c r="A10108" s="21" t="str">
        <f t="shared" si="3"/>
        <v/>
      </c>
      <c r="B10108" s="38"/>
      <c r="C10108" s="23"/>
      <c r="D10108" s="23"/>
      <c r="E10108" s="24"/>
      <c r="F10108" s="25"/>
      <c r="G10108" s="25"/>
      <c r="H10108" s="27"/>
      <c r="I10108" s="28"/>
      <c r="J10108" s="39"/>
      <c r="K10108" s="41"/>
      <c r="L10108" s="31" t="str">
        <f>IFERROR(__xludf.DUMMYFUNCTION("IF(OR(E10108="""",K10108=""""),"""",IFERROR(IF(K10108="""","""",query('tbl user'!$A$2:$D10975,""SELECT A WHERE D = '""&amp;K10108&amp;""'"")),""USER TIDAK DIKETAHUI""))"),"")</f>
        <v/>
      </c>
    </row>
    <row r="10109">
      <c r="A10109" s="21" t="str">
        <f t="shared" si="3"/>
        <v/>
      </c>
      <c r="B10109" s="38"/>
      <c r="C10109" s="23"/>
      <c r="D10109" s="23"/>
      <c r="E10109" s="24"/>
      <c r="F10109" s="25"/>
      <c r="G10109" s="25"/>
      <c r="H10109" s="27"/>
      <c r="I10109" s="28"/>
      <c r="J10109" s="39"/>
      <c r="K10109" s="41"/>
      <c r="L10109" s="31" t="str">
        <f>IFERROR(__xludf.DUMMYFUNCTION("IF(OR(E10109="""",K10109=""""),"""",IFERROR(IF(K10109="""","""",query('tbl user'!$A$2:$D10975,""SELECT A WHERE D = '""&amp;K10109&amp;""'"")),""USER TIDAK DIKETAHUI""))"),"")</f>
        <v/>
      </c>
    </row>
    <row r="10110">
      <c r="A10110" s="21" t="str">
        <f t="shared" si="3"/>
        <v/>
      </c>
      <c r="B10110" s="38"/>
      <c r="C10110" s="23"/>
      <c r="D10110" s="23"/>
      <c r="E10110" s="24"/>
      <c r="F10110" s="25"/>
      <c r="G10110" s="25"/>
      <c r="H10110" s="27"/>
      <c r="I10110" s="28"/>
      <c r="J10110" s="39"/>
      <c r="K10110" s="41"/>
      <c r="L10110" s="31" t="str">
        <f>IFERROR(__xludf.DUMMYFUNCTION("IF(OR(E10110="""",K10110=""""),"""",IFERROR(IF(K10110="""","""",query('tbl user'!$A$2:$D10975,""SELECT A WHERE D = '""&amp;K10110&amp;""'"")),""USER TIDAK DIKETAHUI""))"),"")</f>
        <v/>
      </c>
    </row>
    <row r="10111">
      <c r="A10111" s="21" t="str">
        <f t="shared" si="3"/>
        <v/>
      </c>
      <c r="B10111" s="38"/>
      <c r="C10111" s="23"/>
      <c r="D10111" s="23"/>
      <c r="E10111" s="24"/>
      <c r="F10111" s="25"/>
      <c r="G10111" s="25"/>
      <c r="H10111" s="27"/>
      <c r="I10111" s="28"/>
      <c r="J10111" s="39"/>
      <c r="K10111" s="41"/>
      <c r="L10111" s="31" t="str">
        <f>IFERROR(__xludf.DUMMYFUNCTION("IF(OR(E10111="""",K10111=""""),"""",IFERROR(IF(K10111="""","""",query('tbl user'!$A$2:$D10975,""SELECT A WHERE D = '""&amp;K10111&amp;""'"")),""USER TIDAK DIKETAHUI""))"),"")</f>
        <v/>
      </c>
    </row>
    <row r="10112">
      <c r="A10112" s="21" t="str">
        <f t="shared" si="3"/>
        <v/>
      </c>
      <c r="B10112" s="38"/>
      <c r="C10112" s="23"/>
      <c r="D10112" s="23"/>
      <c r="E10112" s="24"/>
      <c r="F10112" s="25"/>
      <c r="G10112" s="25"/>
      <c r="H10112" s="27"/>
      <c r="I10112" s="28"/>
      <c r="J10112" s="39"/>
      <c r="K10112" s="41"/>
      <c r="L10112" s="31" t="str">
        <f>IFERROR(__xludf.DUMMYFUNCTION("IF(OR(E10112="""",K10112=""""),"""",IFERROR(IF(K10112="""","""",query('tbl user'!$A$2:$D10975,""SELECT A WHERE D = '""&amp;K10112&amp;""'"")),""USER TIDAK DIKETAHUI""))"),"")</f>
        <v/>
      </c>
    </row>
    <row r="10113">
      <c r="A10113" s="21" t="str">
        <f t="shared" si="3"/>
        <v/>
      </c>
      <c r="B10113" s="38"/>
      <c r="C10113" s="23"/>
      <c r="D10113" s="23"/>
      <c r="E10113" s="24"/>
      <c r="F10113" s="25"/>
      <c r="G10113" s="25"/>
      <c r="H10113" s="27"/>
      <c r="I10113" s="28"/>
      <c r="J10113" s="39"/>
      <c r="K10113" s="41"/>
      <c r="L10113" s="31" t="str">
        <f>IFERROR(__xludf.DUMMYFUNCTION("IF(OR(E10113="""",K10113=""""),"""",IFERROR(IF(K10113="""","""",query('tbl user'!$A$2:$D10975,""SELECT A WHERE D = '""&amp;K10113&amp;""'"")),""USER TIDAK DIKETAHUI""))"),"")</f>
        <v/>
      </c>
    </row>
    <row r="10114">
      <c r="A10114" s="21" t="str">
        <f t="shared" si="3"/>
        <v/>
      </c>
      <c r="B10114" s="38"/>
      <c r="C10114" s="23"/>
      <c r="D10114" s="23"/>
      <c r="E10114" s="24"/>
      <c r="F10114" s="25"/>
      <c r="G10114" s="25"/>
      <c r="H10114" s="27"/>
      <c r="I10114" s="28"/>
      <c r="J10114" s="39"/>
      <c r="K10114" s="41"/>
      <c r="L10114" s="31" t="str">
        <f>IFERROR(__xludf.DUMMYFUNCTION("IF(OR(E10114="""",K10114=""""),"""",IFERROR(IF(K10114="""","""",query('tbl user'!$A$2:$D10975,""SELECT A WHERE D = '""&amp;K10114&amp;""'"")),""USER TIDAK DIKETAHUI""))"),"")</f>
        <v/>
      </c>
    </row>
    <row r="10115">
      <c r="A10115" s="21" t="str">
        <f t="shared" si="3"/>
        <v/>
      </c>
      <c r="B10115" s="38"/>
      <c r="C10115" s="23"/>
      <c r="D10115" s="23"/>
      <c r="E10115" s="24"/>
      <c r="F10115" s="25"/>
      <c r="G10115" s="25"/>
      <c r="H10115" s="27"/>
      <c r="I10115" s="28"/>
      <c r="J10115" s="39"/>
      <c r="K10115" s="41"/>
      <c r="L10115" s="31" t="str">
        <f>IFERROR(__xludf.DUMMYFUNCTION("IF(OR(E10115="""",K10115=""""),"""",IFERROR(IF(K10115="""","""",query('tbl user'!$A$2:$D10975,""SELECT A WHERE D = '""&amp;K10115&amp;""'"")),""USER TIDAK DIKETAHUI""))"),"")</f>
        <v/>
      </c>
    </row>
    <row r="10116">
      <c r="A10116" s="21" t="str">
        <f t="shared" si="3"/>
        <v/>
      </c>
      <c r="B10116" s="38"/>
      <c r="C10116" s="23"/>
      <c r="D10116" s="23"/>
      <c r="E10116" s="24"/>
      <c r="F10116" s="25"/>
      <c r="G10116" s="25"/>
      <c r="H10116" s="27"/>
      <c r="I10116" s="28"/>
      <c r="J10116" s="39"/>
      <c r="K10116" s="41"/>
      <c r="L10116" s="31" t="str">
        <f>IFERROR(__xludf.DUMMYFUNCTION("IF(OR(E10116="""",K10116=""""),"""",IFERROR(IF(K10116="""","""",query('tbl user'!$A$2:$D10975,""SELECT A WHERE D = '""&amp;K10116&amp;""'"")),""USER TIDAK DIKETAHUI""))"),"")</f>
        <v/>
      </c>
    </row>
    <row r="10117">
      <c r="A10117" s="21" t="str">
        <f t="shared" si="3"/>
        <v/>
      </c>
      <c r="B10117" s="38"/>
      <c r="C10117" s="23"/>
      <c r="D10117" s="23"/>
      <c r="E10117" s="24"/>
      <c r="F10117" s="25"/>
      <c r="G10117" s="25"/>
      <c r="H10117" s="27"/>
      <c r="I10117" s="28"/>
      <c r="J10117" s="39"/>
      <c r="K10117" s="41"/>
      <c r="L10117" s="31" t="str">
        <f>IFERROR(__xludf.DUMMYFUNCTION("IF(OR(E10117="""",K10117=""""),"""",IFERROR(IF(K10117="""","""",query('tbl user'!$A$2:$D10975,""SELECT A WHERE D = '""&amp;K10117&amp;""'"")),""USER TIDAK DIKETAHUI""))"),"")</f>
        <v/>
      </c>
    </row>
    <row r="10118">
      <c r="A10118" s="21" t="str">
        <f t="shared" si="3"/>
        <v/>
      </c>
      <c r="B10118" s="38"/>
      <c r="C10118" s="23"/>
      <c r="D10118" s="23"/>
      <c r="E10118" s="24"/>
      <c r="F10118" s="25"/>
      <c r="G10118" s="25"/>
      <c r="H10118" s="27"/>
      <c r="I10118" s="28"/>
      <c r="J10118" s="39"/>
      <c r="K10118" s="41"/>
      <c r="L10118" s="31" t="str">
        <f>IFERROR(__xludf.DUMMYFUNCTION("IF(OR(E10118="""",K10118=""""),"""",IFERROR(IF(K10118="""","""",query('tbl user'!$A$2:$D10975,""SELECT A WHERE D = '""&amp;K10118&amp;""'"")),""USER TIDAK DIKETAHUI""))"),"")</f>
        <v/>
      </c>
    </row>
    <row r="10119">
      <c r="A10119" s="21" t="str">
        <f t="shared" si="3"/>
        <v/>
      </c>
      <c r="B10119" s="38"/>
      <c r="C10119" s="23"/>
      <c r="D10119" s="23"/>
      <c r="E10119" s="24"/>
      <c r="F10119" s="25"/>
      <c r="G10119" s="25"/>
      <c r="H10119" s="27"/>
      <c r="I10119" s="28"/>
      <c r="J10119" s="39"/>
      <c r="K10119" s="41"/>
      <c r="L10119" s="31" t="str">
        <f>IFERROR(__xludf.DUMMYFUNCTION("IF(OR(E10119="""",K10119=""""),"""",IFERROR(IF(K10119="""","""",query('tbl user'!$A$2:$D10975,""SELECT A WHERE D = '""&amp;K10119&amp;""'"")),""USER TIDAK DIKETAHUI""))"),"")</f>
        <v/>
      </c>
    </row>
    <row r="10120">
      <c r="A10120" s="21" t="str">
        <f t="shared" si="3"/>
        <v/>
      </c>
      <c r="B10120" s="38"/>
      <c r="C10120" s="23"/>
      <c r="D10120" s="23"/>
      <c r="E10120" s="24"/>
      <c r="F10120" s="25"/>
      <c r="G10120" s="25"/>
      <c r="H10120" s="27"/>
      <c r="I10120" s="28"/>
      <c r="J10120" s="39"/>
      <c r="K10120" s="41"/>
      <c r="L10120" s="31" t="str">
        <f>IFERROR(__xludf.DUMMYFUNCTION("IF(OR(E10120="""",K10120=""""),"""",IFERROR(IF(K10120="""","""",query('tbl user'!$A$2:$D10975,""SELECT A WHERE D = '""&amp;K10120&amp;""'"")),""USER TIDAK DIKETAHUI""))"),"")</f>
        <v/>
      </c>
    </row>
    <row r="10121">
      <c r="A10121" s="21" t="str">
        <f t="shared" si="3"/>
        <v/>
      </c>
      <c r="B10121" s="38"/>
      <c r="C10121" s="23"/>
      <c r="D10121" s="23"/>
      <c r="E10121" s="24"/>
      <c r="F10121" s="25"/>
      <c r="G10121" s="25"/>
      <c r="H10121" s="27"/>
      <c r="I10121" s="28"/>
      <c r="J10121" s="39"/>
      <c r="K10121" s="41"/>
      <c r="L10121" s="31" t="str">
        <f>IFERROR(__xludf.DUMMYFUNCTION("IF(OR(E10121="""",K10121=""""),"""",IFERROR(IF(K10121="""","""",query('tbl user'!$A$2:$D10975,""SELECT A WHERE D = '""&amp;K10121&amp;""'"")),""USER TIDAK DIKETAHUI""))"),"")</f>
        <v/>
      </c>
    </row>
    <row r="10122">
      <c r="A10122" s="21" t="str">
        <f t="shared" si="3"/>
        <v/>
      </c>
      <c r="B10122" s="38"/>
      <c r="C10122" s="23"/>
      <c r="D10122" s="23"/>
      <c r="E10122" s="24"/>
      <c r="F10122" s="25"/>
      <c r="G10122" s="25"/>
      <c r="H10122" s="27"/>
      <c r="I10122" s="28"/>
      <c r="J10122" s="39"/>
      <c r="K10122" s="41"/>
      <c r="L10122" s="31" t="str">
        <f>IFERROR(__xludf.DUMMYFUNCTION("IF(OR(E10122="""",K10122=""""),"""",IFERROR(IF(K10122="""","""",query('tbl user'!$A$2:$D10975,""SELECT A WHERE D = '""&amp;K10122&amp;""'"")),""USER TIDAK DIKETAHUI""))"),"")</f>
        <v/>
      </c>
    </row>
    <row r="10123">
      <c r="A10123" s="21" t="str">
        <f t="shared" si="3"/>
        <v/>
      </c>
      <c r="B10123" s="38"/>
      <c r="C10123" s="23"/>
      <c r="D10123" s="23"/>
      <c r="E10123" s="24"/>
      <c r="F10123" s="25"/>
      <c r="G10123" s="25"/>
      <c r="H10123" s="27"/>
      <c r="I10123" s="28"/>
      <c r="J10123" s="39"/>
      <c r="K10123" s="41"/>
      <c r="L10123" s="31" t="str">
        <f>IFERROR(__xludf.DUMMYFUNCTION("IF(OR(E10123="""",K10123=""""),"""",IFERROR(IF(K10123="""","""",query('tbl user'!$A$2:$D10975,""SELECT A WHERE D = '""&amp;K10123&amp;""'"")),""USER TIDAK DIKETAHUI""))"),"")</f>
        <v/>
      </c>
    </row>
    <row r="10124">
      <c r="A10124" s="21" t="str">
        <f t="shared" si="3"/>
        <v/>
      </c>
      <c r="B10124" s="38"/>
      <c r="C10124" s="23"/>
      <c r="D10124" s="23"/>
      <c r="E10124" s="24"/>
      <c r="F10124" s="25"/>
      <c r="G10124" s="25"/>
      <c r="H10124" s="27"/>
      <c r="I10124" s="28"/>
      <c r="J10124" s="39"/>
      <c r="K10124" s="41"/>
      <c r="L10124" s="31" t="str">
        <f>IFERROR(__xludf.DUMMYFUNCTION("IF(OR(E10124="""",K10124=""""),"""",IFERROR(IF(K10124="""","""",query('tbl user'!$A$2:$D10975,""SELECT A WHERE D = '""&amp;K10124&amp;""'"")),""USER TIDAK DIKETAHUI""))"),"")</f>
        <v/>
      </c>
    </row>
    <row r="10125">
      <c r="A10125" s="21" t="str">
        <f t="shared" si="3"/>
        <v/>
      </c>
      <c r="B10125" s="38"/>
      <c r="C10125" s="23"/>
      <c r="D10125" s="23"/>
      <c r="E10125" s="24"/>
      <c r="F10125" s="25"/>
      <c r="G10125" s="25"/>
      <c r="H10125" s="27"/>
      <c r="I10125" s="28"/>
      <c r="J10125" s="39"/>
      <c r="K10125" s="41"/>
      <c r="L10125" s="31" t="str">
        <f>IFERROR(__xludf.DUMMYFUNCTION("IF(OR(E10125="""",K10125=""""),"""",IFERROR(IF(K10125="""","""",query('tbl user'!$A$2:$D10975,""SELECT A WHERE D = '""&amp;K10125&amp;""'"")),""USER TIDAK DIKETAHUI""))"),"")</f>
        <v/>
      </c>
    </row>
    <row r="10126">
      <c r="A10126" s="21" t="str">
        <f t="shared" si="3"/>
        <v/>
      </c>
      <c r="B10126" s="38"/>
      <c r="C10126" s="23"/>
      <c r="D10126" s="23"/>
      <c r="E10126" s="24"/>
      <c r="F10126" s="25"/>
      <c r="G10126" s="25"/>
      <c r="H10126" s="27"/>
      <c r="I10126" s="28"/>
      <c r="J10126" s="39"/>
      <c r="K10126" s="41"/>
      <c r="L10126" s="31" t="str">
        <f>IFERROR(__xludf.DUMMYFUNCTION("IF(OR(E10126="""",K10126=""""),"""",IFERROR(IF(K10126="""","""",query('tbl user'!$A$2:$D10975,""SELECT A WHERE D = '""&amp;K10126&amp;""'"")),""USER TIDAK DIKETAHUI""))"),"")</f>
        <v/>
      </c>
    </row>
    <row r="10127">
      <c r="A10127" s="21" t="str">
        <f t="shared" si="3"/>
        <v/>
      </c>
      <c r="B10127" s="38"/>
      <c r="C10127" s="23"/>
      <c r="D10127" s="23"/>
      <c r="E10127" s="24"/>
      <c r="F10127" s="25"/>
      <c r="G10127" s="25"/>
      <c r="H10127" s="27"/>
      <c r="I10127" s="28"/>
      <c r="J10127" s="39"/>
      <c r="K10127" s="41"/>
      <c r="L10127" s="31" t="str">
        <f>IFERROR(__xludf.DUMMYFUNCTION("IF(OR(E10127="""",K10127=""""),"""",IFERROR(IF(K10127="""","""",query('tbl user'!$A$2:$D10975,""SELECT A WHERE D = '""&amp;K10127&amp;""'"")),""USER TIDAK DIKETAHUI""))"),"")</f>
        <v/>
      </c>
    </row>
    <row r="10128">
      <c r="A10128" s="21" t="str">
        <f t="shared" si="3"/>
        <v/>
      </c>
      <c r="B10128" s="38"/>
      <c r="C10128" s="23"/>
      <c r="D10128" s="23"/>
      <c r="E10128" s="24"/>
      <c r="F10128" s="25"/>
      <c r="G10128" s="25"/>
      <c r="H10128" s="27"/>
      <c r="I10128" s="28"/>
      <c r="J10128" s="39"/>
      <c r="K10128" s="41"/>
      <c r="L10128" s="31" t="str">
        <f>IFERROR(__xludf.DUMMYFUNCTION("IF(OR(E10128="""",K10128=""""),"""",IFERROR(IF(K10128="""","""",query('tbl user'!$A$2:$D10975,""SELECT A WHERE D = '""&amp;K10128&amp;""'"")),""USER TIDAK DIKETAHUI""))"),"")</f>
        <v/>
      </c>
    </row>
    <row r="10129">
      <c r="A10129" s="21" t="str">
        <f t="shared" si="3"/>
        <v/>
      </c>
      <c r="B10129" s="38"/>
      <c r="C10129" s="23"/>
      <c r="D10129" s="23"/>
      <c r="E10129" s="24"/>
      <c r="F10129" s="25"/>
      <c r="G10129" s="25"/>
      <c r="H10129" s="27"/>
      <c r="I10129" s="28"/>
      <c r="J10129" s="39"/>
      <c r="K10129" s="41"/>
      <c r="L10129" s="31" t="str">
        <f>IFERROR(__xludf.DUMMYFUNCTION("IF(OR(E10129="""",K10129=""""),"""",IFERROR(IF(K10129="""","""",query('tbl user'!$A$2:$D10975,""SELECT A WHERE D = '""&amp;K10129&amp;""'"")),""USER TIDAK DIKETAHUI""))"),"")</f>
        <v/>
      </c>
    </row>
    <row r="10130">
      <c r="A10130" s="21" t="str">
        <f t="shared" si="3"/>
        <v/>
      </c>
      <c r="B10130" s="38"/>
      <c r="C10130" s="23"/>
      <c r="D10130" s="23"/>
      <c r="E10130" s="24"/>
      <c r="F10130" s="25"/>
      <c r="G10130" s="25"/>
      <c r="H10130" s="27"/>
      <c r="I10130" s="28"/>
      <c r="J10130" s="39"/>
      <c r="K10130" s="41"/>
      <c r="L10130" s="31" t="str">
        <f>IFERROR(__xludf.DUMMYFUNCTION("IF(OR(E10130="""",K10130=""""),"""",IFERROR(IF(K10130="""","""",query('tbl user'!$A$2:$D10975,""SELECT A WHERE D = '""&amp;K10130&amp;""'"")),""USER TIDAK DIKETAHUI""))"),"")</f>
        <v/>
      </c>
    </row>
    <row r="10131">
      <c r="A10131" s="21" t="str">
        <f t="shared" si="3"/>
        <v/>
      </c>
      <c r="B10131" s="38"/>
      <c r="C10131" s="23"/>
      <c r="D10131" s="23"/>
      <c r="E10131" s="24"/>
      <c r="F10131" s="25"/>
      <c r="G10131" s="25"/>
      <c r="H10131" s="27"/>
      <c r="I10131" s="28"/>
      <c r="J10131" s="39"/>
      <c r="K10131" s="41"/>
      <c r="L10131" s="31" t="str">
        <f>IFERROR(__xludf.DUMMYFUNCTION("IF(OR(E10131="""",K10131=""""),"""",IFERROR(IF(K10131="""","""",query('tbl user'!$A$2:$D10975,""SELECT A WHERE D = '""&amp;K10131&amp;""'"")),""USER TIDAK DIKETAHUI""))"),"")</f>
        <v/>
      </c>
    </row>
    <row r="10132">
      <c r="A10132" s="21" t="str">
        <f t="shared" si="3"/>
        <v/>
      </c>
      <c r="B10132" s="38"/>
      <c r="C10132" s="23"/>
      <c r="D10132" s="23"/>
      <c r="E10132" s="24"/>
      <c r="F10132" s="25"/>
      <c r="G10132" s="25"/>
      <c r="H10132" s="27"/>
      <c r="I10132" s="28"/>
      <c r="J10132" s="39"/>
      <c r="K10132" s="41"/>
      <c r="L10132" s="31" t="str">
        <f>IFERROR(__xludf.DUMMYFUNCTION("IF(OR(E10132="""",K10132=""""),"""",IFERROR(IF(K10132="""","""",query('tbl user'!$A$2:$D10975,""SELECT A WHERE D = '""&amp;K10132&amp;""'"")),""USER TIDAK DIKETAHUI""))"),"")</f>
        <v/>
      </c>
    </row>
    <row r="10133">
      <c r="A10133" s="21" t="str">
        <f t="shared" si="3"/>
        <v/>
      </c>
      <c r="B10133" s="38"/>
      <c r="C10133" s="23"/>
      <c r="D10133" s="23"/>
      <c r="E10133" s="24"/>
      <c r="F10133" s="25"/>
      <c r="G10133" s="25"/>
      <c r="H10133" s="27"/>
      <c r="I10133" s="28"/>
      <c r="J10133" s="39"/>
      <c r="K10133" s="41"/>
      <c r="L10133" s="31" t="str">
        <f>IFERROR(__xludf.DUMMYFUNCTION("IF(OR(E10133="""",K10133=""""),"""",IFERROR(IF(K10133="""","""",query('tbl user'!$A$2:$D10975,""SELECT A WHERE D = '""&amp;K10133&amp;""'"")),""USER TIDAK DIKETAHUI""))"),"")</f>
        <v/>
      </c>
    </row>
    <row r="10134">
      <c r="A10134" s="21" t="str">
        <f t="shared" si="3"/>
        <v/>
      </c>
      <c r="B10134" s="38"/>
      <c r="C10134" s="23"/>
      <c r="D10134" s="23"/>
      <c r="E10134" s="24"/>
      <c r="F10134" s="25"/>
      <c r="G10134" s="25"/>
      <c r="H10134" s="27"/>
      <c r="I10134" s="28"/>
      <c r="J10134" s="39"/>
      <c r="K10134" s="41"/>
      <c r="L10134" s="31" t="str">
        <f>IFERROR(__xludf.DUMMYFUNCTION("IF(OR(E10134="""",K10134=""""),"""",IFERROR(IF(K10134="""","""",query('tbl user'!$A$2:$D10975,""SELECT A WHERE D = '""&amp;K10134&amp;""'"")),""USER TIDAK DIKETAHUI""))"),"")</f>
        <v/>
      </c>
    </row>
    <row r="10135">
      <c r="A10135" s="21" t="str">
        <f t="shared" si="3"/>
        <v/>
      </c>
      <c r="B10135" s="38"/>
      <c r="C10135" s="23"/>
      <c r="D10135" s="23"/>
      <c r="E10135" s="24"/>
      <c r="F10135" s="25"/>
      <c r="G10135" s="25"/>
      <c r="H10135" s="27"/>
      <c r="I10135" s="28"/>
      <c r="J10135" s="39"/>
      <c r="K10135" s="41"/>
      <c r="L10135" s="31" t="str">
        <f>IFERROR(__xludf.DUMMYFUNCTION("IF(OR(E10135="""",K10135=""""),"""",IFERROR(IF(K10135="""","""",query('tbl user'!$A$2:$D10975,""SELECT A WHERE D = '""&amp;K10135&amp;""'"")),""USER TIDAK DIKETAHUI""))"),"")</f>
        <v/>
      </c>
    </row>
    <row r="10136">
      <c r="A10136" s="21" t="str">
        <f t="shared" si="3"/>
        <v/>
      </c>
      <c r="B10136" s="38"/>
      <c r="C10136" s="23"/>
      <c r="D10136" s="23"/>
      <c r="E10136" s="24"/>
      <c r="F10136" s="25"/>
      <c r="G10136" s="25"/>
      <c r="H10136" s="27"/>
      <c r="I10136" s="28"/>
      <c r="J10136" s="39"/>
      <c r="K10136" s="41"/>
      <c r="L10136" s="31" t="str">
        <f>IFERROR(__xludf.DUMMYFUNCTION("IF(OR(E10136="""",K10136=""""),"""",IFERROR(IF(K10136="""","""",query('tbl user'!$A$2:$D10975,""SELECT A WHERE D = '""&amp;K10136&amp;""'"")),""USER TIDAK DIKETAHUI""))"),"")</f>
        <v/>
      </c>
    </row>
    <row r="10137">
      <c r="A10137" s="21" t="str">
        <f t="shared" si="3"/>
        <v/>
      </c>
      <c r="B10137" s="38"/>
      <c r="C10137" s="23"/>
      <c r="D10137" s="23"/>
      <c r="E10137" s="24"/>
      <c r="F10137" s="25"/>
      <c r="G10137" s="25"/>
      <c r="H10137" s="27"/>
      <c r="I10137" s="28"/>
      <c r="J10137" s="39"/>
      <c r="K10137" s="41"/>
      <c r="L10137" s="31" t="str">
        <f>IFERROR(__xludf.DUMMYFUNCTION("IF(OR(E10137="""",K10137=""""),"""",IFERROR(IF(K10137="""","""",query('tbl user'!$A$2:$D10975,""SELECT A WHERE D = '""&amp;K10137&amp;""'"")),""USER TIDAK DIKETAHUI""))"),"")</f>
        <v/>
      </c>
    </row>
    <row r="10138">
      <c r="A10138" s="21" t="str">
        <f t="shared" si="3"/>
        <v/>
      </c>
      <c r="B10138" s="38"/>
      <c r="C10138" s="23"/>
      <c r="D10138" s="23"/>
      <c r="E10138" s="24"/>
      <c r="F10138" s="25"/>
      <c r="G10138" s="25"/>
      <c r="H10138" s="27"/>
      <c r="I10138" s="28"/>
      <c r="J10138" s="39"/>
      <c r="K10138" s="41"/>
      <c r="L10138" s="31" t="str">
        <f>IFERROR(__xludf.DUMMYFUNCTION("IF(OR(E10138="""",K10138=""""),"""",IFERROR(IF(K10138="""","""",query('tbl user'!$A$2:$D10975,""SELECT A WHERE D = '""&amp;K10138&amp;""'"")),""USER TIDAK DIKETAHUI""))"),"")</f>
        <v/>
      </c>
    </row>
    <row r="10139">
      <c r="A10139" s="21" t="str">
        <f t="shared" si="3"/>
        <v/>
      </c>
      <c r="B10139" s="38"/>
      <c r="C10139" s="23"/>
      <c r="D10139" s="23"/>
      <c r="E10139" s="24"/>
      <c r="F10139" s="25"/>
      <c r="G10139" s="25"/>
      <c r="H10139" s="27"/>
      <c r="I10139" s="28"/>
      <c r="J10139" s="39"/>
      <c r="K10139" s="41"/>
      <c r="L10139" s="31" t="str">
        <f>IFERROR(__xludf.DUMMYFUNCTION("IF(OR(E10139="""",K10139=""""),"""",IFERROR(IF(K10139="""","""",query('tbl user'!$A$2:$D10975,""SELECT A WHERE D = '""&amp;K10139&amp;""'"")),""USER TIDAK DIKETAHUI""))"),"")</f>
        <v/>
      </c>
    </row>
    <row r="10140">
      <c r="A10140" s="21" t="str">
        <f t="shared" si="3"/>
        <v/>
      </c>
      <c r="B10140" s="38"/>
      <c r="C10140" s="23"/>
      <c r="D10140" s="23"/>
      <c r="E10140" s="24"/>
      <c r="F10140" s="25"/>
      <c r="G10140" s="25"/>
      <c r="H10140" s="27"/>
      <c r="I10140" s="28"/>
      <c r="J10140" s="39"/>
      <c r="K10140" s="41"/>
      <c r="L10140" s="31" t="str">
        <f>IFERROR(__xludf.DUMMYFUNCTION("IF(OR(E10140="""",K10140=""""),"""",IFERROR(IF(K10140="""","""",query('tbl user'!$A$2:$D10975,""SELECT A WHERE D = '""&amp;K10140&amp;""'"")),""USER TIDAK DIKETAHUI""))"),"")</f>
        <v/>
      </c>
    </row>
    <row r="10141">
      <c r="A10141" s="21" t="str">
        <f t="shared" si="3"/>
        <v/>
      </c>
      <c r="B10141" s="38"/>
      <c r="C10141" s="23"/>
      <c r="D10141" s="23"/>
      <c r="E10141" s="24"/>
      <c r="F10141" s="25"/>
      <c r="G10141" s="25"/>
      <c r="H10141" s="27"/>
      <c r="I10141" s="28"/>
      <c r="J10141" s="39"/>
      <c r="K10141" s="41"/>
      <c r="L10141" s="31" t="str">
        <f>IFERROR(__xludf.DUMMYFUNCTION("IF(OR(E10141="""",K10141=""""),"""",IFERROR(IF(K10141="""","""",query('tbl user'!$A$2:$D10975,""SELECT A WHERE D = '""&amp;K10141&amp;""'"")),""USER TIDAK DIKETAHUI""))"),"")</f>
        <v/>
      </c>
    </row>
    <row r="10142">
      <c r="A10142" s="21" t="str">
        <f t="shared" si="3"/>
        <v/>
      </c>
      <c r="B10142" s="38"/>
      <c r="C10142" s="23"/>
      <c r="D10142" s="23"/>
      <c r="E10142" s="24"/>
      <c r="F10142" s="25"/>
      <c r="G10142" s="25"/>
      <c r="H10142" s="27"/>
      <c r="I10142" s="28"/>
      <c r="J10142" s="39"/>
      <c r="K10142" s="41"/>
      <c r="L10142" s="31" t="str">
        <f>IFERROR(__xludf.DUMMYFUNCTION("IF(OR(E10142="""",K10142=""""),"""",IFERROR(IF(K10142="""","""",query('tbl user'!$A$2:$D10975,""SELECT A WHERE D = '""&amp;K10142&amp;""'"")),""USER TIDAK DIKETAHUI""))"),"")</f>
        <v/>
      </c>
    </row>
    <row r="10143">
      <c r="A10143" s="21" t="str">
        <f t="shared" si="3"/>
        <v/>
      </c>
      <c r="B10143" s="38"/>
      <c r="C10143" s="23"/>
      <c r="D10143" s="23"/>
      <c r="E10143" s="24"/>
      <c r="F10143" s="25"/>
      <c r="G10143" s="25"/>
      <c r="H10143" s="27"/>
      <c r="I10143" s="28"/>
      <c r="J10143" s="39"/>
      <c r="K10143" s="41"/>
      <c r="L10143" s="31" t="str">
        <f>IFERROR(__xludf.DUMMYFUNCTION("IF(OR(E10143="""",K10143=""""),"""",IFERROR(IF(K10143="""","""",query('tbl user'!$A$2:$D10975,""SELECT A WHERE D = '""&amp;K10143&amp;""'"")),""USER TIDAK DIKETAHUI""))"),"")</f>
        <v/>
      </c>
    </row>
    <row r="10144">
      <c r="A10144" s="21" t="str">
        <f t="shared" si="3"/>
        <v/>
      </c>
      <c r="B10144" s="38"/>
      <c r="C10144" s="23"/>
      <c r="D10144" s="23"/>
      <c r="E10144" s="24"/>
      <c r="F10144" s="25"/>
      <c r="G10144" s="25"/>
      <c r="H10144" s="27"/>
      <c r="I10144" s="28"/>
      <c r="J10144" s="39"/>
      <c r="K10144" s="41"/>
      <c r="L10144" s="31" t="str">
        <f>IFERROR(__xludf.DUMMYFUNCTION("IF(OR(E10144="""",K10144=""""),"""",IFERROR(IF(K10144="""","""",query('tbl user'!$A$2:$D10975,""SELECT A WHERE D = '""&amp;K10144&amp;""'"")),""USER TIDAK DIKETAHUI""))"),"")</f>
        <v/>
      </c>
    </row>
    <row r="10145">
      <c r="A10145" s="21" t="str">
        <f t="shared" si="3"/>
        <v/>
      </c>
      <c r="B10145" s="38"/>
      <c r="C10145" s="23"/>
      <c r="D10145" s="23"/>
      <c r="E10145" s="24"/>
      <c r="F10145" s="25"/>
      <c r="G10145" s="25"/>
      <c r="H10145" s="27"/>
      <c r="I10145" s="28"/>
      <c r="J10145" s="39"/>
      <c r="K10145" s="41"/>
      <c r="L10145" s="31" t="str">
        <f>IFERROR(__xludf.DUMMYFUNCTION("IF(OR(E10145="""",K10145=""""),"""",IFERROR(IF(K10145="""","""",query('tbl user'!$A$2:$D10975,""SELECT A WHERE D = '""&amp;K10145&amp;""'"")),""USER TIDAK DIKETAHUI""))"),"")</f>
        <v/>
      </c>
    </row>
    <row r="10146">
      <c r="A10146" s="21" t="str">
        <f t="shared" si="3"/>
        <v/>
      </c>
      <c r="B10146" s="38"/>
      <c r="C10146" s="23"/>
      <c r="D10146" s="23"/>
      <c r="E10146" s="24"/>
      <c r="F10146" s="25"/>
      <c r="G10146" s="25"/>
      <c r="H10146" s="27"/>
      <c r="I10146" s="28"/>
      <c r="J10146" s="39"/>
      <c r="K10146" s="41"/>
      <c r="L10146" s="31" t="str">
        <f>IFERROR(__xludf.DUMMYFUNCTION("IF(OR(E10146="""",K10146=""""),"""",IFERROR(IF(K10146="""","""",query('tbl user'!$A$2:$D10975,""SELECT A WHERE D = '""&amp;K10146&amp;""'"")),""USER TIDAK DIKETAHUI""))"),"")</f>
        <v/>
      </c>
    </row>
    <row r="10147">
      <c r="A10147" s="21" t="str">
        <f t="shared" si="3"/>
        <v/>
      </c>
      <c r="B10147" s="38"/>
      <c r="C10147" s="23"/>
      <c r="D10147" s="23"/>
      <c r="E10147" s="24"/>
      <c r="F10147" s="25"/>
      <c r="G10147" s="25"/>
      <c r="H10147" s="27"/>
      <c r="I10147" s="28"/>
      <c r="J10147" s="39"/>
      <c r="K10147" s="41"/>
      <c r="L10147" s="31" t="str">
        <f>IFERROR(__xludf.DUMMYFUNCTION("IF(OR(E10147="""",K10147=""""),"""",IFERROR(IF(K10147="""","""",query('tbl user'!$A$2:$D10975,""SELECT A WHERE D = '""&amp;K10147&amp;""'"")),""USER TIDAK DIKETAHUI""))"),"")</f>
        <v/>
      </c>
    </row>
    <row r="10148">
      <c r="A10148" s="21" t="str">
        <f t="shared" si="3"/>
        <v/>
      </c>
      <c r="B10148" s="38"/>
      <c r="C10148" s="23"/>
      <c r="D10148" s="23"/>
      <c r="E10148" s="24"/>
      <c r="F10148" s="25"/>
      <c r="G10148" s="25"/>
      <c r="H10148" s="27"/>
      <c r="I10148" s="28"/>
      <c r="J10148" s="39"/>
      <c r="K10148" s="41"/>
      <c r="L10148" s="31" t="str">
        <f>IFERROR(__xludf.DUMMYFUNCTION("IF(OR(E10148="""",K10148=""""),"""",IFERROR(IF(K10148="""","""",query('tbl user'!$A$2:$D10975,""SELECT A WHERE D = '""&amp;K10148&amp;""'"")),""USER TIDAK DIKETAHUI""))"),"")</f>
        <v/>
      </c>
    </row>
    <row r="10149">
      <c r="A10149" s="21" t="str">
        <f t="shared" si="3"/>
        <v/>
      </c>
      <c r="B10149" s="38"/>
      <c r="C10149" s="23"/>
      <c r="D10149" s="23"/>
      <c r="E10149" s="24"/>
      <c r="F10149" s="25"/>
      <c r="G10149" s="25"/>
      <c r="H10149" s="27"/>
      <c r="I10149" s="28"/>
      <c r="J10149" s="39"/>
      <c r="K10149" s="41"/>
      <c r="L10149" s="31" t="str">
        <f>IFERROR(__xludf.DUMMYFUNCTION("IF(OR(E10149="""",K10149=""""),"""",IFERROR(IF(K10149="""","""",query('tbl user'!$A$2:$D10975,""SELECT A WHERE D = '""&amp;K10149&amp;""'"")),""USER TIDAK DIKETAHUI""))"),"")</f>
        <v/>
      </c>
    </row>
    <row r="10150">
      <c r="A10150" s="21" t="str">
        <f t="shared" si="3"/>
        <v/>
      </c>
      <c r="B10150" s="38"/>
      <c r="C10150" s="23"/>
      <c r="D10150" s="23"/>
      <c r="E10150" s="24"/>
      <c r="F10150" s="25"/>
      <c r="G10150" s="25"/>
      <c r="H10150" s="27"/>
      <c r="I10150" s="28"/>
      <c r="J10150" s="39"/>
      <c r="K10150" s="41"/>
      <c r="L10150" s="31" t="str">
        <f>IFERROR(__xludf.DUMMYFUNCTION("IF(OR(E10150="""",K10150=""""),"""",IFERROR(IF(K10150="""","""",query('tbl user'!$A$2:$D10975,""SELECT A WHERE D = '""&amp;K10150&amp;""'"")),""USER TIDAK DIKETAHUI""))"),"")</f>
        <v/>
      </c>
    </row>
    <row r="10151">
      <c r="A10151" s="21" t="str">
        <f t="shared" si="3"/>
        <v/>
      </c>
      <c r="B10151" s="38"/>
      <c r="C10151" s="23"/>
      <c r="D10151" s="23"/>
      <c r="E10151" s="24"/>
      <c r="F10151" s="25"/>
      <c r="G10151" s="25"/>
      <c r="H10151" s="27"/>
      <c r="I10151" s="28"/>
      <c r="J10151" s="39"/>
      <c r="K10151" s="41"/>
      <c r="L10151" s="31" t="str">
        <f>IFERROR(__xludf.DUMMYFUNCTION("IF(OR(E10151="""",K10151=""""),"""",IFERROR(IF(K10151="""","""",query('tbl user'!$A$2:$D10975,""SELECT A WHERE D = '""&amp;K10151&amp;""'"")),""USER TIDAK DIKETAHUI""))"),"")</f>
        <v/>
      </c>
    </row>
    <row r="10152">
      <c r="A10152" s="21" t="str">
        <f t="shared" si="3"/>
        <v/>
      </c>
      <c r="B10152" s="38"/>
      <c r="C10152" s="23"/>
      <c r="D10152" s="23"/>
      <c r="E10152" s="24"/>
      <c r="F10152" s="25"/>
      <c r="G10152" s="25"/>
      <c r="H10152" s="27"/>
      <c r="I10152" s="28"/>
      <c r="J10152" s="39"/>
      <c r="K10152" s="41"/>
      <c r="L10152" s="31" t="str">
        <f>IFERROR(__xludf.DUMMYFUNCTION("IF(OR(E10152="""",K10152=""""),"""",IFERROR(IF(K10152="""","""",query('tbl user'!$A$2:$D10975,""SELECT A WHERE D = '""&amp;K10152&amp;""'"")),""USER TIDAK DIKETAHUI""))"),"")</f>
        <v/>
      </c>
    </row>
    <row r="10153">
      <c r="A10153" s="21" t="str">
        <f t="shared" si="3"/>
        <v/>
      </c>
      <c r="B10153" s="38"/>
      <c r="C10153" s="23"/>
      <c r="D10153" s="23"/>
      <c r="E10153" s="24"/>
      <c r="F10153" s="25"/>
      <c r="G10153" s="25"/>
      <c r="H10153" s="27"/>
      <c r="I10153" s="28"/>
      <c r="J10153" s="39"/>
      <c r="K10153" s="41"/>
      <c r="L10153" s="31" t="str">
        <f>IFERROR(__xludf.DUMMYFUNCTION("IF(OR(E10153="""",K10153=""""),"""",IFERROR(IF(K10153="""","""",query('tbl user'!$A$2:$D10975,""SELECT A WHERE D = '""&amp;K10153&amp;""'"")),""USER TIDAK DIKETAHUI""))"),"")</f>
        <v/>
      </c>
    </row>
    <row r="10154">
      <c r="A10154" s="21" t="str">
        <f t="shared" si="3"/>
        <v/>
      </c>
      <c r="B10154" s="38"/>
      <c r="C10154" s="23"/>
      <c r="D10154" s="23"/>
      <c r="E10154" s="24"/>
      <c r="F10154" s="25"/>
      <c r="G10154" s="25"/>
      <c r="H10154" s="27"/>
      <c r="I10154" s="28"/>
      <c r="J10154" s="39"/>
      <c r="K10154" s="41"/>
      <c r="L10154" s="31" t="str">
        <f>IFERROR(__xludf.DUMMYFUNCTION("IF(OR(E10154="""",K10154=""""),"""",IFERROR(IF(K10154="""","""",query('tbl user'!$A$2:$D10975,""SELECT A WHERE D = '""&amp;K10154&amp;""'"")),""USER TIDAK DIKETAHUI""))"),"")</f>
        <v/>
      </c>
    </row>
    <row r="10155">
      <c r="A10155" s="21" t="str">
        <f t="shared" si="3"/>
        <v/>
      </c>
      <c r="B10155" s="38"/>
      <c r="C10155" s="23"/>
      <c r="D10155" s="23"/>
      <c r="E10155" s="24"/>
      <c r="F10155" s="25"/>
      <c r="G10155" s="25"/>
      <c r="H10155" s="27"/>
      <c r="I10155" s="28"/>
      <c r="J10155" s="39"/>
      <c r="K10155" s="41"/>
      <c r="L10155" s="31" t="str">
        <f>IFERROR(__xludf.DUMMYFUNCTION("IF(OR(E10155="""",K10155=""""),"""",IFERROR(IF(K10155="""","""",query('tbl user'!$A$2:$D10975,""SELECT A WHERE D = '""&amp;K10155&amp;""'"")),""USER TIDAK DIKETAHUI""))"),"")</f>
        <v/>
      </c>
    </row>
    <row r="10156">
      <c r="A10156" s="21" t="str">
        <f t="shared" si="3"/>
        <v/>
      </c>
      <c r="B10156" s="38"/>
      <c r="C10156" s="23"/>
      <c r="D10156" s="23"/>
      <c r="E10156" s="24"/>
      <c r="F10156" s="25"/>
      <c r="G10156" s="25"/>
      <c r="H10156" s="27"/>
      <c r="I10156" s="28"/>
      <c r="J10156" s="39"/>
      <c r="K10156" s="41"/>
      <c r="L10156" s="31" t="str">
        <f>IFERROR(__xludf.DUMMYFUNCTION("IF(OR(E10156="""",K10156=""""),"""",IFERROR(IF(K10156="""","""",query('tbl user'!$A$2:$D10975,""SELECT A WHERE D = '""&amp;K10156&amp;""'"")),""USER TIDAK DIKETAHUI""))"),"")</f>
        <v/>
      </c>
    </row>
    <row r="10157">
      <c r="A10157" s="21" t="str">
        <f t="shared" si="3"/>
        <v/>
      </c>
      <c r="B10157" s="38"/>
      <c r="C10157" s="23"/>
      <c r="D10157" s="23"/>
      <c r="E10157" s="24"/>
      <c r="F10157" s="25"/>
      <c r="G10157" s="25"/>
      <c r="H10157" s="27"/>
      <c r="I10157" s="28"/>
      <c r="J10157" s="39"/>
      <c r="K10157" s="41"/>
      <c r="L10157" s="31" t="str">
        <f>IFERROR(__xludf.DUMMYFUNCTION("IF(OR(E10157="""",K10157=""""),"""",IFERROR(IF(K10157="""","""",query('tbl user'!$A$2:$D10975,""SELECT A WHERE D = '""&amp;K10157&amp;""'"")),""USER TIDAK DIKETAHUI""))"),"")</f>
        <v/>
      </c>
    </row>
    <row r="10158">
      <c r="A10158" s="21" t="str">
        <f t="shared" si="3"/>
        <v/>
      </c>
      <c r="B10158" s="38"/>
      <c r="C10158" s="23"/>
      <c r="D10158" s="23"/>
      <c r="E10158" s="24"/>
      <c r="F10158" s="25"/>
      <c r="G10158" s="25"/>
      <c r="H10158" s="27"/>
      <c r="I10158" s="28"/>
      <c r="J10158" s="39"/>
      <c r="K10158" s="41"/>
      <c r="L10158" s="31" t="str">
        <f>IFERROR(__xludf.DUMMYFUNCTION("IF(OR(E10158="""",K10158=""""),"""",IFERROR(IF(K10158="""","""",query('tbl user'!$A$2:$D10975,""SELECT A WHERE D = '""&amp;K10158&amp;""'"")),""USER TIDAK DIKETAHUI""))"),"")</f>
        <v/>
      </c>
    </row>
    <row r="10159">
      <c r="A10159" s="21" t="str">
        <f t="shared" si="3"/>
        <v/>
      </c>
      <c r="B10159" s="38"/>
      <c r="C10159" s="23"/>
      <c r="D10159" s="23"/>
      <c r="E10159" s="24"/>
      <c r="F10159" s="25"/>
      <c r="G10159" s="25"/>
      <c r="H10159" s="27"/>
      <c r="I10159" s="28"/>
      <c r="J10159" s="39"/>
      <c r="K10159" s="41"/>
      <c r="L10159" s="31" t="str">
        <f>IFERROR(__xludf.DUMMYFUNCTION("IF(OR(E10159="""",K10159=""""),"""",IFERROR(IF(K10159="""","""",query('tbl user'!$A$2:$D10975,""SELECT A WHERE D = '""&amp;K10159&amp;""'"")),""USER TIDAK DIKETAHUI""))"),"")</f>
        <v/>
      </c>
    </row>
    <row r="10160">
      <c r="A10160" s="21" t="str">
        <f t="shared" si="3"/>
        <v/>
      </c>
      <c r="B10160" s="38"/>
      <c r="C10160" s="23"/>
      <c r="D10160" s="23"/>
      <c r="E10160" s="24"/>
      <c r="F10160" s="25"/>
      <c r="G10160" s="25"/>
      <c r="H10160" s="27"/>
      <c r="I10160" s="28"/>
      <c r="J10160" s="39"/>
      <c r="K10160" s="41"/>
      <c r="L10160" s="31" t="str">
        <f>IFERROR(__xludf.DUMMYFUNCTION("IF(OR(E10160="""",K10160=""""),"""",IFERROR(IF(K10160="""","""",query('tbl user'!$A$2:$D10975,""SELECT A WHERE D = '""&amp;K10160&amp;""'"")),""USER TIDAK DIKETAHUI""))"),"")</f>
        <v/>
      </c>
    </row>
    <row r="10161">
      <c r="A10161" s="21" t="str">
        <f t="shared" si="3"/>
        <v/>
      </c>
      <c r="B10161" s="38"/>
      <c r="C10161" s="23"/>
      <c r="D10161" s="23"/>
      <c r="E10161" s="24"/>
      <c r="F10161" s="25"/>
      <c r="G10161" s="25"/>
      <c r="H10161" s="27"/>
      <c r="I10161" s="28"/>
      <c r="J10161" s="39"/>
      <c r="K10161" s="41"/>
      <c r="L10161" s="31" t="str">
        <f>IFERROR(__xludf.DUMMYFUNCTION("IF(OR(E10161="""",K10161=""""),"""",IFERROR(IF(K10161="""","""",query('tbl user'!$A$2:$D10975,""SELECT A WHERE D = '""&amp;K10161&amp;""'"")),""USER TIDAK DIKETAHUI""))"),"")</f>
        <v/>
      </c>
    </row>
    <row r="10162">
      <c r="A10162" s="21" t="str">
        <f t="shared" si="3"/>
        <v/>
      </c>
      <c r="B10162" s="38"/>
      <c r="C10162" s="23"/>
      <c r="D10162" s="23"/>
      <c r="E10162" s="24"/>
      <c r="F10162" s="25"/>
      <c r="G10162" s="25"/>
      <c r="H10162" s="27"/>
      <c r="I10162" s="28"/>
      <c r="J10162" s="39"/>
      <c r="K10162" s="41"/>
      <c r="L10162" s="31" t="str">
        <f>IFERROR(__xludf.DUMMYFUNCTION("IF(OR(E10162="""",K10162=""""),"""",IFERROR(IF(K10162="""","""",query('tbl user'!$A$2:$D10975,""SELECT A WHERE D = '""&amp;K10162&amp;""'"")),""USER TIDAK DIKETAHUI""))"),"")</f>
        <v/>
      </c>
    </row>
    <row r="10163">
      <c r="A10163" s="21" t="str">
        <f t="shared" si="3"/>
        <v/>
      </c>
      <c r="B10163" s="38"/>
      <c r="C10163" s="23"/>
      <c r="D10163" s="23"/>
      <c r="E10163" s="24"/>
      <c r="F10163" s="25"/>
      <c r="G10163" s="25"/>
      <c r="H10163" s="27"/>
      <c r="I10163" s="28"/>
      <c r="J10163" s="39"/>
      <c r="K10163" s="41"/>
      <c r="L10163" s="31" t="str">
        <f>IFERROR(__xludf.DUMMYFUNCTION("IF(OR(E10163="""",K10163=""""),"""",IFERROR(IF(K10163="""","""",query('tbl user'!$A$2:$D10975,""SELECT A WHERE D = '""&amp;K10163&amp;""'"")),""USER TIDAK DIKETAHUI""))"),"")</f>
        <v/>
      </c>
    </row>
    <row r="10164">
      <c r="A10164" s="21" t="str">
        <f t="shared" si="3"/>
        <v/>
      </c>
      <c r="B10164" s="38"/>
      <c r="C10164" s="23"/>
      <c r="D10164" s="23"/>
      <c r="E10164" s="24"/>
      <c r="F10164" s="25"/>
      <c r="G10164" s="25"/>
      <c r="H10164" s="27"/>
      <c r="I10164" s="28"/>
      <c r="J10164" s="39"/>
      <c r="K10164" s="41"/>
      <c r="L10164" s="31" t="str">
        <f>IFERROR(__xludf.DUMMYFUNCTION("IF(OR(E10164="""",K10164=""""),"""",IFERROR(IF(K10164="""","""",query('tbl user'!$A$2:$D10975,""SELECT A WHERE D = '""&amp;K10164&amp;""'"")),""USER TIDAK DIKETAHUI""))"),"")</f>
        <v/>
      </c>
    </row>
    <row r="10165">
      <c r="A10165" s="21" t="str">
        <f t="shared" si="3"/>
        <v/>
      </c>
      <c r="B10165" s="38"/>
      <c r="C10165" s="23"/>
      <c r="D10165" s="23"/>
      <c r="E10165" s="24"/>
      <c r="F10165" s="25"/>
      <c r="G10165" s="25"/>
      <c r="H10165" s="27"/>
      <c r="I10165" s="28"/>
      <c r="J10165" s="39"/>
      <c r="K10165" s="41"/>
      <c r="L10165" s="31" t="str">
        <f>IFERROR(__xludf.DUMMYFUNCTION("IF(OR(E10165="""",K10165=""""),"""",IFERROR(IF(K10165="""","""",query('tbl user'!$A$2:$D10975,""SELECT A WHERE D = '""&amp;K10165&amp;""'"")),""USER TIDAK DIKETAHUI""))"),"")</f>
        <v/>
      </c>
    </row>
    <row r="10166">
      <c r="A10166" s="21" t="str">
        <f t="shared" si="3"/>
        <v/>
      </c>
      <c r="B10166" s="38"/>
      <c r="C10166" s="23"/>
      <c r="D10166" s="23"/>
      <c r="E10166" s="24"/>
      <c r="F10166" s="25"/>
      <c r="G10166" s="25"/>
      <c r="H10166" s="27"/>
      <c r="I10166" s="28"/>
      <c r="J10166" s="39"/>
      <c r="K10166" s="41"/>
      <c r="L10166" s="31" t="str">
        <f>IFERROR(__xludf.DUMMYFUNCTION("IF(OR(E10166="""",K10166=""""),"""",IFERROR(IF(K10166="""","""",query('tbl user'!$A$2:$D10975,""SELECT A WHERE D = '""&amp;K10166&amp;""'"")),""USER TIDAK DIKETAHUI""))"),"")</f>
        <v/>
      </c>
    </row>
    <row r="10167">
      <c r="A10167" s="21" t="str">
        <f t="shared" si="3"/>
        <v/>
      </c>
      <c r="B10167" s="38"/>
      <c r="C10167" s="23"/>
      <c r="D10167" s="23"/>
      <c r="E10167" s="24"/>
      <c r="F10167" s="25"/>
      <c r="G10167" s="25"/>
      <c r="H10167" s="27"/>
      <c r="I10167" s="28"/>
      <c r="J10167" s="39"/>
      <c r="K10167" s="41"/>
      <c r="L10167" s="31" t="str">
        <f>IFERROR(__xludf.DUMMYFUNCTION("IF(OR(E10167="""",K10167=""""),"""",IFERROR(IF(K10167="""","""",query('tbl user'!$A$2:$D10975,""SELECT A WHERE D = '""&amp;K10167&amp;""'"")),""USER TIDAK DIKETAHUI""))"),"")</f>
        <v/>
      </c>
    </row>
    <row r="10168">
      <c r="A10168" s="21" t="str">
        <f t="shared" si="3"/>
        <v/>
      </c>
      <c r="B10168" s="38"/>
      <c r="C10168" s="23"/>
      <c r="D10168" s="23"/>
      <c r="E10168" s="24"/>
      <c r="F10168" s="25"/>
      <c r="G10168" s="25"/>
      <c r="H10168" s="27"/>
      <c r="I10168" s="28"/>
      <c r="J10168" s="39"/>
      <c r="K10168" s="41"/>
      <c r="L10168" s="31" t="str">
        <f>IFERROR(__xludf.DUMMYFUNCTION("IF(OR(E10168="""",K10168=""""),"""",IFERROR(IF(K10168="""","""",query('tbl user'!$A$2:$D10975,""SELECT A WHERE D = '""&amp;K10168&amp;""'"")),""USER TIDAK DIKETAHUI""))"),"")</f>
        <v/>
      </c>
    </row>
    <row r="10169">
      <c r="A10169" s="21" t="str">
        <f t="shared" si="3"/>
        <v/>
      </c>
      <c r="B10169" s="38"/>
      <c r="C10169" s="23"/>
      <c r="D10169" s="23"/>
      <c r="E10169" s="24"/>
      <c r="F10169" s="25"/>
      <c r="G10169" s="25"/>
      <c r="H10169" s="27"/>
      <c r="I10169" s="28"/>
      <c r="J10169" s="39"/>
      <c r="K10169" s="41"/>
      <c r="L10169" s="31" t="str">
        <f>IFERROR(__xludf.DUMMYFUNCTION("IF(OR(E10169="""",K10169=""""),"""",IFERROR(IF(K10169="""","""",query('tbl user'!$A$2:$D10975,""SELECT A WHERE D = '""&amp;K10169&amp;""'"")),""USER TIDAK DIKETAHUI""))"),"")</f>
        <v/>
      </c>
    </row>
    <row r="10170">
      <c r="A10170" s="21" t="str">
        <f t="shared" si="3"/>
        <v/>
      </c>
      <c r="B10170" s="38"/>
      <c r="C10170" s="23"/>
      <c r="D10170" s="23"/>
      <c r="E10170" s="24"/>
      <c r="F10170" s="25"/>
      <c r="G10170" s="25"/>
      <c r="H10170" s="27"/>
      <c r="I10170" s="28"/>
      <c r="J10170" s="39"/>
      <c r="K10170" s="41"/>
      <c r="L10170" s="31" t="str">
        <f>IFERROR(__xludf.DUMMYFUNCTION("IF(OR(E10170="""",K10170=""""),"""",IFERROR(IF(K10170="""","""",query('tbl user'!$A$2:$D10975,""SELECT A WHERE D = '""&amp;K10170&amp;""'"")),""USER TIDAK DIKETAHUI""))"),"")</f>
        <v/>
      </c>
    </row>
    <row r="10171">
      <c r="A10171" s="21" t="str">
        <f t="shared" si="3"/>
        <v/>
      </c>
      <c r="B10171" s="38"/>
      <c r="C10171" s="23"/>
      <c r="D10171" s="23"/>
      <c r="E10171" s="24"/>
      <c r="F10171" s="25"/>
      <c r="G10171" s="25"/>
      <c r="H10171" s="27"/>
      <c r="I10171" s="28"/>
      <c r="J10171" s="39"/>
      <c r="K10171" s="41"/>
      <c r="L10171" s="31" t="str">
        <f>IFERROR(__xludf.DUMMYFUNCTION("IF(OR(E10171="""",K10171=""""),"""",IFERROR(IF(K10171="""","""",query('tbl user'!$A$2:$D10975,""SELECT A WHERE D = '""&amp;K10171&amp;""'"")),""USER TIDAK DIKETAHUI""))"),"")</f>
        <v/>
      </c>
    </row>
    <row r="10172">
      <c r="A10172" s="21" t="str">
        <f t="shared" si="3"/>
        <v/>
      </c>
      <c r="B10172" s="38"/>
      <c r="C10172" s="23"/>
      <c r="D10172" s="23"/>
      <c r="E10172" s="24"/>
      <c r="F10172" s="25"/>
      <c r="G10172" s="25"/>
      <c r="H10172" s="27"/>
      <c r="I10172" s="28"/>
      <c r="J10172" s="39"/>
      <c r="K10172" s="41"/>
      <c r="L10172" s="31" t="str">
        <f>IFERROR(__xludf.DUMMYFUNCTION("IF(OR(E10172="""",K10172=""""),"""",IFERROR(IF(K10172="""","""",query('tbl user'!$A$2:$D10975,""SELECT A WHERE D = '""&amp;K10172&amp;""'"")),""USER TIDAK DIKETAHUI""))"),"")</f>
        <v/>
      </c>
    </row>
    <row r="10173">
      <c r="A10173" s="21" t="str">
        <f t="shared" si="3"/>
        <v/>
      </c>
      <c r="B10173" s="38"/>
      <c r="C10173" s="23"/>
      <c r="D10173" s="23"/>
      <c r="E10173" s="24"/>
      <c r="F10173" s="25"/>
      <c r="G10173" s="25"/>
      <c r="H10173" s="27"/>
      <c r="I10173" s="28"/>
      <c r="J10173" s="39"/>
      <c r="K10173" s="41"/>
      <c r="L10173" s="31" t="str">
        <f>IFERROR(__xludf.DUMMYFUNCTION("IF(OR(E10173="""",K10173=""""),"""",IFERROR(IF(K10173="""","""",query('tbl user'!$A$2:$D10975,""SELECT A WHERE D = '""&amp;K10173&amp;""'"")),""USER TIDAK DIKETAHUI""))"),"")</f>
        <v/>
      </c>
    </row>
    <row r="10174">
      <c r="A10174" s="21" t="str">
        <f t="shared" si="3"/>
        <v/>
      </c>
      <c r="B10174" s="38"/>
      <c r="C10174" s="23"/>
      <c r="D10174" s="23"/>
      <c r="E10174" s="24"/>
      <c r="F10174" s="25"/>
      <c r="G10174" s="25"/>
      <c r="H10174" s="27"/>
      <c r="I10174" s="28"/>
      <c r="J10174" s="39"/>
      <c r="K10174" s="41"/>
      <c r="L10174" s="31" t="str">
        <f>IFERROR(__xludf.DUMMYFUNCTION("IF(OR(E10174="""",K10174=""""),"""",IFERROR(IF(K10174="""","""",query('tbl user'!$A$2:$D10975,""SELECT A WHERE D = '""&amp;K10174&amp;""'"")),""USER TIDAK DIKETAHUI""))"),"")</f>
        <v/>
      </c>
    </row>
    <row r="10175">
      <c r="A10175" s="21" t="str">
        <f t="shared" si="3"/>
        <v/>
      </c>
      <c r="B10175" s="38"/>
      <c r="C10175" s="23"/>
      <c r="D10175" s="23"/>
      <c r="E10175" s="24"/>
      <c r="F10175" s="25"/>
      <c r="G10175" s="25"/>
      <c r="H10175" s="27"/>
      <c r="I10175" s="28"/>
      <c r="J10175" s="39"/>
      <c r="K10175" s="41"/>
      <c r="L10175" s="31" t="str">
        <f>IFERROR(__xludf.DUMMYFUNCTION("IF(OR(E10175="""",K10175=""""),"""",IFERROR(IF(K10175="""","""",query('tbl user'!$A$2:$D10975,""SELECT A WHERE D = '""&amp;K10175&amp;""'"")),""USER TIDAK DIKETAHUI""))"),"")</f>
        <v/>
      </c>
    </row>
    <row r="10176">
      <c r="A10176" s="21" t="str">
        <f t="shared" si="3"/>
        <v/>
      </c>
      <c r="B10176" s="38"/>
      <c r="C10176" s="23"/>
      <c r="D10176" s="23"/>
      <c r="E10176" s="24"/>
      <c r="F10176" s="25"/>
      <c r="G10176" s="25"/>
      <c r="H10176" s="27"/>
      <c r="I10176" s="28"/>
      <c r="J10176" s="39"/>
      <c r="K10176" s="41"/>
      <c r="L10176" s="31" t="str">
        <f>IFERROR(__xludf.DUMMYFUNCTION("IF(OR(E10176="""",K10176=""""),"""",IFERROR(IF(K10176="""","""",query('tbl user'!$A$2:$D10975,""SELECT A WHERE D = '""&amp;K10176&amp;""'"")),""USER TIDAK DIKETAHUI""))"),"")</f>
        <v/>
      </c>
    </row>
    <row r="10177">
      <c r="A10177" s="21" t="str">
        <f t="shared" si="3"/>
        <v/>
      </c>
      <c r="B10177" s="38"/>
      <c r="C10177" s="23"/>
      <c r="D10177" s="23"/>
      <c r="E10177" s="24"/>
      <c r="F10177" s="25"/>
      <c r="G10177" s="25"/>
      <c r="H10177" s="27"/>
      <c r="I10177" s="28"/>
      <c r="J10177" s="39"/>
      <c r="K10177" s="41"/>
      <c r="L10177" s="31" t="str">
        <f>IFERROR(__xludf.DUMMYFUNCTION("IF(OR(E10177="""",K10177=""""),"""",IFERROR(IF(K10177="""","""",query('tbl user'!$A$2:$D10975,""SELECT A WHERE D = '""&amp;K10177&amp;""'"")),""USER TIDAK DIKETAHUI""))"),"")</f>
        <v/>
      </c>
    </row>
    <row r="10178">
      <c r="A10178" s="21" t="str">
        <f t="shared" si="3"/>
        <v/>
      </c>
      <c r="B10178" s="38"/>
      <c r="C10178" s="23"/>
      <c r="D10178" s="23"/>
      <c r="E10178" s="24"/>
      <c r="F10178" s="25"/>
      <c r="G10178" s="25"/>
      <c r="H10178" s="27"/>
      <c r="I10178" s="28"/>
      <c r="J10178" s="39"/>
      <c r="K10178" s="41"/>
      <c r="L10178" s="31" t="str">
        <f>IFERROR(__xludf.DUMMYFUNCTION("IF(OR(E10178="""",K10178=""""),"""",IFERROR(IF(K10178="""","""",query('tbl user'!$A$2:$D10975,""SELECT A WHERE D = '""&amp;K10178&amp;""'"")),""USER TIDAK DIKETAHUI""))"),"")</f>
        <v/>
      </c>
    </row>
    <row r="10179">
      <c r="A10179" s="21" t="str">
        <f t="shared" si="3"/>
        <v/>
      </c>
      <c r="B10179" s="38"/>
      <c r="C10179" s="23"/>
      <c r="D10179" s="23"/>
      <c r="E10179" s="24"/>
      <c r="F10179" s="25"/>
      <c r="G10179" s="25"/>
      <c r="H10179" s="27"/>
      <c r="I10179" s="28"/>
      <c r="J10179" s="39"/>
      <c r="K10179" s="41"/>
      <c r="L10179" s="31" t="str">
        <f>IFERROR(__xludf.DUMMYFUNCTION("IF(OR(E10179="""",K10179=""""),"""",IFERROR(IF(K10179="""","""",query('tbl user'!$A$2:$D10975,""SELECT A WHERE D = '""&amp;K10179&amp;""'"")),""USER TIDAK DIKETAHUI""))"),"")</f>
        <v/>
      </c>
    </row>
    <row r="10180">
      <c r="A10180" s="21" t="str">
        <f t="shared" si="3"/>
        <v/>
      </c>
      <c r="B10180" s="38"/>
      <c r="C10180" s="23"/>
      <c r="D10180" s="23"/>
      <c r="E10180" s="24"/>
      <c r="F10180" s="25"/>
      <c r="G10180" s="25"/>
      <c r="H10180" s="27"/>
      <c r="I10180" s="28"/>
      <c r="J10180" s="39"/>
      <c r="K10180" s="41"/>
      <c r="L10180" s="31" t="str">
        <f>IFERROR(__xludf.DUMMYFUNCTION("IF(OR(E10180="""",K10180=""""),"""",IFERROR(IF(K10180="""","""",query('tbl user'!$A$2:$D10975,""SELECT A WHERE D = '""&amp;K10180&amp;""'"")),""USER TIDAK DIKETAHUI""))"),"")</f>
        <v/>
      </c>
    </row>
    <row r="10181">
      <c r="A10181" s="21" t="str">
        <f t="shared" si="3"/>
        <v/>
      </c>
      <c r="B10181" s="38"/>
      <c r="C10181" s="23"/>
      <c r="D10181" s="23"/>
      <c r="E10181" s="24"/>
      <c r="F10181" s="25"/>
      <c r="G10181" s="25"/>
      <c r="H10181" s="27"/>
      <c r="I10181" s="28"/>
      <c r="J10181" s="39"/>
      <c r="K10181" s="41"/>
      <c r="L10181" s="31" t="str">
        <f>IFERROR(__xludf.DUMMYFUNCTION("IF(OR(E10181="""",K10181=""""),"""",IFERROR(IF(K10181="""","""",query('tbl user'!$A$2:$D10975,""SELECT A WHERE D = '""&amp;K10181&amp;""'"")),""USER TIDAK DIKETAHUI""))"),"")</f>
        <v/>
      </c>
    </row>
    <row r="10182">
      <c r="A10182" s="21" t="str">
        <f t="shared" si="3"/>
        <v/>
      </c>
      <c r="B10182" s="38"/>
      <c r="C10182" s="23"/>
      <c r="D10182" s="23"/>
      <c r="E10182" s="24"/>
      <c r="F10182" s="25"/>
      <c r="G10182" s="25"/>
      <c r="H10182" s="27"/>
      <c r="I10182" s="28"/>
      <c r="J10182" s="39"/>
      <c r="K10182" s="41"/>
      <c r="L10182" s="31" t="str">
        <f>IFERROR(__xludf.DUMMYFUNCTION("IF(OR(E10182="""",K10182=""""),"""",IFERROR(IF(K10182="""","""",query('tbl user'!$A$2:$D10975,""SELECT A WHERE D = '""&amp;K10182&amp;""'"")),""USER TIDAK DIKETAHUI""))"),"")</f>
        <v/>
      </c>
    </row>
    <row r="10183">
      <c r="A10183" s="21" t="str">
        <f t="shared" si="3"/>
        <v/>
      </c>
      <c r="B10183" s="38"/>
      <c r="C10183" s="23"/>
      <c r="D10183" s="23"/>
      <c r="E10183" s="24"/>
      <c r="F10183" s="25"/>
      <c r="G10183" s="25"/>
      <c r="H10183" s="27"/>
      <c r="I10183" s="28"/>
      <c r="J10183" s="39"/>
      <c r="K10183" s="41"/>
      <c r="L10183" s="31" t="str">
        <f>IFERROR(__xludf.DUMMYFUNCTION("IF(OR(E10183="""",K10183=""""),"""",IFERROR(IF(K10183="""","""",query('tbl user'!$A$2:$D10975,""SELECT A WHERE D = '""&amp;K10183&amp;""'"")),""USER TIDAK DIKETAHUI""))"),"")</f>
        <v/>
      </c>
    </row>
    <row r="10184">
      <c r="A10184" s="21" t="str">
        <f t="shared" si="3"/>
        <v/>
      </c>
      <c r="B10184" s="38"/>
      <c r="C10184" s="23"/>
      <c r="D10184" s="23"/>
      <c r="E10184" s="24"/>
      <c r="F10184" s="25"/>
      <c r="G10184" s="25"/>
      <c r="H10184" s="27"/>
      <c r="I10184" s="28"/>
      <c r="J10184" s="39"/>
      <c r="K10184" s="41"/>
      <c r="L10184" s="31" t="str">
        <f>IFERROR(__xludf.DUMMYFUNCTION("IF(OR(E10184="""",K10184=""""),"""",IFERROR(IF(K10184="""","""",query('tbl user'!$A$2:$D10975,""SELECT A WHERE D = '""&amp;K10184&amp;""'"")),""USER TIDAK DIKETAHUI""))"),"")</f>
        <v/>
      </c>
    </row>
    <row r="10185">
      <c r="A10185" s="21" t="str">
        <f t="shared" si="3"/>
        <v/>
      </c>
      <c r="B10185" s="38"/>
      <c r="C10185" s="23"/>
      <c r="D10185" s="23"/>
      <c r="E10185" s="24"/>
      <c r="F10185" s="25"/>
      <c r="G10185" s="25"/>
      <c r="H10185" s="27"/>
      <c r="I10185" s="28"/>
      <c r="J10185" s="39"/>
      <c r="K10185" s="41"/>
      <c r="L10185" s="31" t="str">
        <f>IFERROR(__xludf.DUMMYFUNCTION("IF(OR(E10185="""",K10185=""""),"""",IFERROR(IF(K10185="""","""",query('tbl user'!$A$2:$D10975,""SELECT A WHERE D = '""&amp;K10185&amp;""'"")),""USER TIDAK DIKETAHUI""))"),"")</f>
        <v/>
      </c>
    </row>
    <row r="10186">
      <c r="A10186" s="21" t="str">
        <f t="shared" si="3"/>
        <v/>
      </c>
      <c r="B10186" s="38"/>
      <c r="C10186" s="23"/>
      <c r="D10186" s="23"/>
      <c r="E10186" s="24"/>
      <c r="F10186" s="25"/>
      <c r="G10186" s="25"/>
      <c r="H10186" s="27"/>
      <c r="I10186" s="28"/>
      <c r="J10186" s="39"/>
      <c r="K10186" s="41"/>
      <c r="L10186" s="31" t="str">
        <f>IFERROR(__xludf.DUMMYFUNCTION("IF(OR(E10186="""",K10186=""""),"""",IFERROR(IF(K10186="""","""",query('tbl user'!$A$2:$D10975,""SELECT A WHERE D = '""&amp;K10186&amp;""'"")),""USER TIDAK DIKETAHUI""))"),"")</f>
        <v/>
      </c>
    </row>
    <row r="10187">
      <c r="A10187" s="21" t="str">
        <f t="shared" si="3"/>
        <v/>
      </c>
      <c r="B10187" s="38"/>
      <c r="C10187" s="23"/>
      <c r="D10187" s="23"/>
      <c r="E10187" s="24"/>
      <c r="F10187" s="25"/>
      <c r="G10187" s="25"/>
      <c r="H10187" s="27"/>
      <c r="I10187" s="28"/>
      <c r="J10187" s="39"/>
      <c r="K10187" s="41"/>
      <c r="L10187" s="31" t="str">
        <f>IFERROR(__xludf.DUMMYFUNCTION("IF(OR(E10187="""",K10187=""""),"""",IFERROR(IF(K10187="""","""",query('tbl user'!$A$2:$D10975,""SELECT A WHERE D = '""&amp;K10187&amp;""'"")),""USER TIDAK DIKETAHUI""))"),"")</f>
        <v/>
      </c>
    </row>
    <row r="10188">
      <c r="A10188" s="21" t="str">
        <f t="shared" si="3"/>
        <v/>
      </c>
      <c r="B10188" s="38"/>
      <c r="C10188" s="23"/>
      <c r="D10188" s="23"/>
      <c r="E10188" s="24"/>
      <c r="F10188" s="25"/>
      <c r="G10188" s="25"/>
      <c r="H10188" s="27"/>
      <c r="I10188" s="28"/>
      <c r="J10188" s="39"/>
      <c r="K10188" s="41"/>
      <c r="L10188" s="31" t="str">
        <f>IFERROR(__xludf.DUMMYFUNCTION("IF(OR(E10188="""",K10188=""""),"""",IFERROR(IF(K10188="""","""",query('tbl user'!$A$2:$D10975,""SELECT A WHERE D = '""&amp;K10188&amp;""'"")),""USER TIDAK DIKETAHUI""))"),"")</f>
        <v/>
      </c>
    </row>
    <row r="10189">
      <c r="A10189" s="21" t="str">
        <f t="shared" si="3"/>
        <v/>
      </c>
      <c r="B10189" s="38"/>
      <c r="C10189" s="23"/>
      <c r="D10189" s="23"/>
      <c r="E10189" s="24"/>
      <c r="F10189" s="25"/>
      <c r="G10189" s="25"/>
      <c r="H10189" s="27"/>
      <c r="I10189" s="28"/>
      <c r="J10189" s="39"/>
      <c r="K10189" s="41"/>
      <c r="L10189" s="31" t="str">
        <f>IFERROR(__xludf.DUMMYFUNCTION("IF(OR(E10189="""",K10189=""""),"""",IFERROR(IF(K10189="""","""",query('tbl user'!$A$2:$D10975,""SELECT A WHERE D = '""&amp;K10189&amp;""'"")),""USER TIDAK DIKETAHUI""))"),"")</f>
        <v/>
      </c>
    </row>
    <row r="10190">
      <c r="A10190" s="21" t="str">
        <f t="shared" si="3"/>
        <v/>
      </c>
      <c r="B10190" s="38"/>
      <c r="C10190" s="23"/>
      <c r="D10190" s="23"/>
      <c r="E10190" s="24"/>
      <c r="F10190" s="25"/>
      <c r="G10190" s="25"/>
      <c r="H10190" s="27"/>
      <c r="I10190" s="28"/>
      <c r="J10190" s="39"/>
      <c r="K10190" s="41"/>
      <c r="L10190" s="31" t="str">
        <f>IFERROR(__xludf.DUMMYFUNCTION("IF(OR(E10190="""",K10190=""""),"""",IFERROR(IF(K10190="""","""",query('tbl user'!$A$2:$D10975,""SELECT A WHERE D = '""&amp;K10190&amp;""'"")),""USER TIDAK DIKETAHUI""))"),"")</f>
        <v/>
      </c>
    </row>
    <row r="10191">
      <c r="A10191" s="21" t="str">
        <f t="shared" si="3"/>
        <v/>
      </c>
      <c r="B10191" s="38"/>
      <c r="C10191" s="23"/>
      <c r="D10191" s="23"/>
      <c r="E10191" s="24"/>
      <c r="F10191" s="25"/>
      <c r="G10191" s="25"/>
      <c r="H10191" s="27"/>
      <c r="I10191" s="28"/>
      <c r="J10191" s="39"/>
      <c r="K10191" s="41"/>
      <c r="L10191" s="31" t="str">
        <f>IFERROR(__xludf.DUMMYFUNCTION("IF(OR(E10191="""",K10191=""""),"""",IFERROR(IF(K10191="""","""",query('tbl user'!$A$2:$D10975,""SELECT A WHERE D = '""&amp;K10191&amp;""'"")),""USER TIDAK DIKETAHUI""))"),"")</f>
        <v/>
      </c>
    </row>
    <row r="10192">
      <c r="A10192" s="21" t="str">
        <f t="shared" si="3"/>
        <v/>
      </c>
      <c r="B10192" s="38"/>
      <c r="C10192" s="23"/>
      <c r="D10192" s="23"/>
      <c r="E10192" s="24"/>
      <c r="F10192" s="25"/>
      <c r="G10192" s="25"/>
      <c r="H10192" s="27"/>
      <c r="I10192" s="28"/>
      <c r="J10192" s="39"/>
      <c r="K10192" s="41"/>
      <c r="L10192" s="31" t="str">
        <f>IFERROR(__xludf.DUMMYFUNCTION("IF(OR(E10192="""",K10192=""""),"""",IFERROR(IF(K10192="""","""",query('tbl user'!$A$2:$D10975,""SELECT A WHERE D = '""&amp;K10192&amp;""'"")),""USER TIDAK DIKETAHUI""))"),"")</f>
        <v/>
      </c>
    </row>
    <row r="10193">
      <c r="A10193" s="21" t="str">
        <f t="shared" si="3"/>
        <v/>
      </c>
      <c r="B10193" s="38"/>
      <c r="C10193" s="23"/>
      <c r="D10193" s="23"/>
      <c r="E10193" s="24"/>
      <c r="F10193" s="25"/>
      <c r="G10193" s="25"/>
      <c r="H10193" s="27"/>
      <c r="I10193" s="28"/>
      <c r="J10193" s="39"/>
      <c r="K10193" s="41"/>
      <c r="L10193" s="31" t="str">
        <f>IFERROR(__xludf.DUMMYFUNCTION("IF(OR(E10193="""",K10193=""""),"""",IFERROR(IF(K10193="""","""",query('tbl user'!$A$2:$D10975,""SELECT A WHERE D = '""&amp;K10193&amp;""'"")),""USER TIDAK DIKETAHUI""))"),"")</f>
        <v/>
      </c>
    </row>
    <row r="10194">
      <c r="A10194" s="21" t="str">
        <f t="shared" si="3"/>
        <v/>
      </c>
      <c r="B10194" s="38"/>
      <c r="C10194" s="23"/>
      <c r="D10194" s="23"/>
      <c r="E10194" s="24"/>
      <c r="F10194" s="25"/>
      <c r="G10194" s="25"/>
      <c r="H10194" s="27"/>
      <c r="I10194" s="28"/>
      <c r="J10194" s="39"/>
      <c r="K10194" s="41"/>
      <c r="L10194" s="31" t="str">
        <f>IFERROR(__xludf.DUMMYFUNCTION("IF(OR(E10194="""",K10194=""""),"""",IFERROR(IF(K10194="""","""",query('tbl user'!$A$2:$D10975,""SELECT A WHERE D = '""&amp;K10194&amp;""'"")),""USER TIDAK DIKETAHUI""))"),"")</f>
        <v/>
      </c>
    </row>
    <row r="10195">
      <c r="A10195" s="21" t="str">
        <f t="shared" si="3"/>
        <v/>
      </c>
      <c r="B10195" s="38"/>
      <c r="C10195" s="23"/>
      <c r="D10195" s="23"/>
      <c r="E10195" s="24"/>
      <c r="F10195" s="25"/>
      <c r="G10195" s="25"/>
      <c r="H10195" s="27"/>
      <c r="I10195" s="28"/>
      <c r="J10195" s="39"/>
      <c r="K10195" s="41"/>
      <c r="L10195" s="31" t="str">
        <f>IFERROR(__xludf.DUMMYFUNCTION("IF(OR(E10195="""",K10195=""""),"""",IFERROR(IF(K10195="""","""",query('tbl user'!$A$2:$D10975,""SELECT A WHERE D = '""&amp;K10195&amp;""'"")),""USER TIDAK DIKETAHUI""))"),"")</f>
        <v/>
      </c>
    </row>
    <row r="10196">
      <c r="A10196" s="21" t="str">
        <f t="shared" si="3"/>
        <v/>
      </c>
      <c r="B10196" s="38"/>
      <c r="C10196" s="23"/>
      <c r="D10196" s="23"/>
      <c r="E10196" s="24"/>
      <c r="F10196" s="25"/>
      <c r="G10196" s="25"/>
      <c r="H10196" s="27"/>
      <c r="I10196" s="28"/>
      <c r="J10196" s="39"/>
      <c r="K10196" s="41"/>
      <c r="L10196" s="31" t="str">
        <f>IFERROR(__xludf.DUMMYFUNCTION("IF(OR(E10196="""",K10196=""""),"""",IFERROR(IF(K10196="""","""",query('tbl user'!$A$2:$D10975,""SELECT A WHERE D = '""&amp;K10196&amp;""'"")),""USER TIDAK DIKETAHUI""))"),"")</f>
        <v/>
      </c>
    </row>
    <row r="10197">
      <c r="A10197" s="21" t="str">
        <f t="shared" si="3"/>
        <v/>
      </c>
      <c r="B10197" s="38"/>
      <c r="C10197" s="23"/>
      <c r="D10197" s="23"/>
      <c r="E10197" s="24"/>
      <c r="F10197" s="25"/>
      <c r="G10197" s="25"/>
      <c r="H10197" s="27"/>
      <c r="I10197" s="28"/>
      <c r="J10197" s="39"/>
      <c r="K10197" s="41"/>
      <c r="L10197" s="31" t="str">
        <f>IFERROR(__xludf.DUMMYFUNCTION("IF(OR(E10197="""",K10197=""""),"""",IFERROR(IF(K10197="""","""",query('tbl user'!$A$2:$D10975,""SELECT A WHERE D = '""&amp;K10197&amp;""'"")),""USER TIDAK DIKETAHUI""))"),"")</f>
        <v/>
      </c>
    </row>
    <row r="10198">
      <c r="A10198" s="21" t="str">
        <f t="shared" si="3"/>
        <v/>
      </c>
      <c r="B10198" s="38"/>
      <c r="C10198" s="23"/>
      <c r="D10198" s="23"/>
      <c r="E10198" s="24"/>
      <c r="F10198" s="25"/>
      <c r="G10198" s="25"/>
      <c r="H10198" s="27"/>
      <c r="I10198" s="28"/>
      <c r="J10198" s="39"/>
      <c r="K10198" s="41"/>
      <c r="L10198" s="31" t="str">
        <f>IFERROR(__xludf.DUMMYFUNCTION("IF(OR(E10198="""",K10198=""""),"""",IFERROR(IF(K10198="""","""",query('tbl user'!$A$2:$D10975,""SELECT A WHERE D = '""&amp;K10198&amp;""'"")),""USER TIDAK DIKETAHUI""))"),"")</f>
        <v/>
      </c>
    </row>
    <row r="10199">
      <c r="A10199" s="21" t="str">
        <f t="shared" si="3"/>
        <v/>
      </c>
      <c r="B10199" s="38"/>
      <c r="C10199" s="23"/>
      <c r="D10199" s="23"/>
      <c r="E10199" s="24"/>
      <c r="F10199" s="25"/>
      <c r="G10199" s="25"/>
      <c r="H10199" s="27"/>
      <c r="I10199" s="28"/>
      <c r="J10199" s="39"/>
      <c r="K10199" s="41"/>
      <c r="L10199" s="31" t="str">
        <f>IFERROR(__xludf.DUMMYFUNCTION("IF(OR(E10199="""",K10199=""""),"""",IFERROR(IF(K10199="""","""",query('tbl user'!$A$2:$D10975,""SELECT A WHERE D = '""&amp;K10199&amp;""'"")),""USER TIDAK DIKETAHUI""))"),"")</f>
        <v/>
      </c>
    </row>
    <row r="10200">
      <c r="A10200" s="21" t="str">
        <f t="shared" si="3"/>
        <v/>
      </c>
      <c r="B10200" s="38"/>
      <c r="C10200" s="23"/>
      <c r="D10200" s="23"/>
      <c r="E10200" s="24"/>
      <c r="F10200" s="25"/>
      <c r="G10200" s="25"/>
      <c r="H10200" s="27"/>
      <c r="I10200" s="28"/>
      <c r="J10200" s="39"/>
      <c r="K10200" s="41"/>
      <c r="L10200" s="31" t="str">
        <f>IFERROR(__xludf.DUMMYFUNCTION("IF(OR(E10200="""",K10200=""""),"""",IFERROR(IF(K10200="""","""",query('tbl user'!$A$2:$D10975,""SELECT A WHERE D = '""&amp;K10200&amp;""'"")),""USER TIDAK DIKETAHUI""))"),"")</f>
        <v/>
      </c>
    </row>
    <row r="10201">
      <c r="A10201" s="21" t="str">
        <f t="shared" si="3"/>
        <v/>
      </c>
      <c r="B10201" s="38"/>
      <c r="C10201" s="23"/>
      <c r="D10201" s="23"/>
      <c r="E10201" s="24"/>
      <c r="F10201" s="25"/>
      <c r="G10201" s="25"/>
      <c r="H10201" s="27"/>
      <c r="I10201" s="28"/>
      <c r="J10201" s="39"/>
      <c r="K10201" s="41"/>
      <c r="L10201" s="31" t="str">
        <f>IFERROR(__xludf.DUMMYFUNCTION("IF(OR(E10201="""",K10201=""""),"""",IFERROR(IF(K10201="""","""",query('tbl user'!$A$2:$D10975,""SELECT A WHERE D = '""&amp;K10201&amp;""'"")),""USER TIDAK DIKETAHUI""))"),"")</f>
        <v/>
      </c>
    </row>
    <row r="10202">
      <c r="A10202" s="21" t="str">
        <f t="shared" si="3"/>
        <v/>
      </c>
      <c r="B10202" s="38"/>
      <c r="C10202" s="23"/>
      <c r="D10202" s="23"/>
      <c r="E10202" s="24"/>
      <c r="F10202" s="25"/>
      <c r="G10202" s="25"/>
      <c r="H10202" s="27"/>
      <c r="I10202" s="28"/>
      <c r="J10202" s="39"/>
      <c r="K10202" s="41"/>
      <c r="L10202" s="31" t="str">
        <f>IFERROR(__xludf.DUMMYFUNCTION("IF(OR(E10202="""",K10202=""""),"""",IFERROR(IF(K10202="""","""",query('tbl user'!$A$2:$D10975,""SELECT A WHERE D = '""&amp;K10202&amp;""'"")),""USER TIDAK DIKETAHUI""))"),"")</f>
        <v/>
      </c>
    </row>
    <row r="10203">
      <c r="A10203" s="21" t="str">
        <f t="shared" si="3"/>
        <v/>
      </c>
      <c r="B10203" s="38"/>
      <c r="C10203" s="23"/>
      <c r="D10203" s="23"/>
      <c r="E10203" s="24"/>
      <c r="F10203" s="25"/>
      <c r="G10203" s="25"/>
      <c r="H10203" s="27"/>
      <c r="I10203" s="28"/>
      <c r="J10203" s="39"/>
      <c r="K10203" s="41"/>
      <c r="L10203" s="31" t="str">
        <f>IFERROR(__xludf.DUMMYFUNCTION("IF(OR(E10203="""",K10203=""""),"""",IFERROR(IF(K10203="""","""",query('tbl user'!$A$2:$D10975,""SELECT A WHERE D = '""&amp;K10203&amp;""'"")),""USER TIDAK DIKETAHUI""))"),"")</f>
        <v/>
      </c>
    </row>
    <row r="10204">
      <c r="A10204" s="21" t="str">
        <f t="shared" si="3"/>
        <v/>
      </c>
      <c r="B10204" s="38"/>
      <c r="C10204" s="23"/>
      <c r="D10204" s="23"/>
      <c r="E10204" s="24"/>
      <c r="F10204" s="25"/>
      <c r="G10204" s="25"/>
      <c r="H10204" s="27"/>
      <c r="I10204" s="28"/>
      <c r="J10204" s="39"/>
      <c r="K10204" s="41"/>
      <c r="L10204" s="31" t="str">
        <f>IFERROR(__xludf.DUMMYFUNCTION("IF(OR(E10204="""",K10204=""""),"""",IFERROR(IF(K10204="""","""",query('tbl user'!$A$2:$D10975,""SELECT A WHERE D = '""&amp;K10204&amp;""'"")),""USER TIDAK DIKETAHUI""))"),"")</f>
        <v/>
      </c>
    </row>
    <row r="10205">
      <c r="A10205" s="21" t="str">
        <f t="shared" si="3"/>
        <v/>
      </c>
      <c r="B10205" s="38"/>
      <c r="C10205" s="23"/>
      <c r="D10205" s="23"/>
      <c r="E10205" s="24"/>
      <c r="F10205" s="25"/>
      <c r="G10205" s="25"/>
      <c r="H10205" s="27"/>
      <c r="I10205" s="28"/>
      <c r="J10205" s="39"/>
      <c r="K10205" s="41"/>
      <c r="L10205" s="31" t="str">
        <f>IFERROR(__xludf.DUMMYFUNCTION("IF(OR(E10205="""",K10205=""""),"""",IFERROR(IF(K10205="""","""",query('tbl user'!$A$2:$D10975,""SELECT A WHERE D = '""&amp;K10205&amp;""'"")),""USER TIDAK DIKETAHUI""))"),"")</f>
        <v/>
      </c>
    </row>
    <row r="10206">
      <c r="A10206" s="21" t="str">
        <f t="shared" si="3"/>
        <v/>
      </c>
      <c r="B10206" s="38"/>
      <c r="C10206" s="23"/>
      <c r="D10206" s="23"/>
      <c r="E10206" s="24"/>
      <c r="F10206" s="25"/>
      <c r="G10206" s="25"/>
      <c r="H10206" s="27"/>
      <c r="I10206" s="28"/>
      <c r="J10206" s="39"/>
      <c r="K10206" s="41"/>
      <c r="L10206" s="31" t="str">
        <f>IFERROR(__xludf.DUMMYFUNCTION("IF(OR(E10206="""",K10206=""""),"""",IFERROR(IF(K10206="""","""",query('tbl user'!$A$2:$D10975,""SELECT A WHERE D = '""&amp;K10206&amp;""'"")),""USER TIDAK DIKETAHUI""))"),"")</f>
        <v/>
      </c>
    </row>
    <row r="10207">
      <c r="A10207" s="21" t="str">
        <f t="shared" si="3"/>
        <v/>
      </c>
      <c r="B10207" s="38"/>
      <c r="C10207" s="23"/>
      <c r="D10207" s="23"/>
      <c r="E10207" s="24"/>
      <c r="F10207" s="25"/>
      <c r="G10207" s="25"/>
      <c r="H10207" s="27"/>
      <c r="I10207" s="28"/>
      <c r="J10207" s="39"/>
      <c r="K10207" s="41"/>
      <c r="L10207" s="31" t="str">
        <f>IFERROR(__xludf.DUMMYFUNCTION("IF(OR(E10207="""",K10207=""""),"""",IFERROR(IF(K10207="""","""",query('tbl user'!$A$2:$D10975,""SELECT A WHERE D = '""&amp;K10207&amp;""'"")),""USER TIDAK DIKETAHUI""))"),"")</f>
        <v/>
      </c>
    </row>
    <row r="10208">
      <c r="A10208" s="21" t="str">
        <f t="shared" si="3"/>
        <v/>
      </c>
      <c r="B10208" s="38"/>
      <c r="C10208" s="23"/>
      <c r="D10208" s="23"/>
      <c r="E10208" s="24"/>
      <c r="F10208" s="25"/>
      <c r="G10208" s="25"/>
      <c r="H10208" s="27"/>
      <c r="I10208" s="28"/>
      <c r="J10208" s="39"/>
      <c r="K10208" s="41"/>
      <c r="L10208" s="31" t="str">
        <f>IFERROR(__xludf.DUMMYFUNCTION("IF(OR(E10208="""",K10208=""""),"""",IFERROR(IF(K10208="""","""",query('tbl user'!$A$2:$D10975,""SELECT A WHERE D = '""&amp;K10208&amp;""'"")),""USER TIDAK DIKETAHUI""))"),"")</f>
        <v/>
      </c>
    </row>
    <row r="10209">
      <c r="A10209" s="21" t="str">
        <f t="shared" si="3"/>
        <v/>
      </c>
      <c r="B10209" s="38"/>
      <c r="C10209" s="23"/>
      <c r="D10209" s="23"/>
      <c r="E10209" s="24"/>
      <c r="F10209" s="25"/>
      <c r="G10209" s="25"/>
      <c r="H10209" s="27"/>
      <c r="I10209" s="28"/>
      <c r="J10209" s="39"/>
      <c r="K10209" s="41"/>
      <c r="L10209" s="31" t="str">
        <f>IFERROR(__xludf.DUMMYFUNCTION("IF(OR(E10209="""",K10209=""""),"""",IFERROR(IF(K10209="""","""",query('tbl user'!$A$2:$D10975,""SELECT A WHERE D = '""&amp;K10209&amp;""'"")),""USER TIDAK DIKETAHUI""))"),"")</f>
        <v/>
      </c>
    </row>
    <row r="10210">
      <c r="A10210" s="21" t="str">
        <f t="shared" si="3"/>
        <v/>
      </c>
      <c r="B10210" s="38"/>
      <c r="C10210" s="23"/>
      <c r="D10210" s="23"/>
      <c r="E10210" s="24"/>
      <c r="F10210" s="25"/>
      <c r="G10210" s="25"/>
      <c r="H10210" s="27"/>
      <c r="I10210" s="28"/>
      <c r="J10210" s="39"/>
      <c r="K10210" s="41"/>
      <c r="L10210" s="31" t="str">
        <f>IFERROR(__xludf.DUMMYFUNCTION("IF(OR(E10210="""",K10210=""""),"""",IFERROR(IF(K10210="""","""",query('tbl user'!$A$2:$D10975,""SELECT A WHERE D = '""&amp;K10210&amp;""'"")),""USER TIDAK DIKETAHUI""))"),"")</f>
        <v/>
      </c>
    </row>
    <row r="10211">
      <c r="A10211" s="21" t="str">
        <f t="shared" si="3"/>
        <v/>
      </c>
      <c r="B10211" s="38"/>
      <c r="C10211" s="23"/>
      <c r="D10211" s="23"/>
      <c r="E10211" s="24"/>
      <c r="F10211" s="25"/>
      <c r="G10211" s="25"/>
      <c r="H10211" s="27"/>
      <c r="I10211" s="28"/>
      <c r="J10211" s="39"/>
      <c r="K10211" s="41"/>
      <c r="L10211" s="31" t="str">
        <f>IFERROR(__xludf.DUMMYFUNCTION("IF(OR(E10211="""",K10211=""""),"""",IFERROR(IF(K10211="""","""",query('tbl user'!$A$2:$D10975,""SELECT A WHERE D = '""&amp;K10211&amp;""'"")),""USER TIDAK DIKETAHUI""))"),"")</f>
        <v/>
      </c>
    </row>
    <row r="10212">
      <c r="A10212" s="21" t="str">
        <f t="shared" si="3"/>
        <v/>
      </c>
      <c r="B10212" s="38"/>
      <c r="C10212" s="23"/>
      <c r="D10212" s="23"/>
      <c r="E10212" s="24"/>
      <c r="F10212" s="25"/>
      <c r="G10212" s="25"/>
      <c r="H10212" s="27"/>
      <c r="I10212" s="28"/>
      <c r="J10212" s="39"/>
      <c r="K10212" s="41"/>
      <c r="L10212" s="31" t="str">
        <f>IFERROR(__xludf.DUMMYFUNCTION("IF(OR(E10212="""",K10212=""""),"""",IFERROR(IF(K10212="""","""",query('tbl user'!$A$2:$D10975,""SELECT A WHERE D = '""&amp;K10212&amp;""'"")),""USER TIDAK DIKETAHUI""))"),"")</f>
        <v/>
      </c>
    </row>
    <row r="10213">
      <c r="A10213" s="21" t="str">
        <f t="shared" si="3"/>
        <v/>
      </c>
      <c r="B10213" s="38"/>
      <c r="C10213" s="23"/>
      <c r="D10213" s="23"/>
      <c r="E10213" s="24"/>
      <c r="F10213" s="25"/>
      <c r="G10213" s="25"/>
      <c r="H10213" s="27"/>
      <c r="I10213" s="28"/>
      <c r="J10213" s="39"/>
      <c r="K10213" s="41"/>
      <c r="L10213" s="31" t="str">
        <f>IFERROR(__xludf.DUMMYFUNCTION("IF(OR(E10213="""",K10213=""""),"""",IFERROR(IF(K10213="""","""",query('tbl user'!$A$2:$D10975,""SELECT A WHERE D = '""&amp;K10213&amp;""'"")),""USER TIDAK DIKETAHUI""))"),"")</f>
        <v/>
      </c>
    </row>
    <row r="10214">
      <c r="A10214" s="21" t="str">
        <f t="shared" si="3"/>
        <v/>
      </c>
      <c r="B10214" s="38"/>
      <c r="C10214" s="23"/>
      <c r="D10214" s="23"/>
      <c r="E10214" s="24"/>
      <c r="F10214" s="25"/>
      <c r="G10214" s="25"/>
      <c r="H10214" s="27"/>
      <c r="I10214" s="28"/>
      <c r="J10214" s="39"/>
      <c r="K10214" s="41"/>
      <c r="L10214" s="31" t="str">
        <f>IFERROR(__xludf.DUMMYFUNCTION("IF(OR(E10214="""",K10214=""""),"""",IFERROR(IF(K10214="""","""",query('tbl user'!$A$2:$D10975,""SELECT A WHERE D = '""&amp;K10214&amp;""'"")),""USER TIDAK DIKETAHUI""))"),"")</f>
        <v/>
      </c>
    </row>
    <row r="10215">
      <c r="A10215" s="21" t="str">
        <f t="shared" si="3"/>
        <v/>
      </c>
      <c r="B10215" s="38"/>
      <c r="C10215" s="23"/>
      <c r="D10215" s="23"/>
      <c r="E10215" s="24"/>
      <c r="F10215" s="25"/>
      <c r="G10215" s="25"/>
      <c r="H10215" s="27"/>
      <c r="I10215" s="28"/>
      <c r="J10215" s="39"/>
      <c r="K10215" s="41"/>
      <c r="L10215" s="31" t="str">
        <f>IFERROR(__xludf.DUMMYFUNCTION("IF(OR(E10215="""",K10215=""""),"""",IFERROR(IF(K10215="""","""",query('tbl user'!$A$2:$D10975,""SELECT A WHERE D = '""&amp;K10215&amp;""'"")),""USER TIDAK DIKETAHUI""))"),"")</f>
        <v/>
      </c>
    </row>
    <row r="10216">
      <c r="A10216" s="21" t="str">
        <f t="shared" si="3"/>
        <v/>
      </c>
      <c r="B10216" s="38"/>
      <c r="C10216" s="23"/>
      <c r="D10216" s="23"/>
      <c r="E10216" s="24"/>
      <c r="F10216" s="25"/>
      <c r="G10216" s="25"/>
      <c r="H10216" s="27"/>
      <c r="I10216" s="28"/>
      <c r="J10216" s="39"/>
      <c r="K10216" s="41"/>
      <c r="L10216" s="31" t="str">
        <f>IFERROR(__xludf.DUMMYFUNCTION("IF(OR(E10216="""",K10216=""""),"""",IFERROR(IF(K10216="""","""",query('tbl user'!$A$2:$D10975,""SELECT A WHERE D = '""&amp;K10216&amp;""'"")),""USER TIDAK DIKETAHUI""))"),"")</f>
        <v/>
      </c>
    </row>
    <row r="10217">
      <c r="A10217" s="21" t="str">
        <f t="shared" si="3"/>
        <v/>
      </c>
      <c r="B10217" s="38"/>
      <c r="C10217" s="23"/>
      <c r="D10217" s="23"/>
      <c r="E10217" s="24"/>
      <c r="F10217" s="25"/>
      <c r="G10217" s="25"/>
      <c r="H10217" s="27"/>
      <c r="I10217" s="28"/>
      <c r="J10217" s="39"/>
      <c r="K10217" s="41"/>
      <c r="L10217" s="31" t="str">
        <f>IFERROR(__xludf.DUMMYFUNCTION("IF(OR(E10217="""",K10217=""""),"""",IFERROR(IF(K10217="""","""",query('tbl user'!$A$2:$D10975,""SELECT A WHERE D = '""&amp;K10217&amp;""'"")),""USER TIDAK DIKETAHUI""))"),"")</f>
        <v/>
      </c>
    </row>
    <row r="10218">
      <c r="A10218" s="21" t="str">
        <f t="shared" si="3"/>
        <v/>
      </c>
      <c r="B10218" s="38"/>
      <c r="C10218" s="23"/>
      <c r="D10218" s="23"/>
      <c r="E10218" s="24"/>
      <c r="F10218" s="25"/>
      <c r="G10218" s="25"/>
      <c r="H10218" s="27"/>
      <c r="I10218" s="28"/>
      <c r="J10218" s="39"/>
      <c r="K10218" s="41"/>
      <c r="L10218" s="31" t="str">
        <f>IFERROR(__xludf.DUMMYFUNCTION("IF(OR(E10218="""",K10218=""""),"""",IFERROR(IF(K10218="""","""",query('tbl user'!$A$2:$D10975,""SELECT A WHERE D = '""&amp;K10218&amp;""'"")),""USER TIDAK DIKETAHUI""))"),"")</f>
        <v/>
      </c>
    </row>
    <row r="10219">
      <c r="A10219" s="21" t="str">
        <f t="shared" si="3"/>
        <v/>
      </c>
      <c r="B10219" s="38"/>
      <c r="C10219" s="23"/>
      <c r="D10219" s="23"/>
      <c r="E10219" s="24"/>
      <c r="F10219" s="25"/>
      <c r="G10219" s="25"/>
      <c r="H10219" s="27"/>
      <c r="I10219" s="28"/>
      <c r="J10219" s="39"/>
      <c r="K10219" s="41"/>
      <c r="L10219" s="31" t="str">
        <f>IFERROR(__xludf.DUMMYFUNCTION("IF(OR(E10219="""",K10219=""""),"""",IFERROR(IF(K10219="""","""",query('tbl user'!$A$2:$D10975,""SELECT A WHERE D = '""&amp;K10219&amp;""'"")),""USER TIDAK DIKETAHUI""))"),"")</f>
        <v/>
      </c>
    </row>
    <row r="10220">
      <c r="A10220" s="21" t="str">
        <f t="shared" si="3"/>
        <v/>
      </c>
      <c r="B10220" s="38"/>
      <c r="C10220" s="23"/>
      <c r="D10220" s="23"/>
      <c r="E10220" s="24"/>
      <c r="F10220" s="25"/>
      <c r="G10220" s="25"/>
      <c r="H10220" s="27"/>
      <c r="I10220" s="28"/>
      <c r="J10220" s="39"/>
      <c r="K10220" s="41"/>
      <c r="L10220" s="31" t="str">
        <f>IFERROR(__xludf.DUMMYFUNCTION("IF(OR(E10220="""",K10220=""""),"""",IFERROR(IF(K10220="""","""",query('tbl user'!$A$2:$D10975,""SELECT A WHERE D = '""&amp;K10220&amp;""'"")),""USER TIDAK DIKETAHUI""))"),"")</f>
        <v/>
      </c>
    </row>
    <row r="10221">
      <c r="A10221" s="21" t="str">
        <f t="shared" si="3"/>
        <v/>
      </c>
      <c r="B10221" s="38"/>
      <c r="C10221" s="23"/>
      <c r="D10221" s="23"/>
      <c r="E10221" s="24"/>
      <c r="F10221" s="25"/>
      <c r="G10221" s="25"/>
      <c r="H10221" s="27"/>
      <c r="I10221" s="28"/>
      <c r="J10221" s="39"/>
      <c r="K10221" s="41"/>
      <c r="L10221" s="31" t="str">
        <f>IFERROR(__xludf.DUMMYFUNCTION("IF(OR(E10221="""",K10221=""""),"""",IFERROR(IF(K10221="""","""",query('tbl user'!$A$2:$D10975,""SELECT A WHERE D = '""&amp;K10221&amp;""'"")),""USER TIDAK DIKETAHUI""))"),"")</f>
        <v/>
      </c>
    </row>
    <row r="10222">
      <c r="A10222" s="21" t="str">
        <f t="shared" si="3"/>
        <v/>
      </c>
      <c r="B10222" s="38"/>
      <c r="C10222" s="23"/>
      <c r="D10222" s="23"/>
      <c r="E10222" s="24"/>
      <c r="F10222" s="25"/>
      <c r="G10222" s="25"/>
      <c r="H10222" s="27"/>
      <c r="I10222" s="28"/>
      <c r="J10222" s="39"/>
      <c r="K10222" s="41"/>
      <c r="L10222" s="31" t="str">
        <f>IFERROR(__xludf.DUMMYFUNCTION("IF(OR(E10222="""",K10222=""""),"""",IFERROR(IF(K10222="""","""",query('tbl user'!$A$2:$D10975,""SELECT A WHERE D = '""&amp;K10222&amp;""'"")),""USER TIDAK DIKETAHUI""))"),"")</f>
        <v/>
      </c>
    </row>
    <row r="10223">
      <c r="A10223" s="21" t="str">
        <f t="shared" si="3"/>
        <v/>
      </c>
      <c r="B10223" s="38"/>
      <c r="C10223" s="23"/>
      <c r="D10223" s="23"/>
      <c r="E10223" s="24"/>
      <c r="F10223" s="25"/>
      <c r="G10223" s="25"/>
      <c r="H10223" s="27"/>
      <c r="I10223" s="28"/>
      <c r="J10223" s="39"/>
      <c r="K10223" s="41"/>
      <c r="L10223" s="31" t="str">
        <f>IFERROR(__xludf.DUMMYFUNCTION("IF(OR(E10223="""",K10223=""""),"""",IFERROR(IF(K10223="""","""",query('tbl user'!$A$2:$D10975,""SELECT A WHERE D = '""&amp;K10223&amp;""'"")),""USER TIDAK DIKETAHUI""))"),"")</f>
        <v/>
      </c>
    </row>
    <row r="10224">
      <c r="A10224" s="21" t="str">
        <f t="shared" si="3"/>
        <v/>
      </c>
      <c r="B10224" s="38"/>
      <c r="C10224" s="23"/>
      <c r="D10224" s="23"/>
      <c r="E10224" s="24"/>
      <c r="F10224" s="25"/>
      <c r="G10224" s="25"/>
      <c r="H10224" s="27"/>
      <c r="I10224" s="28"/>
      <c r="J10224" s="39"/>
      <c r="K10224" s="41"/>
      <c r="L10224" s="31" t="str">
        <f>IFERROR(__xludf.DUMMYFUNCTION("IF(OR(E10224="""",K10224=""""),"""",IFERROR(IF(K10224="""","""",query('tbl user'!$A$2:$D10975,""SELECT A WHERE D = '""&amp;K10224&amp;""'"")),""USER TIDAK DIKETAHUI""))"),"")</f>
        <v/>
      </c>
    </row>
    <row r="10225">
      <c r="A10225" s="21" t="str">
        <f t="shared" si="3"/>
        <v/>
      </c>
      <c r="B10225" s="38"/>
      <c r="C10225" s="23"/>
      <c r="D10225" s="23"/>
      <c r="E10225" s="24"/>
      <c r="F10225" s="25"/>
      <c r="G10225" s="25"/>
      <c r="H10225" s="27"/>
      <c r="I10225" s="28"/>
      <c r="J10225" s="39"/>
      <c r="K10225" s="41"/>
      <c r="L10225" s="31" t="str">
        <f>IFERROR(__xludf.DUMMYFUNCTION("IF(OR(E10225="""",K10225=""""),"""",IFERROR(IF(K10225="""","""",query('tbl user'!$A$2:$D10975,""SELECT A WHERE D = '""&amp;K10225&amp;""'"")),""USER TIDAK DIKETAHUI""))"),"")</f>
        <v/>
      </c>
    </row>
    <row r="10226">
      <c r="A10226" s="21" t="str">
        <f t="shared" si="3"/>
        <v/>
      </c>
      <c r="B10226" s="38"/>
      <c r="C10226" s="23"/>
      <c r="D10226" s="23"/>
      <c r="E10226" s="24"/>
      <c r="F10226" s="25"/>
      <c r="G10226" s="25"/>
      <c r="H10226" s="27"/>
      <c r="I10226" s="28"/>
      <c r="J10226" s="39"/>
      <c r="K10226" s="41"/>
      <c r="L10226" s="31" t="str">
        <f>IFERROR(__xludf.DUMMYFUNCTION("IF(OR(E10226="""",K10226=""""),"""",IFERROR(IF(K10226="""","""",query('tbl user'!$A$2:$D10975,""SELECT A WHERE D = '""&amp;K10226&amp;""'"")),""USER TIDAK DIKETAHUI""))"),"")</f>
        <v/>
      </c>
    </row>
    <row r="10227">
      <c r="A10227" s="21" t="str">
        <f t="shared" si="3"/>
        <v/>
      </c>
      <c r="B10227" s="38"/>
      <c r="C10227" s="23"/>
      <c r="D10227" s="23"/>
      <c r="E10227" s="24"/>
      <c r="F10227" s="25"/>
      <c r="G10227" s="25"/>
      <c r="H10227" s="27"/>
      <c r="I10227" s="28"/>
      <c r="J10227" s="39"/>
      <c r="K10227" s="41"/>
      <c r="L10227" s="31" t="str">
        <f>IFERROR(__xludf.DUMMYFUNCTION("IF(OR(E10227="""",K10227=""""),"""",IFERROR(IF(K10227="""","""",query('tbl user'!$A$2:$D10975,""SELECT A WHERE D = '""&amp;K10227&amp;""'"")),""USER TIDAK DIKETAHUI""))"),"")</f>
        <v/>
      </c>
    </row>
    <row r="10228">
      <c r="A10228" s="21" t="str">
        <f t="shared" si="3"/>
        <v/>
      </c>
      <c r="B10228" s="38"/>
      <c r="C10228" s="23"/>
      <c r="D10228" s="23"/>
      <c r="E10228" s="24"/>
      <c r="F10228" s="25"/>
      <c r="G10228" s="25"/>
      <c r="H10228" s="27"/>
      <c r="I10228" s="28"/>
      <c r="J10228" s="39"/>
      <c r="K10228" s="41"/>
      <c r="L10228" s="31" t="str">
        <f>IFERROR(__xludf.DUMMYFUNCTION("IF(OR(E10228="""",K10228=""""),"""",IFERROR(IF(K10228="""","""",query('tbl user'!$A$2:$D10975,""SELECT A WHERE D = '""&amp;K10228&amp;""'"")),""USER TIDAK DIKETAHUI""))"),"")</f>
        <v/>
      </c>
    </row>
    <row r="10229">
      <c r="A10229" s="21" t="str">
        <f t="shared" si="3"/>
        <v/>
      </c>
      <c r="B10229" s="38"/>
      <c r="C10229" s="23"/>
      <c r="D10229" s="23"/>
      <c r="E10229" s="24"/>
      <c r="F10229" s="25"/>
      <c r="G10229" s="25"/>
      <c r="H10229" s="27"/>
      <c r="I10229" s="28"/>
      <c r="J10229" s="39"/>
      <c r="K10229" s="41"/>
      <c r="L10229" s="31" t="str">
        <f>IFERROR(__xludf.DUMMYFUNCTION("IF(OR(E10229="""",K10229=""""),"""",IFERROR(IF(K10229="""","""",query('tbl user'!$A$2:$D10975,""SELECT A WHERE D = '""&amp;K10229&amp;""'"")),""USER TIDAK DIKETAHUI""))"),"")</f>
        <v/>
      </c>
    </row>
    <row r="10230">
      <c r="A10230" s="21" t="str">
        <f t="shared" si="3"/>
        <v/>
      </c>
      <c r="B10230" s="38"/>
      <c r="C10230" s="23"/>
      <c r="D10230" s="23"/>
      <c r="E10230" s="24"/>
      <c r="F10230" s="25"/>
      <c r="G10230" s="25"/>
      <c r="H10230" s="27"/>
      <c r="I10230" s="28"/>
      <c r="J10230" s="39"/>
      <c r="K10230" s="41"/>
      <c r="L10230" s="31" t="str">
        <f>IFERROR(__xludf.DUMMYFUNCTION("IF(OR(E10230="""",K10230=""""),"""",IFERROR(IF(K10230="""","""",query('tbl user'!$A$2:$D10975,""SELECT A WHERE D = '""&amp;K10230&amp;""'"")),""USER TIDAK DIKETAHUI""))"),"")</f>
        <v/>
      </c>
    </row>
    <row r="10231">
      <c r="A10231" s="21" t="str">
        <f t="shared" si="3"/>
        <v/>
      </c>
      <c r="B10231" s="38"/>
      <c r="C10231" s="23"/>
      <c r="D10231" s="23"/>
      <c r="E10231" s="24"/>
      <c r="F10231" s="25"/>
      <c r="G10231" s="25"/>
      <c r="H10231" s="27"/>
      <c r="I10231" s="28"/>
      <c r="J10231" s="39"/>
      <c r="K10231" s="41"/>
      <c r="L10231" s="31" t="str">
        <f>IFERROR(__xludf.DUMMYFUNCTION("IF(OR(E10231="""",K10231=""""),"""",IFERROR(IF(K10231="""","""",query('tbl user'!$A$2:$D10975,""SELECT A WHERE D = '""&amp;K10231&amp;""'"")),""USER TIDAK DIKETAHUI""))"),"")</f>
        <v/>
      </c>
    </row>
    <row r="10232">
      <c r="A10232" s="21" t="str">
        <f t="shared" si="3"/>
        <v/>
      </c>
      <c r="B10232" s="38"/>
      <c r="C10232" s="23"/>
      <c r="D10232" s="23"/>
      <c r="E10232" s="24"/>
      <c r="F10232" s="25"/>
      <c r="G10232" s="25"/>
      <c r="H10232" s="27"/>
      <c r="I10232" s="28"/>
      <c r="J10232" s="39"/>
      <c r="K10232" s="41"/>
      <c r="L10232" s="31" t="str">
        <f>IFERROR(__xludf.DUMMYFUNCTION("IF(OR(E10232="""",K10232=""""),"""",IFERROR(IF(K10232="""","""",query('tbl user'!$A$2:$D10975,""SELECT A WHERE D = '""&amp;K10232&amp;""'"")),""USER TIDAK DIKETAHUI""))"),"")</f>
        <v/>
      </c>
    </row>
    <row r="10233">
      <c r="A10233" s="21" t="str">
        <f t="shared" si="3"/>
        <v/>
      </c>
      <c r="B10233" s="38"/>
      <c r="C10233" s="23"/>
      <c r="D10233" s="23"/>
      <c r="E10233" s="24"/>
      <c r="F10233" s="25"/>
      <c r="G10233" s="25"/>
      <c r="H10233" s="27"/>
      <c r="I10233" s="28"/>
      <c r="J10233" s="39"/>
      <c r="K10233" s="41"/>
      <c r="L10233" s="31" t="str">
        <f>IFERROR(__xludf.DUMMYFUNCTION("IF(OR(E10233="""",K10233=""""),"""",IFERROR(IF(K10233="""","""",query('tbl user'!$A$2:$D10975,""SELECT A WHERE D = '""&amp;K10233&amp;""'"")),""USER TIDAK DIKETAHUI""))"),"")</f>
        <v/>
      </c>
    </row>
    <row r="10234">
      <c r="A10234" s="21" t="str">
        <f t="shared" si="3"/>
        <v/>
      </c>
      <c r="B10234" s="38"/>
      <c r="C10234" s="23"/>
      <c r="D10234" s="23"/>
      <c r="E10234" s="24"/>
      <c r="F10234" s="25"/>
      <c r="G10234" s="25"/>
      <c r="H10234" s="27"/>
      <c r="I10234" s="28"/>
      <c r="J10234" s="39"/>
      <c r="K10234" s="41"/>
      <c r="L10234" s="31" t="str">
        <f>IFERROR(__xludf.DUMMYFUNCTION("IF(OR(E10234="""",K10234=""""),"""",IFERROR(IF(K10234="""","""",query('tbl user'!$A$2:$D10975,""SELECT A WHERE D = '""&amp;K10234&amp;""'"")),""USER TIDAK DIKETAHUI""))"),"")</f>
        <v/>
      </c>
    </row>
    <row r="10235">
      <c r="A10235" s="21" t="str">
        <f t="shared" si="3"/>
        <v/>
      </c>
      <c r="B10235" s="38"/>
      <c r="C10235" s="23"/>
      <c r="D10235" s="23"/>
      <c r="E10235" s="24"/>
      <c r="F10235" s="25"/>
      <c r="G10235" s="25"/>
      <c r="H10235" s="27"/>
      <c r="I10235" s="28"/>
      <c r="J10235" s="39"/>
      <c r="K10235" s="41"/>
      <c r="L10235" s="31" t="str">
        <f>IFERROR(__xludf.DUMMYFUNCTION("IF(OR(E10235="""",K10235=""""),"""",IFERROR(IF(K10235="""","""",query('tbl user'!$A$2:$D10975,""SELECT A WHERE D = '""&amp;K10235&amp;""'"")),""USER TIDAK DIKETAHUI""))"),"")</f>
        <v/>
      </c>
    </row>
    <row r="10236">
      <c r="A10236" s="21" t="str">
        <f t="shared" si="3"/>
        <v/>
      </c>
      <c r="B10236" s="38"/>
      <c r="C10236" s="23"/>
      <c r="D10236" s="23"/>
      <c r="E10236" s="24"/>
      <c r="F10236" s="25"/>
      <c r="G10236" s="25"/>
      <c r="H10236" s="27"/>
      <c r="I10236" s="28"/>
      <c r="J10236" s="39"/>
      <c r="K10236" s="41"/>
      <c r="L10236" s="31" t="str">
        <f>IFERROR(__xludf.DUMMYFUNCTION("IF(OR(E10236="""",K10236=""""),"""",IFERROR(IF(K10236="""","""",query('tbl user'!$A$2:$D10975,""SELECT A WHERE D = '""&amp;K10236&amp;""'"")),""USER TIDAK DIKETAHUI""))"),"")</f>
        <v/>
      </c>
    </row>
    <row r="10237">
      <c r="A10237" s="21" t="str">
        <f t="shared" si="3"/>
        <v/>
      </c>
      <c r="B10237" s="38"/>
      <c r="C10237" s="23"/>
      <c r="D10237" s="23"/>
      <c r="E10237" s="24"/>
      <c r="F10237" s="25"/>
      <c r="G10237" s="25"/>
      <c r="H10237" s="27"/>
      <c r="I10237" s="28"/>
      <c r="J10237" s="39"/>
      <c r="K10237" s="41"/>
      <c r="L10237" s="31" t="str">
        <f>IFERROR(__xludf.DUMMYFUNCTION("IF(OR(E10237="""",K10237=""""),"""",IFERROR(IF(K10237="""","""",query('tbl user'!$A$2:$D10975,""SELECT A WHERE D = '""&amp;K10237&amp;""'"")),""USER TIDAK DIKETAHUI""))"),"")</f>
        <v/>
      </c>
    </row>
    <row r="10238">
      <c r="A10238" s="21" t="str">
        <f t="shared" si="3"/>
        <v/>
      </c>
      <c r="B10238" s="38"/>
      <c r="C10238" s="23"/>
      <c r="D10238" s="23"/>
      <c r="E10238" s="24"/>
      <c r="F10238" s="25"/>
      <c r="G10238" s="25"/>
      <c r="H10238" s="27"/>
      <c r="I10238" s="28"/>
      <c r="J10238" s="39"/>
      <c r="K10238" s="41"/>
      <c r="L10238" s="31" t="str">
        <f>IFERROR(__xludf.DUMMYFUNCTION("IF(OR(E10238="""",K10238=""""),"""",IFERROR(IF(K10238="""","""",query('tbl user'!$A$2:$D10975,""SELECT A WHERE D = '""&amp;K10238&amp;""'"")),""USER TIDAK DIKETAHUI""))"),"")</f>
        <v/>
      </c>
    </row>
    <row r="10239">
      <c r="A10239" s="21" t="str">
        <f t="shared" si="3"/>
        <v/>
      </c>
      <c r="B10239" s="38"/>
      <c r="C10239" s="23"/>
      <c r="D10239" s="23"/>
      <c r="E10239" s="24"/>
      <c r="F10239" s="25"/>
      <c r="G10239" s="25"/>
      <c r="H10239" s="27"/>
      <c r="I10239" s="28"/>
      <c r="J10239" s="39"/>
      <c r="K10239" s="41"/>
      <c r="L10239" s="31" t="str">
        <f>IFERROR(__xludf.DUMMYFUNCTION("IF(OR(E10239="""",K10239=""""),"""",IFERROR(IF(K10239="""","""",query('tbl user'!$A$2:$D10975,""SELECT A WHERE D = '""&amp;K10239&amp;""'"")),""USER TIDAK DIKETAHUI""))"),"")</f>
        <v/>
      </c>
    </row>
    <row r="10240">
      <c r="A10240" s="21" t="str">
        <f t="shared" si="3"/>
        <v/>
      </c>
      <c r="B10240" s="38"/>
      <c r="C10240" s="23"/>
      <c r="D10240" s="23"/>
      <c r="E10240" s="24"/>
      <c r="F10240" s="25"/>
      <c r="G10240" s="25"/>
      <c r="H10240" s="27"/>
      <c r="I10240" s="28"/>
      <c r="J10240" s="39"/>
      <c r="K10240" s="41"/>
      <c r="L10240" s="31" t="str">
        <f>IFERROR(__xludf.DUMMYFUNCTION("IF(OR(E10240="""",K10240=""""),"""",IFERROR(IF(K10240="""","""",query('tbl user'!$A$2:$D10975,""SELECT A WHERE D = '""&amp;K10240&amp;""'"")),""USER TIDAK DIKETAHUI""))"),"")</f>
        <v/>
      </c>
    </row>
    <row r="10241">
      <c r="A10241" s="21" t="str">
        <f t="shared" si="3"/>
        <v/>
      </c>
      <c r="B10241" s="38"/>
      <c r="C10241" s="23"/>
      <c r="D10241" s="23"/>
      <c r="E10241" s="24"/>
      <c r="F10241" s="25"/>
      <c r="G10241" s="25"/>
      <c r="H10241" s="27"/>
      <c r="I10241" s="28"/>
      <c r="J10241" s="39"/>
      <c r="K10241" s="41"/>
      <c r="L10241" s="31" t="str">
        <f>IFERROR(__xludf.DUMMYFUNCTION("IF(OR(E10241="""",K10241=""""),"""",IFERROR(IF(K10241="""","""",query('tbl user'!$A$2:$D10975,""SELECT A WHERE D = '""&amp;K10241&amp;""'"")),""USER TIDAK DIKETAHUI""))"),"")</f>
        <v/>
      </c>
    </row>
    <row r="10242">
      <c r="A10242" s="21" t="str">
        <f t="shared" si="3"/>
        <v/>
      </c>
      <c r="B10242" s="38"/>
      <c r="C10242" s="23"/>
      <c r="D10242" s="23"/>
      <c r="E10242" s="24"/>
      <c r="F10242" s="25"/>
      <c r="G10242" s="25"/>
      <c r="H10242" s="27"/>
      <c r="I10242" s="28"/>
      <c r="J10242" s="39"/>
      <c r="K10242" s="41"/>
      <c r="L10242" s="31" t="str">
        <f>IFERROR(__xludf.DUMMYFUNCTION("IF(OR(E10242="""",K10242=""""),"""",IFERROR(IF(K10242="""","""",query('tbl user'!$A$2:$D10975,""SELECT A WHERE D = '""&amp;K10242&amp;""'"")),""USER TIDAK DIKETAHUI""))"),"")</f>
        <v/>
      </c>
    </row>
    <row r="10243">
      <c r="A10243" s="21" t="str">
        <f t="shared" si="3"/>
        <v/>
      </c>
      <c r="B10243" s="38"/>
      <c r="C10243" s="23"/>
      <c r="D10243" s="23"/>
      <c r="E10243" s="24"/>
      <c r="F10243" s="25"/>
      <c r="G10243" s="25"/>
      <c r="H10243" s="27"/>
      <c r="I10243" s="28"/>
      <c r="J10243" s="39"/>
      <c r="K10243" s="41"/>
      <c r="L10243" s="31" t="str">
        <f>IFERROR(__xludf.DUMMYFUNCTION("IF(OR(E10243="""",K10243=""""),"""",IFERROR(IF(K10243="""","""",query('tbl user'!$A$2:$D10975,""SELECT A WHERE D = '""&amp;K10243&amp;""'"")),""USER TIDAK DIKETAHUI""))"),"")</f>
        <v/>
      </c>
    </row>
    <row r="10244">
      <c r="A10244" s="21" t="str">
        <f t="shared" si="3"/>
        <v/>
      </c>
      <c r="B10244" s="38"/>
      <c r="C10244" s="23"/>
      <c r="D10244" s="23"/>
      <c r="E10244" s="24"/>
      <c r="F10244" s="25"/>
      <c r="G10244" s="25"/>
      <c r="H10244" s="27"/>
      <c r="I10244" s="28"/>
      <c r="J10244" s="39"/>
      <c r="K10244" s="41"/>
      <c r="L10244" s="31" t="str">
        <f>IFERROR(__xludf.DUMMYFUNCTION("IF(OR(E10244="""",K10244=""""),"""",IFERROR(IF(K10244="""","""",query('tbl user'!$A$2:$D10975,""SELECT A WHERE D = '""&amp;K10244&amp;""'"")),""USER TIDAK DIKETAHUI""))"),"")</f>
        <v/>
      </c>
    </row>
    <row r="10245">
      <c r="A10245" s="21" t="str">
        <f t="shared" si="3"/>
        <v/>
      </c>
      <c r="B10245" s="38"/>
      <c r="C10245" s="23"/>
      <c r="D10245" s="23"/>
      <c r="E10245" s="24"/>
      <c r="F10245" s="25"/>
      <c r="G10245" s="25"/>
      <c r="H10245" s="27"/>
      <c r="I10245" s="28"/>
      <c r="J10245" s="39"/>
      <c r="K10245" s="41"/>
      <c r="L10245" s="31" t="str">
        <f>IFERROR(__xludf.DUMMYFUNCTION("IF(OR(E10245="""",K10245=""""),"""",IFERROR(IF(K10245="""","""",query('tbl user'!$A$2:$D10975,""SELECT A WHERE D = '""&amp;K10245&amp;""'"")),""USER TIDAK DIKETAHUI""))"),"")</f>
        <v/>
      </c>
    </row>
    <row r="10246">
      <c r="A10246" s="21" t="str">
        <f t="shared" si="3"/>
        <v/>
      </c>
      <c r="B10246" s="38"/>
      <c r="C10246" s="23"/>
      <c r="D10246" s="23"/>
      <c r="E10246" s="24"/>
      <c r="F10246" s="25"/>
      <c r="G10246" s="25"/>
      <c r="H10246" s="27"/>
      <c r="I10246" s="28"/>
      <c r="J10246" s="39"/>
      <c r="K10246" s="41"/>
      <c r="L10246" s="31" t="str">
        <f>IFERROR(__xludf.DUMMYFUNCTION("IF(OR(E10246="""",K10246=""""),"""",IFERROR(IF(K10246="""","""",query('tbl user'!$A$2:$D10975,""SELECT A WHERE D = '""&amp;K10246&amp;""'"")),""USER TIDAK DIKETAHUI""))"),"")</f>
        <v/>
      </c>
    </row>
    <row r="10247">
      <c r="A10247" s="21" t="str">
        <f t="shared" si="3"/>
        <v/>
      </c>
      <c r="B10247" s="38"/>
      <c r="C10247" s="23"/>
      <c r="D10247" s="23"/>
      <c r="E10247" s="24"/>
      <c r="F10247" s="25"/>
      <c r="G10247" s="25"/>
      <c r="H10247" s="27"/>
      <c r="I10247" s="28"/>
      <c r="J10247" s="39"/>
      <c r="K10247" s="41"/>
      <c r="L10247" s="31" t="str">
        <f>IFERROR(__xludf.DUMMYFUNCTION("IF(OR(E10247="""",K10247=""""),"""",IFERROR(IF(K10247="""","""",query('tbl user'!$A$2:$D10975,""SELECT A WHERE D = '""&amp;K10247&amp;""'"")),""USER TIDAK DIKETAHUI""))"),"")</f>
        <v/>
      </c>
    </row>
    <row r="10248">
      <c r="A10248" s="21" t="str">
        <f t="shared" si="3"/>
        <v/>
      </c>
      <c r="B10248" s="38"/>
      <c r="C10248" s="23"/>
      <c r="D10248" s="23"/>
      <c r="E10248" s="24"/>
      <c r="F10248" s="25"/>
      <c r="G10248" s="25"/>
      <c r="H10248" s="27"/>
      <c r="I10248" s="28"/>
      <c r="J10248" s="39"/>
      <c r="K10248" s="41"/>
      <c r="L10248" s="31" t="str">
        <f>IFERROR(__xludf.DUMMYFUNCTION("IF(OR(E10248="""",K10248=""""),"""",IFERROR(IF(K10248="""","""",query('tbl user'!$A$2:$D10975,""SELECT A WHERE D = '""&amp;K10248&amp;""'"")),""USER TIDAK DIKETAHUI""))"),"")</f>
        <v/>
      </c>
    </row>
    <row r="10249">
      <c r="A10249" s="21" t="str">
        <f t="shared" si="3"/>
        <v/>
      </c>
      <c r="B10249" s="38"/>
      <c r="C10249" s="23"/>
      <c r="D10249" s="23"/>
      <c r="E10249" s="24"/>
      <c r="F10249" s="25"/>
      <c r="G10249" s="25"/>
      <c r="H10249" s="27"/>
      <c r="I10249" s="28"/>
      <c r="J10249" s="39"/>
      <c r="K10249" s="41"/>
      <c r="L10249" s="31" t="str">
        <f>IFERROR(__xludf.DUMMYFUNCTION("IF(OR(E10249="""",K10249=""""),"""",IFERROR(IF(K10249="""","""",query('tbl user'!$A$2:$D10975,""SELECT A WHERE D = '""&amp;K10249&amp;""'"")),""USER TIDAK DIKETAHUI""))"),"")</f>
        <v/>
      </c>
    </row>
    <row r="10250">
      <c r="A10250" s="21" t="str">
        <f t="shared" si="3"/>
        <v/>
      </c>
      <c r="B10250" s="38"/>
      <c r="C10250" s="23"/>
      <c r="D10250" s="23"/>
      <c r="E10250" s="24"/>
      <c r="F10250" s="25"/>
      <c r="G10250" s="25"/>
      <c r="H10250" s="27"/>
      <c r="I10250" s="28"/>
      <c r="J10250" s="39"/>
      <c r="K10250" s="41"/>
      <c r="L10250" s="31" t="str">
        <f>IFERROR(__xludf.DUMMYFUNCTION("IF(OR(E10250="""",K10250=""""),"""",IFERROR(IF(K10250="""","""",query('tbl user'!$A$2:$D10975,""SELECT A WHERE D = '""&amp;K10250&amp;""'"")),""USER TIDAK DIKETAHUI""))"),"")</f>
        <v/>
      </c>
    </row>
    <row r="10251">
      <c r="A10251" s="21" t="str">
        <f t="shared" si="3"/>
        <v/>
      </c>
      <c r="B10251" s="38"/>
      <c r="C10251" s="23"/>
      <c r="D10251" s="23"/>
      <c r="E10251" s="24"/>
      <c r="F10251" s="25"/>
      <c r="G10251" s="25"/>
      <c r="H10251" s="27"/>
      <c r="I10251" s="28"/>
      <c r="J10251" s="39"/>
      <c r="K10251" s="41"/>
      <c r="L10251" s="31" t="str">
        <f>IFERROR(__xludf.DUMMYFUNCTION("IF(OR(E10251="""",K10251=""""),"""",IFERROR(IF(K10251="""","""",query('tbl user'!$A$2:$D10975,""SELECT A WHERE D = '""&amp;K10251&amp;""'"")),""USER TIDAK DIKETAHUI""))"),"")</f>
        <v/>
      </c>
    </row>
    <row r="10252">
      <c r="A10252" s="21" t="str">
        <f t="shared" si="3"/>
        <v/>
      </c>
      <c r="B10252" s="38"/>
      <c r="C10252" s="23"/>
      <c r="D10252" s="23"/>
      <c r="E10252" s="24"/>
      <c r="F10252" s="25"/>
      <c r="G10252" s="25"/>
      <c r="H10252" s="27"/>
      <c r="I10252" s="28"/>
      <c r="J10252" s="39"/>
      <c r="K10252" s="41"/>
      <c r="L10252" s="31" t="str">
        <f>IFERROR(__xludf.DUMMYFUNCTION("IF(OR(E10252="""",K10252=""""),"""",IFERROR(IF(K10252="""","""",query('tbl user'!$A$2:$D10975,""SELECT A WHERE D = '""&amp;K10252&amp;""'"")),""USER TIDAK DIKETAHUI""))"),"")</f>
        <v/>
      </c>
    </row>
    <row r="10253">
      <c r="A10253" s="21" t="str">
        <f t="shared" si="3"/>
        <v/>
      </c>
      <c r="B10253" s="38"/>
      <c r="C10253" s="23"/>
      <c r="D10253" s="23"/>
      <c r="E10253" s="24"/>
      <c r="F10253" s="25"/>
      <c r="G10253" s="25"/>
      <c r="H10253" s="27"/>
      <c r="I10253" s="28"/>
      <c r="J10253" s="39"/>
      <c r="K10253" s="41"/>
      <c r="L10253" s="31" t="str">
        <f>IFERROR(__xludf.DUMMYFUNCTION("IF(OR(E10253="""",K10253=""""),"""",IFERROR(IF(K10253="""","""",query('tbl user'!$A$2:$D10975,""SELECT A WHERE D = '""&amp;K10253&amp;""'"")),""USER TIDAK DIKETAHUI""))"),"")</f>
        <v/>
      </c>
    </row>
    <row r="10254">
      <c r="A10254" s="21" t="str">
        <f t="shared" si="3"/>
        <v/>
      </c>
      <c r="B10254" s="38"/>
      <c r="C10254" s="23"/>
      <c r="D10254" s="23"/>
      <c r="E10254" s="24"/>
      <c r="F10254" s="25"/>
      <c r="G10254" s="25"/>
      <c r="H10254" s="27"/>
      <c r="I10254" s="28"/>
      <c r="J10254" s="39"/>
      <c r="K10254" s="41"/>
      <c r="L10254" s="31" t="str">
        <f>IFERROR(__xludf.DUMMYFUNCTION("IF(OR(E10254="""",K10254=""""),"""",IFERROR(IF(K10254="""","""",query('tbl user'!$A$2:$D10975,""SELECT A WHERE D = '""&amp;K10254&amp;""'"")),""USER TIDAK DIKETAHUI""))"),"")</f>
        <v/>
      </c>
    </row>
    <row r="10255">
      <c r="A10255" s="21" t="str">
        <f t="shared" si="3"/>
        <v/>
      </c>
      <c r="B10255" s="38"/>
      <c r="C10255" s="23"/>
      <c r="D10255" s="23"/>
      <c r="E10255" s="24"/>
      <c r="F10255" s="25"/>
      <c r="G10255" s="25"/>
      <c r="H10255" s="27"/>
      <c r="I10255" s="28"/>
      <c r="J10255" s="39"/>
      <c r="K10255" s="41"/>
      <c r="L10255" s="31" t="str">
        <f>IFERROR(__xludf.DUMMYFUNCTION("IF(OR(E10255="""",K10255=""""),"""",IFERROR(IF(K10255="""","""",query('tbl user'!$A$2:$D10975,""SELECT A WHERE D = '""&amp;K10255&amp;""'"")),""USER TIDAK DIKETAHUI""))"),"")</f>
        <v/>
      </c>
    </row>
    <row r="10256">
      <c r="A10256" s="21" t="str">
        <f t="shared" si="3"/>
        <v/>
      </c>
      <c r="B10256" s="38"/>
      <c r="C10256" s="23"/>
      <c r="D10256" s="23"/>
      <c r="E10256" s="24"/>
      <c r="F10256" s="25"/>
      <c r="G10256" s="25"/>
      <c r="H10256" s="27"/>
      <c r="I10256" s="28"/>
      <c r="J10256" s="39"/>
      <c r="K10256" s="41"/>
      <c r="L10256" s="31" t="str">
        <f>IFERROR(__xludf.DUMMYFUNCTION("IF(OR(E10256="""",K10256=""""),"""",IFERROR(IF(K10256="""","""",query('tbl user'!$A$2:$D10975,""SELECT A WHERE D = '""&amp;K10256&amp;""'"")),""USER TIDAK DIKETAHUI""))"),"")</f>
        <v/>
      </c>
    </row>
    <row r="10257">
      <c r="A10257" s="21" t="str">
        <f t="shared" si="3"/>
        <v/>
      </c>
      <c r="B10257" s="38"/>
      <c r="C10257" s="23"/>
      <c r="D10257" s="23"/>
      <c r="E10257" s="24"/>
      <c r="F10257" s="25"/>
      <c r="G10257" s="25"/>
      <c r="H10257" s="27"/>
      <c r="I10257" s="28"/>
      <c r="J10257" s="39"/>
      <c r="K10257" s="41"/>
      <c r="L10257" s="31" t="str">
        <f>IFERROR(__xludf.DUMMYFUNCTION("IF(OR(E10257="""",K10257=""""),"""",IFERROR(IF(K10257="""","""",query('tbl user'!$A$2:$D10975,""SELECT A WHERE D = '""&amp;K10257&amp;""'"")),""USER TIDAK DIKETAHUI""))"),"")</f>
        <v/>
      </c>
    </row>
    <row r="10258">
      <c r="A10258" s="21" t="str">
        <f t="shared" si="3"/>
        <v/>
      </c>
      <c r="B10258" s="38"/>
      <c r="C10258" s="23"/>
      <c r="D10258" s="23"/>
      <c r="E10258" s="24"/>
      <c r="F10258" s="25"/>
      <c r="G10258" s="25"/>
      <c r="H10258" s="27"/>
      <c r="I10258" s="28"/>
      <c r="J10258" s="39"/>
      <c r="K10258" s="41"/>
      <c r="L10258" s="31" t="str">
        <f>IFERROR(__xludf.DUMMYFUNCTION("IF(OR(E10258="""",K10258=""""),"""",IFERROR(IF(K10258="""","""",query('tbl user'!$A$2:$D10975,""SELECT A WHERE D = '""&amp;K10258&amp;""'"")),""USER TIDAK DIKETAHUI""))"),"")</f>
        <v/>
      </c>
    </row>
    <row r="10259">
      <c r="A10259" s="21" t="str">
        <f t="shared" si="3"/>
        <v/>
      </c>
      <c r="B10259" s="38"/>
      <c r="C10259" s="23"/>
      <c r="D10259" s="23"/>
      <c r="E10259" s="24"/>
      <c r="F10259" s="25"/>
      <c r="G10259" s="25"/>
      <c r="H10259" s="27"/>
      <c r="I10259" s="28"/>
      <c r="J10259" s="39"/>
      <c r="K10259" s="41"/>
      <c r="L10259" s="31" t="str">
        <f>IFERROR(__xludf.DUMMYFUNCTION("IF(OR(E10259="""",K10259=""""),"""",IFERROR(IF(K10259="""","""",query('tbl user'!$A$2:$D10975,""SELECT A WHERE D = '""&amp;K10259&amp;""'"")),""USER TIDAK DIKETAHUI""))"),"")</f>
        <v/>
      </c>
    </row>
    <row r="10260">
      <c r="A10260" s="21" t="str">
        <f t="shared" si="3"/>
        <v/>
      </c>
      <c r="B10260" s="38"/>
      <c r="C10260" s="23"/>
      <c r="D10260" s="23"/>
      <c r="E10260" s="24"/>
      <c r="F10260" s="25"/>
      <c r="G10260" s="25"/>
      <c r="H10260" s="27"/>
      <c r="I10260" s="28"/>
      <c r="J10260" s="39"/>
      <c r="K10260" s="41"/>
      <c r="L10260" s="31" t="str">
        <f>IFERROR(__xludf.DUMMYFUNCTION("IF(OR(E10260="""",K10260=""""),"""",IFERROR(IF(K10260="""","""",query('tbl user'!$A$2:$D10975,""SELECT A WHERE D = '""&amp;K10260&amp;""'"")),""USER TIDAK DIKETAHUI""))"),"")</f>
        <v/>
      </c>
    </row>
    <row r="10261">
      <c r="A10261" s="21" t="str">
        <f t="shared" si="3"/>
        <v/>
      </c>
      <c r="B10261" s="38"/>
      <c r="C10261" s="23"/>
      <c r="D10261" s="23"/>
      <c r="E10261" s="24"/>
      <c r="F10261" s="25"/>
      <c r="G10261" s="25"/>
      <c r="H10261" s="27"/>
      <c r="I10261" s="28"/>
      <c r="J10261" s="39"/>
      <c r="K10261" s="41"/>
      <c r="L10261" s="31" t="str">
        <f>IFERROR(__xludf.DUMMYFUNCTION("IF(OR(E10261="""",K10261=""""),"""",IFERROR(IF(K10261="""","""",query('tbl user'!$A$2:$D10975,""SELECT A WHERE D = '""&amp;K10261&amp;""'"")),""USER TIDAK DIKETAHUI""))"),"")</f>
        <v/>
      </c>
    </row>
    <row r="10262">
      <c r="A10262" s="21" t="str">
        <f t="shared" si="3"/>
        <v/>
      </c>
      <c r="B10262" s="38"/>
      <c r="C10262" s="23"/>
      <c r="D10262" s="23"/>
      <c r="E10262" s="24"/>
      <c r="F10262" s="25"/>
      <c r="G10262" s="25"/>
      <c r="H10262" s="27"/>
      <c r="I10262" s="28"/>
      <c r="J10262" s="39"/>
      <c r="K10262" s="41"/>
      <c r="L10262" s="31" t="str">
        <f>IFERROR(__xludf.DUMMYFUNCTION("IF(OR(E10262="""",K10262=""""),"""",IFERROR(IF(K10262="""","""",query('tbl user'!$A$2:$D10975,""SELECT A WHERE D = '""&amp;K10262&amp;""'"")),""USER TIDAK DIKETAHUI""))"),"")</f>
        <v/>
      </c>
    </row>
    <row r="10263">
      <c r="A10263" s="21" t="str">
        <f t="shared" si="3"/>
        <v/>
      </c>
      <c r="B10263" s="38"/>
      <c r="C10263" s="23"/>
      <c r="D10263" s="23"/>
      <c r="E10263" s="24"/>
      <c r="F10263" s="25"/>
      <c r="G10263" s="25"/>
      <c r="H10263" s="27"/>
      <c r="I10263" s="28"/>
      <c r="J10263" s="39"/>
      <c r="K10263" s="41"/>
      <c r="L10263" s="31" t="str">
        <f>IFERROR(__xludf.DUMMYFUNCTION("IF(OR(E10263="""",K10263=""""),"""",IFERROR(IF(K10263="""","""",query('tbl user'!$A$2:$D10975,""SELECT A WHERE D = '""&amp;K10263&amp;""'"")),""USER TIDAK DIKETAHUI""))"),"")</f>
        <v/>
      </c>
    </row>
    <row r="10264">
      <c r="A10264" s="21" t="str">
        <f t="shared" si="3"/>
        <v/>
      </c>
      <c r="B10264" s="38"/>
      <c r="C10264" s="23"/>
      <c r="D10264" s="23"/>
      <c r="E10264" s="24"/>
      <c r="F10264" s="25"/>
      <c r="G10264" s="25"/>
      <c r="H10264" s="27"/>
      <c r="I10264" s="28"/>
      <c r="J10264" s="39"/>
      <c r="K10264" s="41"/>
      <c r="L10264" s="31" t="str">
        <f>IFERROR(__xludf.DUMMYFUNCTION("IF(OR(E10264="""",K10264=""""),"""",IFERROR(IF(K10264="""","""",query('tbl user'!$A$2:$D10975,""SELECT A WHERE D = '""&amp;K10264&amp;""'"")),""USER TIDAK DIKETAHUI""))"),"")</f>
        <v/>
      </c>
    </row>
    <row r="10265">
      <c r="A10265" s="21" t="str">
        <f t="shared" si="3"/>
        <v/>
      </c>
      <c r="B10265" s="38"/>
      <c r="C10265" s="23"/>
      <c r="D10265" s="23"/>
      <c r="E10265" s="24"/>
      <c r="F10265" s="25"/>
      <c r="G10265" s="25"/>
      <c r="H10265" s="27"/>
      <c r="I10265" s="28"/>
      <c r="J10265" s="39"/>
      <c r="K10265" s="41"/>
      <c r="L10265" s="31" t="str">
        <f>IFERROR(__xludf.DUMMYFUNCTION("IF(OR(E10265="""",K10265=""""),"""",IFERROR(IF(K10265="""","""",query('tbl user'!$A$2:$D10975,""SELECT A WHERE D = '""&amp;K10265&amp;""'"")),""USER TIDAK DIKETAHUI""))"),"")</f>
        <v/>
      </c>
    </row>
    <row r="10266">
      <c r="A10266" s="21" t="str">
        <f t="shared" si="3"/>
        <v/>
      </c>
      <c r="B10266" s="38"/>
      <c r="C10266" s="23"/>
      <c r="D10266" s="23"/>
      <c r="E10266" s="24"/>
      <c r="F10266" s="25"/>
      <c r="G10266" s="25"/>
      <c r="H10266" s="27"/>
      <c r="I10266" s="28"/>
      <c r="J10266" s="39"/>
      <c r="K10266" s="41"/>
      <c r="L10266" s="31" t="str">
        <f>IFERROR(__xludf.DUMMYFUNCTION("IF(OR(E10266="""",K10266=""""),"""",IFERROR(IF(K10266="""","""",query('tbl user'!$A$2:$D10975,""SELECT A WHERE D = '""&amp;K10266&amp;""'"")),""USER TIDAK DIKETAHUI""))"),"")</f>
        <v/>
      </c>
    </row>
    <row r="10267">
      <c r="A10267" s="21" t="str">
        <f t="shared" si="3"/>
        <v/>
      </c>
      <c r="B10267" s="38"/>
      <c r="C10267" s="23"/>
      <c r="D10267" s="23"/>
      <c r="E10267" s="24"/>
      <c r="F10267" s="25"/>
      <c r="G10267" s="25"/>
      <c r="H10267" s="27"/>
      <c r="I10267" s="28"/>
      <c r="J10267" s="39"/>
      <c r="K10267" s="41"/>
      <c r="L10267" s="31" t="str">
        <f>IFERROR(__xludf.DUMMYFUNCTION("IF(OR(E10267="""",K10267=""""),"""",IFERROR(IF(K10267="""","""",query('tbl user'!$A$2:$D10975,""SELECT A WHERE D = '""&amp;K10267&amp;""'"")),""USER TIDAK DIKETAHUI""))"),"")</f>
        <v/>
      </c>
    </row>
    <row r="10268">
      <c r="A10268" s="21" t="str">
        <f t="shared" si="3"/>
        <v/>
      </c>
      <c r="B10268" s="38"/>
      <c r="C10268" s="23"/>
      <c r="D10268" s="23"/>
      <c r="E10268" s="24"/>
      <c r="F10268" s="25"/>
      <c r="G10268" s="25"/>
      <c r="H10268" s="27"/>
      <c r="I10268" s="28"/>
      <c r="J10268" s="39"/>
      <c r="K10268" s="41"/>
      <c r="L10268" s="31" t="str">
        <f>IFERROR(__xludf.DUMMYFUNCTION("IF(OR(E10268="""",K10268=""""),"""",IFERROR(IF(K10268="""","""",query('tbl user'!$A$2:$D10975,""SELECT A WHERE D = '""&amp;K10268&amp;""'"")),""USER TIDAK DIKETAHUI""))"),"")</f>
        <v/>
      </c>
    </row>
    <row r="10269">
      <c r="A10269" s="21" t="str">
        <f t="shared" si="3"/>
        <v/>
      </c>
      <c r="B10269" s="38"/>
      <c r="C10269" s="23"/>
      <c r="D10269" s="23"/>
      <c r="E10269" s="24"/>
      <c r="F10269" s="25"/>
      <c r="G10269" s="25"/>
      <c r="H10269" s="27"/>
      <c r="I10269" s="28"/>
      <c r="J10269" s="39"/>
      <c r="K10269" s="41"/>
      <c r="L10269" s="31" t="str">
        <f>IFERROR(__xludf.DUMMYFUNCTION("IF(OR(E10269="""",K10269=""""),"""",IFERROR(IF(K10269="""","""",query('tbl user'!$A$2:$D10975,""SELECT A WHERE D = '""&amp;K10269&amp;""'"")),""USER TIDAK DIKETAHUI""))"),"")</f>
        <v/>
      </c>
    </row>
    <row r="10270">
      <c r="A10270" s="21" t="str">
        <f t="shared" si="3"/>
        <v/>
      </c>
      <c r="B10270" s="38"/>
      <c r="C10270" s="23"/>
      <c r="D10270" s="23"/>
      <c r="E10270" s="24"/>
      <c r="F10270" s="25"/>
      <c r="G10270" s="25"/>
      <c r="H10270" s="27"/>
      <c r="I10270" s="28"/>
      <c r="J10270" s="39"/>
      <c r="K10270" s="41"/>
      <c r="L10270" s="31" t="str">
        <f>IFERROR(__xludf.DUMMYFUNCTION("IF(OR(E10270="""",K10270=""""),"""",IFERROR(IF(K10270="""","""",query('tbl user'!$A$2:$D10975,""SELECT A WHERE D = '""&amp;K10270&amp;""'"")),""USER TIDAK DIKETAHUI""))"),"")</f>
        <v/>
      </c>
    </row>
    <row r="10271">
      <c r="A10271" s="21" t="str">
        <f t="shared" si="3"/>
        <v/>
      </c>
      <c r="B10271" s="38"/>
      <c r="C10271" s="23"/>
      <c r="D10271" s="23"/>
      <c r="E10271" s="24"/>
      <c r="F10271" s="25"/>
      <c r="G10271" s="25"/>
      <c r="H10271" s="27"/>
      <c r="I10271" s="28"/>
      <c r="J10271" s="39"/>
      <c r="K10271" s="41"/>
      <c r="L10271" s="31" t="str">
        <f>IFERROR(__xludf.DUMMYFUNCTION("IF(OR(E10271="""",K10271=""""),"""",IFERROR(IF(K10271="""","""",query('tbl user'!$A$2:$D10975,""SELECT A WHERE D = '""&amp;K10271&amp;""'"")),""USER TIDAK DIKETAHUI""))"),"")</f>
        <v/>
      </c>
    </row>
    <row r="10272">
      <c r="A10272" s="21" t="str">
        <f t="shared" si="3"/>
        <v/>
      </c>
      <c r="B10272" s="38"/>
      <c r="C10272" s="23"/>
      <c r="D10272" s="23"/>
      <c r="E10272" s="24"/>
      <c r="F10272" s="25"/>
      <c r="G10272" s="25"/>
      <c r="H10272" s="27"/>
      <c r="I10272" s="28"/>
      <c r="J10272" s="39"/>
      <c r="K10272" s="41"/>
      <c r="L10272" s="31" t="str">
        <f>IFERROR(__xludf.DUMMYFUNCTION("IF(OR(E10272="""",K10272=""""),"""",IFERROR(IF(K10272="""","""",query('tbl user'!$A$2:$D10975,""SELECT A WHERE D = '""&amp;K10272&amp;""'"")),""USER TIDAK DIKETAHUI""))"),"")</f>
        <v/>
      </c>
    </row>
    <row r="10273">
      <c r="A10273" s="21" t="str">
        <f t="shared" si="3"/>
        <v/>
      </c>
      <c r="B10273" s="38"/>
      <c r="C10273" s="23"/>
      <c r="D10273" s="23"/>
      <c r="E10273" s="24"/>
      <c r="F10273" s="25"/>
      <c r="G10273" s="25"/>
      <c r="H10273" s="27"/>
      <c r="I10273" s="28"/>
      <c r="J10273" s="39"/>
      <c r="K10273" s="41"/>
      <c r="L10273" s="31" t="str">
        <f>IFERROR(__xludf.DUMMYFUNCTION("IF(OR(E10273="""",K10273=""""),"""",IFERROR(IF(K10273="""","""",query('tbl user'!$A$2:$D10975,""SELECT A WHERE D = '""&amp;K10273&amp;""'"")),""USER TIDAK DIKETAHUI""))"),"")</f>
        <v/>
      </c>
    </row>
    <row r="10274">
      <c r="A10274" s="21" t="str">
        <f t="shared" si="3"/>
        <v/>
      </c>
      <c r="B10274" s="38"/>
      <c r="C10274" s="23"/>
      <c r="D10274" s="23"/>
      <c r="E10274" s="24"/>
      <c r="F10274" s="25"/>
      <c r="G10274" s="25"/>
      <c r="H10274" s="27"/>
      <c r="I10274" s="28"/>
      <c r="J10274" s="39"/>
      <c r="K10274" s="41"/>
      <c r="L10274" s="31" t="str">
        <f>IFERROR(__xludf.DUMMYFUNCTION("IF(OR(E10274="""",K10274=""""),"""",IFERROR(IF(K10274="""","""",query('tbl user'!$A$2:$D10975,""SELECT A WHERE D = '""&amp;K10274&amp;""'"")),""USER TIDAK DIKETAHUI""))"),"")</f>
        <v/>
      </c>
    </row>
    <row r="10275">
      <c r="A10275" s="21" t="str">
        <f t="shared" si="3"/>
        <v/>
      </c>
      <c r="B10275" s="38"/>
      <c r="C10275" s="23"/>
      <c r="D10275" s="23"/>
      <c r="E10275" s="24"/>
      <c r="F10275" s="25"/>
      <c r="G10275" s="25"/>
      <c r="H10275" s="27"/>
      <c r="I10275" s="28"/>
      <c r="J10275" s="39"/>
      <c r="K10275" s="41"/>
      <c r="L10275" s="31" t="str">
        <f>IFERROR(__xludf.DUMMYFUNCTION("IF(OR(E10275="""",K10275=""""),"""",IFERROR(IF(K10275="""","""",query('tbl user'!$A$2:$D10975,""SELECT A WHERE D = '""&amp;K10275&amp;""'"")),""USER TIDAK DIKETAHUI""))"),"")</f>
        <v/>
      </c>
    </row>
    <row r="10276">
      <c r="A10276" s="21" t="str">
        <f t="shared" si="3"/>
        <v/>
      </c>
      <c r="B10276" s="38"/>
      <c r="C10276" s="23"/>
      <c r="D10276" s="23"/>
      <c r="E10276" s="24"/>
      <c r="F10276" s="25"/>
      <c r="G10276" s="25"/>
      <c r="H10276" s="27"/>
      <c r="I10276" s="28"/>
      <c r="J10276" s="39"/>
      <c r="K10276" s="41"/>
      <c r="L10276" s="31" t="str">
        <f>IFERROR(__xludf.DUMMYFUNCTION("IF(OR(E10276="""",K10276=""""),"""",IFERROR(IF(K10276="""","""",query('tbl user'!$A$2:$D10975,""SELECT A WHERE D = '""&amp;K10276&amp;""'"")),""USER TIDAK DIKETAHUI""))"),"")</f>
        <v/>
      </c>
    </row>
    <row r="10277">
      <c r="A10277" s="21" t="str">
        <f t="shared" si="3"/>
        <v/>
      </c>
      <c r="B10277" s="38"/>
      <c r="C10277" s="23"/>
      <c r="D10277" s="23"/>
      <c r="E10277" s="24"/>
      <c r="F10277" s="25"/>
      <c r="G10277" s="25"/>
      <c r="H10277" s="27"/>
      <c r="I10277" s="28"/>
      <c r="J10277" s="39"/>
      <c r="K10277" s="41"/>
      <c r="L10277" s="31" t="str">
        <f>IFERROR(__xludf.DUMMYFUNCTION("IF(OR(E10277="""",K10277=""""),"""",IFERROR(IF(K10277="""","""",query('tbl user'!$A$2:$D10975,""SELECT A WHERE D = '""&amp;K10277&amp;""'"")),""USER TIDAK DIKETAHUI""))"),"")</f>
        <v/>
      </c>
    </row>
    <row r="10278">
      <c r="A10278" s="21" t="str">
        <f t="shared" si="3"/>
        <v/>
      </c>
      <c r="B10278" s="38"/>
      <c r="C10278" s="23"/>
      <c r="D10278" s="23"/>
      <c r="E10278" s="24"/>
      <c r="F10278" s="25"/>
      <c r="G10278" s="25"/>
      <c r="H10278" s="27"/>
      <c r="I10278" s="28"/>
      <c r="J10278" s="39"/>
      <c r="K10278" s="41"/>
      <c r="L10278" s="31" t="str">
        <f>IFERROR(__xludf.DUMMYFUNCTION("IF(OR(E10278="""",K10278=""""),"""",IFERROR(IF(K10278="""","""",query('tbl user'!$A$2:$D10975,""SELECT A WHERE D = '""&amp;K10278&amp;""'"")),""USER TIDAK DIKETAHUI""))"),"")</f>
        <v/>
      </c>
    </row>
    <row r="10279">
      <c r="A10279" s="21" t="str">
        <f t="shared" si="3"/>
        <v/>
      </c>
      <c r="B10279" s="38"/>
      <c r="C10279" s="23"/>
      <c r="D10279" s="23"/>
      <c r="E10279" s="24"/>
      <c r="F10279" s="25"/>
      <c r="G10279" s="25"/>
      <c r="H10279" s="27"/>
      <c r="I10279" s="28"/>
      <c r="J10279" s="39"/>
      <c r="K10279" s="41"/>
      <c r="L10279" s="31" t="str">
        <f>IFERROR(__xludf.DUMMYFUNCTION("IF(OR(E10279="""",K10279=""""),"""",IFERROR(IF(K10279="""","""",query('tbl user'!$A$2:$D10975,""SELECT A WHERE D = '""&amp;K10279&amp;""'"")),""USER TIDAK DIKETAHUI""))"),"")</f>
        <v/>
      </c>
    </row>
    <row r="10280">
      <c r="A10280" s="21" t="str">
        <f t="shared" si="3"/>
        <v/>
      </c>
      <c r="B10280" s="38"/>
      <c r="C10280" s="23"/>
      <c r="D10280" s="23"/>
      <c r="E10280" s="24"/>
      <c r="F10280" s="25"/>
      <c r="G10280" s="25"/>
      <c r="H10280" s="27"/>
      <c r="I10280" s="28"/>
      <c r="J10280" s="39"/>
      <c r="K10280" s="41"/>
      <c r="L10280" s="31" t="str">
        <f>IFERROR(__xludf.DUMMYFUNCTION("IF(OR(E10280="""",K10280=""""),"""",IFERROR(IF(K10280="""","""",query('tbl user'!$A$2:$D10975,""SELECT A WHERE D = '""&amp;K10280&amp;""'"")),""USER TIDAK DIKETAHUI""))"),"")</f>
        <v/>
      </c>
    </row>
    <row r="10281">
      <c r="A10281" s="21" t="str">
        <f t="shared" si="3"/>
        <v/>
      </c>
      <c r="B10281" s="38"/>
      <c r="C10281" s="23"/>
      <c r="D10281" s="23"/>
      <c r="E10281" s="24"/>
      <c r="F10281" s="25"/>
      <c r="G10281" s="25"/>
      <c r="H10281" s="27"/>
      <c r="I10281" s="28"/>
      <c r="J10281" s="39"/>
      <c r="K10281" s="41"/>
      <c r="L10281" s="31" t="str">
        <f>IFERROR(__xludf.DUMMYFUNCTION("IF(OR(E10281="""",K10281=""""),"""",IFERROR(IF(K10281="""","""",query('tbl user'!$A$2:$D10975,""SELECT A WHERE D = '""&amp;K10281&amp;""'"")),""USER TIDAK DIKETAHUI""))"),"")</f>
        <v/>
      </c>
    </row>
    <row r="10282">
      <c r="A10282" s="21" t="str">
        <f t="shared" si="3"/>
        <v/>
      </c>
      <c r="B10282" s="38"/>
      <c r="C10282" s="23"/>
      <c r="D10282" s="23"/>
      <c r="E10282" s="24"/>
      <c r="F10282" s="25"/>
      <c r="G10282" s="25"/>
      <c r="H10282" s="27"/>
      <c r="I10282" s="28"/>
      <c r="J10282" s="39"/>
      <c r="K10282" s="41"/>
      <c r="L10282" s="31" t="str">
        <f>IFERROR(__xludf.DUMMYFUNCTION("IF(OR(E10282="""",K10282=""""),"""",IFERROR(IF(K10282="""","""",query('tbl user'!$A$2:$D10975,""SELECT A WHERE D = '""&amp;K10282&amp;""'"")),""USER TIDAK DIKETAHUI""))"),"")</f>
        <v/>
      </c>
    </row>
    <row r="10283">
      <c r="A10283" s="21" t="str">
        <f t="shared" si="3"/>
        <v/>
      </c>
      <c r="B10283" s="38"/>
      <c r="C10283" s="23"/>
      <c r="D10283" s="23"/>
      <c r="E10283" s="24"/>
      <c r="F10283" s="25"/>
      <c r="G10283" s="25"/>
      <c r="H10283" s="27"/>
      <c r="I10283" s="28"/>
      <c r="J10283" s="39"/>
      <c r="K10283" s="41"/>
      <c r="L10283" s="31" t="str">
        <f>IFERROR(__xludf.DUMMYFUNCTION("IF(OR(E10283="""",K10283=""""),"""",IFERROR(IF(K10283="""","""",query('tbl user'!$A$2:$D10975,""SELECT A WHERE D = '""&amp;K10283&amp;""'"")),""USER TIDAK DIKETAHUI""))"),"")</f>
        <v/>
      </c>
    </row>
    <row r="10284">
      <c r="A10284" s="21" t="str">
        <f t="shared" si="3"/>
        <v/>
      </c>
      <c r="B10284" s="38"/>
      <c r="C10284" s="23"/>
      <c r="D10284" s="23"/>
      <c r="E10284" s="24"/>
      <c r="F10284" s="25"/>
      <c r="G10284" s="25"/>
      <c r="H10284" s="27"/>
      <c r="I10284" s="28"/>
      <c r="J10284" s="39"/>
      <c r="K10284" s="41"/>
      <c r="L10284" s="31" t="str">
        <f>IFERROR(__xludf.DUMMYFUNCTION("IF(OR(E10284="""",K10284=""""),"""",IFERROR(IF(K10284="""","""",query('tbl user'!$A$2:$D10975,""SELECT A WHERE D = '""&amp;K10284&amp;""'"")),""USER TIDAK DIKETAHUI""))"),"")</f>
        <v/>
      </c>
    </row>
    <row r="10285">
      <c r="A10285" s="21" t="str">
        <f t="shared" si="3"/>
        <v/>
      </c>
      <c r="B10285" s="38"/>
      <c r="C10285" s="23"/>
      <c r="D10285" s="23"/>
      <c r="E10285" s="24"/>
      <c r="F10285" s="25"/>
      <c r="G10285" s="25"/>
      <c r="H10285" s="27"/>
      <c r="I10285" s="28"/>
      <c r="J10285" s="39"/>
      <c r="K10285" s="41"/>
      <c r="L10285" s="31" t="str">
        <f>IFERROR(__xludf.DUMMYFUNCTION("IF(OR(E10285="""",K10285=""""),"""",IFERROR(IF(K10285="""","""",query('tbl user'!$A$2:$D10975,""SELECT A WHERE D = '""&amp;K10285&amp;""'"")),""USER TIDAK DIKETAHUI""))"),"")</f>
        <v/>
      </c>
    </row>
    <row r="10286">
      <c r="A10286" s="21" t="str">
        <f t="shared" si="3"/>
        <v/>
      </c>
      <c r="B10286" s="38"/>
      <c r="C10286" s="23"/>
      <c r="D10286" s="23"/>
      <c r="E10286" s="24"/>
      <c r="F10286" s="25"/>
      <c r="G10286" s="25"/>
      <c r="H10286" s="27"/>
      <c r="I10286" s="28"/>
      <c r="J10286" s="39"/>
      <c r="K10286" s="41"/>
      <c r="L10286" s="31" t="str">
        <f>IFERROR(__xludf.DUMMYFUNCTION("IF(OR(E10286="""",K10286=""""),"""",IFERROR(IF(K10286="""","""",query('tbl user'!$A$2:$D10975,""SELECT A WHERE D = '""&amp;K10286&amp;""'"")),""USER TIDAK DIKETAHUI""))"),"")</f>
        <v/>
      </c>
    </row>
    <row r="10287">
      <c r="A10287" s="21" t="str">
        <f t="shared" si="3"/>
        <v/>
      </c>
      <c r="B10287" s="38"/>
      <c r="C10287" s="23"/>
      <c r="D10287" s="23"/>
      <c r="E10287" s="24"/>
      <c r="F10287" s="25"/>
      <c r="G10287" s="25"/>
      <c r="H10287" s="27"/>
      <c r="I10287" s="28"/>
      <c r="J10287" s="39"/>
      <c r="K10287" s="41"/>
      <c r="L10287" s="31" t="str">
        <f>IFERROR(__xludf.DUMMYFUNCTION("IF(OR(E10287="""",K10287=""""),"""",IFERROR(IF(K10287="""","""",query('tbl user'!$A$2:$D10975,""SELECT A WHERE D = '""&amp;K10287&amp;""'"")),""USER TIDAK DIKETAHUI""))"),"")</f>
        <v/>
      </c>
    </row>
    <row r="10288">
      <c r="A10288" s="21" t="str">
        <f t="shared" si="3"/>
        <v/>
      </c>
      <c r="B10288" s="38"/>
      <c r="C10288" s="23"/>
      <c r="D10288" s="23"/>
      <c r="E10288" s="24"/>
      <c r="F10288" s="25"/>
      <c r="G10288" s="25"/>
      <c r="H10288" s="27"/>
      <c r="I10288" s="28"/>
      <c r="J10288" s="39"/>
      <c r="K10288" s="41"/>
      <c r="L10288" s="31" t="str">
        <f>IFERROR(__xludf.DUMMYFUNCTION("IF(OR(E10288="""",K10288=""""),"""",IFERROR(IF(K10288="""","""",query('tbl user'!$A$2:$D10975,""SELECT A WHERE D = '""&amp;K10288&amp;""'"")),""USER TIDAK DIKETAHUI""))"),"")</f>
        <v/>
      </c>
    </row>
    <row r="10289">
      <c r="A10289" s="21" t="str">
        <f t="shared" si="3"/>
        <v/>
      </c>
      <c r="B10289" s="38"/>
      <c r="C10289" s="23"/>
      <c r="D10289" s="23"/>
      <c r="E10289" s="24"/>
      <c r="F10289" s="25"/>
      <c r="G10289" s="25"/>
      <c r="H10289" s="27"/>
      <c r="I10289" s="28"/>
      <c r="J10289" s="39"/>
      <c r="K10289" s="41"/>
      <c r="L10289" s="31" t="str">
        <f>IFERROR(__xludf.DUMMYFUNCTION("IF(OR(E10289="""",K10289=""""),"""",IFERROR(IF(K10289="""","""",query('tbl user'!$A$2:$D10975,""SELECT A WHERE D = '""&amp;K10289&amp;""'"")),""USER TIDAK DIKETAHUI""))"),"")</f>
        <v/>
      </c>
    </row>
    <row r="10290">
      <c r="A10290" s="21" t="str">
        <f t="shared" si="3"/>
        <v/>
      </c>
      <c r="B10290" s="38"/>
      <c r="C10290" s="23"/>
      <c r="D10290" s="23"/>
      <c r="E10290" s="24"/>
      <c r="F10290" s="25"/>
      <c r="G10290" s="25"/>
      <c r="H10290" s="27"/>
      <c r="I10290" s="28"/>
      <c r="J10290" s="39"/>
      <c r="K10290" s="41"/>
      <c r="L10290" s="31" t="str">
        <f>IFERROR(__xludf.DUMMYFUNCTION("IF(OR(E10290="""",K10290=""""),"""",IFERROR(IF(K10290="""","""",query('tbl user'!$A$2:$D10975,""SELECT A WHERE D = '""&amp;K10290&amp;""'"")),""USER TIDAK DIKETAHUI""))"),"")</f>
        <v/>
      </c>
    </row>
    <row r="10291">
      <c r="A10291" s="21" t="str">
        <f t="shared" si="3"/>
        <v/>
      </c>
      <c r="B10291" s="38"/>
      <c r="C10291" s="23"/>
      <c r="D10291" s="23"/>
      <c r="E10291" s="24"/>
      <c r="F10291" s="25"/>
      <c r="G10291" s="25"/>
      <c r="H10291" s="27"/>
      <c r="I10291" s="28"/>
      <c r="J10291" s="39"/>
      <c r="K10291" s="41"/>
      <c r="L10291" s="31" t="str">
        <f>IFERROR(__xludf.DUMMYFUNCTION("IF(OR(E10291="""",K10291=""""),"""",IFERROR(IF(K10291="""","""",query('tbl user'!$A$2:$D10975,""SELECT A WHERE D = '""&amp;K10291&amp;""'"")),""USER TIDAK DIKETAHUI""))"),"")</f>
        <v/>
      </c>
    </row>
    <row r="10292">
      <c r="A10292" s="21" t="str">
        <f t="shared" si="3"/>
        <v/>
      </c>
      <c r="B10292" s="38"/>
      <c r="C10292" s="23"/>
      <c r="D10292" s="23"/>
      <c r="E10292" s="24"/>
      <c r="F10292" s="25"/>
      <c r="G10292" s="25"/>
      <c r="H10292" s="27"/>
      <c r="I10292" s="28"/>
      <c r="J10292" s="39"/>
      <c r="K10292" s="41"/>
      <c r="L10292" s="31" t="str">
        <f>IFERROR(__xludf.DUMMYFUNCTION("IF(OR(E10292="""",K10292=""""),"""",IFERROR(IF(K10292="""","""",query('tbl user'!$A$2:$D10975,""SELECT A WHERE D = '""&amp;K10292&amp;""'"")),""USER TIDAK DIKETAHUI""))"),"")</f>
        <v/>
      </c>
    </row>
    <row r="10293">
      <c r="A10293" s="21" t="str">
        <f t="shared" si="3"/>
        <v/>
      </c>
      <c r="B10293" s="38"/>
      <c r="C10293" s="23"/>
      <c r="D10293" s="23"/>
      <c r="E10293" s="24"/>
      <c r="F10293" s="25"/>
      <c r="G10293" s="25"/>
      <c r="H10293" s="27"/>
      <c r="I10293" s="28"/>
      <c r="J10293" s="39"/>
      <c r="K10293" s="41"/>
      <c r="L10293" s="31" t="str">
        <f>IFERROR(__xludf.DUMMYFUNCTION("IF(OR(E10293="""",K10293=""""),"""",IFERROR(IF(K10293="""","""",query('tbl user'!$A$2:$D10975,""SELECT A WHERE D = '""&amp;K10293&amp;""'"")),""USER TIDAK DIKETAHUI""))"),"")</f>
        <v/>
      </c>
    </row>
    <row r="10294">
      <c r="A10294" s="21" t="str">
        <f t="shared" si="3"/>
        <v/>
      </c>
      <c r="B10294" s="38"/>
      <c r="C10294" s="23"/>
      <c r="D10294" s="23"/>
      <c r="E10294" s="24"/>
      <c r="F10294" s="25"/>
      <c r="G10294" s="25"/>
      <c r="H10294" s="27"/>
      <c r="I10294" s="28"/>
      <c r="J10294" s="39"/>
      <c r="K10294" s="41"/>
      <c r="L10294" s="31" t="str">
        <f>IFERROR(__xludf.DUMMYFUNCTION("IF(OR(E10294="""",K10294=""""),"""",IFERROR(IF(K10294="""","""",query('tbl user'!$A$2:$D10975,""SELECT A WHERE D = '""&amp;K10294&amp;""'"")),""USER TIDAK DIKETAHUI""))"),"")</f>
        <v/>
      </c>
    </row>
    <row r="10295">
      <c r="A10295" s="21" t="str">
        <f t="shared" si="3"/>
        <v/>
      </c>
      <c r="B10295" s="38"/>
      <c r="C10295" s="23"/>
      <c r="D10295" s="23"/>
      <c r="E10295" s="24"/>
      <c r="F10295" s="25"/>
      <c r="G10295" s="25"/>
      <c r="H10295" s="27"/>
      <c r="I10295" s="28"/>
      <c r="J10295" s="39"/>
      <c r="K10295" s="41"/>
      <c r="L10295" s="31" t="str">
        <f>IFERROR(__xludf.DUMMYFUNCTION("IF(OR(E10295="""",K10295=""""),"""",IFERROR(IF(K10295="""","""",query('tbl user'!$A$2:$D10975,""SELECT A WHERE D = '""&amp;K10295&amp;""'"")),""USER TIDAK DIKETAHUI""))"),"")</f>
        <v/>
      </c>
    </row>
    <row r="10296">
      <c r="A10296" s="21" t="str">
        <f t="shared" si="3"/>
        <v/>
      </c>
      <c r="B10296" s="38"/>
      <c r="C10296" s="23"/>
      <c r="D10296" s="23"/>
      <c r="E10296" s="24"/>
      <c r="F10296" s="25"/>
      <c r="G10296" s="25"/>
      <c r="H10296" s="27"/>
      <c r="I10296" s="28"/>
      <c r="J10296" s="39"/>
      <c r="K10296" s="41"/>
      <c r="L10296" s="31" t="str">
        <f>IFERROR(__xludf.DUMMYFUNCTION("IF(OR(E10296="""",K10296=""""),"""",IFERROR(IF(K10296="""","""",query('tbl user'!$A$2:$D10975,""SELECT A WHERE D = '""&amp;K10296&amp;""'"")),""USER TIDAK DIKETAHUI""))"),"")</f>
        <v/>
      </c>
    </row>
    <row r="10297">
      <c r="A10297" s="21" t="str">
        <f t="shared" si="3"/>
        <v/>
      </c>
      <c r="B10297" s="38"/>
      <c r="C10297" s="23"/>
      <c r="D10297" s="23"/>
      <c r="E10297" s="24"/>
      <c r="F10297" s="25"/>
      <c r="G10297" s="25"/>
      <c r="H10297" s="27"/>
      <c r="I10297" s="28"/>
      <c r="J10297" s="39"/>
      <c r="K10297" s="41"/>
      <c r="L10297" s="31" t="str">
        <f>IFERROR(__xludf.DUMMYFUNCTION("IF(OR(E10297="""",K10297=""""),"""",IFERROR(IF(K10297="""","""",query('tbl user'!$A$2:$D10975,""SELECT A WHERE D = '""&amp;K10297&amp;""'"")),""USER TIDAK DIKETAHUI""))"),"")</f>
        <v/>
      </c>
    </row>
    <row r="10298">
      <c r="A10298" s="21" t="str">
        <f t="shared" si="3"/>
        <v/>
      </c>
      <c r="B10298" s="38"/>
      <c r="C10298" s="23"/>
      <c r="D10298" s="23"/>
      <c r="E10298" s="24"/>
      <c r="F10298" s="25"/>
      <c r="G10298" s="25"/>
      <c r="H10298" s="27"/>
      <c r="I10298" s="28"/>
      <c r="J10298" s="39"/>
      <c r="K10298" s="41"/>
      <c r="L10298" s="31" t="str">
        <f>IFERROR(__xludf.DUMMYFUNCTION("IF(OR(E10298="""",K10298=""""),"""",IFERROR(IF(K10298="""","""",query('tbl user'!$A$2:$D10975,""SELECT A WHERE D = '""&amp;K10298&amp;""'"")),""USER TIDAK DIKETAHUI""))"),"")</f>
        <v/>
      </c>
    </row>
    <row r="10299">
      <c r="A10299" s="21" t="str">
        <f t="shared" si="3"/>
        <v/>
      </c>
      <c r="B10299" s="38"/>
      <c r="C10299" s="23"/>
      <c r="D10299" s="23"/>
      <c r="E10299" s="24"/>
      <c r="F10299" s="25"/>
      <c r="G10299" s="25"/>
      <c r="H10299" s="27"/>
      <c r="I10299" s="28"/>
      <c r="J10299" s="39"/>
      <c r="K10299" s="41"/>
      <c r="L10299" s="31" t="str">
        <f>IFERROR(__xludf.DUMMYFUNCTION("IF(OR(E10299="""",K10299=""""),"""",IFERROR(IF(K10299="""","""",query('tbl user'!$A$2:$D10975,""SELECT A WHERE D = '""&amp;K10299&amp;""'"")),""USER TIDAK DIKETAHUI""))"),"")</f>
        <v/>
      </c>
    </row>
    <row r="10300">
      <c r="A10300" s="21" t="str">
        <f t="shared" si="3"/>
        <v/>
      </c>
      <c r="B10300" s="38"/>
      <c r="C10300" s="23"/>
      <c r="D10300" s="23"/>
      <c r="E10300" s="24"/>
      <c r="F10300" s="25"/>
      <c r="G10300" s="25"/>
      <c r="H10300" s="27"/>
      <c r="I10300" s="28"/>
      <c r="J10300" s="39"/>
      <c r="K10300" s="41"/>
      <c r="L10300" s="31" t="str">
        <f>IFERROR(__xludf.DUMMYFUNCTION("IF(OR(E10300="""",K10300=""""),"""",IFERROR(IF(K10300="""","""",query('tbl user'!$A$2:$D10975,""SELECT A WHERE D = '""&amp;K10300&amp;""'"")),""USER TIDAK DIKETAHUI""))"),"")</f>
        <v/>
      </c>
    </row>
    <row r="10301">
      <c r="A10301" s="21" t="str">
        <f t="shared" si="3"/>
        <v/>
      </c>
      <c r="B10301" s="38"/>
      <c r="C10301" s="23"/>
      <c r="D10301" s="23"/>
      <c r="E10301" s="24"/>
      <c r="F10301" s="25"/>
      <c r="G10301" s="25"/>
      <c r="H10301" s="27"/>
      <c r="I10301" s="28"/>
      <c r="J10301" s="39"/>
      <c r="K10301" s="41"/>
      <c r="L10301" s="31" t="str">
        <f>IFERROR(__xludf.DUMMYFUNCTION("IF(OR(E10301="""",K10301=""""),"""",IFERROR(IF(K10301="""","""",query('tbl user'!$A$2:$D10975,""SELECT A WHERE D = '""&amp;K10301&amp;""'"")),""USER TIDAK DIKETAHUI""))"),"")</f>
        <v/>
      </c>
    </row>
    <row r="10302">
      <c r="A10302" s="21" t="str">
        <f t="shared" si="3"/>
        <v/>
      </c>
      <c r="B10302" s="38"/>
      <c r="C10302" s="23"/>
      <c r="D10302" s="23"/>
      <c r="E10302" s="24"/>
      <c r="F10302" s="25"/>
      <c r="G10302" s="25"/>
      <c r="H10302" s="27"/>
      <c r="I10302" s="28"/>
      <c r="J10302" s="39"/>
      <c r="K10302" s="41"/>
      <c r="L10302" s="31" t="str">
        <f>IFERROR(__xludf.DUMMYFUNCTION("IF(OR(E10302="""",K10302=""""),"""",IFERROR(IF(K10302="""","""",query('tbl user'!$A$2:$D10975,""SELECT A WHERE D = '""&amp;K10302&amp;""'"")),""USER TIDAK DIKETAHUI""))"),"")</f>
        <v/>
      </c>
    </row>
    <row r="10303">
      <c r="A10303" s="21" t="str">
        <f t="shared" si="3"/>
        <v/>
      </c>
      <c r="B10303" s="38"/>
      <c r="C10303" s="23"/>
      <c r="D10303" s="23"/>
      <c r="E10303" s="24"/>
      <c r="F10303" s="25"/>
      <c r="G10303" s="25"/>
      <c r="H10303" s="27"/>
      <c r="I10303" s="28"/>
      <c r="J10303" s="39"/>
      <c r="K10303" s="41"/>
      <c r="L10303" s="31" t="str">
        <f>IFERROR(__xludf.DUMMYFUNCTION("IF(OR(E10303="""",K10303=""""),"""",IFERROR(IF(K10303="""","""",query('tbl user'!$A$2:$D10975,""SELECT A WHERE D = '""&amp;K10303&amp;""'"")),""USER TIDAK DIKETAHUI""))"),"")</f>
        <v/>
      </c>
    </row>
    <row r="10304">
      <c r="A10304" s="21" t="str">
        <f t="shared" si="3"/>
        <v/>
      </c>
      <c r="B10304" s="38"/>
      <c r="C10304" s="23"/>
      <c r="D10304" s="23"/>
      <c r="E10304" s="24"/>
      <c r="F10304" s="25"/>
      <c r="G10304" s="25"/>
      <c r="H10304" s="27"/>
      <c r="I10304" s="28"/>
      <c r="J10304" s="39"/>
      <c r="K10304" s="41"/>
      <c r="L10304" s="31" t="str">
        <f>IFERROR(__xludf.DUMMYFUNCTION("IF(OR(E10304="""",K10304=""""),"""",IFERROR(IF(K10304="""","""",query('tbl user'!$A$2:$D10975,""SELECT A WHERE D = '""&amp;K10304&amp;""'"")),""USER TIDAK DIKETAHUI""))"),"")</f>
        <v/>
      </c>
    </row>
    <row r="10305">
      <c r="A10305" s="21" t="str">
        <f t="shared" si="3"/>
        <v/>
      </c>
      <c r="B10305" s="38"/>
      <c r="C10305" s="23"/>
      <c r="D10305" s="23"/>
      <c r="E10305" s="24"/>
      <c r="F10305" s="25"/>
      <c r="G10305" s="25"/>
      <c r="H10305" s="27"/>
      <c r="I10305" s="28"/>
      <c r="J10305" s="39"/>
      <c r="K10305" s="41"/>
      <c r="L10305" s="31" t="str">
        <f>IFERROR(__xludf.DUMMYFUNCTION("IF(OR(E10305="""",K10305=""""),"""",IFERROR(IF(K10305="""","""",query('tbl user'!$A$2:$D10975,""SELECT A WHERE D = '""&amp;K10305&amp;""'"")),""USER TIDAK DIKETAHUI""))"),"")</f>
        <v/>
      </c>
    </row>
    <row r="10306">
      <c r="A10306" s="21" t="str">
        <f t="shared" si="3"/>
        <v/>
      </c>
      <c r="B10306" s="38"/>
      <c r="C10306" s="23"/>
      <c r="D10306" s="23"/>
      <c r="E10306" s="24"/>
      <c r="F10306" s="25"/>
      <c r="G10306" s="25"/>
      <c r="H10306" s="27"/>
      <c r="I10306" s="28"/>
      <c r="J10306" s="39"/>
      <c r="K10306" s="41"/>
      <c r="L10306" s="31" t="str">
        <f>IFERROR(__xludf.DUMMYFUNCTION("IF(OR(E10306="""",K10306=""""),"""",IFERROR(IF(K10306="""","""",query('tbl user'!$A$2:$D10975,""SELECT A WHERE D = '""&amp;K10306&amp;""'"")),""USER TIDAK DIKETAHUI""))"),"")</f>
        <v/>
      </c>
    </row>
    <row r="10307">
      <c r="A10307" s="21" t="str">
        <f t="shared" si="3"/>
        <v/>
      </c>
      <c r="B10307" s="38"/>
      <c r="C10307" s="23"/>
      <c r="D10307" s="23"/>
      <c r="E10307" s="24"/>
      <c r="F10307" s="25"/>
      <c r="G10307" s="25"/>
      <c r="H10307" s="27"/>
      <c r="I10307" s="28"/>
      <c r="J10307" s="39"/>
      <c r="K10307" s="41"/>
      <c r="L10307" s="31" t="str">
        <f>IFERROR(__xludf.DUMMYFUNCTION("IF(OR(E10307="""",K10307=""""),"""",IFERROR(IF(K10307="""","""",query('tbl user'!$A$2:$D10975,""SELECT A WHERE D = '""&amp;K10307&amp;""'"")),""USER TIDAK DIKETAHUI""))"),"")</f>
        <v/>
      </c>
    </row>
    <row r="10308">
      <c r="A10308" s="21" t="str">
        <f t="shared" si="3"/>
        <v/>
      </c>
      <c r="B10308" s="38"/>
      <c r="C10308" s="23"/>
      <c r="D10308" s="23"/>
      <c r="E10308" s="24"/>
      <c r="F10308" s="25"/>
      <c r="G10308" s="25"/>
      <c r="H10308" s="27"/>
      <c r="I10308" s="28"/>
      <c r="J10308" s="39"/>
      <c r="K10308" s="41"/>
      <c r="L10308" s="31" t="str">
        <f>IFERROR(__xludf.DUMMYFUNCTION("IF(OR(E10308="""",K10308=""""),"""",IFERROR(IF(K10308="""","""",query('tbl user'!$A$2:$D10975,""SELECT A WHERE D = '""&amp;K10308&amp;""'"")),""USER TIDAK DIKETAHUI""))"),"")</f>
        <v/>
      </c>
    </row>
    <row r="10309">
      <c r="A10309" s="21" t="str">
        <f t="shared" si="3"/>
        <v/>
      </c>
      <c r="B10309" s="38"/>
      <c r="C10309" s="23"/>
      <c r="D10309" s="23"/>
      <c r="E10309" s="24"/>
      <c r="F10309" s="25"/>
      <c r="G10309" s="25"/>
      <c r="H10309" s="27"/>
      <c r="I10309" s="28"/>
      <c r="J10309" s="39"/>
      <c r="K10309" s="41"/>
      <c r="L10309" s="31" t="str">
        <f>IFERROR(__xludf.DUMMYFUNCTION("IF(OR(E10309="""",K10309=""""),"""",IFERROR(IF(K10309="""","""",query('tbl user'!$A$2:$D10975,""SELECT A WHERE D = '""&amp;K10309&amp;""'"")),""USER TIDAK DIKETAHUI""))"),"")</f>
        <v/>
      </c>
    </row>
    <row r="10310">
      <c r="A10310" s="21" t="str">
        <f t="shared" si="3"/>
        <v/>
      </c>
      <c r="B10310" s="38"/>
      <c r="C10310" s="23"/>
      <c r="D10310" s="23"/>
      <c r="E10310" s="24"/>
      <c r="F10310" s="25"/>
      <c r="G10310" s="25"/>
      <c r="H10310" s="27"/>
      <c r="I10310" s="28"/>
      <c r="J10310" s="39"/>
      <c r="K10310" s="41"/>
      <c r="L10310" s="31" t="str">
        <f>IFERROR(__xludf.DUMMYFUNCTION("IF(OR(E10310="""",K10310=""""),"""",IFERROR(IF(K10310="""","""",query('tbl user'!$A$2:$D10975,""SELECT A WHERE D = '""&amp;K10310&amp;""'"")),""USER TIDAK DIKETAHUI""))"),"")</f>
        <v/>
      </c>
    </row>
    <row r="10311">
      <c r="A10311" s="21" t="str">
        <f t="shared" si="3"/>
        <v/>
      </c>
      <c r="B10311" s="38"/>
      <c r="C10311" s="23"/>
      <c r="D10311" s="23"/>
      <c r="E10311" s="24"/>
      <c r="F10311" s="25"/>
      <c r="G10311" s="25"/>
      <c r="H10311" s="27"/>
      <c r="I10311" s="28"/>
      <c r="J10311" s="39"/>
      <c r="K10311" s="41"/>
      <c r="L10311" s="31" t="str">
        <f>IFERROR(__xludf.DUMMYFUNCTION("IF(OR(E10311="""",K10311=""""),"""",IFERROR(IF(K10311="""","""",query('tbl user'!$A$2:$D10975,""SELECT A WHERE D = '""&amp;K10311&amp;""'"")),""USER TIDAK DIKETAHUI""))"),"")</f>
        <v/>
      </c>
    </row>
    <row r="10312">
      <c r="A10312" s="21" t="str">
        <f t="shared" si="3"/>
        <v/>
      </c>
      <c r="B10312" s="38"/>
      <c r="C10312" s="23"/>
      <c r="D10312" s="23"/>
      <c r="E10312" s="24"/>
      <c r="F10312" s="25"/>
      <c r="G10312" s="25"/>
      <c r="H10312" s="27"/>
      <c r="I10312" s="28"/>
      <c r="J10312" s="39"/>
      <c r="K10312" s="41"/>
      <c r="L10312" s="31" t="str">
        <f>IFERROR(__xludf.DUMMYFUNCTION("IF(OR(E10312="""",K10312=""""),"""",IFERROR(IF(K10312="""","""",query('tbl user'!$A$2:$D10975,""SELECT A WHERE D = '""&amp;K10312&amp;""'"")),""USER TIDAK DIKETAHUI""))"),"")</f>
        <v/>
      </c>
    </row>
    <row r="10313">
      <c r="A10313" s="21" t="str">
        <f t="shared" si="3"/>
        <v/>
      </c>
      <c r="B10313" s="38"/>
      <c r="C10313" s="23"/>
      <c r="D10313" s="23"/>
      <c r="E10313" s="24"/>
      <c r="F10313" s="25"/>
      <c r="G10313" s="25"/>
      <c r="H10313" s="27"/>
      <c r="I10313" s="28"/>
      <c r="J10313" s="39"/>
      <c r="K10313" s="41"/>
      <c r="L10313" s="31" t="str">
        <f>IFERROR(__xludf.DUMMYFUNCTION("IF(OR(E10313="""",K10313=""""),"""",IFERROR(IF(K10313="""","""",query('tbl user'!$A$2:$D10975,""SELECT A WHERE D = '""&amp;K10313&amp;""'"")),""USER TIDAK DIKETAHUI""))"),"")</f>
        <v/>
      </c>
    </row>
    <row r="10314">
      <c r="A10314" s="21" t="str">
        <f t="shared" si="3"/>
        <v/>
      </c>
      <c r="B10314" s="38"/>
      <c r="C10314" s="23"/>
      <c r="D10314" s="23"/>
      <c r="E10314" s="24"/>
      <c r="F10314" s="25"/>
      <c r="G10314" s="25"/>
      <c r="H10314" s="27"/>
      <c r="I10314" s="28"/>
      <c r="J10314" s="39"/>
      <c r="K10314" s="41"/>
      <c r="L10314" s="31" t="str">
        <f>IFERROR(__xludf.DUMMYFUNCTION("IF(OR(E10314="""",K10314=""""),"""",IFERROR(IF(K10314="""","""",query('tbl user'!$A$2:$D10975,""SELECT A WHERE D = '""&amp;K10314&amp;""'"")),""USER TIDAK DIKETAHUI""))"),"")</f>
        <v/>
      </c>
    </row>
    <row r="10315">
      <c r="A10315" s="21" t="str">
        <f t="shared" si="3"/>
        <v/>
      </c>
      <c r="B10315" s="38"/>
      <c r="C10315" s="23"/>
      <c r="D10315" s="23"/>
      <c r="E10315" s="24"/>
      <c r="F10315" s="25"/>
      <c r="G10315" s="25"/>
      <c r="H10315" s="27"/>
      <c r="I10315" s="28"/>
      <c r="J10315" s="39"/>
      <c r="K10315" s="41"/>
      <c r="L10315" s="31" t="str">
        <f>IFERROR(__xludf.DUMMYFUNCTION("IF(OR(E10315="""",K10315=""""),"""",IFERROR(IF(K10315="""","""",query('tbl user'!$A$2:$D10975,""SELECT A WHERE D = '""&amp;K10315&amp;""'"")),""USER TIDAK DIKETAHUI""))"),"")</f>
        <v/>
      </c>
    </row>
    <row r="10316">
      <c r="A10316" s="21" t="str">
        <f t="shared" si="3"/>
        <v/>
      </c>
      <c r="B10316" s="38"/>
      <c r="C10316" s="23"/>
      <c r="D10316" s="23"/>
      <c r="E10316" s="24"/>
      <c r="F10316" s="25"/>
      <c r="G10316" s="25"/>
      <c r="H10316" s="27"/>
      <c r="I10316" s="28"/>
      <c r="J10316" s="39"/>
      <c r="K10316" s="41"/>
      <c r="L10316" s="31" t="str">
        <f>IFERROR(__xludf.DUMMYFUNCTION("IF(OR(E10316="""",K10316=""""),"""",IFERROR(IF(K10316="""","""",query('tbl user'!$A$2:$D10975,""SELECT A WHERE D = '""&amp;K10316&amp;""'"")),""USER TIDAK DIKETAHUI""))"),"")</f>
        <v/>
      </c>
    </row>
    <row r="10317">
      <c r="A10317" s="21" t="str">
        <f t="shared" si="3"/>
        <v/>
      </c>
      <c r="B10317" s="38"/>
      <c r="C10317" s="23"/>
      <c r="D10317" s="23"/>
      <c r="E10317" s="24"/>
      <c r="F10317" s="25"/>
      <c r="G10317" s="25"/>
      <c r="H10317" s="27"/>
      <c r="I10317" s="28"/>
      <c r="J10317" s="39"/>
      <c r="K10317" s="41"/>
      <c r="L10317" s="31" t="str">
        <f>IFERROR(__xludf.DUMMYFUNCTION("IF(OR(E10317="""",K10317=""""),"""",IFERROR(IF(K10317="""","""",query('tbl user'!$A$2:$D10975,""SELECT A WHERE D = '""&amp;K10317&amp;""'"")),""USER TIDAK DIKETAHUI""))"),"")</f>
        <v/>
      </c>
    </row>
    <row r="10318">
      <c r="A10318" s="21" t="str">
        <f t="shared" si="3"/>
        <v/>
      </c>
      <c r="B10318" s="38"/>
      <c r="C10318" s="23"/>
      <c r="D10318" s="23"/>
      <c r="E10318" s="24"/>
      <c r="F10318" s="25"/>
      <c r="G10318" s="25"/>
      <c r="H10318" s="27"/>
      <c r="I10318" s="28"/>
      <c r="J10318" s="39"/>
      <c r="K10318" s="41"/>
      <c r="L10318" s="31" t="str">
        <f>IFERROR(__xludf.DUMMYFUNCTION("IF(OR(E10318="""",K10318=""""),"""",IFERROR(IF(K10318="""","""",query('tbl user'!$A$2:$D10975,""SELECT A WHERE D = '""&amp;K10318&amp;""'"")),""USER TIDAK DIKETAHUI""))"),"")</f>
        <v/>
      </c>
    </row>
    <row r="10319">
      <c r="A10319" s="21" t="str">
        <f t="shared" si="3"/>
        <v/>
      </c>
      <c r="B10319" s="38"/>
      <c r="C10319" s="23"/>
      <c r="D10319" s="23"/>
      <c r="E10319" s="24"/>
      <c r="F10319" s="25"/>
      <c r="G10319" s="25"/>
      <c r="H10319" s="27"/>
      <c r="I10319" s="28"/>
      <c r="J10319" s="39"/>
      <c r="K10319" s="41"/>
      <c r="L10319" s="31" t="str">
        <f>IFERROR(__xludf.DUMMYFUNCTION("IF(OR(E10319="""",K10319=""""),"""",IFERROR(IF(K10319="""","""",query('tbl user'!$A$2:$D10975,""SELECT A WHERE D = '""&amp;K10319&amp;""'"")),""USER TIDAK DIKETAHUI""))"),"")</f>
        <v/>
      </c>
    </row>
    <row r="10320">
      <c r="A10320" s="21" t="str">
        <f t="shared" si="3"/>
        <v/>
      </c>
      <c r="B10320" s="38"/>
      <c r="C10320" s="23"/>
      <c r="D10320" s="23"/>
      <c r="E10320" s="24"/>
      <c r="F10320" s="25"/>
      <c r="G10320" s="25"/>
      <c r="H10320" s="27"/>
      <c r="I10320" s="28"/>
      <c r="J10320" s="39"/>
      <c r="K10320" s="41"/>
      <c r="L10320" s="31" t="str">
        <f>IFERROR(__xludf.DUMMYFUNCTION("IF(OR(E10320="""",K10320=""""),"""",IFERROR(IF(K10320="""","""",query('tbl user'!$A$2:$D10975,""SELECT A WHERE D = '""&amp;K10320&amp;""'"")),""USER TIDAK DIKETAHUI""))"),"")</f>
        <v/>
      </c>
    </row>
    <row r="10321">
      <c r="A10321" s="21" t="str">
        <f t="shared" si="3"/>
        <v/>
      </c>
      <c r="B10321" s="38"/>
      <c r="C10321" s="23"/>
      <c r="D10321" s="23"/>
      <c r="E10321" s="24"/>
      <c r="F10321" s="25"/>
      <c r="G10321" s="25"/>
      <c r="H10321" s="27"/>
      <c r="I10321" s="28"/>
      <c r="J10321" s="39"/>
      <c r="K10321" s="41"/>
      <c r="L10321" s="31" t="str">
        <f>IFERROR(__xludf.DUMMYFUNCTION("IF(OR(E10321="""",K10321=""""),"""",IFERROR(IF(K10321="""","""",query('tbl user'!$A$2:$D10975,""SELECT A WHERE D = '""&amp;K10321&amp;""'"")),""USER TIDAK DIKETAHUI""))"),"")</f>
        <v/>
      </c>
    </row>
    <row r="10322">
      <c r="A10322" s="21" t="str">
        <f t="shared" si="3"/>
        <v/>
      </c>
      <c r="B10322" s="38"/>
      <c r="C10322" s="23"/>
      <c r="D10322" s="23"/>
      <c r="E10322" s="24"/>
      <c r="F10322" s="25"/>
      <c r="G10322" s="25"/>
      <c r="H10322" s="27"/>
      <c r="I10322" s="28"/>
      <c r="J10322" s="39"/>
      <c r="K10322" s="41"/>
      <c r="L10322" s="31" t="str">
        <f>IFERROR(__xludf.DUMMYFUNCTION("IF(OR(E10322="""",K10322=""""),"""",IFERROR(IF(K10322="""","""",query('tbl user'!$A$2:$D10975,""SELECT A WHERE D = '""&amp;K10322&amp;""'"")),""USER TIDAK DIKETAHUI""))"),"")</f>
        <v/>
      </c>
    </row>
    <row r="10323">
      <c r="A10323" s="21" t="str">
        <f t="shared" si="3"/>
        <v/>
      </c>
      <c r="B10323" s="38"/>
      <c r="C10323" s="23"/>
      <c r="D10323" s="23"/>
      <c r="E10323" s="24"/>
      <c r="F10323" s="25"/>
      <c r="G10323" s="25"/>
      <c r="H10323" s="27"/>
      <c r="I10323" s="28"/>
      <c r="J10323" s="39"/>
      <c r="K10323" s="41"/>
      <c r="L10323" s="31" t="str">
        <f>IFERROR(__xludf.DUMMYFUNCTION("IF(OR(E10323="""",K10323=""""),"""",IFERROR(IF(K10323="""","""",query('tbl user'!$A$2:$D10975,""SELECT A WHERE D = '""&amp;K10323&amp;""'"")),""USER TIDAK DIKETAHUI""))"),"")</f>
        <v/>
      </c>
    </row>
    <row r="10324">
      <c r="A10324" s="21" t="str">
        <f t="shared" si="3"/>
        <v/>
      </c>
      <c r="B10324" s="38"/>
      <c r="C10324" s="23"/>
      <c r="D10324" s="23"/>
      <c r="E10324" s="24"/>
      <c r="F10324" s="25"/>
      <c r="G10324" s="25"/>
      <c r="H10324" s="27"/>
      <c r="I10324" s="28"/>
      <c r="J10324" s="39"/>
      <c r="K10324" s="41"/>
      <c r="L10324" s="31" t="str">
        <f>IFERROR(__xludf.DUMMYFUNCTION("IF(OR(E10324="""",K10324=""""),"""",IFERROR(IF(K10324="""","""",query('tbl user'!$A$2:$D10975,""SELECT A WHERE D = '""&amp;K10324&amp;""'"")),""USER TIDAK DIKETAHUI""))"),"")</f>
        <v/>
      </c>
    </row>
    <row r="10325">
      <c r="A10325" s="21" t="str">
        <f t="shared" si="3"/>
        <v/>
      </c>
      <c r="B10325" s="38"/>
      <c r="C10325" s="23"/>
      <c r="D10325" s="23"/>
      <c r="E10325" s="24"/>
      <c r="F10325" s="25"/>
      <c r="G10325" s="25"/>
      <c r="H10325" s="27"/>
      <c r="I10325" s="28"/>
      <c r="J10325" s="39"/>
      <c r="K10325" s="41"/>
      <c r="L10325" s="31" t="str">
        <f>IFERROR(__xludf.DUMMYFUNCTION("IF(OR(E10325="""",K10325=""""),"""",IFERROR(IF(K10325="""","""",query('tbl user'!$A$2:$D10975,""SELECT A WHERE D = '""&amp;K10325&amp;""'"")),""USER TIDAK DIKETAHUI""))"),"")</f>
        <v/>
      </c>
    </row>
    <row r="10326">
      <c r="A10326" s="21" t="str">
        <f t="shared" si="3"/>
        <v/>
      </c>
      <c r="B10326" s="38"/>
      <c r="C10326" s="23"/>
      <c r="D10326" s="23"/>
      <c r="E10326" s="24"/>
      <c r="F10326" s="25"/>
      <c r="G10326" s="25"/>
      <c r="H10326" s="27"/>
      <c r="I10326" s="28"/>
      <c r="J10326" s="39"/>
      <c r="K10326" s="41"/>
      <c r="L10326" s="31" t="str">
        <f>IFERROR(__xludf.DUMMYFUNCTION("IF(OR(E10326="""",K10326=""""),"""",IFERROR(IF(K10326="""","""",query('tbl user'!$A$2:$D10975,""SELECT A WHERE D = '""&amp;K10326&amp;""'"")),""USER TIDAK DIKETAHUI""))"),"")</f>
        <v/>
      </c>
    </row>
    <row r="10327">
      <c r="A10327" s="21" t="str">
        <f t="shared" si="3"/>
        <v/>
      </c>
      <c r="B10327" s="38"/>
      <c r="C10327" s="23"/>
      <c r="D10327" s="23"/>
      <c r="E10327" s="24"/>
      <c r="F10327" s="25"/>
      <c r="G10327" s="25"/>
      <c r="H10327" s="27"/>
      <c r="I10327" s="28"/>
      <c r="J10327" s="39"/>
      <c r="K10327" s="41"/>
      <c r="L10327" s="31" t="str">
        <f>IFERROR(__xludf.DUMMYFUNCTION("IF(OR(E10327="""",K10327=""""),"""",IFERROR(IF(K10327="""","""",query('tbl user'!$A$2:$D10975,""SELECT A WHERE D = '""&amp;K10327&amp;""'"")),""USER TIDAK DIKETAHUI""))"),"")</f>
        <v/>
      </c>
    </row>
    <row r="10328">
      <c r="A10328" s="21" t="str">
        <f t="shared" si="3"/>
        <v/>
      </c>
      <c r="B10328" s="38"/>
      <c r="C10328" s="23"/>
      <c r="D10328" s="23"/>
      <c r="E10328" s="24"/>
      <c r="F10328" s="25"/>
      <c r="G10328" s="25"/>
      <c r="H10328" s="27"/>
      <c r="I10328" s="28"/>
      <c r="J10328" s="39"/>
      <c r="K10328" s="41"/>
      <c r="L10328" s="31" t="str">
        <f>IFERROR(__xludf.DUMMYFUNCTION("IF(OR(E10328="""",K10328=""""),"""",IFERROR(IF(K10328="""","""",query('tbl user'!$A$2:$D10975,""SELECT A WHERE D = '""&amp;K10328&amp;""'"")),""USER TIDAK DIKETAHUI""))"),"")</f>
        <v/>
      </c>
    </row>
    <row r="10329">
      <c r="A10329" s="21" t="str">
        <f t="shared" si="3"/>
        <v/>
      </c>
      <c r="B10329" s="38"/>
      <c r="C10329" s="23"/>
      <c r="D10329" s="23"/>
      <c r="E10329" s="24"/>
      <c r="F10329" s="25"/>
      <c r="G10329" s="25"/>
      <c r="H10329" s="27"/>
      <c r="I10329" s="28"/>
      <c r="J10329" s="39"/>
      <c r="K10329" s="41"/>
      <c r="L10329" s="31" t="str">
        <f>IFERROR(__xludf.DUMMYFUNCTION("IF(OR(E10329="""",K10329=""""),"""",IFERROR(IF(K10329="""","""",query('tbl user'!$A$2:$D10975,""SELECT A WHERE D = '""&amp;K10329&amp;""'"")),""USER TIDAK DIKETAHUI""))"),"")</f>
        <v/>
      </c>
    </row>
    <row r="10330">
      <c r="A10330" s="21" t="str">
        <f t="shared" si="3"/>
        <v/>
      </c>
      <c r="B10330" s="38"/>
      <c r="C10330" s="23"/>
      <c r="D10330" s="23"/>
      <c r="E10330" s="24"/>
      <c r="F10330" s="25"/>
      <c r="G10330" s="25"/>
      <c r="H10330" s="27"/>
      <c r="I10330" s="28"/>
      <c r="J10330" s="39"/>
      <c r="K10330" s="41"/>
      <c r="L10330" s="31" t="str">
        <f>IFERROR(__xludf.DUMMYFUNCTION("IF(OR(E10330="""",K10330=""""),"""",IFERROR(IF(K10330="""","""",query('tbl user'!$A$2:$D10975,""SELECT A WHERE D = '""&amp;K10330&amp;""'"")),""USER TIDAK DIKETAHUI""))"),"")</f>
        <v/>
      </c>
    </row>
    <row r="10331">
      <c r="A10331" s="21" t="str">
        <f t="shared" si="3"/>
        <v/>
      </c>
      <c r="B10331" s="38"/>
      <c r="C10331" s="23"/>
      <c r="D10331" s="23"/>
      <c r="E10331" s="24"/>
      <c r="F10331" s="25"/>
      <c r="G10331" s="25"/>
      <c r="H10331" s="27"/>
      <c r="I10331" s="28"/>
      <c r="J10331" s="39"/>
      <c r="K10331" s="41"/>
      <c r="L10331" s="31" t="str">
        <f>IFERROR(__xludf.DUMMYFUNCTION("IF(OR(E10331="""",K10331=""""),"""",IFERROR(IF(K10331="""","""",query('tbl user'!$A$2:$D10975,""SELECT A WHERE D = '""&amp;K10331&amp;""'"")),""USER TIDAK DIKETAHUI""))"),"")</f>
        <v/>
      </c>
    </row>
    <row r="10332">
      <c r="A10332" s="21" t="str">
        <f t="shared" si="3"/>
        <v/>
      </c>
      <c r="B10332" s="38"/>
      <c r="C10332" s="23"/>
      <c r="D10332" s="23"/>
      <c r="E10332" s="24"/>
      <c r="F10332" s="25"/>
      <c r="G10332" s="25"/>
      <c r="H10332" s="27"/>
      <c r="I10332" s="28"/>
      <c r="J10332" s="39"/>
      <c r="K10332" s="41"/>
      <c r="L10332" s="31" t="str">
        <f>IFERROR(__xludf.DUMMYFUNCTION("IF(OR(E10332="""",K10332=""""),"""",IFERROR(IF(K10332="""","""",query('tbl user'!$A$2:$D10975,""SELECT A WHERE D = '""&amp;K10332&amp;""'"")),""USER TIDAK DIKETAHUI""))"),"")</f>
        <v/>
      </c>
    </row>
    <row r="10333">
      <c r="A10333" s="21" t="str">
        <f t="shared" si="3"/>
        <v/>
      </c>
      <c r="B10333" s="38"/>
      <c r="C10333" s="23"/>
      <c r="D10333" s="23"/>
      <c r="E10333" s="24"/>
      <c r="F10333" s="25"/>
      <c r="G10333" s="25"/>
      <c r="H10333" s="27"/>
      <c r="I10333" s="28"/>
      <c r="J10333" s="39"/>
      <c r="K10333" s="41"/>
      <c r="L10333" s="31" t="str">
        <f>IFERROR(__xludf.DUMMYFUNCTION("IF(OR(E10333="""",K10333=""""),"""",IFERROR(IF(K10333="""","""",query('tbl user'!$A$2:$D10975,""SELECT A WHERE D = '""&amp;K10333&amp;""'"")),""USER TIDAK DIKETAHUI""))"),"")</f>
        <v/>
      </c>
    </row>
    <row r="10334">
      <c r="A10334" s="21" t="str">
        <f t="shared" si="3"/>
        <v/>
      </c>
      <c r="B10334" s="38"/>
      <c r="C10334" s="23"/>
      <c r="D10334" s="23"/>
      <c r="E10334" s="24"/>
      <c r="F10334" s="25"/>
      <c r="G10334" s="25"/>
      <c r="H10334" s="27"/>
      <c r="I10334" s="28"/>
      <c r="J10334" s="39"/>
      <c r="K10334" s="41"/>
      <c r="L10334" s="31" t="str">
        <f>IFERROR(__xludf.DUMMYFUNCTION("IF(OR(E10334="""",K10334=""""),"""",IFERROR(IF(K10334="""","""",query('tbl user'!$A$2:$D10975,""SELECT A WHERE D = '""&amp;K10334&amp;""'"")),""USER TIDAK DIKETAHUI""))"),"")</f>
        <v/>
      </c>
    </row>
    <row r="10335">
      <c r="A10335" s="21" t="str">
        <f t="shared" si="3"/>
        <v/>
      </c>
      <c r="B10335" s="38"/>
      <c r="C10335" s="23"/>
      <c r="D10335" s="23"/>
      <c r="E10335" s="24"/>
      <c r="F10335" s="25"/>
      <c r="G10335" s="25"/>
      <c r="H10335" s="27"/>
      <c r="I10335" s="28"/>
      <c r="J10335" s="39"/>
      <c r="K10335" s="41"/>
      <c r="L10335" s="31" t="str">
        <f>IFERROR(__xludf.DUMMYFUNCTION("IF(OR(E10335="""",K10335=""""),"""",IFERROR(IF(K10335="""","""",query('tbl user'!$A$2:$D10975,""SELECT A WHERE D = '""&amp;K10335&amp;""'"")),""USER TIDAK DIKETAHUI""))"),"")</f>
        <v/>
      </c>
    </row>
    <row r="10336">
      <c r="A10336" s="21" t="str">
        <f t="shared" si="3"/>
        <v/>
      </c>
      <c r="B10336" s="38"/>
      <c r="C10336" s="23"/>
      <c r="D10336" s="23"/>
      <c r="E10336" s="24"/>
      <c r="F10336" s="25"/>
      <c r="G10336" s="25"/>
      <c r="H10336" s="27"/>
      <c r="I10336" s="28"/>
      <c r="J10336" s="39"/>
      <c r="K10336" s="41"/>
      <c r="L10336" s="31" t="str">
        <f>IFERROR(__xludf.DUMMYFUNCTION("IF(OR(E10336="""",K10336=""""),"""",IFERROR(IF(K10336="""","""",query('tbl user'!$A$2:$D10975,""SELECT A WHERE D = '""&amp;K10336&amp;""'"")),""USER TIDAK DIKETAHUI""))"),"")</f>
        <v/>
      </c>
    </row>
    <row r="10337">
      <c r="A10337" s="21" t="str">
        <f t="shared" si="3"/>
        <v/>
      </c>
      <c r="B10337" s="38"/>
      <c r="C10337" s="23"/>
      <c r="D10337" s="23"/>
      <c r="E10337" s="24"/>
      <c r="F10337" s="25"/>
      <c r="G10337" s="25"/>
      <c r="H10337" s="27"/>
      <c r="I10337" s="28"/>
      <c r="J10337" s="39"/>
      <c r="K10337" s="41"/>
      <c r="L10337" s="31" t="str">
        <f>IFERROR(__xludf.DUMMYFUNCTION("IF(OR(E10337="""",K10337=""""),"""",IFERROR(IF(K10337="""","""",query('tbl user'!$A$2:$D10975,""SELECT A WHERE D = '""&amp;K10337&amp;""'"")),""USER TIDAK DIKETAHUI""))"),"")</f>
        <v/>
      </c>
    </row>
    <row r="10338">
      <c r="A10338" s="21" t="str">
        <f t="shared" si="3"/>
        <v/>
      </c>
      <c r="B10338" s="38"/>
      <c r="C10338" s="23"/>
      <c r="D10338" s="23"/>
      <c r="E10338" s="24"/>
      <c r="F10338" s="25"/>
      <c r="G10338" s="25"/>
      <c r="H10338" s="27"/>
      <c r="I10338" s="28"/>
      <c r="J10338" s="39"/>
      <c r="K10338" s="41"/>
      <c r="L10338" s="31" t="str">
        <f>IFERROR(__xludf.DUMMYFUNCTION("IF(OR(E10338="""",K10338=""""),"""",IFERROR(IF(K10338="""","""",query('tbl user'!$A$2:$D10975,""SELECT A WHERE D = '""&amp;K10338&amp;""'"")),""USER TIDAK DIKETAHUI""))"),"")</f>
        <v/>
      </c>
    </row>
    <row r="10339">
      <c r="A10339" s="21" t="str">
        <f t="shared" si="3"/>
        <v/>
      </c>
      <c r="B10339" s="38"/>
      <c r="C10339" s="23"/>
      <c r="D10339" s="23"/>
      <c r="E10339" s="24"/>
      <c r="F10339" s="25"/>
      <c r="G10339" s="25"/>
      <c r="H10339" s="27"/>
      <c r="I10339" s="28"/>
      <c r="J10339" s="39"/>
      <c r="K10339" s="41"/>
      <c r="L10339" s="31" t="str">
        <f>IFERROR(__xludf.DUMMYFUNCTION("IF(OR(E10339="""",K10339=""""),"""",IFERROR(IF(K10339="""","""",query('tbl user'!$A$2:$D10975,""SELECT A WHERE D = '""&amp;K10339&amp;""'"")),""USER TIDAK DIKETAHUI""))"),"")</f>
        <v/>
      </c>
    </row>
    <row r="10340">
      <c r="A10340" s="21" t="str">
        <f t="shared" si="3"/>
        <v/>
      </c>
      <c r="B10340" s="38"/>
      <c r="C10340" s="23"/>
      <c r="D10340" s="23"/>
      <c r="E10340" s="24"/>
      <c r="F10340" s="25"/>
      <c r="G10340" s="25"/>
      <c r="H10340" s="27"/>
      <c r="I10340" s="28"/>
      <c r="J10340" s="39"/>
      <c r="K10340" s="41"/>
      <c r="L10340" s="31" t="str">
        <f>IFERROR(__xludf.DUMMYFUNCTION("IF(OR(E10340="""",K10340=""""),"""",IFERROR(IF(K10340="""","""",query('tbl user'!$A$2:$D10975,""SELECT A WHERE D = '""&amp;K10340&amp;""'"")),""USER TIDAK DIKETAHUI""))"),"")</f>
        <v/>
      </c>
    </row>
    <row r="10341">
      <c r="A10341" s="21" t="str">
        <f t="shared" si="3"/>
        <v/>
      </c>
      <c r="B10341" s="38"/>
      <c r="C10341" s="23"/>
      <c r="D10341" s="23"/>
      <c r="E10341" s="24"/>
      <c r="F10341" s="25"/>
      <c r="G10341" s="25"/>
      <c r="H10341" s="27"/>
      <c r="I10341" s="28"/>
      <c r="J10341" s="39"/>
      <c r="K10341" s="41"/>
      <c r="L10341" s="31" t="str">
        <f>IFERROR(__xludf.DUMMYFUNCTION("IF(OR(E10341="""",K10341=""""),"""",IFERROR(IF(K10341="""","""",query('tbl user'!$A$2:$D10975,""SELECT A WHERE D = '""&amp;K10341&amp;""'"")),""USER TIDAK DIKETAHUI""))"),"")</f>
        <v/>
      </c>
    </row>
    <row r="10342">
      <c r="A10342" s="21" t="str">
        <f t="shared" si="3"/>
        <v/>
      </c>
      <c r="B10342" s="38"/>
      <c r="C10342" s="23"/>
      <c r="D10342" s="23"/>
      <c r="E10342" s="24"/>
      <c r="F10342" s="25"/>
      <c r="G10342" s="25"/>
      <c r="H10342" s="27"/>
      <c r="I10342" s="28"/>
      <c r="J10342" s="39"/>
      <c r="K10342" s="41"/>
      <c r="L10342" s="31" t="str">
        <f>IFERROR(__xludf.DUMMYFUNCTION("IF(OR(E10342="""",K10342=""""),"""",IFERROR(IF(K10342="""","""",query('tbl user'!$A$2:$D10975,""SELECT A WHERE D = '""&amp;K10342&amp;""'"")),""USER TIDAK DIKETAHUI""))"),"")</f>
        <v/>
      </c>
    </row>
    <row r="10343">
      <c r="A10343" s="21" t="str">
        <f t="shared" si="3"/>
        <v/>
      </c>
      <c r="B10343" s="38"/>
      <c r="C10343" s="23"/>
      <c r="D10343" s="23"/>
      <c r="E10343" s="24"/>
      <c r="F10343" s="25"/>
      <c r="G10343" s="25"/>
      <c r="H10343" s="27"/>
      <c r="I10343" s="28"/>
      <c r="J10343" s="39"/>
      <c r="K10343" s="41"/>
      <c r="L10343" s="31" t="str">
        <f>IFERROR(__xludf.DUMMYFUNCTION("IF(OR(E10343="""",K10343=""""),"""",IFERROR(IF(K10343="""","""",query('tbl user'!$A$2:$D10975,""SELECT A WHERE D = '""&amp;K10343&amp;""'"")),""USER TIDAK DIKETAHUI""))"),"")</f>
        <v/>
      </c>
    </row>
    <row r="10344">
      <c r="A10344" s="21" t="str">
        <f t="shared" si="3"/>
        <v/>
      </c>
      <c r="B10344" s="38"/>
      <c r="C10344" s="23"/>
      <c r="D10344" s="23"/>
      <c r="E10344" s="24"/>
      <c r="F10344" s="25"/>
      <c r="G10344" s="25"/>
      <c r="H10344" s="27"/>
      <c r="I10344" s="28"/>
      <c r="J10344" s="39"/>
      <c r="K10344" s="41"/>
      <c r="L10344" s="31" t="str">
        <f>IFERROR(__xludf.DUMMYFUNCTION("IF(OR(E10344="""",K10344=""""),"""",IFERROR(IF(K10344="""","""",query('tbl user'!$A$2:$D10975,""SELECT A WHERE D = '""&amp;K10344&amp;""'"")),""USER TIDAK DIKETAHUI""))"),"")</f>
        <v/>
      </c>
    </row>
    <row r="10345">
      <c r="A10345" s="21" t="str">
        <f t="shared" si="3"/>
        <v/>
      </c>
      <c r="B10345" s="38"/>
      <c r="C10345" s="23"/>
      <c r="D10345" s="23"/>
      <c r="E10345" s="24"/>
      <c r="F10345" s="25"/>
      <c r="G10345" s="25"/>
      <c r="H10345" s="27"/>
      <c r="I10345" s="28"/>
      <c r="J10345" s="39"/>
      <c r="K10345" s="41"/>
      <c r="L10345" s="31" t="str">
        <f>IFERROR(__xludf.DUMMYFUNCTION("IF(OR(E10345="""",K10345=""""),"""",IFERROR(IF(K10345="""","""",query('tbl user'!$A$2:$D10975,""SELECT A WHERE D = '""&amp;K10345&amp;""'"")),""USER TIDAK DIKETAHUI""))"),"")</f>
        <v/>
      </c>
    </row>
    <row r="10346">
      <c r="A10346" s="21" t="str">
        <f t="shared" si="3"/>
        <v/>
      </c>
      <c r="B10346" s="38"/>
      <c r="C10346" s="23"/>
      <c r="D10346" s="23"/>
      <c r="E10346" s="24"/>
      <c r="F10346" s="25"/>
      <c r="G10346" s="25"/>
      <c r="H10346" s="27"/>
      <c r="I10346" s="28"/>
      <c r="J10346" s="39"/>
      <c r="K10346" s="41"/>
      <c r="L10346" s="31" t="str">
        <f>IFERROR(__xludf.DUMMYFUNCTION("IF(OR(E10346="""",K10346=""""),"""",IFERROR(IF(K10346="""","""",query('tbl user'!$A$2:$D10975,""SELECT A WHERE D = '""&amp;K10346&amp;""'"")),""USER TIDAK DIKETAHUI""))"),"")</f>
        <v/>
      </c>
    </row>
    <row r="10347">
      <c r="A10347" s="21" t="str">
        <f t="shared" si="3"/>
        <v/>
      </c>
      <c r="B10347" s="38"/>
      <c r="C10347" s="23"/>
      <c r="D10347" s="23"/>
      <c r="E10347" s="24"/>
      <c r="F10347" s="25"/>
      <c r="G10347" s="25"/>
      <c r="H10347" s="27"/>
      <c r="I10347" s="28"/>
      <c r="J10347" s="39"/>
      <c r="K10347" s="41"/>
      <c r="L10347" s="31" t="str">
        <f>IFERROR(__xludf.DUMMYFUNCTION("IF(OR(E10347="""",K10347=""""),"""",IFERROR(IF(K10347="""","""",query('tbl user'!$A$2:$D10975,""SELECT A WHERE D = '""&amp;K10347&amp;""'"")),""USER TIDAK DIKETAHUI""))"),"")</f>
        <v/>
      </c>
    </row>
    <row r="10348">
      <c r="A10348" s="21" t="str">
        <f t="shared" si="3"/>
        <v/>
      </c>
      <c r="B10348" s="38"/>
      <c r="C10348" s="23"/>
      <c r="D10348" s="23"/>
      <c r="E10348" s="24"/>
      <c r="F10348" s="25"/>
      <c r="G10348" s="25"/>
      <c r="H10348" s="27"/>
      <c r="I10348" s="28"/>
      <c r="J10348" s="39"/>
      <c r="K10348" s="41"/>
      <c r="L10348" s="31" t="str">
        <f>IFERROR(__xludf.DUMMYFUNCTION("IF(OR(E10348="""",K10348=""""),"""",IFERROR(IF(K10348="""","""",query('tbl user'!$A$2:$D10975,""SELECT A WHERE D = '""&amp;K10348&amp;""'"")),""USER TIDAK DIKETAHUI""))"),"")</f>
        <v/>
      </c>
    </row>
    <row r="10349">
      <c r="A10349" s="21" t="str">
        <f t="shared" si="3"/>
        <v/>
      </c>
      <c r="B10349" s="38"/>
      <c r="C10349" s="23"/>
      <c r="D10349" s="23"/>
      <c r="E10349" s="24"/>
      <c r="F10349" s="25"/>
      <c r="G10349" s="25"/>
      <c r="H10349" s="27"/>
      <c r="I10349" s="28"/>
      <c r="J10349" s="39"/>
      <c r="K10349" s="41"/>
      <c r="L10349" s="31" t="str">
        <f>IFERROR(__xludf.DUMMYFUNCTION("IF(OR(E10349="""",K10349=""""),"""",IFERROR(IF(K10349="""","""",query('tbl user'!$A$2:$D10975,""SELECT A WHERE D = '""&amp;K10349&amp;""'"")),""USER TIDAK DIKETAHUI""))"),"")</f>
        <v/>
      </c>
    </row>
    <row r="10350">
      <c r="A10350" s="21" t="str">
        <f t="shared" si="3"/>
        <v/>
      </c>
      <c r="B10350" s="38"/>
      <c r="C10350" s="23"/>
      <c r="D10350" s="23"/>
      <c r="E10350" s="24"/>
      <c r="F10350" s="25"/>
      <c r="G10350" s="25"/>
      <c r="H10350" s="27"/>
      <c r="I10350" s="28"/>
      <c r="J10350" s="39"/>
      <c r="K10350" s="41"/>
      <c r="L10350" s="31" t="str">
        <f>IFERROR(__xludf.DUMMYFUNCTION("IF(OR(E10350="""",K10350=""""),"""",IFERROR(IF(K10350="""","""",query('tbl user'!$A$2:$D10975,""SELECT A WHERE D = '""&amp;K10350&amp;""'"")),""USER TIDAK DIKETAHUI""))"),"")</f>
        <v/>
      </c>
    </row>
    <row r="10351">
      <c r="A10351" s="21" t="str">
        <f t="shared" si="3"/>
        <v/>
      </c>
      <c r="B10351" s="38"/>
      <c r="C10351" s="23"/>
      <c r="D10351" s="23"/>
      <c r="E10351" s="24"/>
      <c r="F10351" s="25"/>
      <c r="G10351" s="25"/>
      <c r="H10351" s="27"/>
      <c r="I10351" s="28"/>
      <c r="J10351" s="39"/>
      <c r="K10351" s="41"/>
      <c r="L10351" s="31" t="str">
        <f>IFERROR(__xludf.DUMMYFUNCTION("IF(OR(E10351="""",K10351=""""),"""",IFERROR(IF(K10351="""","""",query('tbl user'!$A$2:$D10975,""SELECT A WHERE D = '""&amp;K10351&amp;""'"")),""USER TIDAK DIKETAHUI""))"),"")</f>
        <v/>
      </c>
    </row>
    <row r="10352">
      <c r="A10352" s="21" t="str">
        <f t="shared" si="3"/>
        <v/>
      </c>
      <c r="B10352" s="38"/>
      <c r="C10352" s="23"/>
      <c r="D10352" s="23"/>
      <c r="E10352" s="24"/>
      <c r="F10352" s="25"/>
      <c r="G10352" s="25"/>
      <c r="H10352" s="27"/>
      <c r="I10352" s="28"/>
      <c r="J10352" s="39"/>
      <c r="K10352" s="41"/>
      <c r="L10352" s="31" t="str">
        <f>IFERROR(__xludf.DUMMYFUNCTION("IF(OR(E10352="""",K10352=""""),"""",IFERROR(IF(K10352="""","""",query('tbl user'!$A$2:$D10975,""SELECT A WHERE D = '""&amp;K10352&amp;""'"")),""USER TIDAK DIKETAHUI""))"),"")</f>
        <v/>
      </c>
    </row>
    <row r="10353">
      <c r="A10353" s="21" t="str">
        <f t="shared" si="3"/>
        <v/>
      </c>
      <c r="B10353" s="38"/>
      <c r="C10353" s="23"/>
      <c r="D10353" s="23"/>
      <c r="E10353" s="24"/>
      <c r="F10353" s="25"/>
      <c r="G10353" s="25"/>
      <c r="H10353" s="27"/>
      <c r="I10353" s="28"/>
      <c r="J10353" s="39"/>
      <c r="K10353" s="41"/>
      <c r="L10353" s="31" t="str">
        <f>IFERROR(__xludf.DUMMYFUNCTION("IF(OR(E10353="""",K10353=""""),"""",IFERROR(IF(K10353="""","""",query('tbl user'!$A$2:$D10975,""SELECT A WHERE D = '""&amp;K10353&amp;""'"")),""USER TIDAK DIKETAHUI""))"),"")</f>
        <v/>
      </c>
    </row>
    <row r="10354">
      <c r="A10354" s="21" t="str">
        <f t="shared" si="3"/>
        <v/>
      </c>
      <c r="B10354" s="38"/>
      <c r="C10354" s="23"/>
      <c r="D10354" s="23"/>
      <c r="E10354" s="24"/>
      <c r="F10354" s="25"/>
      <c r="G10354" s="25"/>
      <c r="H10354" s="27"/>
      <c r="I10354" s="28"/>
      <c r="J10354" s="39"/>
      <c r="K10354" s="41"/>
      <c r="L10354" s="31" t="str">
        <f>IFERROR(__xludf.DUMMYFUNCTION("IF(OR(E10354="""",K10354=""""),"""",IFERROR(IF(K10354="""","""",query('tbl user'!$A$2:$D10975,""SELECT A WHERE D = '""&amp;K10354&amp;""'"")),""USER TIDAK DIKETAHUI""))"),"")</f>
        <v/>
      </c>
    </row>
    <row r="10355">
      <c r="A10355" s="21" t="str">
        <f t="shared" si="3"/>
        <v/>
      </c>
      <c r="B10355" s="38"/>
      <c r="C10355" s="23"/>
      <c r="D10355" s="23"/>
      <c r="E10355" s="24"/>
      <c r="F10355" s="25"/>
      <c r="G10355" s="25"/>
      <c r="H10355" s="27"/>
      <c r="I10355" s="28"/>
      <c r="J10355" s="39"/>
      <c r="K10355" s="41"/>
      <c r="L10355" s="31" t="str">
        <f>IFERROR(__xludf.DUMMYFUNCTION("IF(OR(E10355="""",K10355=""""),"""",IFERROR(IF(K10355="""","""",query('tbl user'!$A$2:$D10975,""SELECT A WHERE D = '""&amp;K10355&amp;""'"")),""USER TIDAK DIKETAHUI""))"),"")</f>
        <v/>
      </c>
    </row>
    <row r="10356">
      <c r="A10356" s="21" t="str">
        <f t="shared" si="3"/>
        <v/>
      </c>
      <c r="B10356" s="38"/>
      <c r="C10356" s="23"/>
      <c r="D10356" s="23"/>
      <c r="E10356" s="24"/>
      <c r="F10356" s="25"/>
      <c r="G10356" s="25"/>
      <c r="H10356" s="27"/>
      <c r="I10356" s="28"/>
      <c r="J10356" s="39"/>
      <c r="K10356" s="41"/>
      <c r="L10356" s="31" t="str">
        <f>IFERROR(__xludf.DUMMYFUNCTION("IF(OR(E10356="""",K10356=""""),"""",IFERROR(IF(K10356="""","""",query('tbl user'!$A$2:$D10975,""SELECT A WHERE D = '""&amp;K10356&amp;""'"")),""USER TIDAK DIKETAHUI""))"),"")</f>
        <v/>
      </c>
    </row>
    <row r="10357">
      <c r="A10357" s="21" t="str">
        <f t="shared" si="3"/>
        <v/>
      </c>
      <c r="B10357" s="38"/>
      <c r="C10357" s="23"/>
      <c r="D10357" s="23"/>
      <c r="E10357" s="24"/>
      <c r="F10357" s="25"/>
      <c r="G10357" s="25"/>
      <c r="H10357" s="27"/>
      <c r="I10357" s="28"/>
      <c r="J10357" s="39"/>
      <c r="K10357" s="41"/>
      <c r="L10357" s="31" t="str">
        <f>IFERROR(__xludf.DUMMYFUNCTION("IF(OR(E10357="""",K10357=""""),"""",IFERROR(IF(K10357="""","""",query('tbl user'!$A$2:$D10975,""SELECT A WHERE D = '""&amp;K10357&amp;""'"")),""USER TIDAK DIKETAHUI""))"),"")</f>
        <v/>
      </c>
    </row>
    <row r="10358">
      <c r="A10358" s="21" t="str">
        <f t="shared" si="3"/>
        <v/>
      </c>
      <c r="B10358" s="38"/>
      <c r="C10358" s="23"/>
      <c r="D10358" s="23"/>
      <c r="E10358" s="24"/>
      <c r="F10358" s="25"/>
      <c r="G10358" s="25"/>
      <c r="H10358" s="27"/>
      <c r="I10358" s="28"/>
      <c r="J10358" s="39"/>
      <c r="K10358" s="41"/>
      <c r="L10358" s="31" t="str">
        <f>IFERROR(__xludf.DUMMYFUNCTION("IF(OR(E10358="""",K10358=""""),"""",IFERROR(IF(K10358="""","""",query('tbl user'!$A$2:$D10975,""SELECT A WHERE D = '""&amp;K10358&amp;""'"")),""USER TIDAK DIKETAHUI""))"),"")</f>
        <v/>
      </c>
    </row>
    <row r="10359">
      <c r="A10359" s="21" t="str">
        <f t="shared" si="3"/>
        <v/>
      </c>
      <c r="B10359" s="38"/>
      <c r="C10359" s="23"/>
      <c r="D10359" s="23"/>
      <c r="E10359" s="24"/>
      <c r="F10359" s="25"/>
      <c r="G10359" s="25"/>
      <c r="H10359" s="27"/>
      <c r="I10359" s="28"/>
      <c r="J10359" s="39"/>
      <c r="K10359" s="41"/>
      <c r="L10359" s="31" t="str">
        <f>IFERROR(__xludf.DUMMYFUNCTION("IF(OR(E10359="""",K10359=""""),"""",IFERROR(IF(K10359="""","""",query('tbl user'!$A$2:$D10975,""SELECT A WHERE D = '""&amp;K10359&amp;""'"")),""USER TIDAK DIKETAHUI""))"),"")</f>
        <v/>
      </c>
    </row>
    <row r="10360">
      <c r="A10360" s="21" t="str">
        <f t="shared" si="3"/>
        <v/>
      </c>
      <c r="B10360" s="38"/>
      <c r="C10360" s="23"/>
      <c r="D10360" s="23"/>
      <c r="E10360" s="24"/>
      <c r="F10360" s="25"/>
      <c r="G10360" s="25"/>
      <c r="H10360" s="27"/>
      <c r="I10360" s="28"/>
      <c r="J10360" s="39"/>
      <c r="K10360" s="41"/>
      <c r="L10360" s="31" t="str">
        <f>IFERROR(__xludf.DUMMYFUNCTION("IF(OR(E10360="""",K10360=""""),"""",IFERROR(IF(K10360="""","""",query('tbl user'!$A$2:$D10975,""SELECT A WHERE D = '""&amp;K10360&amp;""'"")),""USER TIDAK DIKETAHUI""))"),"")</f>
        <v/>
      </c>
    </row>
    <row r="10361">
      <c r="A10361" s="21" t="str">
        <f t="shared" si="3"/>
        <v/>
      </c>
      <c r="B10361" s="38"/>
      <c r="C10361" s="23"/>
      <c r="D10361" s="23"/>
      <c r="E10361" s="24"/>
      <c r="F10361" s="25"/>
      <c r="G10361" s="25"/>
      <c r="H10361" s="27"/>
      <c r="I10361" s="28"/>
      <c r="J10361" s="39"/>
      <c r="K10361" s="41"/>
      <c r="L10361" s="31" t="str">
        <f>IFERROR(__xludf.DUMMYFUNCTION("IF(OR(E10361="""",K10361=""""),"""",IFERROR(IF(K10361="""","""",query('tbl user'!$A$2:$D10975,""SELECT A WHERE D = '""&amp;K10361&amp;""'"")),""USER TIDAK DIKETAHUI""))"),"")</f>
        <v/>
      </c>
    </row>
    <row r="10362">
      <c r="A10362" s="21" t="str">
        <f t="shared" si="3"/>
        <v/>
      </c>
      <c r="B10362" s="38"/>
      <c r="C10362" s="23"/>
      <c r="D10362" s="23"/>
      <c r="E10362" s="24"/>
      <c r="F10362" s="25"/>
      <c r="G10362" s="25"/>
      <c r="H10362" s="27"/>
      <c r="I10362" s="28"/>
      <c r="J10362" s="39"/>
      <c r="K10362" s="41"/>
      <c r="L10362" s="31" t="str">
        <f>IFERROR(__xludf.DUMMYFUNCTION("IF(OR(E10362="""",K10362=""""),"""",IFERROR(IF(K10362="""","""",query('tbl user'!$A$2:$D10975,""SELECT A WHERE D = '""&amp;K10362&amp;""'"")),""USER TIDAK DIKETAHUI""))"),"")</f>
        <v/>
      </c>
    </row>
    <row r="10363">
      <c r="A10363" s="21" t="str">
        <f t="shared" si="3"/>
        <v/>
      </c>
      <c r="B10363" s="38"/>
      <c r="C10363" s="23"/>
      <c r="D10363" s="23"/>
      <c r="E10363" s="24"/>
      <c r="F10363" s="25"/>
      <c r="G10363" s="25"/>
      <c r="H10363" s="27"/>
      <c r="I10363" s="28"/>
      <c r="J10363" s="39"/>
      <c r="K10363" s="41"/>
      <c r="L10363" s="31" t="str">
        <f>IFERROR(__xludf.DUMMYFUNCTION("IF(OR(E10363="""",K10363=""""),"""",IFERROR(IF(K10363="""","""",query('tbl user'!$A$2:$D10975,""SELECT A WHERE D = '""&amp;K10363&amp;""'"")),""USER TIDAK DIKETAHUI""))"),"")</f>
        <v/>
      </c>
    </row>
    <row r="10364">
      <c r="A10364" s="21" t="str">
        <f t="shared" si="3"/>
        <v/>
      </c>
      <c r="B10364" s="38"/>
      <c r="C10364" s="23"/>
      <c r="D10364" s="23"/>
      <c r="E10364" s="24"/>
      <c r="F10364" s="25"/>
      <c r="G10364" s="25"/>
      <c r="H10364" s="27"/>
      <c r="I10364" s="28"/>
      <c r="J10364" s="39"/>
      <c r="K10364" s="41"/>
      <c r="L10364" s="31" t="str">
        <f>IFERROR(__xludf.DUMMYFUNCTION("IF(OR(E10364="""",K10364=""""),"""",IFERROR(IF(K10364="""","""",query('tbl user'!$A$2:$D10975,""SELECT A WHERE D = '""&amp;K10364&amp;""'"")),""USER TIDAK DIKETAHUI""))"),"")</f>
        <v/>
      </c>
    </row>
    <row r="10365">
      <c r="A10365" s="21" t="str">
        <f t="shared" si="3"/>
        <v/>
      </c>
      <c r="B10365" s="38"/>
      <c r="C10365" s="23"/>
      <c r="D10365" s="23"/>
      <c r="E10365" s="24"/>
      <c r="F10365" s="25"/>
      <c r="G10365" s="25"/>
      <c r="H10365" s="27"/>
      <c r="I10365" s="28"/>
      <c r="J10365" s="39"/>
      <c r="K10365" s="41"/>
      <c r="L10365" s="31" t="str">
        <f>IFERROR(__xludf.DUMMYFUNCTION("IF(OR(E10365="""",K10365=""""),"""",IFERROR(IF(K10365="""","""",query('tbl user'!$A$2:$D10975,""SELECT A WHERE D = '""&amp;K10365&amp;""'"")),""USER TIDAK DIKETAHUI""))"),"")</f>
        <v/>
      </c>
    </row>
    <row r="10366">
      <c r="A10366" s="21" t="str">
        <f t="shared" si="3"/>
        <v/>
      </c>
      <c r="B10366" s="38"/>
      <c r="C10366" s="23"/>
      <c r="D10366" s="23"/>
      <c r="E10366" s="24"/>
      <c r="F10366" s="25"/>
      <c r="G10366" s="25"/>
      <c r="H10366" s="27"/>
      <c r="I10366" s="28"/>
      <c r="J10366" s="39"/>
      <c r="K10366" s="41"/>
      <c r="L10366" s="31" t="str">
        <f>IFERROR(__xludf.DUMMYFUNCTION("IF(OR(E10366="""",K10366=""""),"""",IFERROR(IF(K10366="""","""",query('tbl user'!$A$2:$D10975,""SELECT A WHERE D = '""&amp;K10366&amp;""'"")),""USER TIDAK DIKETAHUI""))"),"")</f>
        <v/>
      </c>
    </row>
    <row r="10367">
      <c r="A10367" s="21" t="str">
        <f t="shared" si="3"/>
        <v/>
      </c>
      <c r="B10367" s="38"/>
      <c r="C10367" s="23"/>
      <c r="D10367" s="23"/>
      <c r="E10367" s="24"/>
      <c r="F10367" s="25"/>
      <c r="G10367" s="25"/>
      <c r="H10367" s="27"/>
      <c r="I10367" s="28"/>
      <c r="J10367" s="39"/>
      <c r="K10367" s="41"/>
      <c r="L10367" s="31" t="str">
        <f>IFERROR(__xludf.DUMMYFUNCTION("IF(OR(E10367="""",K10367=""""),"""",IFERROR(IF(K10367="""","""",query('tbl user'!$A$2:$D10975,""SELECT A WHERE D = '""&amp;K10367&amp;""'"")),""USER TIDAK DIKETAHUI""))"),"")</f>
        <v/>
      </c>
    </row>
    <row r="10368">
      <c r="A10368" s="21" t="str">
        <f t="shared" si="3"/>
        <v/>
      </c>
      <c r="B10368" s="38"/>
      <c r="C10368" s="23"/>
      <c r="D10368" s="23"/>
      <c r="E10368" s="24"/>
      <c r="F10368" s="25"/>
      <c r="G10368" s="25"/>
      <c r="H10368" s="27"/>
      <c r="I10368" s="28"/>
      <c r="J10368" s="39"/>
      <c r="K10368" s="41"/>
      <c r="L10368" s="31" t="str">
        <f>IFERROR(__xludf.DUMMYFUNCTION("IF(OR(E10368="""",K10368=""""),"""",IFERROR(IF(K10368="""","""",query('tbl user'!$A$2:$D10975,""SELECT A WHERE D = '""&amp;K10368&amp;""'"")),""USER TIDAK DIKETAHUI""))"),"")</f>
        <v/>
      </c>
    </row>
    <row r="10369">
      <c r="A10369" s="21" t="str">
        <f t="shared" si="3"/>
        <v/>
      </c>
      <c r="B10369" s="38"/>
      <c r="C10369" s="23"/>
      <c r="D10369" s="23"/>
      <c r="E10369" s="24"/>
      <c r="F10369" s="25"/>
      <c r="G10369" s="25"/>
      <c r="H10369" s="27"/>
      <c r="I10369" s="28"/>
      <c r="J10369" s="39"/>
      <c r="K10369" s="41"/>
      <c r="L10369" s="31" t="str">
        <f>IFERROR(__xludf.DUMMYFUNCTION("IF(OR(E10369="""",K10369=""""),"""",IFERROR(IF(K10369="""","""",query('tbl user'!$A$2:$D10975,""SELECT A WHERE D = '""&amp;K10369&amp;""'"")),""USER TIDAK DIKETAHUI""))"),"")</f>
        <v/>
      </c>
    </row>
    <row r="10370">
      <c r="A10370" s="21" t="str">
        <f t="shared" si="3"/>
        <v/>
      </c>
      <c r="B10370" s="38"/>
      <c r="C10370" s="23"/>
      <c r="D10370" s="23"/>
      <c r="E10370" s="24"/>
      <c r="F10370" s="25"/>
      <c r="G10370" s="25"/>
      <c r="H10370" s="27"/>
      <c r="I10370" s="28"/>
      <c r="J10370" s="39"/>
      <c r="K10370" s="41"/>
      <c r="L10370" s="31" t="str">
        <f>IFERROR(__xludf.DUMMYFUNCTION("IF(OR(E10370="""",K10370=""""),"""",IFERROR(IF(K10370="""","""",query('tbl user'!$A$2:$D10975,""SELECT A WHERE D = '""&amp;K10370&amp;""'"")),""USER TIDAK DIKETAHUI""))"),"")</f>
        <v/>
      </c>
    </row>
    <row r="10371">
      <c r="A10371" s="21" t="str">
        <f t="shared" si="3"/>
        <v/>
      </c>
      <c r="B10371" s="38"/>
      <c r="C10371" s="23"/>
      <c r="D10371" s="23"/>
      <c r="E10371" s="24"/>
      <c r="F10371" s="25"/>
      <c r="G10371" s="25"/>
      <c r="H10371" s="27"/>
      <c r="I10371" s="28"/>
      <c r="J10371" s="39"/>
      <c r="K10371" s="41"/>
      <c r="L10371" s="31" t="str">
        <f>IFERROR(__xludf.DUMMYFUNCTION("IF(OR(E10371="""",K10371=""""),"""",IFERROR(IF(K10371="""","""",query('tbl user'!$A$2:$D10975,""SELECT A WHERE D = '""&amp;K10371&amp;""'"")),""USER TIDAK DIKETAHUI""))"),"")</f>
        <v/>
      </c>
    </row>
    <row r="10372">
      <c r="A10372" s="21" t="str">
        <f t="shared" si="3"/>
        <v/>
      </c>
      <c r="B10372" s="38"/>
      <c r="C10372" s="23"/>
      <c r="D10372" s="23"/>
      <c r="E10372" s="24"/>
      <c r="F10372" s="25"/>
      <c r="G10372" s="25"/>
      <c r="H10372" s="27"/>
      <c r="I10372" s="28"/>
      <c r="J10372" s="39"/>
      <c r="K10372" s="41"/>
      <c r="L10372" s="31" t="str">
        <f>IFERROR(__xludf.DUMMYFUNCTION("IF(OR(E10372="""",K10372=""""),"""",IFERROR(IF(K10372="""","""",query('tbl user'!$A$2:$D10975,""SELECT A WHERE D = '""&amp;K10372&amp;""'"")),""USER TIDAK DIKETAHUI""))"),"")</f>
        <v/>
      </c>
    </row>
    <row r="10373">
      <c r="A10373" s="21" t="str">
        <f t="shared" si="3"/>
        <v/>
      </c>
      <c r="B10373" s="38"/>
      <c r="C10373" s="23"/>
      <c r="D10373" s="23"/>
      <c r="E10373" s="24"/>
      <c r="F10373" s="25"/>
      <c r="G10373" s="25"/>
      <c r="H10373" s="27"/>
      <c r="I10373" s="28"/>
      <c r="J10373" s="39"/>
      <c r="K10373" s="41"/>
      <c r="L10373" s="31" t="str">
        <f>IFERROR(__xludf.DUMMYFUNCTION("IF(OR(E10373="""",K10373=""""),"""",IFERROR(IF(K10373="""","""",query('tbl user'!$A$2:$D10975,""SELECT A WHERE D = '""&amp;K10373&amp;""'"")),""USER TIDAK DIKETAHUI""))"),"")</f>
        <v/>
      </c>
    </row>
    <row r="10374">
      <c r="A10374" s="21" t="str">
        <f t="shared" si="3"/>
        <v/>
      </c>
      <c r="B10374" s="38"/>
      <c r="C10374" s="23"/>
      <c r="D10374" s="23"/>
      <c r="E10374" s="24"/>
      <c r="F10374" s="25"/>
      <c r="G10374" s="25"/>
      <c r="H10374" s="27"/>
      <c r="I10374" s="28"/>
      <c r="J10374" s="39"/>
      <c r="K10374" s="41"/>
      <c r="L10374" s="31" t="str">
        <f>IFERROR(__xludf.DUMMYFUNCTION("IF(OR(E10374="""",K10374=""""),"""",IFERROR(IF(K10374="""","""",query('tbl user'!$A$2:$D10975,""SELECT A WHERE D = '""&amp;K10374&amp;""'"")),""USER TIDAK DIKETAHUI""))"),"")</f>
        <v/>
      </c>
    </row>
    <row r="10375">
      <c r="A10375" s="21" t="str">
        <f t="shared" si="3"/>
        <v/>
      </c>
      <c r="B10375" s="38"/>
      <c r="C10375" s="23"/>
      <c r="D10375" s="23"/>
      <c r="E10375" s="24"/>
      <c r="F10375" s="25"/>
      <c r="G10375" s="25"/>
      <c r="H10375" s="27"/>
      <c r="I10375" s="28"/>
      <c r="J10375" s="39"/>
      <c r="K10375" s="41"/>
      <c r="L10375" s="31" t="str">
        <f>IFERROR(__xludf.DUMMYFUNCTION("IF(OR(E10375="""",K10375=""""),"""",IFERROR(IF(K10375="""","""",query('tbl user'!$A$2:$D10975,""SELECT A WHERE D = '""&amp;K10375&amp;""'"")),""USER TIDAK DIKETAHUI""))"),"")</f>
        <v/>
      </c>
    </row>
    <row r="10376">
      <c r="A10376" s="21" t="str">
        <f t="shared" si="3"/>
        <v/>
      </c>
      <c r="B10376" s="38"/>
      <c r="C10376" s="23"/>
      <c r="D10376" s="23"/>
      <c r="E10376" s="24"/>
      <c r="F10376" s="25"/>
      <c r="G10376" s="25"/>
      <c r="H10376" s="27"/>
      <c r="I10376" s="28"/>
      <c r="J10376" s="39"/>
      <c r="K10376" s="41"/>
      <c r="L10376" s="31" t="str">
        <f>IFERROR(__xludf.DUMMYFUNCTION("IF(OR(E10376="""",K10376=""""),"""",IFERROR(IF(K10376="""","""",query('tbl user'!$A$2:$D10975,""SELECT A WHERE D = '""&amp;K10376&amp;""'"")),""USER TIDAK DIKETAHUI""))"),"")</f>
        <v/>
      </c>
    </row>
    <row r="10377">
      <c r="A10377" s="21" t="str">
        <f t="shared" si="3"/>
        <v/>
      </c>
      <c r="B10377" s="38"/>
      <c r="C10377" s="23"/>
      <c r="D10377" s="23"/>
      <c r="E10377" s="24"/>
      <c r="F10377" s="25"/>
      <c r="G10377" s="25"/>
      <c r="H10377" s="27"/>
      <c r="I10377" s="28"/>
      <c r="J10377" s="39"/>
      <c r="K10377" s="41"/>
      <c r="L10377" s="31" t="str">
        <f>IFERROR(__xludf.DUMMYFUNCTION("IF(OR(E10377="""",K10377=""""),"""",IFERROR(IF(K10377="""","""",query('tbl user'!$A$2:$D10975,""SELECT A WHERE D = '""&amp;K10377&amp;""'"")),""USER TIDAK DIKETAHUI""))"),"")</f>
        <v/>
      </c>
    </row>
    <row r="10378">
      <c r="A10378" s="21" t="str">
        <f t="shared" si="3"/>
        <v/>
      </c>
      <c r="B10378" s="38"/>
      <c r="C10378" s="23"/>
      <c r="D10378" s="23"/>
      <c r="E10378" s="24"/>
      <c r="F10378" s="25"/>
      <c r="G10378" s="25"/>
      <c r="H10378" s="27"/>
      <c r="I10378" s="28"/>
      <c r="J10378" s="39"/>
      <c r="K10378" s="41"/>
      <c r="L10378" s="31" t="str">
        <f>IFERROR(__xludf.DUMMYFUNCTION("IF(OR(E10378="""",K10378=""""),"""",IFERROR(IF(K10378="""","""",query('tbl user'!$A$2:$D10975,""SELECT A WHERE D = '""&amp;K10378&amp;""'"")),""USER TIDAK DIKETAHUI""))"),"")</f>
        <v/>
      </c>
    </row>
    <row r="10379">
      <c r="A10379" s="21" t="str">
        <f t="shared" si="3"/>
        <v/>
      </c>
      <c r="B10379" s="38"/>
      <c r="C10379" s="23"/>
      <c r="D10379" s="23"/>
      <c r="E10379" s="24"/>
      <c r="F10379" s="25"/>
      <c r="G10379" s="25"/>
      <c r="H10379" s="27"/>
      <c r="I10379" s="28"/>
      <c r="J10379" s="39"/>
      <c r="K10379" s="41"/>
      <c r="L10379" s="31" t="str">
        <f>IFERROR(__xludf.DUMMYFUNCTION("IF(OR(E10379="""",K10379=""""),"""",IFERROR(IF(K10379="""","""",query('tbl user'!$A$2:$D10975,""SELECT A WHERE D = '""&amp;K10379&amp;""'"")),""USER TIDAK DIKETAHUI""))"),"")</f>
        <v/>
      </c>
    </row>
    <row r="10380">
      <c r="A10380" s="21" t="str">
        <f t="shared" si="3"/>
        <v/>
      </c>
      <c r="B10380" s="38"/>
      <c r="C10380" s="23"/>
      <c r="D10380" s="23"/>
      <c r="E10380" s="24"/>
      <c r="F10380" s="25"/>
      <c r="G10380" s="25"/>
      <c r="H10380" s="27"/>
      <c r="I10380" s="28"/>
      <c r="J10380" s="39"/>
      <c r="K10380" s="41"/>
      <c r="L10380" s="31" t="str">
        <f>IFERROR(__xludf.DUMMYFUNCTION("IF(OR(E10380="""",K10380=""""),"""",IFERROR(IF(K10380="""","""",query('tbl user'!$A$2:$D10975,""SELECT A WHERE D = '""&amp;K10380&amp;""'"")),""USER TIDAK DIKETAHUI""))"),"")</f>
        <v/>
      </c>
    </row>
    <row r="10381">
      <c r="A10381" s="21" t="str">
        <f t="shared" si="3"/>
        <v/>
      </c>
      <c r="B10381" s="38"/>
      <c r="C10381" s="23"/>
      <c r="D10381" s="23"/>
      <c r="E10381" s="24"/>
      <c r="F10381" s="25"/>
      <c r="G10381" s="25"/>
      <c r="H10381" s="27"/>
      <c r="I10381" s="28"/>
      <c r="J10381" s="39"/>
      <c r="K10381" s="41"/>
      <c r="L10381" s="31" t="str">
        <f>IFERROR(__xludf.DUMMYFUNCTION("IF(OR(E10381="""",K10381=""""),"""",IFERROR(IF(K10381="""","""",query('tbl user'!$A$2:$D10975,""SELECT A WHERE D = '""&amp;K10381&amp;""'"")),""USER TIDAK DIKETAHUI""))"),"")</f>
        <v/>
      </c>
    </row>
    <row r="10382">
      <c r="A10382" s="21" t="str">
        <f t="shared" si="3"/>
        <v/>
      </c>
      <c r="B10382" s="38"/>
      <c r="C10382" s="23"/>
      <c r="D10382" s="23"/>
      <c r="E10382" s="24"/>
      <c r="F10382" s="25"/>
      <c r="G10382" s="25"/>
      <c r="H10382" s="27"/>
      <c r="I10382" s="28"/>
      <c r="J10382" s="39"/>
      <c r="K10382" s="41"/>
      <c r="L10382" s="31" t="str">
        <f>IFERROR(__xludf.DUMMYFUNCTION("IF(OR(E10382="""",K10382=""""),"""",IFERROR(IF(K10382="""","""",query('tbl user'!$A$2:$D10975,""SELECT A WHERE D = '""&amp;K10382&amp;""'"")),""USER TIDAK DIKETAHUI""))"),"")</f>
        <v/>
      </c>
    </row>
    <row r="10383">
      <c r="A10383" s="21" t="str">
        <f t="shared" si="3"/>
        <v/>
      </c>
      <c r="B10383" s="38"/>
      <c r="C10383" s="23"/>
      <c r="D10383" s="23"/>
      <c r="E10383" s="24"/>
      <c r="F10383" s="25"/>
      <c r="G10383" s="25"/>
      <c r="H10383" s="27"/>
      <c r="I10383" s="28"/>
      <c r="J10383" s="39"/>
      <c r="K10383" s="41"/>
      <c r="L10383" s="31" t="str">
        <f>IFERROR(__xludf.DUMMYFUNCTION("IF(OR(E10383="""",K10383=""""),"""",IFERROR(IF(K10383="""","""",query('tbl user'!$A$2:$D10975,""SELECT A WHERE D = '""&amp;K10383&amp;""'"")),""USER TIDAK DIKETAHUI""))"),"")</f>
        <v/>
      </c>
    </row>
    <row r="10384">
      <c r="A10384" s="21" t="str">
        <f t="shared" si="3"/>
        <v/>
      </c>
      <c r="B10384" s="38"/>
      <c r="C10384" s="23"/>
      <c r="D10384" s="23"/>
      <c r="E10384" s="24"/>
      <c r="F10384" s="25"/>
      <c r="G10384" s="25"/>
      <c r="H10384" s="27"/>
      <c r="I10384" s="28"/>
      <c r="J10384" s="39"/>
      <c r="K10384" s="41"/>
      <c r="L10384" s="31" t="str">
        <f>IFERROR(__xludf.DUMMYFUNCTION("IF(OR(E10384="""",K10384=""""),"""",IFERROR(IF(K10384="""","""",query('tbl user'!$A$2:$D10975,""SELECT A WHERE D = '""&amp;K10384&amp;""'"")),""USER TIDAK DIKETAHUI""))"),"")</f>
        <v/>
      </c>
    </row>
    <row r="10385">
      <c r="A10385" s="21" t="str">
        <f t="shared" si="3"/>
        <v/>
      </c>
      <c r="B10385" s="38"/>
      <c r="C10385" s="23"/>
      <c r="D10385" s="23"/>
      <c r="E10385" s="24"/>
      <c r="F10385" s="25"/>
      <c r="G10385" s="25"/>
      <c r="H10385" s="27"/>
      <c r="I10385" s="28"/>
      <c r="J10385" s="39"/>
      <c r="K10385" s="41"/>
      <c r="L10385" s="31" t="str">
        <f>IFERROR(__xludf.DUMMYFUNCTION("IF(OR(E10385="""",K10385=""""),"""",IFERROR(IF(K10385="""","""",query('tbl user'!$A$2:$D10975,""SELECT A WHERE D = '""&amp;K10385&amp;""'"")),""USER TIDAK DIKETAHUI""))"),"")</f>
        <v/>
      </c>
    </row>
    <row r="10386">
      <c r="A10386" s="21" t="str">
        <f t="shared" si="3"/>
        <v/>
      </c>
      <c r="B10386" s="38"/>
      <c r="C10386" s="23"/>
      <c r="D10386" s="23"/>
      <c r="E10386" s="24"/>
      <c r="F10386" s="25"/>
      <c r="G10386" s="25"/>
      <c r="H10386" s="27"/>
      <c r="I10386" s="28"/>
      <c r="J10386" s="39"/>
      <c r="K10386" s="41"/>
      <c r="L10386" s="31" t="str">
        <f>IFERROR(__xludf.DUMMYFUNCTION("IF(OR(E10386="""",K10386=""""),"""",IFERROR(IF(K10386="""","""",query('tbl user'!$A$2:$D10975,""SELECT A WHERE D = '""&amp;K10386&amp;""'"")),""USER TIDAK DIKETAHUI""))"),"")</f>
        <v/>
      </c>
    </row>
    <row r="10387">
      <c r="A10387" s="21" t="str">
        <f t="shared" si="3"/>
        <v/>
      </c>
      <c r="B10387" s="38"/>
      <c r="C10387" s="23"/>
      <c r="D10387" s="23"/>
      <c r="E10387" s="24"/>
      <c r="F10387" s="25"/>
      <c r="G10387" s="25"/>
      <c r="H10387" s="27"/>
      <c r="I10387" s="28"/>
      <c r="J10387" s="39"/>
      <c r="K10387" s="41"/>
      <c r="L10387" s="31" t="str">
        <f>IFERROR(__xludf.DUMMYFUNCTION("IF(OR(E10387="""",K10387=""""),"""",IFERROR(IF(K10387="""","""",query('tbl user'!$A$2:$D10975,""SELECT A WHERE D = '""&amp;K10387&amp;""'"")),""USER TIDAK DIKETAHUI""))"),"")</f>
        <v/>
      </c>
    </row>
    <row r="10388">
      <c r="A10388" s="21" t="str">
        <f t="shared" si="3"/>
        <v/>
      </c>
      <c r="B10388" s="38"/>
      <c r="C10388" s="23"/>
      <c r="D10388" s="23"/>
      <c r="E10388" s="24"/>
      <c r="F10388" s="25"/>
      <c r="G10388" s="25"/>
      <c r="H10388" s="27"/>
      <c r="I10388" s="28"/>
      <c r="J10388" s="39"/>
      <c r="K10388" s="41"/>
      <c r="L10388" s="31" t="str">
        <f>IFERROR(__xludf.DUMMYFUNCTION("IF(OR(E10388="""",K10388=""""),"""",IFERROR(IF(K10388="""","""",query('tbl user'!$A$2:$D10975,""SELECT A WHERE D = '""&amp;K10388&amp;""'"")),""USER TIDAK DIKETAHUI""))"),"")</f>
        <v/>
      </c>
    </row>
    <row r="10389">
      <c r="A10389" s="21" t="str">
        <f t="shared" si="3"/>
        <v/>
      </c>
      <c r="B10389" s="38"/>
      <c r="C10389" s="23"/>
      <c r="D10389" s="23"/>
      <c r="E10389" s="24"/>
      <c r="F10389" s="25"/>
      <c r="G10389" s="25"/>
      <c r="H10389" s="27"/>
      <c r="I10389" s="28"/>
      <c r="J10389" s="39"/>
      <c r="K10389" s="41"/>
      <c r="L10389" s="31" t="str">
        <f>IFERROR(__xludf.DUMMYFUNCTION("IF(OR(E10389="""",K10389=""""),"""",IFERROR(IF(K10389="""","""",query('tbl user'!$A$2:$D10975,""SELECT A WHERE D = '""&amp;K10389&amp;""'"")),""USER TIDAK DIKETAHUI""))"),"")</f>
        <v/>
      </c>
    </row>
    <row r="10390">
      <c r="A10390" s="21" t="str">
        <f t="shared" si="3"/>
        <v/>
      </c>
      <c r="B10390" s="38"/>
      <c r="C10390" s="23"/>
      <c r="D10390" s="23"/>
      <c r="E10390" s="24"/>
      <c r="F10390" s="25"/>
      <c r="G10390" s="25"/>
      <c r="H10390" s="27"/>
      <c r="I10390" s="28"/>
      <c r="J10390" s="39"/>
      <c r="K10390" s="41"/>
      <c r="L10390" s="31" t="str">
        <f>IFERROR(__xludf.DUMMYFUNCTION("IF(OR(E10390="""",K10390=""""),"""",IFERROR(IF(K10390="""","""",query('tbl user'!$A$2:$D10975,""SELECT A WHERE D = '""&amp;K10390&amp;""'"")),""USER TIDAK DIKETAHUI""))"),"")</f>
        <v/>
      </c>
    </row>
    <row r="10391">
      <c r="A10391" s="21" t="str">
        <f t="shared" si="3"/>
        <v/>
      </c>
      <c r="B10391" s="38"/>
      <c r="C10391" s="23"/>
      <c r="D10391" s="23"/>
      <c r="E10391" s="24"/>
      <c r="F10391" s="25"/>
      <c r="G10391" s="25"/>
      <c r="H10391" s="27"/>
      <c r="I10391" s="28"/>
      <c r="J10391" s="39"/>
      <c r="K10391" s="41"/>
      <c r="L10391" s="31" t="str">
        <f>IFERROR(__xludf.DUMMYFUNCTION("IF(OR(E10391="""",K10391=""""),"""",IFERROR(IF(K10391="""","""",query('tbl user'!$A$2:$D10975,""SELECT A WHERE D = '""&amp;K10391&amp;""'"")),""USER TIDAK DIKETAHUI""))"),"")</f>
        <v/>
      </c>
    </row>
    <row r="10392">
      <c r="A10392" s="21" t="str">
        <f t="shared" si="3"/>
        <v/>
      </c>
      <c r="B10392" s="38"/>
      <c r="C10392" s="23"/>
      <c r="D10392" s="23"/>
      <c r="E10392" s="24"/>
      <c r="F10392" s="25"/>
      <c r="G10392" s="25"/>
      <c r="H10392" s="27"/>
      <c r="I10392" s="28"/>
      <c r="J10392" s="39"/>
      <c r="K10392" s="41"/>
      <c r="L10392" s="31" t="str">
        <f>IFERROR(__xludf.DUMMYFUNCTION("IF(OR(E10392="""",K10392=""""),"""",IFERROR(IF(K10392="""","""",query('tbl user'!$A$2:$D10975,""SELECT A WHERE D = '""&amp;K10392&amp;""'"")),""USER TIDAK DIKETAHUI""))"),"")</f>
        <v/>
      </c>
    </row>
    <row r="10393">
      <c r="A10393" s="21" t="str">
        <f t="shared" si="3"/>
        <v/>
      </c>
      <c r="B10393" s="38"/>
      <c r="C10393" s="23"/>
      <c r="D10393" s="23"/>
      <c r="E10393" s="24"/>
      <c r="F10393" s="25"/>
      <c r="G10393" s="25"/>
      <c r="H10393" s="27"/>
      <c r="I10393" s="28"/>
      <c r="J10393" s="39"/>
      <c r="K10393" s="41"/>
      <c r="L10393" s="31" t="str">
        <f>IFERROR(__xludf.DUMMYFUNCTION("IF(OR(E10393="""",K10393=""""),"""",IFERROR(IF(K10393="""","""",query('tbl user'!$A$2:$D10975,""SELECT A WHERE D = '""&amp;K10393&amp;""'"")),""USER TIDAK DIKETAHUI""))"),"")</f>
        <v/>
      </c>
    </row>
    <row r="10394">
      <c r="A10394" s="21" t="str">
        <f t="shared" si="3"/>
        <v/>
      </c>
      <c r="B10394" s="38"/>
      <c r="C10394" s="23"/>
      <c r="D10394" s="23"/>
      <c r="E10394" s="24"/>
      <c r="F10394" s="25"/>
      <c r="G10394" s="25"/>
      <c r="H10394" s="27"/>
      <c r="I10394" s="28"/>
      <c r="J10394" s="39"/>
      <c r="K10394" s="41"/>
      <c r="L10394" s="31" t="str">
        <f>IFERROR(__xludf.DUMMYFUNCTION("IF(OR(E10394="""",K10394=""""),"""",IFERROR(IF(K10394="""","""",query('tbl user'!$A$2:$D10975,""SELECT A WHERE D = '""&amp;K10394&amp;""'"")),""USER TIDAK DIKETAHUI""))"),"")</f>
        <v/>
      </c>
    </row>
    <row r="10395">
      <c r="A10395" s="21" t="str">
        <f t="shared" si="3"/>
        <v/>
      </c>
      <c r="B10395" s="38"/>
      <c r="C10395" s="23"/>
      <c r="D10395" s="23"/>
      <c r="E10395" s="24"/>
      <c r="F10395" s="25"/>
      <c r="G10395" s="25"/>
      <c r="H10395" s="27"/>
      <c r="I10395" s="28"/>
      <c r="J10395" s="39"/>
      <c r="K10395" s="41"/>
      <c r="L10395" s="31" t="str">
        <f>IFERROR(__xludf.DUMMYFUNCTION("IF(OR(E10395="""",K10395=""""),"""",IFERROR(IF(K10395="""","""",query('tbl user'!$A$2:$D10975,""SELECT A WHERE D = '""&amp;K10395&amp;""'"")),""USER TIDAK DIKETAHUI""))"),"")</f>
        <v/>
      </c>
    </row>
    <row r="10396">
      <c r="A10396" s="21" t="str">
        <f t="shared" si="3"/>
        <v/>
      </c>
      <c r="B10396" s="38"/>
      <c r="C10396" s="23"/>
      <c r="D10396" s="23"/>
      <c r="E10396" s="24"/>
      <c r="F10396" s="25"/>
      <c r="G10396" s="25"/>
      <c r="H10396" s="27"/>
      <c r="I10396" s="28"/>
      <c r="J10396" s="39"/>
      <c r="K10396" s="41"/>
      <c r="L10396" s="31" t="str">
        <f>IFERROR(__xludf.DUMMYFUNCTION("IF(OR(E10396="""",K10396=""""),"""",IFERROR(IF(K10396="""","""",query('tbl user'!$A$2:$D10975,""SELECT A WHERE D = '""&amp;K10396&amp;""'"")),""USER TIDAK DIKETAHUI""))"),"")</f>
        <v/>
      </c>
    </row>
    <row r="10397">
      <c r="A10397" s="21" t="str">
        <f t="shared" si="3"/>
        <v/>
      </c>
      <c r="B10397" s="38"/>
      <c r="C10397" s="23"/>
      <c r="D10397" s="23"/>
      <c r="E10397" s="24"/>
      <c r="F10397" s="25"/>
      <c r="G10397" s="25"/>
      <c r="H10397" s="27"/>
      <c r="I10397" s="28"/>
      <c r="J10397" s="39"/>
      <c r="K10397" s="41"/>
      <c r="L10397" s="31" t="str">
        <f>IFERROR(__xludf.DUMMYFUNCTION("IF(OR(E10397="""",K10397=""""),"""",IFERROR(IF(K10397="""","""",query('tbl user'!$A$2:$D10975,""SELECT A WHERE D = '""&amp;K10397&amp;""'"")),""USER TIDAK DIKETAHUI""))"),"")</f>
        <v/>
      </c>
    </row>
    <row r="10398">
      <c r="A10398" s="21" t="str">
        <f t="shared" si="3"/>
        <v/>
      </c>
      <c r="B10398" s="38"/>
      <c r="C10398" s="23"/>
      <c r="D10398" s="23"/>
      <c r="E10398" s="24"/>
      <c r="F10398" s="25"/>
      <c r="G10398" s="25"/>
      <c r="H10398" s="27"/>
      <c r="I10398" s="28"/>
      <c r="J10398" s="39"/>
      <c r="K10398" s="41"/>
      <c r="L10398" s="31" t="str">
        <f>IFERROR(__xludf.DUMMYFUNCTION("IF(OR(E10398="""",K10398=""""),"""",IFERROR(IF(K10398="""","""",query('tbl user'!$A$2:$D10975,""SELECT A WHERE D = '""&amp;K10398&amp;""'"")),""USER TIDAK DIKETAHUI""))"),"")</f>
        <v/>
      </c>
    </row>
    <row r="10399">
      <c r="A10399" s="21" t="str">
        <f t="shared" si="3"/>
        <v/>
      </c>
      <c r="B10399" s="38"/>
      <c r="C10399" s="23"/>
      <c r="D10399" s="23"/>
      <c r="E10399" s="24"/>
      <c r="F10399" s="25"/>
      <c r="G10399" s="25"/>
      <c r="H10399" s="27"/>
      <c r="I10399" s="28"/>
      <c r="J10399" s="39"/>
      <c r="K10399" s="41"/>
      <c r="L10399" s="31" t="str">
        <f>IFERROR(__xludf.DUMMYFUNCTION("IF(OR(E10399="""",K10399=""""),"""",IFERROR(IF(K10399="""","""",query('tbl user'!$A$2:$D10975,""SELECT A WHERE D = '""&amp;K10399&amp;""'"")),""USER TIDAK DIKETAHUI""))"),"")</f>
        <v/>
      </c>
    </row>
    <row r="10400">
      <c r="A10400" s="21" t="str">
        <f t="shared" si="3"/>
        <v/>
      </c>
      <c r="B10400" s="38"/>
      <c r="C10400" s="23"/>
      <c r="D10400" s="23"/>
      <c r="E10400" s="24"/>
      <c r="F10400" s="25"/>
      <c r="G10400" s="25"/>
      <c r="H10400" s="27"/>
      <c r="I10400" s="28"/>
      <c r="J10400" s="39"/>
      <c r="K10400" s="41"/>
      <c r="L10400" s="31" t="str">
        <f>IFERROR(__xludf.DUMMYFUNCTION("IF(OR(E10400="""",K10400=""""),"""",IFERROR(IF(K10400="""","""",query('tbl user'!$A$2:$D10975,""SELECT A WHERE D = '""&amp;K10400&amp;""'"")),""USER TIDAK DIKETAHUI""))"),"")</f>
        <v/>
      </c>
    </row>
    <row r="10401">
      <c r="A10401" s="21" t="str">
        <f t="shared" si="3"/>
        <v/>
      </c>
      <c r="B10401" s="38"/>
      <c r="C10401" s="23"/>
      <c r="D10401" s="23"/>
      <c r="E10401" s="24"/>
      <c r="F10401" s="25"/>
      <c r="G10401" s="25"/>
      <c r="H10401" s="27"/>
      <c r="I10401" s="28"/>
      <c r="J10401" s="39"/>
      <c r="K10401" s="41"/>
      <c r="L10401" s="31" t="str">
        <f>IFERROR(__xludf.DUMMYFUNCTION("IF(OR(E10401="""",K10401=""""),"""",IFERROR(IF(K10401="""","""",query('tbl user'!$A$2:$D10975,""SELECT A WHERE D = '""&amp;K10401&amp;""'"")),""USER TIDAK DIKETAHUI""))"),"")</f>
        <v/>
      </c>
    </row>
    <row r="10402">
      <c r="A10402" s="21" t="str">
        <f t="shared" si="3"/>
        <v/>
      </c>
      <c r="B10402" s="38"/>
      <c r="C10402" s="23"/>
      <c r="D10402" s="23"/>
      <c r="E10402" s="24"/>
      <c r="F10402" s="25"/>
      <c r="G10402" s="25"/>
      <c r="H10402" s="27"/>
      <c r="I10402" s="28"/>
      <c r="J10402" s="39"/>
      <c r="K10402" s="41"/>
      <c r="L10402" s="31" t="str">
        <f>IFERROR(__xludf.DUMMYFUNCTION("IF(OR(E10402="""",K10402=""""),"""",IFERROR(IF(K10402="""","""",query('tbl user'!$A$2:$D10975,""SELECT A WHERE D = '""&amp;K10402&amp;""'"")),""USER TIDAK DIKETAHUI""))"),"")</f>
        <v/>
      </c>
    </row>
    <row r="10403">
      <c r="A10403" s="21" t="str">
        <f t="shared" si="3"/>
        <v/>
      </c>
      <c r="B10403" s="38"/>
      <c r="C10403" s="23"/>
      <c r="D10403" s="23"/>
      <c r="E10403" s="24"/>
      <c r="F10403" s="25"/>
      <c r="G10403" s="25"/>
      <c r="H10403" s="27"/>
      <c r="I10403" s="28"/>
      <c r="J10403" s="39"/>
      <c r="K10403" s="41"/>
      <c r="L10403" s="31" t="str">
        <f>IFERROR(__xludf.DUMMYFUNCTION("IF(OR(E10403="""",K10403=""""),"""",IFERROR(IF(K10403="""","""",query('tbl user'!$A$2:$D10975,""SELECT A WHERE D = '""&amp;K10403&amp;""'"")),""USER TIDAK DIKETAHUI""))"),"")</f>
        <v/>
      </c>
    </row>
    <row r="10404">
      <c r="A10404" s="21" t="str">
        <f t="shared" si="3"/>
        <v/>
      </c>
      <c r="B10404" s="38"/>
      <c r="C10404" s="23"/>
      <c r="D10404" s="23"/>
      <c r="E10404" s="24"/>
      <c r="F10404" s="25"/>
      <c r="G10404" s="25"/>
      <c r="H10404" s="27"/>
      <c r="I10404" s="28"/>
      <c r="J10404" s="39"/>
      <c r="K10404" s="41"/>
      <c r="L10404" s="31" t="str">
        <f>IFERROR(__xludf.DUMMYFUNCTION("IF(OR(E10404="""",K10404=""""),"""",IFERROR(IF(K10404="""","""",query('tbl user'!$A$2:$D10975,""SELECT A WHERE D = '""&amp;K10404&amp;""'"")),""USER TIDAK DIKETAHUI""))"),"")</f>
        <v/>
      </c>
    </row>
    <row r="10405">
      <c r="A10405" s="21" t="str">
        <f t="shared" si="3"/>
        <v/>
      </c>
      <c r="B10405" s="38"/>
      <c r="C10405" s="23"/>
      <c r="D10405" s="23"/>
      <c r="E10405" s="24"/>
      <c r="F10405" s="25"/>
      <c r="G10405" s="25"/>
      <c r="H10405" s="27"/>
      <c r="I10405" s="28"/>
      <c r="J10405" s="39"/>
      <c r="K10405" s="41"/>
      <c r="L10405" s="31" t="str">
        <f>IFERROR(__xludf.DUMMYFUNCTION("IF(OR(E10405="""",K10405=""""),"""",IFERROR(IF(K10405="""","""",query('tbl user'!$A$2:$D10975,""SELECT A WHERE D = '""&amp;K10405&amp;""'"")),""USER TIDAK DIKETAHUI""))"),"")</f>
        <v/>
      </c>
    </row>
    <row r="10406">
      <c r="A10406" s="21" t="str">
        <f t="shared" si="3"/>
        <v/>
      </c>
      <c r="B10406" s="38"/>
      <c r="C10406" s="23"/>
      <c r="D10406" s="23"/>
      <c r="E10406" s="24"/>
      <c r="F10406" s="25"/>
      <c r="G10406" s="25"/>
      <c r="H10406" s="27"/>
      <c r="I10406" s="28"/>
      <c r="J10406" s="39"/>
      <c r="K10406" s="41"/>
      <c r="L10406" s="31" t="str">
        <f>IFERROR(__xludf.DUMMYFUNCTION("IF(OR(E10406="""",K10406=""""),"""",IFERROR(IF(K10406="""","""",query('tbl user'!$A$2:$D10975,""SELECT A WHERE D = '""&amp;K10406&amp;""'"")),""USER TIDAK DIKETAHUI""))"),"")</f>
        <v/>
      </c>
    </row>
    <row r="10407">
      <c r="A10407" s="21" t="str">
        <f t="shared" si="3"/>
        <v/>
      </c>
      <c r="B10407" s="38"/>
      <c r="C10407" s="23"/>
      <c r="D10407" s="23"/>
      <c r="E10407" s="24"/>
      <c r="F10407" s="25"/>
      <c r="G10407" s="25"/>
      <c r="H10407" s="27"/>
      <c r="I10407" s="28"/>
      <c r="J10407" s="39"/>
      <c r="K10407" s="41"/>
      <c r="L10407" s="31" t="str">
        <f>IFERROR(__xludf.DUMMYFUNCTION("IF(OR(E10407="""",K10407=""""),"""",IFERROR(IF(K10407="""","""",query('tbl user'!$A$2:$D10975,""SELECT A WHERE D = '""&amp;K10407&amp;""'"")),""USER TIDAK DIKETAHUI""))"),"")</f>
        <v/>
      </c>
    </row>
    <row r="10408">
      <c r="A10408" s="21" t="str">
        <f t="shared" si="3"/>
        <v/>
      </c>
      <c r="B10408" s="38"/>
      <c r="C10408" s="23"/>
      <c r="D10408" s="23"/>
      <c r="E10408" s="24"/>
      <c r="F10408" s="25"/>
      <c r="G10408" s="25"/>
      <c r="H10408" s="27"/>
      <c r="I10408" s="28"/>
      <c r="J10408" s="39"/>
      <c r="K10408" s="41"/>
      <c r="L10408" s="31" t="str">
        <f>IFERROR(__xludf.DUMMYFUNCTION("IF(OR(E10408="""",K10408=""""),"""",IFERROR(IF(K10408="""","""",query('tbl user'!$A$2:$D10975,""SELECT A WHERE D = '""&amp;K10408&amp;""'"")),""USER TIDAK DIKETAHUI""))"),"")</f>
        <v/>
      </c>
    </row>
    <row r="10409">
      <c r="A10409" s="21" t="str">
        <f t="shared" si="3"/>
        <v/>
      </c>
      <c r="B10409" s="38"/>
      <c r="C10409" s="23"/>
      <c r="D10409" s="23"/>
      <c r="E10409" s="24"/>
      <c r="F10409" s="25"/>
      <c r="G10409" s="25"/>
      <c r="H10409" s="27"/>
      <c r="I10409" s="28"/>
      <c r="J10409" s="39"/>
      <c r="K10409" s="41"/>
      <c r="L10409" s="31" t="str">
        <f>IFERROR(__xludf.DUMMYFUNCTION("IF(OR(E10409="""",K10409=""""),"""",IFERROR(IF(K10409="""","""",query('tbl user'!$A$2:$D10975,""SELECT A WHERE D = '""&amp;K10409&amp;""'"")),""USER TIDAK DIKETAHUI""))"),"")</f>
        <v/>
      </c>
    </row>
    <row r="10410">
      <c r="A10410" s="21" t="str">
        <f t="shared" si="3"/>
        <v/>
      </c>
      <c r="B10410" s="38"/>
      <c r="C10410" s="23"/>
      <c r="D10410" s="23"/>
      <c r="E10410" s="24"/>
      <c r="F10410" s="25"/>
      <c r="G10410" s="25"/>
      <c r="H10410" s="27"/>
      <c r="I10410" s="28"/>
      <c r="J10410" s="39"/>
      <c r="K10410" s="41"/>
      <c r="L10410" s="31" t="str">
        <f>IFERROR(__xludf.DUMMYFUNCTION("IF(OR(E10410="""",K10410=""""),"""",IFERROR(IF(K10410="""","""",query('tbl user'!$A$2:$D10975,""SELECT A WHERE D = '""&amp;K10410&amp;""'"")),""USER TIDAK DIKETAHUI""))"),"")</f>
        <v/>
      </c>
    </row>
    <row r="10411">
      <c r="A10411" s="21" t="str">
        <f t="shared" si="3"/>
        <v/>
      </c>
      <c r="B10411" s="38"/>
      <c r="C10411" s="23"/>
      <c r="D10411" s="23"/>
      <c r="E10411" s="24"/>
      <c r="F10411" s="25"/>
      <c r="G10411" s="25"/>
      <c r="H10411" s="27"/>
      <c r="I10411" s="28"/>
      <c r="J10411" s="39"/>
      <c r="K10411" s="41"/>
      <c r="L10411" s="31" t="str">
        <f>IFERROR(__xludf.DUMMYFUNCTION("IF(OR(E10411="""",K10411=""""),"""",IFERROR(IF(K10411="""","""",query('tbl user'!$A$2:$D10975,""SELECT A WHERE D = '""&amp;K10411&amp;""'"")),""USER TIDAK DIKETAHUI""))"),"")</f>
        <v/>
      </c>
    </row>
    <row r="10412">
      <c r="A10412" s="21" t="str">
        <f t="shared" si="3"/>
        <v/>
      </c>
      <c r="B10412" s="38"/>
      <c r="C10412" s="23"/>
      <c r="D10412" s="23"/>
      <c r="E10412" s="24"/>
      <c r="F10412" s="25"/>
      <c r="G10412" s="25"/>
      <c r="H10412" s="27"/>
      <c r="I10412" s="28"/>
      <c r="J10412" s="39"/>
      <c r="K10412" s="41"/>
      <c r="L10412" s="31" t="str">
        <f>IFERROR(__xludf.DUMMYFUNCTION("IF(OR(E10412="""",K10412=""""),"""",IFERROR(IF(K10412="""","""",query('tbl user'!$A$2:$D10975,""SELECT A WHERE D = '""&amp;K10412&amp;""'"")),""USER TIDAK DIKETAHUI""))"),"")</f>
        <v/>
      </c>
    </row>
    <row r="10413">
      <c r="A10413" s="21" t="str">
        <f t="shared" si="3"/>
        <v/>
      </c>
      <c r="B10413" s="38"/>
      <c r="C10413" s="23"/>
      <c r="D10413" s="23"/>
      <c r="E10413" s="24"/>
      <c r="F10413" s="25"/>
      <c r="G10413" s="25"/>
      <c r="H10413" s="27"/>
      <c r="I10413" s="28"/>
      <c r="J10413" s="39"/>
      <c r="K10413" s="41"/>
      <c r="L10413" s="31" t="str">
        <f>IFERROR(__xludf.DUMMYFUNCTION("IF(OR(E10413="""",K10413=""""),"""",IFERROR(IF(K10413="""","""",query('tbl user'!$A$2:$D10975,""SELECT A WHERE D = '""&amp;K10413&amp;""'"")),""USER TIDAK DIKETAHUI""))"),"")</f>
        <v/>
      </c>
    </row>
    <row r="10414">
      <c r="A10414" s="21" t="str">
        <f t="shared" si="3"/>
        <v/>
      </c>
      <c r="B10414" s="38"/>
      <c r="C10414" s="23"/>
      <c r="D10414" s="23"/>
      <c r="E10414" s="24"/>
      <c r="F10414" s="25"/>
      <c r="G10414" s="25"/>
      <c r="H10414" s="27"/>
      <c r="I10414" s="28"/>
      <c r="J10414" s="39"/>
      <c r="K10414" s="41"/>
      <c r="L10414" s="31" t="str">
        <f>IFERROR(__xludf.DUMMYFUNCTION("IF(OR(E10414="""",K10414=""""),"""",IFERROR(IF(K10414="""","""",query('tbl user'!$A$2:$D10975,""SELECT A WHERE D = '""&amp;K10414&amp;""'"")),""USER TIDAK DIKETAHUI""))"),"")</f>
        <v/>
      </c>
    </row>
    <row r="10415">
      <c r="A10415" s="21" t="str">
        <f t="shared" si="3"/>
        <v/>
      </c>
      <c r="B10415" s="38"/>
      <c r="C10415" s="23"/>
      <c r="D10415" s="23"/>
      <c r="E10415" s="24"/>
      <c r="F10415" s="25"/>
      <c r="G10415" s="25"/>
      <c r="H10415" s="27"/>
      <c r="I10415" s="28"/>
      <c r="J10415" s="39"/>
      <c r="K10415" s="41"/>
      <c r="L10415" s="31" t="str">
        <f>IFERROR(__xludf.DUMMYFUNCTION("IF(OR(E10415="""",K10415=""""),"""",IFERROR(IF(K10415="""","""",query('tbl user'!$A$2:$D10975,""SELECT A WHERE D = '""&amp;K10415&amp;""'"")),""USER TIDAK DIKETAHUI""))"),"")</f>
        <v/>
      </c>
    </row>
    <row r="10416">
      <c r="A10416" s="21" t="str">
        <f t="shared" si="3"/>
        <v/>
      </c>
      <c r="B10416" s="38"/>
      <c r="C10416" s="23"/>
      <c r="D10416" s="23"/>
      <c r="E10416" s="24"/>
      <c r="F10416" s="25"/>
      <c r="G10416" s="25"/>
      <c r="H10416" s="27"/>
      <c r="I10416" s="28"/>
      <c r="J10416" s="39"/>
      <c r="K10416" s="41"/>
      <c r="L10416" s="31" t="str">
        <f>IFERROR(__xludf.DUMMYFUNCTION("IF(OR(E10416="""",K10416=""""),"""",IFERROR(IF(K10416="""","""",query('tbl user'!$A$2:$D10975,""SELECT A WHERE D = '""&amp;K10416&amp;""'"")),""USER TIDAK DIKETAHUI""))"),"")</f>
        <v/>
      </c>
    </row>
    <row r="10417">
      <c r="A10417" s="21" t="str">
        <f t="shared" si="3"/>
        <v/>
      </c>
      <c r="B10417" s="38"/>
      <c r="C10417" s="23"/>
      <c r="D10417" s="23"/>
      <c r="E10417" s="24"/>
      <c r="F10417" s="25"/>
      <c r="G10417" s="25"/>
      <c r="H10417" s="27"/>
      <c r="I10417" s="28"/>
      <c r="J10417" s="39"/>
      <c r="K10417" s="41"/>
      <c r="L10417" s="31" t="str">
        <f>IFERROR(__xludf.DUMMYFUNCTION("IF(OR(E10417="""",K10417=""""),"""",IFERROR(IF(K10417="""","""",query('tbl user'!$A$2:$D10975,""SELECT A WHERE D = '""&amp;K10417&amp;""'"")),""USER TIDAK DIKETAHUI""))"),"")</f>
        <v/>
      </c>
    </row>
    <row r="10418">
      <c r="A10418" s="21" t="str">
        <f t="shared" si="3"/>
        <v/>
      </c>
      <c r="B10418" s="38"/>
      <c r="C10418" s="23"/>
      <c r="D10418" s="23"/>
      <c r="E10418" s="24"/>
      <c r="F10418" s="25"/>
      <c r="G10418" s="25"/>
      <c r="H10418" s="27"/>
      <c r="I10418" s="28"/>
      <c r="J10418" s="39"/>
      <c r="K10418" s="41"/>
      <c r="L10418" s="31" t="str">
        <f>IFERROR(__xludf.DUMMYFUNCTION("IF(OR(E10418="""",K10418=""""),"""",IFERROR(IF(K10418="""","""",query('tbl user'!$A$2:$D10975,""SELECT A WHERE D = '""&amp;K10418&amp;""'"")),""USER TIDAK DIKETAHUI""))"),"")</f>
        <v/>
      </c>
    </row>
    <row r="10419">
      <c r="A10419" s="21" t="str">
        <f t="shared" si="3"/>
        <v/>
      </c>
      <c r="B10419" s="38"/>
      <c r="C10419" s="23"/>
      <c r="D10419" s="23"/>
      <c r="E10419" s="24"/>
      <c r="F10419" s="25"/>
      <c r="G10419" s="25"/>
      <c r="H10419" s="27"/>
      <c r="I10419" s="28"/>
      <c r="J10419" s="39"/>
      <c r="K10419" s="41"/>
      <c r="L10419" s="31" t="str">
        <f>IFERROR(__xludf.DUMMYFUNCTION("IF(OR(E10419="""",K10419=""""),"""",IFERROR(IF(K10419="""","""",query('tbl user'!$A$2:$D10975,""SELECT A WHERE D = '""&amp;K10419&amp;""'"")),""USER TIDAK DIKETAHUI""))"),"")</f>
        <v/>
      </c>
    </row>
    <row r="10420">
      <c r="A10420" s="21" t="str">
        <f t="shared" si="3"/>
        <v/>
      </c>
      <c r="B10420" s="38"/>
      <c r="C10420" s="23"/>
      <c r="D10420" s="23"/>
      <c r="E10420" s="24"/>
      <c r="F10420" s="25"/>
      <c r="G10420" s="25"/>
      <c r="H10420" s="27"/>
      <c r="I10420" s="28"/>
      <c r="J10420" s="39"/>
      <c r="K10420" s="41"/>
      <c r="L10420" s="31" t="str">
        <f>IFERROR(__xludf.DUMMYFUNCTION("IF(OR(E10420="""",K10420=""""),"""",IFERROR(IF(K10420="""","""",query('tbl user'!$A$2:$D10975,""SELECT A WHERE D = '""&amp;K10420&amp;""'"")),""USER TIDAK DIKETAHUI""))"),"")</f>
        <v/>
      </c>
    </row>
    <row r="10421">
      <c r="A10421" s="21" t="str">
        <f t="shared" si="3"/>
        <v/>
      </c>
      <c r="B10421" s="38"/>
      <c r="C10421" s="23"/>
      <c r="D10421" s="23"/>
      <c r="E10421" s="24"/>
      <c r="F10421" s="25"/>
      <c r="G10421" s="25"/>
      <c r="H10421" s="27"/>
      <c r="I10421" s="28"/>
      <c r="J10421" s="39"/>
      <c r="K10421" s="41"/>
      <c r="L10421" s="31" t="str">
        <f>IFERROR(__xludf.DUMMYFUNCTION("IF(OR(E10421="""",K10421=""""),"""",IFERROR(IF(K10421="""","""",query('tbl user'!$A$2:$D10975,""SELECT A WHERE D = '""&amp;K10421&amp;""'"")),""USER TIDAK DIKETAHUI""))"),"")</f>
        <v/>
      </c>
    </row>
    <row r="10422">
      <c r="A10422" s="21" t="str">
        <f t="shared" si="3"/>
        <v/>
      </c>
      <c r="B10422" s="38"/>
      <c r="C10422" s="23"/>
      <c r="D10422" s="23"/>
      <c r="E10422" s="24"/>
      <c r="F10422" s="25"/>
      <c r="G10422" s="25"/>
      <c r="H10422" s="27"/>
      <c r="I10422" s="28"/>
      <c r="J10422" s="39"/>
      <c r="K10422" s="41"/>
      <c r="L10422" s="31" t="str">
        <f>IFERROR(__xludf.DUMMYFUNCTION("IF(OR(E10422="""",K10422=""""),"""",IFERROR(IF(K10422="""","""",query('tbl user'!$A$2:$D10975,""SELECT A WHERE D = '""&amp;K10422&amp;""'"")),""USER TIDAK DIKETAHUI""))"),"")</f>
        <v/>
      </c>
    </row>
    <row r="10423">
      <c r="A10423" s="21" t="str">
        <f t="shared" si="3"/>
        <v/>
      </c>
      <c r="B10423" s="38"/>
      <c r="C10423" s="23"/>
      <c r="D10423" s="23"/>
      <c r="E10423" s="24"/>
      <c r="F10423" s="25"/>
      <c r="G10423" s="25"/>
      <c r="H10423" s="27"/>
      <c r="I10423" s="28"/>
      <c r="J10423" s="39"/>
      <c r="K10423" s="41"/>
      <c r="L10423" s="31" t="str">
        <f>IFERROR(__xludf.DUMMYFUNCTION("IF(OR(E10423="""",K10423=""""),"""",IFERROR(IF(K10423="""","""",query('tbl user'!$A$2:$D10975,""SELECT A WHERE D = '""&amp;K10423&amp;""'"")),""USER TIDAK DIKETAHUI""))"),"")</f>
        <v/>
      </c>
    </row>
    <row r="10424">
      <c r="A10424" s="21" t="str">
        <f t="shared" si="3"/>
        <v/>
      </c>
      <c r="B10424" s="38"/>
      <c r="C10424" s="23"/>
      <c r="D10424" s="23"/>
      <c r="E10424" s="24"/>
      <c r="F10424" s="25"/>
      <c r="G10424" s="25"/>
      <c r="H10424" s="27"/>
      <c r="I10424" s="28"/>
      <c r="J10424" s="39"/>
      <c r="K10424" s="41"/>
      <c r="L10424" s="31" t="str">
        <f>IFERROR(__xludf.DUMMYFUNCTION("IF(OR(E10424="""",K10424=""""),"""",IFERROR(IF(K10424="""","""",query('tbl user'!$A$2:$D10975,""SELECT A WHERE D = '""&amp;K10424&amp;""'"")),""USER TIDAK DIKETAHUI""))"),"")</f>
        <v/>
      </c>
    </row>
    <row r="10425">
      <c r="A10425" s="21" t="str">
        <f t="shared" si="3"/>
        <v/>
      </c>
      <c r="B10425" s="38"/>
      <c r="C10425" s="23"/>
      <c r="D10425" s="23"/>
      <c r="E10425" s="24"/>
      <c r="F10425" s="25"/>
      <c r="G10425" s="25"/>
      <c r="H10425" s="27"/>
      <c r="I10425" s="28"/>
      <c r="J10425" s="39"/>
      <c r="K10425" s="41"/>
      <c r="L10425" s="31" t="str">
        <f>IFERROR(__xludf.DUMMYFUNCTION("IF(OR(E10425="""",K10425=""""),"""",IFERROR(IF(K10425="""","""",query('tbl user'!$A$2:$D10975,""SELECT A WHERE D = '""&amp;K10425&amp;""'"")),""USER TIDAK DIKETAHUI""))"),"")</f>
        <v/>
      </c>
    </row>
    <row r="10426">
      <c r="A10426" s="21" t="str">
        <f t="shared" si="3"/>
        <v/>
      </c>
      <c r="B10426" s="38"/>
      <c r="C10426" s="23"/>
      <c r="D10426" s="23"/>
      <c r="E10426" s="24"/>
      <c r="F10426" s="25"/>
      <c r="G10426" s="25"/>
      <c r="H10426" s="27"/>
      <c r="I10426" s="28"/>
      <c r="J10426" s="39"/>
      <c r="K10426" s="41"/>
      <c r="L10426" s="31" t="str">
        <f>IFERROR(__xludf.DUMMYFUNCTION("IF(OR(E10426="""",K10426=""""),"""",IFERROR(IF(K10426="""","""",query('tbl user'!$A$2:$D10975,""SELECT A WHERE D = '""&amp;K10426&amp;""'"")),""USER TIDAK DIKETAHUI""))"),"")</f>
        <v/>
      </c>
    </row>
    <row r="10427">
      <c r="A10427" s="21" t="str">
        <f t="shared" si="3"/>
        <v/>
      </c>
      <c r="B10427" s="38"/>
      <c r="C10427" s="23"/>
      <c r="D10427" s="23"/>
      <c r="E10427" s="24"/>
      <c r="F10427" s="25"/>
      <c r="G10427" s="25"/>
      <c r="H10427" s="27"/>
      <c r="I10427" s="28"/>
      <c r="J10427" s="39"/>
      <c r="K10427" s="41"/>
      <c r="L10427" s="31" t="str">
        <f>IFERROR(__xludf.DUMMYFUNCTION("IF(OR(E10427="""",K10427=""""),"""",IFERROR(IF(K10427="""","""",query('tbl user'!$A$2:$D10975,""SELECT A WHERE D = '""&amp;K10427&amp;""'"")),""USER TIDAK DIKETAHUI""))"),"")</f>
        <v/>
      </c>
    </row>
    <row r="10428">
      <c r="A10428" s="21" t="str">
        <f t="shared" si="3"/>
        <v/>
      </c>
      <c r="B10428" s="38"/>
      <c r="C10428" s="23"/>
      <c r="D10428" s="23"/>
      <c r="E10428" s="24"/>
      <c r="F10428" s="25"/>
      <c r="G10428" s="25"/>
      <c r="H10428" s="27"/>
      <c r="I10428" s="28"/>
      <c r="J10428" s="39"/>
      <c r="K10428" s="41"/>
      <c r="L10428" s="31" t="str">
        <f>IFERROR(__xludf.DUMMYFUNCTION("IF(OR(E10428="""",K10428=""""),"""",IFERROR(IF(K10428="""","""",query('tbl user'!$A$2:$D10975,""SELECT A WHERE D = '""&amp;K10428&amp;""'"")),""USER TIDAK DIKETAHUI""))"),"")</f>
        <v/>
      </c>
    </row>
    <row r="10429">
      <c r="A10429" s="21" t="str">
        <f t="shared" si="3"/>
        <v/>
      </c>
      <c r="B10429" s="38"/>
      <c r="C10429" s="23"/>
      <c r="D10429" s="23"/>
      <c r="E10429" s="24"/>
      <c r="F10429" s="25"/>
      <c r="G10429" s="25"/>
      <c r="H10429" s="27"/>
      <c r="I10429" s="28"/>
      <c r="J10429" s="39"/>
      <c r="K10429" s="41"/>
      <c r="L10429" s="31" t="str">
        <f>IFERROR(__xludf.DUMMYFUNCTION("IF(OR(E10429="""",K10429=""""),"""",IFERROR(IF(K10429="""","""",query('tbl user'!$A$2:$D10975,""SELECT A WHERE D = '""&amp;K10429&amp;""'"")),""USER TIDAK DIKETAHUI""))"),"")</f>
        <v/>
      </c>
    </row>
    <row r="10430">
      <c r="A10430" s="21" t="str">
        <f t="shared" si="3"/>
        <v/>
      </c>
      <c r="B10430" s="38"/>
      <c r="C10430" s="23"/>
      <c r="D10430" s="23"/>
      <c r="E10430" s="24"/>
      <c r="F10430" s="25"/>
      <c r="G10430" s="25"/>
      <c r="H10430" s="27"/>
      <c r="I10430" s="28"/>
      <c r="J10430" s="39"/>
      <c r="K10430" s="41"/>
      <c r="L10430" s="31" t="str">
        <f>IFERROR(__xludf.DUMMYFUNCTION("IF(OR(E10430="""",K10430=""""),"""",IFERROR(IF(K10430="""","""",query('tbl user'!$A$2:$D10975,""SELECT A WHERE D = '""&amp;K10430&amp;""'"")),""USER TIDAK DIKETAHUI""))"),"")</f>
        <v/>
      </c>
    </row>
    <row r="10431">
      <c r="A10431" s="21" t="str">
        <f t="shared" si="3"/>
        <v/>
      </c>
      <c r="B10431" s="38"/>
      <c r="C10431" s="23"/>
      <c r="D10431" s="23"/>
      <c r="E10431" s="24"/>
      <c r="F10431" s="25"/>
      <c r="G10431" s="25"/>
      <c r="H10431" s="27"/>
      <c r="I10431" s="28"/>
      <c r="J10431" s="39"/>
      <c r="K10431" s="41"/>
      <c r="L10431" s="31" t="str">
        <f>IFERROR(__xludf.DUMMYFUNCTION("IF(OR(E10431="""",K10431=""""),"""",IFERROR(IF(K10431="""","""",query('tbl user'!$A$2:$D10975,""SELECT A WHERE D = '""&amp;K10431&amp;""'"")),""USER TIDAK DIKETAHUI""))"),"")</f>
        <v/>
      </c>
    </row>
    <row r="10432">
      <c r="A10432" s="21" t="str">
        <f t="shared" si="3"/>
        <v/>
      </c>
      <c r="B10432" s="38"/>
      <c r="C10432" s="23"/>
      <c r="D10432" s="23"/>
      <c r="E10432" s="24"/>
      <c r="F10432" s="25"/>
      <c r="G10432" s="25"/>
      <c r="H10432" s="27"/>
      <c r="I10432" s="28"/>
      <c r="J10432" s="39"/>
      <c r="K10432" s="41"/>
      <c r="L10432" s="31" t="str">
        <f>IFERROR(__xludf.DUMMYFUNCTION("IF(OR(E10432="""",K10432=""""),"""",IFERROR(IF(K10432="""","""",query('tbl user'!$A$2:$D10975,""SELECT A WHERE D = '""&amp;K10432&amp;""'"")),""USER TIDAK DIKETAHUI""))"),"")</f>
        <v/>
      </c>
    </row>
    <row r="10433">
      <c r="A10433" s="21" t="str">
        <f t="shared" si="3"/>
        <v/>
      </c>
      <c r="B10433" s="38"/>
      <c r="C10433" s="23"/>
      <c r="D10433" s="23"/>
      <c r="E10433" s="24"/>
      <c r="F10433" s="25"/>
      <c r="G10433" s="25"/>
      <c r="H10433" s="27"/>
      <c r="I10433" s="28"/>
      <c r="J10433" s="39"/>
      <c r="K10433" s="41"/>
      <c r="L10433" s="31" t="str">
        <f>IFERROR(__xludf.DUMMYFUNCTION("IF(OR(E10433="""",K10433=""""),"""",IFERROR(IF(K10433="""","""",query('tbl user'!$A$2:$D10975,""SELECT A WHERE D = '""&amp;K10433&amp;""'"")),""USER TIDAK DIKETAHUI""))"),"")</f>
        <v/>
      </c>
    </row>
    <row r="10434">
      <c r="A10434" s="21" t="str">
        <f t="shared" si="3"/>
        <v/>
      </c>
      <c r="B10434" s="38"/>
      <c r="C10434" s="23"/>
      <c r="D10434" s="23"/>
      <c r="E10434" s="24"/>
      <c r="F10434" s="25"/>
      <c r="G10434" s="25"/>
      <c r="H10434" s="27"/>
      <c r="I10434" s="28"/>
      <c r="J10434" s="39"/>
      <c r="K10434" s="41"/>
      <c r="L10434" s="31" t="str">
        <f>IFERROR(__xludf.DUMMYFUNCTION("IF(OR(E10434="""",K10434=""""),"""",IFERROR(IF(K10434="""","""",query('tbl user'!$A$2:$D10975,""SELECT A WHERE D = '""&amp;K10434&amp;""'"")),""USER TIDAK DIKETAHUI""))"),"")</f>
        <v/>
      </c>
    </row>
    <row r="10435">
      <c r="A10435" s="21" t="str">
        <f t="shared" si="3"/>
        <v/>
      </c>
      <c r="B10435" s="38"/>
      <c r="C10435" s="23"/>
      <c r="D10435" s="23"/>
      <c r="E10435" s="24"/>
      <c r="F10435" s="25"/>
      <c r="G10435" s="25"/>
      <c r="H10435" s="27"/>
      <c r="I10435" s="28"/>
      <c r="J10435" s="39"/>
      <c r="K10435" s="41"/>
      <c r="L10435" s="31" t="str">
        <f>IFERROR(__xludf.DUMMYFUNCTION("IF(OR(E10435="""",K10435=""""),"""",IFERROR(IF(K10435="""","""",query('tbl user'!$A$2:$D10975,""SELECT A WHERE D = '""&amp;K10435&amp;""'"")),""USER TIDAK DIKETAHUI""))"),"")</f>
        <v/>
      </c>
    </row>
    <row r="10436">
      <c r="A10436" s="21" t="str">
        <f t="shared" si="3"/>
        <v/>
      </c>
      <c r="B10436" s="38"/>
      <c r="C10436" s="23"/>
      <c r="D10436" s="23"/>
      <c r="E10436" s="24"/>
      <c r="F10436" s="25"/>
      <c r="G10436" s="25"/>
      <c r="H10436" s="27"/>
      <c r="I10436" s="28"/>
      <c r="J10436" s="39"/>
      <c r="K10436" s="41"/>
      <c r="L10436" s="31" t="str">
        <f>IFERROR(__xludf.DUMMYFUNCTION("IF(OR(E10436="""",K10436=""""),"""",IFERROR(IF(K10436="""","""",query('tbl user'!$A$2:$D10975,""SELECT A WHERE D = '""&amp;K10436&amp;""'"")),""USER TIDAK DIKETAHUI""))"),"")</f>
        <v/>
      </c>
    </row>
    <row r="10437">
      <c r="A10437" s="21" t="str">
        <f t="shared" si="3"/>
        <v/>
      </c>
      <c r="B10437" s="38"/>
      <c r="C10437" s="23"/>
      <c r="D10437" s="23"/>
      <c r="E10437" s="24"/>
      <c r="F10437" s="25"/>
      <c r="G10437" s="25"/>
      <c r="H10437" s="27"/>
      <c r="I10437" s="28"/>
      <c r="J10437" s="39"/>
      <c r="K10437" s="41"/>
      <c r="L10437" s="31" t="str">
        <f>IFERROR(__xludf.DUMMYFUNCTION("IF(OR(E10437="""",K10437=""""),"""",IFERROR(IF(K10437="""","""",query('tbl user'!$A$2:$D10975,""SELECT A WHERE D = '""&amp;K10437&amp;""'"")),""USER TIDAK DIKETAHUI""))"),"")</f>
        <v/>
      </c>
    </row>
    <row r="10438">
      <c r="A10438" s="21" t="str">
        <f t="shared" si="3"/>
        <v/>
      </c>
      <c r="B10438" s="38"/>
      <c r="C10438" s="23"/>
      <c r="D10438" s="23"/>
      <c r="E10438" s="24"/>
      <c r="F10438" s="25"/>
      <c r="G10438" s="25"/>
      <c r="H10438" s="27"/>
      <c r="I10438" s="28"/>
      <c r="J10438" s="39"/>
      <c r="K10438" s="41"/>
      <c r="L10438" s="31" t="str">
        <f>IFERROR(__xludf.DUMMYFUNCTION("IF(OR(E10438="""",K10438=""""),"""",IFERROR(IF(K10438="""","""",query('tbl user'!$A$2:$D10975,""SELECT A WHERE D = '""&amp;K10438&amp;""'"")),""USER TIDAK DIKETAHUI""))"),"")</f>
        <v/>
      </c>
    </row>
    <row r="10439">
      <c r="A10439" s="21" t="str">
        <f t="shared" si="3"/>
        <v/>
      </c>
      <c r="B10439" s="38"/>
      <c r="C10439" s="23"/>
      <c r="D10439" s="23"/>
      <c r="E10439" s="24"/>
      <c r="F10439" s="25"/>
      <c r="G10439" s="25"/>
      <c r="H10439" s="27"/>
      <c r="I10439" s="28"/>
      <c r="J10439" s="39"/>
      <c r="K10439" s="41"/>
      <c r="L10439" s="31" t="str">
        <f>IFERROR(__xludf.DUMMYFUNCTION("IF(OR(E10439="""",K10439=""""),"""",IFERROR(IF(K10439="""","""",query('tbl user'!$A$2:$D10975,""SELECT A WHERE D = '""&amp;K10439&amp;""'"")),""USER TIDAK DIKETAHUI""))"),"")</f>
        <v/>
      </c>
    </row>
    <row r="10440">
      <c r="A10440" s="21" t="str">
        <f t="shared" si="3"/>
        <v/>
      </c>
      <c r="B10440" s="38"/>
      <c r="C10440" s="23"/>
      <c r="D10440" s="23"/>
      <c r="E10440" s="24"/>
      <c r="F10440" s="25"/>
      <c r="G10440" s="25"/>
      <c r="H10440" s="27"/>
      <c r="I10440" s="28"/>
      <c r="J10440" s="39"/>
      <c r="K10440" s="41"/>
      <c r="L10440" s="31" t="str">
        <f>IFERROR(__xludf.DUMMYFUNCTION("IF(OR(E10440="""",K10440=""""),"""",IFERROR(IF(K10440="""","""",query('tbl user'!$A$2:$D10975,""SELECT A WHERE D = '""&amp;K10440&amp;""'"")),""USER TIDAK DIKETAHUI""))"),"")</f>
        <v/>
      </c>
    </row>
    <row r="10441">
      <c r="A10441" s="21" t="str">
        <f t="shared" si="3"/>
        <v/>
      </c>
      <c r="B10441" s="38"/>
      <c r="C10441" s="23"/>
      <c r="D10441" s="23"/>
      <c r="E10441" s="24"/>
      <c r="F10441" s="25"/>
      <c r="G10441" s="25"/>
      <c r="H10441" s="27"/>
      <c r="I10441" s="28"/>
      <c r="J10441" s="39"/>
      <c r="K10441" s="41"/>
      <c r="L10441" s="31" t="str">
        <f>IFERROR(__xludf.DUMMYFUNCTION("IF(OR(E10441="""",K10441=""""),"""",IFERROR(IF(K10441="""","""",query('tbl user'!$A$2:$D10975,""SELECT A WHERE D = '""&amp;K10441&amp;""'"")),""USER TIDAK DIKETAHUI""))"),"")</f>
        <v/>
      </c>
    </row>
    <row r="10442">
      <c r="A10442" s="21" t="str">
        <f t="shared" si="3"/>
        <v/>
      </c>
      <c r="B10442" s="38"/>
      <c r="C10442" s="23"/>
      <c r="D10442" s="23"/>
      <c r="E10442" s="24"/>
      <c r="F10442" s="25"/>
      <c r="G10442" s="25"/>
      <c r="H10442" s="27"/>
      <c r="I10442" s="28"/>
      <c r="J10442" s="39"/>
      <c r="K10442" s="41"/>
      <c r="L10442" s="31" t="str">
        <f>IFERROR(__xludf.DUMMYFUNCTION("IF(OR(E10442="""",K10442=""""),"""",IFERROR(IF(K10442="""","""",query('tbl user'!$A$2:$D10975,""SELECT A WHERE D = '""&amp;K10442&amp;""'"")),""USER TIDAK DIKETAHUI""))"),"")</f>
        <v/>
      </c>
    </row>
    <row r="10443">
      <c r="A10443" s="21" t="str">
        <f t="shared" si="3"/>
        <v/>
      </c>
      <c r="B10443" s="38"/>
      <c r="C10443" s="23"/>
      <c r="D10443" s="23"/>
      <c r="E10443" s="24"/>
      <c r="F10443" s="25"/>
      <c r="G10443" s="25"/>
      <c r="H10443" s="27"/>
      <c r="I10443" s="28"/>
      <c r="J10443" s="39"/>
      <c r="K10443" s="41"/>
      <c r="L10443" s="31" t="str">
        <f>IFERROR(__xludf.DUMMYFUNCTION("IF(OR(E10443="""",K10443=""""),"""",IFERROR(IF(K10443="""","""",query('tbl user'!$A$2:$D10975,""SELECT A WHERE D = '""&amp;K10443&amp;""'"")),""USER TIDAK DIKETAHUI""))"),"")</f>
        <v/>
      </c>
    </row>
    <row r="10444">
      <c r="A10444" s="21" t="str">
        <f t="shared" si="3"/>
        <v/>
      </c>
      <c r="B10444" s="38"/>
      <c r="C10444" s="23"/>
      <c r="D10444" s="23"/>
      <c r="E10444" s="24"/>
      <c r="F10444" s="25"/>
      <c r="G10444" s="25"/>
      <c r="H10444" s="27"/>
      <c r="I10444" s="28"/>
      <c r="J10444" s="39"/>
      <c r="K10444" s="41"/>
      <c r="L10444" s="31" t="str">
        <f>IFERROR(__xludf.DUMMYFUNCTION("IF(OR(E10444="""",K10444=""""),"""",IFERROR(IF(K10444="""","""",query('tbl user'!$A$2:$D10975,""SELECT A WHERE D = '""&amp;K10444&amp;""'"")),""USER TIDAK DIKETAHUI""))"),"")</f>
        <v/>
      </c>
    </row>
    <row r="10445">
      <c r="A10445" s="21" t="str">
        <f t="shared" si="3"/>
        <v/>
      </c>
      <c r="B10445" s="38"/>
      <c r="C10445" s="23"/>
      <c r="D10445" s="23"/>
      <c r="E10445" s="24"/>
      <c r="F10445" s="25"/>
      <c r="G10445" s="25"/>
      <c r="H10445" s="27"/>
      <c r="I10445" s="28"/>
      <c r="J10445" s="39"/>
      <c r="K10445" s="41"/>
      <c r="L10445" s="31" t="str">
        <f>IFERROR(__xludf.DUMMYFUNCTION("IF(OR(E10445="""",K10445=""""),"""",IFERROR(IF(K10445="""","""",query('tbl user'!$A$2:$D10975,""SELECT A WHERE D = '""&amp;K10445&amp;""'"")),""USER TIDAK DIKETAHUI""))"),"")</f>
        <v/>
      </c>
    </row>
    <row r="10446">
      <c r="A10446" s="21" t="str">
        <f t="shared" si="3"/>
        <v/>
      </c>
      <c r="B10446" s="38"/>
      <c r="C10446" s="23"/>
      <c r="D10446" s="23"/>
      <c r="E10446" s="24"/>
      <c r="F10446" s="25"/>
      <c r="G10446" s="25"/>
      <c r="H10446" s="27"/>
      <c r="I10446" s="28"/>
      <c r="J10446" s="39"/>
      <c r="K10446" s="41"/>
      <c r="L10446" s="31" t="str">
        <f>IFERROR(__xludf.DUMMYFUNCTION("IF(OR(E10446="""",K10446=""""),"""",IFERROR(IF(K10446="""","""",query('tbl user'!$A$2:$D10975,""SELECT A WHERE D = '""&amp;K10446&amp;""'"")),""USER TIDAK DIKETAHUI""))"),"")</f>
        <v/>
      </c>
    </row>
    <row r="10447">
      <c r="A10447" s="21" t="str">
        <f t="shared" si="3"/>
        <v/>
      </c>
      <c r="B10447" s="38"/>
      <c r="C10447" s="23"/>
      <c r="D10447" s="23"/>
      <c r="E10447" s="24"/>
      <c r="F10447" s="25"/>
      <c r="G10447" s="25"/>
      <c r="H10447" s="27"/>
      <c r="I10447" s="28"/>
      <c r="J10447" s="39"/>
      <c r="K10447" s="41"/>
      <c r="L10447" s="31" t="str">
        <f>IFERROR(__xludf.DUMMYFUNCTION("IF(OR(E10447="""",K10447=""""),"""",IFERROR(IF(K10447="""","""",query('tbl user'!$A$2:$D10975,""SELECT A WHERE D = '""&amp;K10447&amp;""'"")),""USER TIDAK DIKETAHUI""))"),"")</f>
        <v/>
      </c>
    </row>
    <row r="10448">
      <c r="A10448" s="21" t="str">
        <f t="shared" si="3"/>
        <v/>
      </c>
      <c r="B10448" s="38"/>
      <c r="C10448" s="23"/>
      <c r="D10448" s="23"/>
      <c r="E10448" s="24"/>
      <c r="F10448" s="25"/>
      <c r="G10448" s="25"/>
      <c r="H10448" s="27"/>
      <c r="I10448" s="28"/>
      <c r="J10448" s="39"/>
      <c r="K10448" s="41"/>
      <c r="L10448" s="31" t="str">
        <f>IFERROR(__xludf.DUMMYFUNCTION("IF(OR(E10448="""",K10448=""""),"""",IFERROR(IF(K10448="""","""",query('tbl user'!$A$2:$D10975,""SELECT A WHERE D = '""&amp;K10448&amp;""'"")),""USER TIDAK DIKETAHUI""))"),"")</f>
        <v/>
      </c>
    </row>
    <row r="10449">
      <c r="A10449" s="21" t="str">
        <f t="shared" si="3"/>
        <v/>
      </c>
      <c r="B10449" s="38"/>
      <c r="C10449" s="23"/>
      <c r="D10449" s="23"/>
      <c r="E10449" s="24"/>
      <c r="F10449" s="25"/>
      <c r="G10449" s="25"/>
      <c r="H10449" s="27"/>
      <c r="I10449" s="28"/>
      <c r="J10449" s="39"/>
      <c r="K10449" s="41"/>
      <c r="L10449" s="31" t="str">
        <f>IFERROR(__xludf.DUMMYFUNCTION("IF(OR(E10449="""",K10449=""""),"""",IFERROR(IF(K10449="""","""",query('tbl user'!$A$2:$D10975,""SELECT A WHERE D = '""&amp;K10449&amp;""'"")),""USER TIDAK DIKETAHUI""))"),"")</f>
        <v/>
      </c>
    </row>
    <row r="10450">
      <c r="A10450" s="21" t="str">
        <f t="shared" si="3"/>
        <v/>
      </c>
      <c r="B10450" s="38"/>
      <c r="C10450" s="23"/>
      <c r="D10450" s="23"/>
      <c r="E10450" s="24"/>
      <c r="F10450" s="25"/>
      <c r="G10450" s="25"/>
      <c r="H10450" s="27"/>
      <c r="I10450" s="28"/>
      <c r="J10450" s="39"/>
      <c r="K10450" s="41"/>
      <c r="L10450" s="31" t="str">
        <f>IFERROR(__xludf.DUMMYFUNCTION("IF(OR(E10450="""",K10450=""""),"""",IFERROR(IF(K10450="""","""",query('tbl user'!$A$2:$D10975,""SELECT A WHERE D = '""&amp;K10450&amp;""'"")),""USER TIDAK DIKETAHUI""))"),"")</f>
        <v/>
      </c>
    </row>
    <row r="10451">
      <c r="A10451" s="21" t="str">
        <f t="shared" si="3"/>
        <v/>
      </c>
      <c r="B10451" s="38"/>
      <c r="C10451" s="23"/>
      <c r="D10451" s="23"/>
      <c r="E10451" s="24"/>
      <c r="F10451" s="25"/>
      <c r="G10451" s="25"/>
      <c r="H10451" s="27"/>
      <c r="I10451" s="28"/>
      <c r="J10451" s="39"/>
      <c r="K10451" s="41"/>
      <c r="L10451" s="31" t="str">
        <f>IFERROR(__xludf.DUMMYFUNCTION("IF(OR(E10451="""",K10451=""""),"""",IFERROR(IF(K10451="""","""",query('tbl user'!$A$2:$D10975,""SELECT A WHERE D = '""&amp;K10451&amp;""'"")),""USER TIDAK DIKETAHUI""))"),"")</f>
        <v/>
      </c>
    </row>
    <row r="10452">
      <c r="A10452" s="21" t="str">
        <f t="shared" si="3"/>
        <v/>
      </c>
      <c r="B10452" s="38"/>
      <c r="C10452" s="23"/>
      <c r="D10452" s="23"/>
      <c r="E10452" s="24"/>
      <c r="F10452" s="25"/>
      <c r="G10452" s="25"/>
      <c r="H10452" s="27"/>
      <c r="I10452" s="28"/>
      <c r="J10452" s="39"/>
      <c r="K10452" s="41"/>
      <c r="L10452" s="31" t="str">
        <f>IFERROR(__xludf.DUMMYFUNCTION("IF(OR(E10452="""",K10452=""""),"""",IFERROR(IF(K10452="""","""",query('tbl user'!$A$2:$D10975,""SELECT A WHERE D = '""&amp;K10452&amp;""'"")),""USER TIDAK DIKETAHUI""))"),"")</f>
        <v/>
      </c>
    </row>
    <row r="10453">
      <c r="A10453" s="21" t="str">
        <f t="shared" si="3"/>
        <v/>
      </c>
      <c r="B10453" s="38"/>
      <c r="C10453" s="23"/>
      <c r="D10453" s="23"/>
      <c r="E10453" s="24"/>
      <c r="F10453" s="25"/>
      <c r="G10453" s="25"/>
      <c r="H10453" s="27"/>
      <c r="I10453" s="28"/>
      <c r="J10453" s="39"/>
      <c r="K10453" s="41"/>
      <c r="L10453" s="31" t="str">
        <f>IFERROR(__xludf.DUMMYFUNCTION("IF(OR(E10453="""",K10453=""""),"""",IFERROR(IF(K10453="""","""",query('tbl user'!$A$2:$D10975,""SELECT A WHERE D = '""&amp;K10453&amp;""'"")),""USER TIDAK DIKETAHUI""))"),"")</f>
        <v/>
      </c>
    </row>
    <row r="10454">
      <c r="A10454" s="21" t="str">
        <f t="shared" si="3"/>
        <v/>
      </c>
      <c r="B10454" s="38"/>
      <c r="C10454" s="23"/>
      <c r="D10454" s="23"/>
      <c r="E10454" s="24"/>
      <c r="F10454" s="25"/>
      <c r="G10454" s="25"/>
      <c r="H10454" s="27"/>
      <c r="I10454" s="28"/>
      <c r="J10454" s="39"/>
      <c r="K10454" s="41"/>
      <c r="L10454" s="31" t="str">
        <f>IFERROR(__xludf.DUMMYFUNCTION("IF(OR(E10454="""",K10454=""""),"""",IFERROR(IF(K10454="""","""",query('tbl user'!$A$2:$D10975,""SELECT A WHERE D = '""&amp;K10454&amp;""'"")),""USER TIDAK DIKETAHUI""))"),"")</f>
        <v/>
      </c>
    </row>
    <row r="10455">
      <c r="A10455" s="21" t="str">
        <f t="shared" si="3"/>
        <v/>
      </c>
      <c r="B10455" s="38"/>
      <c r="C10455" s="23"/>
      <c r="D10455" s="23"/>
      <c r="E10455" s="24"/>
      <c r="F10455" s="25"/>
      <c r="G10455" s="25"/>
      <c r="H10455" s="27"/>
      <c r="I10455" s="28"/>
      <c r="J10455" s="39"/>
      <c r="K10455" s="41"/>
      <c r="L10455" s="31" t="str">
        <f>IFERROR(__xludf.DUMMYFUNCTION("IF(OR(E10455="""",K10455=""""),"""",IFERROR(IF(K10455="""","""",query('tbl user'!$A$2:$D10975,""SELECT A WHERE D = '""&amp;K10455&amp;""'"")),""USER TIDAK DIKETAHUI""))"),"")</f>
        <v/>
      </c>
    </row>
    <row r="10456">
      <c r="A10456" s="21" t="str">
        <f t="shared" si="3"/>
        <v/>
      </c>
      <c r="B10456" s="38"/>
      <c r="C10456" s="23"/>
      <c r="D10456" s="23"/>
      <c r="E10456" s="24"/>
      <c r="F10456" s="25"/>
      <c r="G10456" s="25"/>
      <c r="H10456" s="27"/>
      <c r="I10456" s="28"/>
      <c r="J10456" s="39"/>
      <c r="K10456" s="41"/>
      <c r="L10456" s="31" t="str">
        <f>IFERROR(__xludf.DUMMYFUNCTION("IF(OR(E10456="""",K10456=""""),"""",IFERROR(IF(K10456="""","""",query('tbl user'!$A$2:$D10975,""SELECT A WHERE D = '""&amp;K10456&amp;""'"")),""USER TIDAK DIKETAHUI""))"),"")</f>
        <v/>
      </c>
    </row>
    <row r="10457">
      <c r="A10457" s="21" t="str">
        <f t="shared" si="3"/>
        <v/>
      </c>
      <c r="B10457" s="38"/>
      <c r="C10457" s="23"/>
      <c r="D10457" s="23"/>
      <c r="E10457" s="24"/>
      <c r="F10457" s="25"/>
      <c r="G10457" s="25"/>
      <c r="H10457" s="27"/>
      <c r="I10457" s="28"/>
      <c r="J10457" s="39"/>
      <c r="K10457" s="41"/>
      <c r="L10457" s="31" t="str">
        <f>IFERROR(__xludf.DUMMYFUNCTION("IF(OR(E10457="""",K10457=""""),"""",IFERROR(IF(K10457="""","""",query('tbl user'!$A$2:$D10975,""SELECT A WHERE D = '""&amp;K10457&amp;""'"")),""USER TIDAK DIKETAHUI""))"),"")</f>
        <v/>
      </c>
    </row>
    <row r="10458">
      <c r="A10458" s="21" t="str">
        <f t="shared" si="3"/>
        <v/>
      </c>
      <c r="B10458" s="38"/>
      <c r="C10458" s="23"/>
      <c r="D10458" s="23"/>
      <c r="E10458" s="24"/>
      <c r="F10458" s="25"/>
      <c r="G10458" s="25"/>
      <c r="H10458" s="27"/>
      <c r="I10458" s="28"/>
      <c r="J10458" s="39"/>
      <c r="K10458" s="41"/>
      <c r="L10458" s="31" t="str">
        <f>IFERROR(__xludf.DUMMYFUNCTION("IF(OR(E10458="""",K10458=""""),"""",IFERROR(IF(K10458="""","""",query('tbl user'!$A$2:$D10975,""SELECT A WHERE D = '""&amp;K10458&amp;""'"")),""USER TIDAK DIKETAHUI""))"),"")</f>
        <v/>
      </c>
    </row>
    <row r="10459">
      <c r="A10459" s="21" t="str">
        <f t="shared" si="3"/>
        <v/>
      </c>
      <c r="B10459" s="38"/>
      <c r="C10459" s="23"/>
      <c r="D10459" s="23"/>
      <c r="E10459" s="24"/>
      <c r="F10459" s="25"/>
      <c r="G10459" s="25"/>
      <c r="H10459" s="27"/>
      <c r="I10459" s="28"/>
      <c r="J10459" s="39"/>
      <c r="K10459" s="41"/>
      <c r="L10459" s="31" t="str">
        <f>IFERROR(__xludf.DUMMYFUNCTION("IF(OR(E10459="""",K10459=""""),"""",IFERROR(IF(K10459="""","""",query('tbl user'!$A$2:$D10975,""SELECT A WHERE D = '""&amp;K10459&amp;""'"")),""USER TIDAK DIKETAHUI""))"),"")</f>
        <v/>
      </c>
    </row>
    <row r="10460">
      <c r="A10460" s="21" t="str">
        <f t="shared" si="3"/>
        <v/>
      </c>
      <c r="B10460" s="38"/>
      <c r="C10460" s="23"/>
      <c r="D10460" s="23"/>
      <c r="E10460" s="24"/>
      <c r="F10460" s="25"/>
      <c r="G10460" s="25"/>
      <c r="H10460" s="27"/>
      <c r="I10460" s="28"/>
      <c r="J10460" s="39"/>
      <c r="K10460" s="41"/>
      <c r="L10460" s="31" t="str">
        <f>IFERROR(__xludf.DUMMYFUNCTION("IF(OR(E10460="""",K10460=""""),"""",IFERROR(IF(K10460="""","""",query('tbl user'!$A$2:$D10975,""SELECT A WHERE D = '""&amp;K10460&amp;""'"")),""USER TIDAK DIKETAHUI""))"),"")</f>
        <v/>
      </c>
    </row>
    <row r="10461">
      <c r="A10461" s="21" t="str">
        <f t="shared" si="3"/>
        <v/>
      </c>
      <c r="B10461" s="38"/>
      <c r="C10461" s="23"/>
      <c r="D10461" s="23"/>
      <c r="E10461" s="24"/>
      <c r="F10461" s="25"/>
      <c r="G10461" s="25"/>
      <c r="H10461" s="27"/>
      <c r="I10461" s="28"/>
      <c r="J10461" s="39"/>
      <c r="K10461" s="41"/>
      <c r="L10461" s="31" t="str">
        <f>IFERROR(__xludf.DUMMYFUNCTION("IF(OR(E10461="""",K10461=""""),"""",IFERROR(IF(K10461="""","""",query('tbl user'!$A$2:$D10975,""SELECT A WHERE D = '""&amp;K10461&amp;""'"")),""USER TIDAK DIKETAHUI""))"),"")</f>
        <v/>
      </c>
    </row>
    <row r="10462">
      <c r="A10462" s="21" t="str">
        <f t="shared" si="3"/>
        <v/>
      </c>
      <c r="B10462" s="38"/>
      <c r="C10462" s="23"/>
      <c r="D10462" s="23"/>
      <c r="E10462" s="24"/>
      <c r="F10462" s="25"/>
      <c r="G10462" s="25"/>
      <c r="H10462" s="27"/>
      <c r="I10462" s="28"/>
      <c r="J10462" s="39"/>
      <c r="K10462" s="41"/>
      <c r="L10462" s="31" t="str">
        <f>IFERROR(__xludf.DUMMYFUNCTION("IF(OR(E10462="""",K10462=""""),"""",IFERROR(IF(K10462="""","""",query('tbl user'!$A$2:$D10975,""SELECT A WHERE D = '""&amp;K10462&amp;""'"")),""USER TIDAK DIKETAHUI""))"),"")</f>
        <v/>
      </c>
    </row>
    <row r="10463">
      <c r="A10463" s="21" t="str">
        <f t="shared" si="3"/>
        <v/>
      </c>
      <c r="B10463" s="38"/>
      <c r="C10463" s="23"/>
      <c r="D10463" s="23"/>
      <c r="E10463" s="24"/>
      <c r="F10463" s="25"/>
      <c r="G10463" s="25"/>
      <c r="H10463" s="27"/>
      <c r="I10463" s="28"/>
      <c r="J10463" s="39"/>
      <c r="K10463" s="41"/>
      <c r="L10463" s="31" t="str">
        <f>IFERROR(__xludf.DUMMYFUNCTION("IF(OR(E10463="""",K10463=""""),"""",IFERROR(IF(K10463="""","""",query('tbl user'!$A$2:$D10975,""SELECT A WHERE D = '""&amp;K10463&amp;""'"")),""USER TIDAK DIKETAHUI""))"),"")</f>
        <v/>
      </c>
    </row>
    <row r="10464">
      <c r="A10464" s="21" t="str">
        <f t="shared" si="3"/>
        <v/>
      </c>
      <c r="B10464" s="38"/>
      <c r="C10464" s="23"/>
      <c r="D10464" s="23"/>
      <c r="E10464" s="24"/>
      <c r="F10464" s="25"/>
      <c r="G10464" s="25"/>
      <c r="H10464" s="27"/>
      <c r="I10464" s="28"/>
      <c r="J10464" s="39"/>
      <c r="K10464" s="41"/>
      <c r="L10464" s="31" t="str">
        <f>IFERROR(__xludf.DUMMYFUNCTION("IF(OR(E10464="""",K10464=""""),"""",IFERROR(IF(K10464="""","""",query('tbl user'!$A$2:$D10975,""SELECT A WHERE D = '""&amp;K10464&amp;""'"")),""USER TIDAK DIKETAHUI""))"),"")</f>
        <v/>
      </c>
    </row>
    <row r="10465">
      <c r="A10465" s="21" t="str">
        <f t="shared" si="3"/>
        <v/>
      </c>
      <c r="B10465" s="38"/>
      <c r="C10465" s="23"/>
      <c r="D10465" s="23"/>
      <c r="E10465" s="24"/>
      <c r="F10465" s="25"/>
      <c r="G10465" s="25"/>
      <c r="H10465" s="27"/>
      <c r="I10465" s="28"/>
      <c r="J10465" s="39"/>
      <c r="K10465" s="41"/>
      <c r="L10465" s="31" t="str">
        <f>IFERROR(__xludf.DUMMYFUNCTION("IF(OR(E10465="""",K10465=""""),"""",IFERROR(IF(K10465="""","""",query('tbl user'!$A$2:$D10975,""SELECT A WHERE D = '""&amp;K10465&amp;""'"")),""USER TIDAK DIKETAHUI""))"),"")</f>
        <v/>
      </c>
    </row>
    <row r="10466">
      <c r="A10466" s="21" t="str">
        <f t="shared" si="3"/>
        <v/>
      </c>
      <c r="B10466" s="38"/>
      <c r="C10466" s="23"/>
      <c r="D10466" s="23"/>
      <c r="E10466" s="24"/>
      <c r="F10466" s="25"/>
      <c r="G10466" s="25"/>
      <c r="H10466" s="27"/>
      <c r="I10466" s="28"/>
      <c r="J10466" s="39"/>
      <c r="K10466" s="41"/>
      <c r="L10466" s="31" t="str">
        <f>IFERROR(__xludf.DUMMYFUNCTION("IF(OR(E10466="""",K10466=""""),"""",IFERROR(IF(K10466="""","""",query('tbl user'!$A$2:$D10975,""SELECT A WHERE D = '""&amp;K10466&amp;""'"")),""USER TIDAK DIKETAHUI""))"),"")</f>
        <v/>
      </c>
    </row>
    <row r="10467">
      <c r="A10467" s="21" t="str">
        <f t="shared" si="3"/>
        <v/>
      </c>
      <c r="B10467" s="38"/>
      <c r="C10467" s="23"/>
      <c r="D10467" s="23"/>
      <c r="E10467" s="24"/>
      <c r="F10467" s="25"/>
      <c r="G10467" s="25"/>
      <c r="H10467" s="27"/>
      <c r="I10467" s="28"/>
      <c r="J10467" s="39"/>
      <c r="K10467" s="41"/>
      <c r="L10467" s="31" t="str">
        <f>IFERROR(__xludf.DUMMYFUNCTION("IF(OR(E10467="""",K10467=""""),"""",IFERROR(IF(K10467="""","""",query('tbl user'!$A$2:$D10975,""SELECT A WHERE D = '""&amp;K10467&amp;""'"")),""USER TIDAK DIKETAHUI""))"),"")</f>
        <v/>
      </c>
    </row>
    <row r="10468">
      <c r="A10468" s="21" t="str">
        <f t="shared" si="3"/>
        <v/>
      </c>
      <c r="B10468" s="38"/>
      <c r="C10468" s="23"/>
      <c r="D10468" s="23"/>
      <c r="E10468" s="24"/>
      <c r="F10468" s="25"/>
      <c r="G10468" s="25"/>
      <c r="H10468" s="27"/>
      <c r="I10468" s="28"/>
      <c r="J10468" s="39"/>
      <c r="K10468" s="41"/>
      <c r="L10468" s="31" t="str">
        <f>IFERROR(__xludf.DUMMYFUNCTION("IF(OR(E10468="""",K10468=""""),"""",IFERROR(IF(K10468="""","""",query('tbl user'!$A$2:$D10975,""SELECT A WHERE D = '""&amp;K10468&amp;""'"")),""USER TIDAK DIKETAHUI""))"),"")</f>
        <v/>
      </c>
    </row>
    <row r="10469">
      <c r="A10469" s="21" t="str">
        <f t="shared" si="3"/>
        <v/>
      </c>
      <c r="B10469" s="38"/>
      <c r="C10469" s="23"/>
      <c r="D10469" s="23"/>
      <c r="E10469" s="24"/>
      <c r="F10469" s="25"/>
      <c r="G10469" s="25"/>
      <c r="H10469" s="27"/>
      <c r="I10469" s="28"/>
      <c r="J10469" s="39"/>
      <c r="K10469" s="41"/>
      <c r="L10469" s="31" t="str">
        <f>IFERROR(__xludf.DUMMYFUNCTION("IF(OR(E10469="""",K10469=""""),"""",IFERROR(IF(K10469="""","""",query('tbl user'!$A$2:$D10975,""SELECT A WHERE D = '""&amp;K10469&amp;""'"")),""USER TIDAK DIKETAHUI""))"),"")</f>
        <v/>
      </c>
    </row>
    <row r="10470">
      <c r="A10470" s="21" t="str">
        <f t="shared" si="3"/>
        <v/>
      </c>
      <c r="B10470" s="38"/>
      <c r="C10470" s="23"/>
      <c r="D10470" s="23"/>
      <c r="E10470" s="24"/>
      <c r="F10470" s="25"/>
      <c r="G10470" s="25"/>
      <c r="H10470" s="27"/>
      <c r="I10470" s="28"/>
      <c r="J10470" s="39"/>
      <c r="K10470" s="41"/>
      <c r="L10470" s="31" t="str">
        <f>IFERROR(__xludf.DUMMYFUNCTION("IF(OR(E10470="""",K10470=""""),"""",IFERROR(IF(K10470="""","""",query('tbl user'!$A$2:$D10975,""SELECT A WHERE D = '""&amp;K10470&amp;""'"")),""USER TIDAK DIKETAHUI""))"),"")</f>
        <v/>
      </c>
    </row>
    <row r="10471">
      <c r="A10471" s="21" t="str">
        <f t="shared" si="3"/>
        <v/>
      </c>
      <c r="B10471" s="38"/>
      <c r="C10471" s="23"/>
      <c r="D10471" s="23"/>
      <c r="E10471" s="24"/>
      <c r="F10471" s="25"/>
      <c r="G10471" s="25"/>
      <c r="H10471" s="27"/>
      <c r="I10471" s="28"/>
      <c r="J10471" s="39"/>
      <c r="K10471" s="41"/>
      <c r="L10471" s="31" t="str">
        <f>IFERROR(__xludf.DUMMYFUNCTION("IF(OR(E10471="""",K10471=""""),"""",IFERROR(IF(K10471="""","""",query('tbl user'!$A$2:$D10975,""SELECT A WHERE D = '""&amp;K10471&amp;""'"")),""USER TIDAK DIKETAHUI""))"),"")</f>
        <v/>
      </c>
    </row>
    <row r="10472">
      <c r="A10472" s="21" t="str">
        <f t="shared" si="3"/>
        <v/>
      </c>
      <c r="B10472" s="38"/>
      <c r="C10472" s="23"/>
      <c r="D10472" s="23"/>
      <c r="E10472" s="24"/>
      <c r="F10472" s="25"/>
      <c r="G10472" s="25"/>
      <c r="H10472" s="27"/>
      <c r="I10472" s="28"/>
      <c r="J10472" s="39"/>
      <c r="K10472" s="41"/>
      <c r="L10472" s="31" t="str">
        <f>IFERROR(__xludf.DUMMYFUNCTION("IF(OR(E10472="""",K10472=""""),"""",IFERROR(IF(K10472="""","""",query('tbl user'!$A$2:$D10975,""SELECT A WHERE D = '""&amp;K10472&amp;""'"")),""USER TIDAK DIKETAHUI""))"),"")</f>
        <v/>
      </c>
    </row>
    <row r="10473">
      <c r="A10473" s="21" t="str">
        <f t="shared" si="3"/>
        <v/>
      </c>
      <c r="B10473" s="38"/>
      <c r="C10473" s="23"/>
      <c r="D10473" s="23"/>
      <c r="E10473" s="24"/>
      <c r="F10473" s="25"/>
      <c r="G10473" s="25"/>
      <c r="H10473" s="27"/>
      <c r="I10473" s="28"/>
      <c r="J10473" s="39"/>
      <c r="K10473" s="41"/>
      <c r="L10473" s="31" t="str">
        <f>IFERROR(__xludf.DUMMYFUNCTION("IF(OR(E10473="""",K10473=""""),"""",IFERROR(IF(K10473="""","""",query('tbl user'!$A$2:$D10975,""SELECT A WHERE D = '""&amp;K10473&amp;""'"")),""USER TIDAK DIKETAHUI""))"),"")</f>
        <v/>
      </c>
    </row>
    <row r="10474">
      <c r="A10474" s="21" t="str">
        <f t="shared" si="3"/>
        <v/>
      </c>
      <c r="B10474" s="38"/>
      <c r="C10474" s="23"/>
      <c r="D10474" s="23"/>
      <c r="E10474" s="24"/>
      <c r="F10474" s="25"/>
      <c r="G10474" s="25"/>
      <c r="H10474" s="27"/>
      <c r="I10474" s="28"/>
      <c r="J10474" s="39"/>
      <c r="K10474" s="41"/>
      <c r="L10474" s="31" t="str">
        <f>IFERROR(__xludf.DUMMYFUNCTION("IF(OR(E10474="""",K10474=""""),"""",IFERROR(IF(K10474="""","""",query('tbl user'!$A$2:$D10975,""SELECT A WHERE D = '""&amp;K10474&amp;""'"")),""USER TIDAK DIKETAHUI""))"),"")</f>
        <v/>
      </c>
    </row>
    <row r="10475">
      <c r="A10475" s="21" t="str">
        <f t="shared" si="3"/>
        <v/>
      </c>
      <c r="B10475" s="38"/>
      <c r="C10475" s="23"/>
      <c r="D10475" s="23"/>
      <c r="E10475" s="24"/>
      <c r="F10475" s="25"/>
      <c r="G10475" s="25"/>
      <c r="H10475" s="27"/>
      <c r="I10475" s="28"/>
      <c r="J10475" s="39"/>
      <c r="K10475" s="41"/>
      <c r="L10475" s="31" t="str">
        <f>IFERROR(__xludf.DUMMYFUNCTION("IF(OR(E10475="""",K10475=""""),"""",IFERROR(IF(K10475="""","""",query('tbl user'!$A$2:$D10975,""SELECT A WHERE D = '""&amp;K10475&amp;""'"")),""USER TIDAK DIKETAHUI""))"),"")</f>
        <v/>
      </c>
    </row>
    <row r="10476">
      <c r="A10476" s="21" t="str">
        <f t="shared" si="3"/>
        <v/>
      </c>
      <c r="B10476" s="38"/>
      <c r="C10476" s="23"/>
      <c r="D10476" s="23"/>
      <c r="E10476" s="24"/>
      <c r="F10476" s="25"/>
      <c r="G10476" s="25"/>
      <c r="H10476" s="27"/>
      <c r="I10476" s="28"/>
      <c r="J10476" s="39"/>
      <c r="K10476" s="41"/>
      <c r="L10476" s="31" t="str">
        <f>IFERROR(__xludf.DUMMYFUNCTION("IF(OR(E10476="""",K10476=""""),"""",IFERROR(IF(K10476="""","""",query('tbl user'!$A$2:$D10975,""SELECT A WHERE D = '""&amp;K10476&amp;""'"")),""USER TIDAK DIKETAHUI""))"),"")</f>
        <v/>
      </c>
    </row>
    <row r="10477">
      <c r="A10477" s="21" t="str">
        <f t="shared" si="3"/>
        <v/>
      </c>
      <c r="B10477" s="38"/>
      <c r="C10477" s="23"/>
      <c r="D10477" s="23"/>
      <c r="E10477" s="24"/>
      <c r="F10477" s="25"/>
      <c r="G10477" s="25"/>
      <c r="H10477" s="27"/>
      <c r="I10477" s="28"/>
      <c r="J10477" s="39"/>
      <c r="K10477" s="41"/>
      <c r="L10477" s="31" t="str">
        <f>IFERROR(__xludf.DUMMYFUNCTION("IF(OR(E10477="""",K10477=""""),"""",IFERROR(IF(K10477="""","""",query('tbl user'!$A$2:$D10975,""SELECT A WHERE D = '""&amp;K10477&amp;""'"")),""USER TIDAK DIKETAHUI""))"),"")</f>
        <v/>
      </c>
    </row>
    <row r="10478">
      <c r="A10478" s="21" t="str">
        <f t="shared" si="3"/>
        <v/>
      </c>
      <c r="B10478" s="38"/>
      <c r="C10478" s="23"/>
      <c r="D10478" s="23"/>
      <c r="E10478" s="24"/>
      <c r="F10478" s="25"/>
      <c r="G10478" s="25"/>
      <c r="H10478" s="27"/>
      <c r="I10478" s="28"/>
      <c r="J10478" s="39"/>
      <c r="K10478" s="41"/>
      <c r="L10478" s="31" t="str">
        <f>IFERROR(__xludf.DUMMYFUNCTION("IF(OR(E10478="""",K10478=""""),"""",IFERROR(IF(K10478="""","""",query('tbl user'!$A$2:$D10975,""SELECT A WHERE D = '""&amp;K10478&amp;""'"")),""USER TIDAK DIKETAHUI""))"),"")</f>
        <v/>
      </c>
    </row>
    <row r="10479">
      <c r="A10479" s="21" t="str">
        <f t="shared" si="3"/>
        <v/>
      </c>
      <c r="B10479" s="38"/>
      <c r="C10479" s="23"/>
      <c r="D10479" s="23"/>
      <c r="E10479" s="24"/>
      <c r="F10479" s="25"/>
      <c r="G10479" s="25"/>
      <c r="H10479" s="27"/>
      <c r="I10479" s="28"/>
      <c r="J10479" s="39"/>
      <c r="K10479" s="41"/>
      <c r="L10479" s="31" t="str">
        <f>IFERROR(__xludf.DUMMYFUNCTION("IF(OR(E10479="""",K10479=""""),"""",IFERROR(IF(K10479="""","""",query('tbl user'!$A$2:$D10975,""SELECT A WHERE D = '""&amp;K10479&amp;""'"")),""USER TIDAK DIKETAHUI""))"),"")</f>
        <v/>
      </c>
    </row>
    <row r="10480">
      <c r="A10480" s="21" t="str">
        <f t="shared" si="3"/>
        <v/>
      </c>
      <c r="B10480" s="38"/>
      <c r="C10480" s="23"/>
      <c r="D10480" s="23"/>
      <c r="E10480" s="24"/>
      <c r="F10480" s="25"/>
      <c r="G10480" s="25"/>
      <c r="H10480" s="27"/>
      <c r="I10480" s="28"/>
      <c r="J10480" s="39"/>
      <c r="K10480" s="41"/>
      <c r="L10480" s="31" t="str">
        <f>IFERROR(__xludf.DUMMYFUNCTION("IF(OR(E10480="""",K10480=""""),"""",IFERROR(IF(K10480="""","""",query('tbl user'!$A$2:$D10975,""SELECT A WHERE D = '""&amp;K10480&amp;""'"")),""USER TIDAK DIKETAHUI""))"),"")</f>
        <v/>
      </c>
    </row>
    <row r="10481">
      <c r="A10481" s="21" t="str">
        <f t="shared" si="3"/>
        <v/>
      </c>
      <c r="B10481" s="38"/>
      <c r="C10481" s="23"/>
      <c r="D10481" s="23"/>
      <c r="E10481" s="24"/>
      <c r="F10481" s="25"/>
      <c r="G10481" s="25"/>
      <c r="H10481" s="27"/>
      <c r="I10481" s="28"/>
      <c r="J10481" s="39"/>
      <c r="K10481" s="41"/>
      <c r="L10481" s="31" t="str">
        <f>IFERROR(__xludf.DUMMYFUNCTION("IF(OR(E10481="""",K10481=""""),"""",IFERROR(IF(K10481="""","""",query('tbl user'!$A$2:$D10975,""SELECT A WHERE D = '""&amp;K10481&amp;""'"")),""USER TIDAK DIKETAHUI""))"),"")</f>
        <v/>
      </c>
    </row>
    <row r="10482">
      <c r="A10482" s="21" t="str">
        <f t="shared" si="3"/>
        <v/>
      </c>
      <c r="B10482" s="38"/>
      <c r="C10482" s="23"/>
      <c r="D10482" s="23"/>
      <c r="E10482" s="24"/>
      <c r="F10482" s="25"/>
      <c r="G10482" s="25"/>
      <c r="H10482" s="27"/>
      <c r="I10482" s="28"/>
      <c r="J10482" s="39"/>
      <c r="K10482" s="41"/>
      <c r="L10482" s="31" t="str">
        <f>IFERROR(__xludf.DUMMYFUNCTION("IF(OR(E10482="""",K10482=""""),"""",IFERROR(IF(K10482="""","""",query('tbl user'!$A$2:$D10975,""SELECT A WHERE D = '""&amp;K10482&amp;""'"")),""USER TIDAK DIKETAHUI""))"),"")</f>
        <v/>
      </c>
    </row>
    <row r="10483">
      <c r="A10483" s="21" t="str">
        <f t="shared" si="3"/>
        <v/>
      </c>
      <c r="B10483" s="38"/>
      <c r="C10483" s="23"/>
      <c r="D10483" s="23"/>
      <c r="E10483" s="24"/>
      <c r="F10483" s="25"/>
      <c r="G10483" s="25"/>
      <c r="H10483" s="27"/>
      <c r="I10483" s="28"/>
      <c r="J10483" s="39"/>
      <c r="K10483" s="41"/>
      <c r="L10483" s="31" t="str">
        <f>IFERROR(__xludf.DUMMYFUNCTION("IF(OR(E10483="""",K10483=""""),"""",IFERROR(IF(K10483="""","""",query('tbl user'!$A$2:$D10975,""SELECT A WHERE D = '""&amp;K10483&amp;""'"")),""USER TIDAK DIKETAHUI""))"),"")</f>
        <v/>
      </c>
    </row>
    <row r="10484">
      <c r="A10484" s="21" t="str">
        <f t="shared" si="3"/>
        <v/>
      </c>
      <c r="B10484" s="38"/>
      <c r="C10484" s="23"/>
      <c r="D10484" s="23"/>
      <c r="E10484" s="24"/>
      <c r="F10484" s="25"/>
      <c r="G10484" s="25"/>
      <c r="H10484" s="27"/>
      <c r="I10484" s="28"/>
      <c r="J10484" s="39"/>
      <c r="K10484" s="41"/>
      <c r="L10484" s="31" t="str">
        <f>IFERROR(__xludf.DUMMYFUNCTION("IF(OR(E10484="""",K10484=""""),"""",IFERROR(IF(K10484="""","""",query('tbl user'!$A$2:$D10975,""SELECT A WHERE D = '""&amp;K10484&amp;""'"")),""USER TIDAK DIKETAHUI""))"),"")</f>
        <v/>
      </c>
    </row>
    <row r="10485">
      <c r="A10485" s="21" t="str">
        <f t="shared" si="3"/>
        <v/>
      </c>
      <c r="B10485" s="38"/>
      <c r="C10485" s="23"/>
      <c r="D10485" s="23"/>
      <c r="E10485" s="24"/>
      <c r="F10485" s="25"/>
      <c r="G10485" s="25"/>
      <c r="H10485" s="27"/>
      <c r="I10485" s="28"/>
      <c r="J10485" s="39"/>
      <c r="K10485" s="41"/>
      <c r="L10485" s="31" t="str">
        <f>IFERROR(__xludf.DUMMYFUNCTION("IF(OR(E10485="""",K10485=""""),"""",IFERROR(IF(K10485="""","""",query('tbl user'!$A$2:$D10975,""SELECT A WHERE D = '""&amp;K10485&amp;""'"")),""USER TIDAK DIKETAHUI""))"),"")</f>
        <v/>
      </c>
    </row>
    <row r="10486">
      <c r="A10486" s="21" t="str">
        <f t="shared" si="3"/>
        <v/>
      </c>
      <c r="B10486" s="38"/>
      <c r="C10486" s="23"/>
      <c r="D10486" s="23"/>
      <c r="E10486" s="24"/>
      <c r="F10486" s="25"/>
      <c r="G10486" s="25"/>
      <c r="H10486" s="27"/>
      <c r="I10486" s="28"/>
      <c r="J10486" s="39"/>
      <c r="K10486" s="41"/>
      <c r="L10486" s="31" t="str">
        <f>IFERROR(__xludf.DUMMYFUNCTION("IF(OR(E10486="""",K10486=""""),"""",IFERROR(IF(K10486="""","""",query('tbl user'!$A$2:$D10975,""SELECT A WHERE D = '""&amp;K10486&amp;""'"")),""USER TIDAK DIKETAHUI""))"),"")</f>
        <v/>
      </c>
    </row>
    <row r="10487">
      <c r="A10487" s="21" t="str">
        <f t="shared" si="3"/>
        <v/>
      </c>
      <c r="B10487" s="38"/>
      <c r="C10487" s="23"/>
      <c r="D10487" s="23"/>
      <c r="E10487" s="24"/>
      <c r="F10487" s="25"/>
      <c r="G10487" s="25"/>
      <c r="H10487" s="27"/>
      <c r="I10487" s="28"/>
      <c r="J10487" s="39"/>
      <c r="K10487" s="41"/>
      <c r="L10487" s="31" t="str">
        <f>IFERROR(__xludf.DUMMYFUNCTION("IF(OR(E10487="""",K10487=""""),"""",IFERROR(IF(K10487="""","""",query('tbl user'!$A$2:$D10975,""SELECT A WHERE D = '""&amp;K10487&amp;""'"")),""USER TIDAK DIKETAHUI""))"),"")</f>
        <v/>
      </c>
    </row>
    <row r="10488">
      <c r="A10488" s="21" t="str">
        <f t="shared" si="3"/>
        <v/>
      </c>
      <c r="B10488" s="38"/>
      <c r="C10488" s="23"/>
      <c r="D10488" s="23"/>
      <c r="E10488" s="24"/>
      <c r="F10488" s="25"/>
      <c r="G10488" s="25"/>
      <c r="H10488" s="27"/>
      <c r="I10488" s="28"/>
      <c r="J10488" s="39"/>
      <c r="K10488" s="41"/>
      <c r="L10488" s="31" t="str">
        <f>IFERROR(__xludf.DUMMYFUNCTION("IF(OR(E10488="""",K10488=""""),"""",IFERROR(IF(K10488="""","""",query('tbl user'!$A$2:$D10975,""SELECT A WHERE D = '""&amp;K10488&amp;""'"")),""USER TIDAK DIKETAHUI""))"),"")</f>
        <v/>
      </c>
    </row>
    <row r="10489">
      <c r="A10489" s="21" t="str">
        <f t="shared" si="3"/>
        <v/>
      </c>
      <c r="B10489" s="38"/>
      <c r="C10489" s="23"/>
      <c r="D10489" s="23"/>
      <c r="E10489" s="24"/>
      <c r="F10489" s="25"/>
      <c r="G10489" s="25"/>
      <c r="H10489" s="27"/>
      <c r="I10489" s="28"/>
      <c r="J10489" s="39"/>
      <c r="K10489" s="41"/>
      <c r="L10489" s="31" t="str">
        <f>IFERROR(__xludf.DUMMYFUNCTION("IF(OR(E10489="""",K10489=""""),"""",IFERROR(IF(K10489="""","""",query('tbl user'!$A$2:$D10975,""SELECT A WHERE D = '""&amp;K10489&amp;""'"")),""USER TIDAK DIKETAHUI""))"),"")</f>
        <v/>
      </c>
    </row>
    <row r="10490">
      <c r="A10490" s="21" t="str">
        <f t="shared" si="3"/>
        <v/>
      </c>
      <c r="B10490" s="38"/>
      <c r="C10490" s="23"/>
      <c r="D10490" s="23"/>
      <c r="E10490" s="24"/>
      <c r="F10490" s="25"/>
      <c r="G10490" s="25"/>
      <c r="H10490" s="27"/>
      <c r="I10490" s="28"/>
      <c r="J10490" s="39"/>
      <c r="K10490" s="41"/>
      <c r="L10490" s="31" t="str">
        <f>IFERROR(__xludf.DUMMYFUNCTION("IF(OR(E10490="""",K10490=""""),"""",IFERROR(IF(K10490="""","""",query('tbl user'!$A$2:$D10975,""SELECT A WHERE D = '""&amp;K10490&amp;""'"")),""USER TIDAK DIKETAHUI""))"),"")</f>
        <v/>
      </c>
    </row>
    <row r="10491">
      <c r="A10491" s="21" t="str">
        <f t="shared" si="3"/>
        <v/>
      </c>
      <c r="B10491" s="38"/>
      <c r="C10491" s="23"/>
      <c r="D10491" s="23"/>
      <c r="E10491" s="24"/>
      <c r="F10491" s="25"/>
      <c r="G10491" s="25"/>
      <c r="H10491" s="27"/>
      <c r="I10491" s="28"/>
      <c r="J10491" s="39"/>
      <c r="K10491" s="41"/>
      <c r="L10491" s="31" t="str">
        <f>IFERROR(__xludf.DUMMYFUNCTION("IF(OR(E10491="""",K10491=""""),"""",IFERROR(IF(K10491="""","""",query('tbl user'!$A$2:$D10975,""SELECT A WHERE D = '""&amp;K10491&amp;""'"")),""USER TIDAK DIKETAHUI""))"),"")</f>
        <v/>
      </c>
    </row>
    <row r="10492">
      <c r="A10492" s="21" t="str">
        <f t="shared" si="3"/>
        <v/>
      </c>
      <c r="B10492" s="38"/>
      <c r="C10492" s="23"/>
      <c r="D10492" s="23"/>
      <c r="E10492" s="24"/>
      <c r="F10492" s="25"/>
      <c r="G10492" s="25"/>
      <c r="H10492" s="27"/>
      <c r="I10492" s="28"/>
      <c r="J10492" s="39"/>
      <c r="K10492" s="41"/>
      <c r="L10492" s="31" t="str">
        <f>IFERROR(__xludf.DUMMYFUNCTION("IF(OR(E10492="""",K10492=""""),"""",IFERROR(IF(K10492="""","""",query('tbl user'!$A$2:$D10975,""SELECT A WHERE D = '""&amp;K10492&amp;""'"")),""USER TIDAK DIKETAHUI""))"),"")</f>
        <v/>
      </c>
    </row>
    <row r="10493">
      <c r="A10493" s="21" t="str">
        <f t="shared" si="3"/>
        <v/>
      </c>
      <c r="B10493" s="38"/>
      <c r="C10493" s="23"/>
      <c r="D10493" s="23"/>
      <c r="E10493" s="24"/>
      <c r="F10493" s="25"/>
      <c r="G10493" s="25"/>
      <c r="H10493" s="27"/>
      <c r="I10493" s="28"/>
      <c r="J10493" s="39"/>
      <c r="K10493" s="41"/>
      <c r="L10493" s="31" t="str">
        <f>IFERROR(__xludf.DUMMYFUNCTION("IF(OR(E10493="""",K10493=""""),"""",IFERROR(IF(K10493="""","""",query('tbl user'!$A$2:$D10975,""SELECT A WHERE D = '""&amp;K10493&amp;""'"")),""USER TIDAK DIKETAHUI""))"),"")</f>
        <v/>
      </c>
    </row>
    <row r="10494">
      <c r="A10494" s="21" t="str">
        <f t="shared" si="3"/>
        <v/>
      </c>
      <c r="B10494" s="38"/>
      <c r="C10494" s="23"/>
      <c r="D10494" s="23"/>
      <c r="E10494" s="24"/>
      <c r="F10494" s="25"/>
      <c r="G10494" s="25"/>
      <c r="H10494" s="27"/>
      <c r="I10494" s="28"/>
      <c r="J10494" s="39"/>
      <c r="K10494" s="41"/>
      <c r="L10494" s="31" t="str">
        <f>IFERROR(__xludf.DUMMYFUNCTION("IF(OR(E10494="""",K10494=""""),"""",IFERROR(IF(K10494="""","""",query('tbl user'!$A$2:$D10975,""SELECT A WHERE D = '""&amp;K10494&amp;""'"")),""USER TIDAK DIKETAHUI""))"),"")</f>
        <v/>
      </c>
    </row>
    <row r="10495">
      <c r="A10495" s="21" t="str">
        <f t="shared" si="3"/>
        <v/>
      </c>
      <c r="B10495" s="38"/>
      <c r="C10495" s="23"/>
      <c r="D10495" s="23"/>
      <c r="E10495" s="24"/>
      <c r="F10495" s="25"/>
      <c r="G10495" s="25"/>
      <c r="H10495" s="27"/>
      <c r="I10495" s="28"/>
      <c r="J10495" s="39"/>
      <c r="K10495" s="41"/>
      <c r="L10495" s="31" t="str">
        <f>IFERROR(__xludf.DUMMYFUNCTION("IF(OR(E10495="""",K10495=""""),"""",IFERROR(IF(K10495="""","""",query('tbl user'!$A$2:$D10975,""SELECT A WHERE D = '""&amp;K10495&amp;""'"")),""USER TIDAK DIKETAHUI""))"),"")</f>
        <v/>
      </c>
    </row>
    <row r="10496">
      <c r="A10496" s="21" t="str">
        <f t="shared" si="3"/>
        <v/>
      </c>
      <c r="B10496" s="38"/>
      <c r="C10496" s="23"/>
      <c r="D10496" s="23"/>
      <c r="E10496" s="24"/>
      <c r="F10496" s="25"/>
      <c r="G10496" s="25"/>
      <c r="H10496" s="27"/>
      <c r="I10496" s="28"/>
      <c r="J10496" s="39"/>
      <c r="K10496" s="41"/>
      <c r="L10496" s="31" t="str">
        <f>IFERROR(__xludf.DUMMYFUNCTION("IF(OR(E10496="""",K10496=""""),"""",IFERROR(IF(K10496="""","""",query('tbl user'!$A$2:$D10975,""SELECT A WHERE D = '""&amp;K10496&amp;""'"")),""USER TIDAK DIKETAHUI""))"),"")</f>
        <v/>
      </c>
    </row>
    <row r="10497">
      <c r="A10497" s="21" t="str">
        <f t="shared" si="3"/>
        <v/>
      </c>
      <c r="B10497" s="38"/>
      <c r="C10497" s="23"/>
      <c r="D10497" s="23"/>
      <c r="E10497" s="24"/>
      <c r="F10497" s="25"/>
      <c r="G10497" s="25"/>
      <c r="H10497" s="27"/>
      <c r="I10497" s="28"/>
      <c r="J10497" s="39"/>
      <c r="K10497" s="41"/>
      <c r="L10497" s="31" t="str">
        <f>IFERROR(__xludf.DUMMYFUNCTION("IF(OR(E10497="""",K10497=""""),"""",IFERROR(IF(K10497="""","""",query('tbl user'!$A$2:$D10975,""SELECT A WHERE D = '""&amp;K10497&amp;""'"")),""USER TIDAK DIKETAHUI""))"),"")</f>
        <v/>
      </c>
    </row>
    <row r="10498">
      <c r="A10498" s="21" t="str">
        <f t="shared" si="3"/>
        <v/>
      </c>
      <c r="B10498" s="38"/>
      <c r="C10498" s="23"/>
      <c r="D10498" s="23"/>
      <c r="E10498" s="24"/>
      <c r="F10498" s="25"/>
      <c r="G10498" s="25"/>
      <c r="H10498" s="27"/>
      <c r="I10498" s="28"/>
      <c r="J10498" s="39"/>
      <c r="K10498" s="41"/>
      <c r="L10498" s="31" t="str">
        <f>IFERROR(__xludf.DUMMYFUNCTION("IF(OR(E10498="""",K10498=""""),"""",IFERROR(IF(K10498="""","""",query('tbl user'!$A$2:$D10975,""SELECT A WHERE D = '""&amp;K10498&amp;""'"")),""USER TIDAK DIKETAHUI""))"),"")</f>
        <v/>
      </c>
    </row>
    <row r="10499">
      <c r="A10499" s="21" t="str">
        <f t="shared" si="3"/>
        <v/>
      </c>
      <c r="B10499" s="38"/>
      <c r="C10499" s="23"/>
      <c r="D10499" s="23"/>
      <c r="E10499" s="24"/>
      <c r="F10499" s="25"/>
      <c r="G10499" s="25"/>
      <c r="H10499" s="27"/>
      <c r="I10499" s="28"/>
      <c r="J10499" s="39"/>
      <c r="K10499" s="41"/>
      <c r="L10499" s="31" t="str">
        <f>IFERROR(__xludf.DUMMYFUNCTION("IF(OR(E10499="""",K10499=""""),"""",IFERROR(IF(K10499="""","""",query('tbl user'!$A$2:$D10975,""SELECT A WHERE D = '""&amp;K10499&amp;""'"")),""USER TIDAK DIKETAHUI""))"),"")</f>
        <v/>
      </c>
    </row>
    <row r="10500">
      <c r="A10500" s="21" t="str">
        <f t="shared" si="3"/>
        <v/>
      </c>
      <c r="B10500" s="38"/>
      <c r="C10500" s="23"/>
      <c r="D10500" s="23"/>
      <c r="E10500" s="24"/>
      <c r="F10500" s="25"/>
      <c r="G10500" s="25"/>
      <c r="H10500" s="27"/>
      <c r="I10500" s="28"/>
      <c r="J10500" s="39"/>
      <c r="K10500" s="41"/>
      <c r="L10500" s="31" t="str">
        <f>IFERROR(__xludf.DUMMYFUNCTION("IF(OR(E10500="""",K10500=""""),"""",IFERROR(IF(K10500="""","""",query('tbl user'!$A$2:$D10975,""SELECT A WHERE D = '""&amp;K10500&amp;""'"")),""USER TIDAK DIKETAHUI""))"),"")</f>
        <v/>
      </c>
    </row>
    <row r="10501">
      <c r="A10501" s="21" t="str">
        <f t="shared" si="3"/>
        <v/>
      </c>
      <c r="B10501" s="38"/>
      <c r="C10501" s="23"/>
      <c r="D10501" s="23"/>
      <c r="E10501" s="24"/>
      <c r="F10501" s="25"/>
      <c r="G10501" s="25"/>
      <c r="H10501" s="27"/>
      <c r="I10501" s="28"/>
      <c r="J10501" s="39"/>
      <c r="K10501" s="41"/>
      <c r="L10501" s="31" t="str">
        <f>IFERROR(__xludf.DUMMYFUNCTION("IF(OR(E10501="""",K10501=""""),"""",IFERROR(IF(K10501="""","""",query('tbl user'!$A$2:$D10975,""SELECT A WHERE D = '""&amp;K10501&amp;""'"")),""USER TIDAK DIKETAHUI""))"),"")</f>
        <v/>
      </c>
    </row>
    <row r="10502">
      <c r="A10502" s="21" t="str">
        <f t="shared" si="3"/>
        <v/>
      </c>
      <c r="B10502" s="38"/>
      <c r="C10502" s="23"/>
      <c r="D10502" s="23"/>
      <c r="E10502" s="24"/>
      <c r="F10502" s="25"/>
      <c r="G10502" s="25"/>
      <c r="H10502" s="27"/>
      <c r="I10502" s="28"/>
      <c r="J10502" s="39"/>
      <c r="K10502" s="41"/>
      <c r="L10502" s="31" t="str">
        <f>IFERROR(__xludf.DUMMYFUNCTION("IF(OR(E10502="""",K10502=""""),"""",IFERROR(IF(K10502="""","""",query('tbl user'!$A$2:$D10975,""SELECT A WHERE D = '""&amp;K10502&amp;""'"")),""USER TIDAK DIKETAHUI""))"),"")</f>
        <v/>
      </c>
    </row>
    <row r="10503">
      <c r="A10503" s="21" t="str">
        <f t="shared" si="3"/>
        <v/>
      </c>
      <c r="B10503" s="38"/>
      <c r="C10503" s="23"/>
      <c r="D10503" s="23"/>
      <c r="E10503" s="24"/>
      <c r="F10503" s="25"/>
      <c r="G10503" s="25"/>
      <c r="H10503" s="27"/>
      <c r="I10503" s="28"/>
      <c r="J10503" s="39"/>
      <c r="K10503" s="41"/>
      <c r="L10503" s="31" t="str">
        <f>IFERROR(__xludf.DUMMYFUNCTION("IF(OR(E10503="""",K10503=""""),"""",IFERROR(IF(K10503="""","""",query('tbl user'!$A$2:$D10975,""SELECT A WHERE D = '""&amp;K10503&amp;""'"")),""USER TIDAK DIKETAHUI""))"),"")</f>
        <v/>
      </c>
    </row>
    <row r="10504">
      <c r="A10504" s="21" t="str">
        <f t="shared" si="3"/>
        <v/>
      </c>
      <c r="B10504" s="38"/>
      <c r="C10504" s="23"/>
      <c r="D10504" s="23"/>
      <c r="E10504" s="24"/>
      <c r="F10504" s="25"/>
      <c r="G10504" s="25"/>
      <c r="H10504" s="27"/>
      <c r="I10504" s="28"/>
      <c r="J10504" s="39"/>
      <c r="K10504" s="41"/>
      <c r="L10504" s="31" t="str">
        <f>IFERROR(__xludf.DUMMYFUNCTION("IF(OR(E10504="""",K10504=""""),"""",IFERROR(IF(K10504="""","""",query('tbl user'!$A$2:$D10975,""SELECT A WHERE D = '""&amp;K10504&amp;""'"")),""USER TIDAK DIKETAHUI""))"),"")</f>
        <v/>
      </c>
    </row>
    <row r="10505">
      <c r="A10505" s="21" t="str">
        <f t="shared" si="3"/>
        <v/>
      </c>
      <c r="B10505" s="38"/>
      <c r="C10505" s="23"/>
      <c r="D10505" s="23"/>
      <c r="E10505" s="24"/>
      <c r="F10505" s="25"/>
      <c r="G10505" s="25"/>
      <c r="H10505" s="27"/>
      <c r="I10505" s="28"/>
      <c r="J10505" s="39"/>
      <c r="K10505" s="41"/>
      <c r="L10505" s="31" t="str">
        <f>IFERROR(__xludf.DUMMYFUNCTION("IF(OR(E10505="""",K10505=""""),"""",IFERROR(IF(K10505="""","""",query('tbl user'!$A$2:$D10975,""SELECT A WHERE D = '""&amp;K10505&amp;""'"")),""USER TIDAK DIKETAHUI""))"),"")</f>
        <v/>
      </c>
    </row>
    <row r="10506">
      <c r="A10506" s="21" t="str">
        <f t="shared" si="3"/>
        <v/>
      </c>
      <c r="B10506" s="38"/>
      <c r="C10506" s="23"/>
      <c r="D10506" s="23"/>
      <c r="E10506" s="24"/>
      <c r="F10506" s="25"/>
      <c r="G10506" s="25"/>
      <c r="H10506" s="27"/>
      <c r="I10506" s="28"/>
      <c r="J10506" s="39"/>
      <c r="K10506" s="41"/>
      <c r="L10506" s="31" t="str">
        <f>IFERROR(__xludf.DUMMYFUNCTION("IF(OR(E10506="""",K10506=""""),"""",IFERROR(IF(K10506="""","""",query('tbl user'!$A$2:$D10975,""SELECT A WHERE D = '""&amp;K10506&amp;""'"")),""USER TIDAK DIKETAHUI""))"),"")</f>
        <v/>
      </c>
    </row>
    <row r="10507">
      <c r="A10507" s="21" t="str">
        <f t="shared" si="3"/>
        <v/>
      </c>
      <c r="B10507" s="38"/>
      <c r="C10507" s="23"/>
      <c r="D10507" s="23"/>
      <c r="E10507" s="24"/>
      <c r="F10507" s="25"/>
      <c r="G10507" s="25"/>
      <c r="H10507" s="27"/>
      <c r="I10507" s="28"/>
      <c r="J10507" s="39"/>
      <c r="K10507" s="41"/>
      <c r="L10507" s="31" t="str">
        <f>IFERROR(__xludf.DUMMYFUNCTION("IF(OR(E10507="""",K10507=""""),"""",IFERROR(IF(K10507="""","""",query('tbl user'!$A$2:$D10975,""SELECT A WHERE D = '""&amp;K10507&amp;""'"")),""USER TIDAK DIKETAHUI""))"),"")</f>
        <v/>
      </c>
    </row>
    <row r="10508">
      <c r="A10508" s="21" t="str">
        <f t="shared" si="3"/>
        <v/>
      </c>
      <c r="B10508" s="38"/>
      <c r="C10508" s="23"/>
      <c r="D10508" s="23"/>
      <c r="E10508" s="24"/>
      <c r="F10508" s="25"/>
      <c r="G10508" s="25"/>
      <c r="H10508" s="27"/>
      <c r="I10508" s="28"/>
      <c r="J10508" s="39"/>
      <c r="K10508" s="41"/>
      <c r="L10508" s="31" t="str">
        <f>IFERROR(__xludf.DUMMYFUNCTION("IF(OR(E10508="""",K10508=""""),"""",IFERROR(IF(K10508="""","""",query('tbl user'!$A$2:$D10975,""SELECT A WHERE D = '""&amp;K10508&amp;""'"")),""USER TIDAK DIKETAHUI""))"),"")</f>
        <v/>
      </c>
    </row>
    <row r="10509">
      <c r="A10509" s="21" t="str">
        <f t="shared" si="3"/>
        <v/>
      </c>
      <c r="B10509" s="38"/>
      <c r="C10509" s="23"/>
      <c r="D10509" s="23"/>
      <c r="E10509" s="24"/>
      <c r="F10509" s="25"/>
      <c r="G10509" s="25"/>
      <c r="H10509" s="27"/>
      <c r="I10509" s="28"/>
      <c r="J10509" s="39"/>
      <c r="K10509" s="41"/>
      <c r="L10509" s="31" t="str">
        <f>IFERROR(__xludf.DUMMYFUNCTION("IF(OR(E10509="""",K10509=""""),"""",IFERROR(IF(K10509="""","""",query('tbl user'!$A$2:$D10975,""SELECT A WHERE D = '""&amp;K10509&amp;""'"")),""USER TIDAK DIKETAHUI""))"),"")</f>
        <v/>
      </c>
    </row>
    <row r="10510">
      <c r="A10510" s="21" t="str">
        <f t="shared" si="3"/>
        <v/>
      </c>
      <c r="B10510" s="38"/>
      <c r="C10510" s="23"/>
      <c r="D10510" s="23"/>
      <c r="E10510" s="24"/>
      <c r="F10510" s="25"/>
      <c r="G10510" s="25"/>
      <c r="H10510" s="27"/>
      <c r="I10510" s="28"/>
      <c r="J10510" s="39"/>
      <c r="K10510" s="41"/>
      <c r="L10510" s="31" t="str">
        <f>IFERROR(__xludf.DUMMYFUNCTION("IF(OR(E10510="""",K10510=""""),"""",IFERROR(IF(K10510="""","""",query('tbl user'!$A$2:$D10975,""SELECT A WHERE D = '""&amp;K10510&amp;""'"")),""USER TIDAK DIKETAHUI""))"),"")</f>
        <v/>
      </c>
    </row>
    <row r="10511">
      <c r="A10511" s="21" t="str">
        <f t="shared" si="3"/>
        <v/>
      </c>
      <c r="B10511" s="38"/>
      <c r="C10511" s="23"/>
      <c r="D10511" s="23"/>
      <c r="E10511" s="24"/>
      <c r="F10511" s="25"/>
      <c r="G10511" s="25"/>
      <c r="H10511" s="27"/>
      <c r="I10511" s="28"/>
      <c r="J10511" s="39"/>
      <c r="K10511" s="41"/>
      <c r="L10511" s="31" t="str">
        <f>IFERROR(__xludf.DUMMYFUNCTION("IF(OR(E10511="""",K10511=""""),"""",IFERROR(IF(K10511="""","""",query('tbl user'!$A$2:$D10975,""SELECT A WHERE D = '""&amp;K10511&amp;""'"")),""USER TIDAK DIKETAHUI""))"),"")</f>
        <v/>
      </c>
    </row>
    <row r="10512">
      <c r="A10512" s="21" t="str">
        <f t="shared" si="3"/>
        <v/>
      </c>
      <c r="B10512" s="38"/>
      <c r="C10512" s="23"/>
      <c r="D10512" s="23"/>
      <c r="E10512" s="24"/>
      <c r="F10512" s="25"/>
      <c r="G10512" s="25"/>
      <c r="H10512" s="27"/>
      <c r="I10512" s="28"/>
      <c r="J10512" s="39"/>
      <c r="K10512" s="41"/>
      <c r="L10512" s="31" t="str">
        <f>IFERROR(__xludf.DUMMYFUNCTION("IF(OR(E10512="""",K10512=""""),"""",IFERROR(IF(K10512="""","""",query('tbl user'!$A$2:$D10975,""SELECT A WHERE D = '""&amp;K10512&amp;""'"")),""USER TIDAK DIKETAHUI""))"),"")</f>
        <v/>
      </c>
    </row>
    <row r="10513">
      <c r="A10513" s="21" t="str">
        <f t="shared" si="3"/>
        <v/>
      </c>
      <c r="B10513" s="38"/>
      <c r="C10513" s="23"/>
      <c r="D10513" s="23"/>
      <c r="E10513" s="24"/>
      <c r="F10513" s="25"/>
      <c r="G10513" s="25"/>
      <c r="H10513" s="27"/>
      <c r="I10513" s="28"/>
      <c r="J10513" s="39"/>
      <c r="K10513" s="41"/>
      <c r="L10513" s="31" t="str">
        <f>IFERROR(__xludf.DUMMYFUNCTION("IF(OR(E10513="""",K10513=""""),"""",IFERROR(IF(K10513="""","""",query('tbl user'!$A$2:$D10975,""SELECT A WHERE D = '""&amp;K10513&amp;""'"")),""USER TIDAK DIKETAHUI""))"),"")</f>
        <v/>
      </c>
    </row>
    <row r="10514">
      <c r="A10514" s="21" t="str">
        <f t="shared" si="3"/>
        <v/>
      </c>
      <c r="B10514" s="38"/>
      <c r="C10514" s="23"/>
      <c r="D10514" s="23"/>
      <c r="E10514" s="24"/>
      <c r="F10514" s="25"/>
      <c r="G10514" s="25"/>
      <c r="H10514" s="27"/>
      <c r="I10514" s="28"/>
      <c r="J10514" s="39"/>
      <c r="K10514" s="41"/>
      <c r="L10514" s="31" t="str">
        <f>IFERROR(__xludf.DUMMYFUNCTION("IF(OR(E10514="""",K10514=""""),"""",IFERROR(IF(K10514="""","""",query('tbl user'!$A$2:$D10975,""SELECT A WHERE D = '""&amp;K10514&amp;""'"")),""USER TIDAK DIKETAHUI""))"),"")</f>
        <v/>
      </c>
    </row>
    <row r="10515">
      <c r="A10515" s="21" t="str">
        <f t="shared" si="3"/>
        <v/>
      </c>
      <c r="B10515" s="38"/>
      <c r="C10515" s="23"/>
      <c r="D10515" s="23"/>
      <c r="E10515" s="24"/>
      <c r="F10515" s="25"/>
      <c r="G10515" s="25"/>
      <c r="H10515" s="27"/>
      <c r="I10515" s="28"/>
      <c r="J10515" s="39"/>
      <c r="K10515" s="41"/>
      <c r="L10515" s="31" t="str">
        <f>IFERROR(__xludf.DUMMYFUNCTION("IF(OR(E10515="""",K10515=""""),"""",IFERROR(IF(K10515="""","""",query('tbl user'!$A$2:$D10975,""SELECT A WHERE D = '""&amp;K10515&amp;""'"")),""USER TIDAK DIKETAHUI""))"),"")</f>
        <v/>
      </c>
    </row>
    <row r="10516">
      <c r="A10516" s="21" t="str">
        <f t="shared" si="3"/>
        <v/>
      </c>
      <c r="B10516" s="38"/>
      <c r="C10516" s="23"/>
      <c r="D10516" s="23"/>
      <c r="E10516" s="24"/>
      <c r="F10516" s="25"/>
      <c r="G10516" s="25"/>
      <c r="H10516" s="27"/>
      <c r="I10516" s="28"/>
      <c r="J10516" s="39"/>
      <c r="K10516" s="41"/>
      <c r="L10516" s="31" t="str">
        <f>IFERROR(__xludf.DUMMYFUNCTION("IF(OR(E10516="""",K10516=""""),"""",IFERROR(IF(K10516="""","""",query('tbl user'!$A$2:$D10975,""SELECT A WHERE D = '""&amp;K10516&amp;""'"")),""USER TIDAK DIKETAHUI""))"),"")</f>
        <v/>
      </c>
    </row>
    <row r="10517">
      <c r="A10517" s="21" t="str">
        <f t="shared" si="3"/>
        <v/>
      </c>
      <c r="B10517" s="38"/>
      <c r="C10517" s="23"/>
      <c r="D10517" s="23"/>
      <c r="E10517" s="24"/>
      <c r="F10517" s="25"/>
      <c r="G10517" s="25"/>
      <c r="H10517" s="27"/>
      <c r="I10517" s="28"/>
      <c r="J10517" s="39"/>
      <c r="K10517" s="41"/>
      <c r="L10517" s="31" t="str">
        <f>IFERROR(__xludf.DUMMYFUNCTION("IF(OR(E10517="""",K10517=""""),"""",IFERROR(IF(K10517="""","""",query('tbl user'!$A$2:$D10975,""SELECT A WHERE D = '""&amp;K10517&amp;""'"")),""USER TIDAK DIKETAHUI""))"),"")</f>
        <v/>
      </c>
    </row>
    <row r="10518">
      <c r="A10518" s="21" t="str">
        <f t="shared" si="3"/>
        <v/>
      </c>
      <c r="B10518" s="38"/>
      <c r="C10518" s="23"/>
      <c r="D10518" s="23"/>
      <c r="E10518" s="24"/>
      <c r="F10518" s="25"/>
      <c r="G10518" s="25"/>
      <c r="H10518" s="27"/>
      <c r="I10518" s="28"/>
      <c r="J10518" s="39"/>
      <c r="K10518" s="41"/>
      <c r="L10518" s="31" t="str">
        <f>IFERROR(__xludf.DUMMYFUNCTION("IF(OR(E10518="""",K10518=""""),"""",IFERROR(IF(K10518="""","""",query('tbl user'!$A$2:$D10975,""SELECT A WHERE D = '""&amp;K10518&amp;""'"")),""USER TIDAK DIKETAHUI""))"),"")</f>
        <v/>
      </c>
    </row>
    <row r="10519">
      <c r="A10519" s="21" t="str">
        <f t="shared" si="3"/>
        <v/>
      </c>
      <c r="B10519" s="38"/>
      <c r="C10519" s="23"/>
      <c r="D10519" s="23"/>
      <c r="E10519" s="24"/>
      <c r="F10519" s="25"/>
      <c r="G10519" s="25"/>
      <c r="H10519" s="27"/>
      <c r="I10519" s="28"/>
      <c r="J10519" s="39"/>
      <c r="K10519" s="41"/>
      <c r="L10519" s="31" t="str">
        <f>IFERROR(__xludf.DUMMYFUNCTION("IF(OR(E10519="""",K10519=""""),"""",IFERROR(IF(K10519="""","""",query('tbl user'!$A$2:$D10975,""SELECT A WHERE D = '""&amp;K10519&amp;""'"")),""USER TIDAK DIKETAHUI""))"),"")</f>
        <v/>
      </c>
    </row>
    <row r="10520">
      <c r="A10520" s="21" t="str">
        <f t="shared" si="3"/>
        <v/>
      </c>
      <c r="B10520" s="38"/>
      <c r="C10520" s="23"/>
      <c r="D10520" s="23"/>
      <c r="E10520" s="24"/>
      <c r="F10520" s="25"/>
      <c r="G10520" s="25"/>
      <c r="H10520" s="27"/>
      <c r="I10520" s="28"/>
      <c r="J10520" s="39"/>
      <c r="K10520" s="41"/>
      <c r="L10520" s="31" t="str">
        <f>IFERROR(__xludf.DUMMYFUNCTION("IF(OR(E10520="""",K10520=""""),"""",IFERROR(IF(K10520="""","""",query('tbl user'!$A$2:$D10975,""SELECT A WHERE D = '""&amp;K10520&amp;""'"")),""USER TIDAK DIKETAHUI""))"),"")</f>
        <v/>
      </c>
    </row>
    <row r="10521">
      <c r="A10521" s="21" t="str">
        <f t="shared" si="3"/>
        <v/>
      </c>
      <c r="B10521" s="38"/>
      <c r="C10521" s="23"/>
      <c r="D10521" s="23"/>
      <c r="E10521" s="24"/>
      <c r="F10521" s="25"/>
      <c r="G10521" s="25"/>
      <c r="H10521" s="27"/>
      <c r="I10521" s="28"/>
      <c r="J10521" s="39"/>
      <c r="K10521" s="41"/>
      <c r="L10521" s="31" t="str">
        <f>IFERROR(__xludf.DUMMYFUNCTION("IF(OR(E10521="""",K10521=""""),"""",IFERROR(IF(K10521="""","""",query('tbl user'!$A$2:$D10975,""SELECT A WHERE D = '""&amp;K10521&amp;""'"")),""USER TIDAK DIKETAHUI""))"),"")</f>
        <v/>
      </c>
    </row>
    <row r="10522">
      <c r="A10522" s="21" t="str">
        <f t="shared" si="3"/>
        <v/>
      </c>
      <c r="B10522" s="38"/>
      <c r="C10522" s="23"/>
      <c r="D10522" s="23"/>
      <c r="E10522" s="24"/>
      <c r="F10522" s="25"/>
      <c r="G10522" s="25"/>
      <c r="H10522" s="27"/>
      <c r="I10522" s="28"/>
      <c r="J10522" s="39"/>
      <c r="K10522" s="41"/>
      <c r="L10522" s="31" t="str">
        <f>IFERROR(__xludf.DUMMYFUNCTION("IF(OR(E10522="""",K10522=""""),"""",IFERROR(IF(K10522="""","""",query('tbl user'!$A$2:$D10975,""SELECT A WHERE D = '""&amp;K10522&amp;""'"")),""USER TIDAK DIKETAHUI""))"),"")</f>
        <v/>
      </c>
    </row>
    <row r="10523">
      <c r="A10523" s="21" t="str">
        <f t="shared" si="3"/>
        <v/>
      </c>
      <c r="B10523" s="38"/>
      <c r="C10523" s="23"/>
      <c r="D10523" s="23"/>
      <c r="E10523" s="24"/>
      <c r="F10523" s="25"/>
      <c r="G10523" s="25"/>
      <c r="H10523" s="27"/>
      <c r="I10523" s="28"/>
      <c r="J10523" s="39"/>
      <c r="K10523" s="41"/>
      <c r="L10523" s="31" t="str">
        <f>IFERROR(__xludf.DUMMYFUNCTION("IF(OR(E10523="""",K10523=""""),"""",IFERROR(IF(K10523="""","""",query('tbl user'!$A$2:$D10975,""SELECT A WHERE D = '""&amp;K10523&amp;""'"")),""USER TIDAK DIKETAHUI""))"),"")</f>
        <v/>
      </c>
    </row>
    <row r="10524">
      <c r="A10524" s="21" t="str">
        <f t="shared" si="3"/>
        <v/>
      </c>
      <c r="B10524" s="38"/>
      <c r="C10524" s="23"/>
      <c r="D10524" s="23"/>
      <c r="E10524" s="24"/>
      <c r="F10524" s="25"/>
      <c r="G10524" s="25"/>
      <c r="H10524" s="27"/>
      <c r="I10524" s="28"/>
      <c r="J10524" s="39"/>
      <c r="K10524" s="41"/>
      <c r="L10524" s="31" t="str">
        <f>IFERROR(__xludf.DUMMYFUNCTION("IF(OR(E10524="""",K10524=""""),"""",IFERROR(IF(K10524="""","""",query('tbl user'!$A$2:$D10975,""SELECT A WHERE D = '""&amp;K10524&amp;""'"")),""USER TIDAK DIKETAHUI""))"),"")</f>
        <v/>
      </c>
    </row>
    <row r="10525">
      <c r="A10525" s="21" t="str">
        <f t="shared" si="3"/>
        <v/>
      </c>
      <c r="B10525" s="38"/>
      <c r="C10525" s="23"/>
      <c r="D10525" s="23"/>
      <c r="E10525" s="24"/>
      <c r="F10525" s="25"/>
      <c r="G10525" s="25"/>
      <c r="H10525" s="27"/>
      <c r="I10525" s="28"/>
      <c r="J10525" s="39"/>
      <c r="K10525" s="41"/>
      <c r="L10525" s="31" t="str">
        <f>IFERROR(__xludf.DUMMYFUNCTION("IF(OR(E10525="""",K10525=""""),"""",IFERROR(IF(K10525="""","""",query('tbl user'!$A$2:$D10975,""SELECT A WHERE D = '""&amp;K10525&amp;""'"")),""USER TIDAK DIKETAHUI""))"),"")</f>
        <v/>
      </c>
    </row>
    <row r="10526">
      <c r="A10526" s="21" t="str">
        <f t="shared" si="3"/>
        <v/>
      </c>
      <c r="B10526" s="38"/>
      <c r="C10526" s="23"/>
      <c r="D10526" s="23"/>
      <c r="E10526" s="24"/>
      <c r="F10526" s="25"/>
      <c r="G10526" s="25"/>
      <c r="H10526" s="27"/>
      <c r="I10526" s="28"/>
      <c r="J10526" s="39"/>
      <c r="K10526" s="41"/>
      <c r="L10526" s="31" t="str">
        <f>IFERROR(__xludf.DUMMYFUNCTION("IF(OR(E10526="""",K10526=""""),"""",IFERROR(IF(K10526="""","""",query('tbl user'!$A$2:$D10975,""SELECT A WHERE D = '""&amp;K10526&amp;""'"")),""USER TIDAK DIKETAHUI""))"),"")</f>
        <v/>
      </c>
    </row>
    <row r="10527">
      <c r="A10527" s="21" t="str">
        <f t="shared" si="3"/>
        <v/>
      </c>
      <c r="B10527" s="38"/>
      <c r="C10527" s="23"/>
      <c r="D10527" s="23"/>
      <c r="E10527" s="24"/>
      <c r="F10527" s="25"/>
      <c r="G10527" s="25"/>
      <c r="H10527" s="27"/>
      <c r="I10527" s="28"/>
      <c r="J10527" s="39"/>
      <c r="K10527" s="41"/>
      <c r="L10527" s="31" t="str">
        <f>IFERROR(__xludf.DUMMYFUNCTION("IF(OR(E10527="""",K10527=""""),"""",IFERROR(IF(K10527="""","""",query('tbl user'!$A$2:$D10975,""SELECT A WHERE D = '""&amp;K10527&amp;""'"")),""USER TIDAK DIKETAHUI""))"),"")</f>
        <v/>
      </c>
    </row>
    <row r="10528">
      <c r="A10528" s="21" t="str">
        <f t="shared" si="3"/>
        <v/>
      </c>
      <c r="B10528" s="38"/>
      <c r="C10528" s="23"/>
      <c r="D10528" s="23"/>
      <c r="E10528" s="24"/>
      <c r="F10528" s="25"/>
      <c r="G10528" s="25"/>
      <c r="H10528" s="27"/>
      <c r="I10528" s="28"/>
      <c r="J10528" s="39"/>
      <c r="K10528" s="41"/>
      <c r="L10528" s="31" t="str">
        <f>IFERROR(__xludf.DUMMYFUNCTION("IF(OR(E10528="""",K10528=""""),"""",IFERROR(IF(K10528="""","""",query('tbl user'!$A$2:$D10975,""SELECT A WHERE D = '""&amp;K10528&amp;""'"")),""USER TIDAK DIKETAHUI""))"),"")</f>
        <v/>
      </c>
    </row>
    <row r="10529">
      <c r="A10529" s="21" t="str">
        <f t="shared" si="3"/>
        <v/>
      </c>
      <c r="B10529" s="38"/>
      <c r="C10529" s="23"/>
      <c r="D10529" s="23"/>
      <c r="E10529" s="24"/>
      <c r="F10529" s="25"/>
      <c r="G10529" s="25"/>
      <c r="H10529" s="27"/>
      <c r="I10529" s="28"/>
      <c r="J10529" s="39"/>
      <c r="K10529" s="41"/>
      <c r="L10529" s="31" t="str">
        <f>IFERROR(__xludf.DUMMYFUNCTION("IF(OR(E10529="""",K10529=""""),"""",IFERROR(IF(K10529="""","""",query('tbl user'!$A$2:$D10975,""SELECT A WHERE D = '""&amp;K10529&amp;""'"")),""USER TIDAK DIKETAHUI""))"),"")</f>
        <v/>
      </c>
    </row>
    <row r="10530">
      <c r="A10530" s="21" t="str">
        <f t="shared" si="3"/>
        <v/>
      </c>
      <c r="B10530" s="38"/>
      <c r="C10530" s="23"/>
      <c r="D10530" s="23"/>
      <c r="E10530" s="24"/>
      <c r="F10530" s="25"/>
      <c r="G10530" s="25"/>
      <c r="H10530" s="27"/>
      <c r="I10530" s="28"/>
      <c r="J10530" s="39"/>
      <c r="K10530" s="41"/>
      <c r="L10530" s="31" t="str">
        <f>IFERROR(__xludf.DUMMYFUNCTION("IF(OR(E10530="""",K10530=""""),"""",IFERROR(IF(K10530="""","""",query('tbl user'!$A$2:$D10975,""SELECT A WHERE D = '""&amp;K10530&amp;""'"")),""USER TIDAK DIKETAHUI""))"),"")</f>
        <v/>
      </c>
    </row>
    <row r="10531">
      <c r="A10531" s="21" t="str">
        <f t="shared" si="3"/>
        <v/>
      </c>
      <c r="B10531" s="38"/>
      <c r="C10531" s="23"/>
      <c r="D10531" s="23"/>
      <c r="E10531" s="24"/>
      <c r="F10531" s="25"/>
      <c r="G10531" s="25"/>
      <c r="H10531" s="27"/>
      <c r="I10531" s="28"/>
      <c r="J10531" s="39"/>
      <c r="K10531" s="41"/>
      <c r="L10531" s="31" t="str">
        <f>IFERROR(__xludf.DUMMYFUNCTION("IF(OR(E10531="""",K10531=""""),"""",IFERROR(IF(K10531="""","""",query('tbl user'!$A$2:$D10975,""SELECT A WHERE D = '""&amp;K10531&amp;""'"")),""USER TIDAK DIKETAHUI""))"),"")</f>
        <v/>
      </c>
    </row>
    <row r="10532">
      <c r="A10532" s="21" t="str">
        <f t="shared" si="3"/>
        <v/>
      </c>
      <c r="B10532" s="38"/>
      <c r="C10532" s="23"/>
      <c r="D10532" s="23"/>
      <c r="E10532" s="24"/>
      <c r="F10532" s="25"/>
      <c r="G10532" s="25"/>
      <c r="H10532" s="27"/>
      <c r="I10532" s="28"/>
      <c r="J10532" s="39"/>
      <c r="K10532" s="41"/>
      <c r="L10532" s="31" t="str">
        <f>IFERROR(__xludf.DUMMYFUNCTION("IF(OR(E10532="""",K10532=""""),"""",IFERROR(IF(K10532="""","""",query('tbl user'!$A$2:$D10975,""SELECT A WHERE D = '""&amp;K10532&amp;""'"")),""USER TIDAK DIKETAHUI""))"),"")</f>
        <v/>
      </c>
    </row>
    <row r="10533">
      <c r="A10533" s="21" t="str">
        <f t="shared" si="3"/>
        <v/>
      </c>
      <c r="B10533" s="38"/>
      <c r="C10533" s="23"/>
      <c r="D10533" s="23"/>
      <c r="E10533" s="24"/>
      <c r="F10533" s="25"/>
      <c r="G10533" s="25"/>
      <c r="H10533" s="27"/>
      <c r="I10533" s="28"/>
      <c r="J10533" s="39"/>
      <c r="K10533" s="41"/>
      <c r="L10533" s="31" t="str">
        <f>IFERROR(__xludf.DUMMYFUNCTION("IF(OR(E10533="""",K10533=""""),"""",IFERROR(IF(K10533="""","""",query('tbl user'!$A$2:$D10975,""SELECT A WHERE D = '""&amp;K10533&amp;""'"")),""USER TIDAK DIKETAHUI""))"),"")</f>
        <v/>
      </c>
    </row>
    <row r="10534">
      <c r="A10534" s="21" t="str">
        <f t="shared" si="3"/>
        <v/>
      </c>
      <c r="B10534" s="38"/>
      <c r="C10534" s="23"/>
      <c r="D10534" s="23"/>
      <c r="E10534" s="24"/>
      <c r="F10534" s="25"/>
      <c r="G10534" s="25"/>
      <c r="H10534" s="27"/>
      <c r="I10534" s="28"/>
      <c r="J10534" s="39"/>
      <c r="K10534" s="41"/>
      <c r="L10534" s="31" t="str">
        <f>IFERROR(__xludf.DUMMYFUNCTION("IF(OR(E10534="""",K10534=""""),"""",IFERROR(IF(K10534="""","""",query('tbl user'!$A$2:$D10975,""SELECT A WHERE D = '""&amp;K10534&amp;""'"")),""USER TIDAK DIKETAHUI""))"),"")</f>
        <v/>
      </c>
    </row>
    <row r="10535">
      <c r="A10535" s="21" t="str">
        <f t="shared" si="3"/>
        <v/>
      </c>
      <c r="B10535" s="38"/>
      <c r="C10535" s="23"/>
      <c r="D10535" s="23"/>
      <c r="E10535" s="24"/>
      <c r="F10535" s="25"/>
      <c r="G10535" s="25"/>
      <c r="H10535" s="27"/>
      <c r="I10535" s="28"/>
      <c r="J10535" s="39"/>
      <c r="K10535" s="41"/>
      <c r="L10535" s="31" t="str">
        <f>IFERROR(__xludf.DUMMYFUNCTION("IF(OR(E10535="""",K10535=""""),"""",IFERROR(IF(K10535="""","""",query('tbl user'!$A$2:$D10975,""SELECT A WHERE D = '""&amp;K10535&amp;""'"")),""USER TIDAK DIKETAHUI""))"),"")</f>
        <v/>
      </c>
    </row>
    <row r="10536">
      <c r="A10536" s="21" t="str">
        <f t="shared" si="3"/>
        <v/>
      </c>
      <c r="B10536" s="38"/>
      <c r="C10536" s="23"/>
      <c r="D10536" s="23"/>
      <c r="E10536" s="24"/>
      <c r="F10536" s="25"/>
      <c r="G10536" s="25"/>
      <c r="H10536" s="27"/>
      <c r="I10536" s="28"/>
      <c r="J10536" s="39"/>
      <c r="K10536" s="41"/>
      <c r="L10536" s="31" t="str">
        <f>IFERROR(__xludf.DUMMYFUNCTION("IF(OR(E10536="""",K10536=""""),"""",IFERROR(IF(K10536="""","""",query('tbl user'!$A$2:$D10975,""SELECT A WHERE D = '""&amp;K10536&amp;""'"")),""USER TIDAK DIKETAHUI""))"),"")</f>
        <v/>
      </c>
    </row>
    <row r="10537">
      <c r="A10537" s="21" t="str">
        <f t="shared" si="3"/>
        <v/>
      </c>
      <c r="B10537" s="38"/>
      <c r="C10537" s="23"/>
      <c r="D10537" s="23"/>
      <c r="E10537" s="24"/>
      <c r="F10537" s="25"/>
      <c r="G10537" s="25"/>
      <c r="H10537" s="27"/>
      <c r="I10537" s="28"/>
      <c r="J10537" s="39"/>
      <c r="K10537" s="41"/>
      <c r="L10537" s="31" t="str">
        <f>IFERROR(__xludf.DUMMYFUNCTION("IF(OR(E10537="""",K10537=""""),"""",IFERROR(IF(K10537="""","""",query('tbl user'!$A$2:$D10975,""SELECT A WHERE D = '""&amp;K10537&amp;""'"")),""USER TIDAK DIKETAHUI""))"),"")</f>
        <v/>
      </c>
    </row>
    <row r="10538">
      <c r="A10538" s="21" t="str">
        <f t="shared" si="3"/>
        <v/>
      </c>
      <c r="B10538" s="38"/>
      <c r="C10538" s="23"/>
      <c r="D10538" s="23"/>
      <c r="E10538" s="24"/>
      <c r="F10538" s="25"/>
      <c r="G10538" s="25"/>
      <c r="H10538" s="27"/>
      <c r="I10538" s="28"/>
      <c r="J10538" s="39"/>
      <c r="K10538" s="41"/>
      <c r="L10538" s="31" t="str">
        <f>IFERROR(__xludf.DUMMYFUNCTION("IF(OR(E10538="""",K10538=""""),"""",IFERROR(IF(K10538="""","""",query('tbl user'!$A$2:$D10975,""SELECT A WHERE D = '""&amp;K10538&amp;""'"")),""USER TIDAK DIKETAHUI""))"),"")</f>
        <v/>
      </c>
    </row>
    <row r="10539">
      <c r="A10539" s="21" t="str">
        <f t="shared" si="3"/>
        <v/>
      </c>
      <c r="B10539" s="38"/>
      <c r="C10539" s="23"/>
      <c r="D10539" s="23"/>
      <c r="E10539" s="24"/>
      <c r="F10539" s="25"/>
      <c r="G10539" s="25"/>
      <c r="H10539" s="27"/>
      <c r="I10539" s="28"/>
      <c r="J10539" s="39"/>
      <c r="K10539" s="41"/>
      <c r="L10539" s="31" t="str">
        <f>IFERROR(__xludf.DUMMYFUNCTION("IF(OR(E10539="""",K10539=""""),"""",IFERROR(IF(K10539="""","""",query('tbl user'!$A$2:$D10975,""SELECT A WHERE D = '""&amp;K10539&amp;""'"")),""USER TIDAK DIKETAHUI""))"),"")</f>
        <v/>
      </c>
    </row>
    <row r="10540">
      <c r="A10540" s="21" t="str">
        <f t="shared" si="3"/>
        <v/>
      </c>
      <c r="B10540" s="38"/>
      <c r="C10540" s="23"/>
      <c r="D10540" s="23"/>
      <c r="E10540" s="24"/>
      <c r="F10540" s="25"/>
      <c r="G10540" s="25"/>
      <c r="H10540" s="27"/>
      <c r="I10540" s="28"/>
      <c r="J10540" s="39"/>
      <c r="K10540" s="41"/>
      <c r="L10540" s="31" t="str">
        <f>IFERROR(__xludf.DUMMYFUNCTION("IF(OR(E10540="""",K10540=""""),"""",IFERROR(IF(K10540="""","""",query('tbl user'!$A$2:$D10975,""SELECT A WHERE D = '""&amp;K10540&amp;""'"")),""USER TIDAK DIKETAHUI""))"),"")</f>
        <v/>
      </c>
    </row>
    <row r="10541">
      <c r="A10541" s="21" t="str">
        <f t="shared" si="3"/>
        <v/>
      </c>
      <c r="B10541" s="38"/>
      <c r="C10541" s="23"/>
      <c r="D10541" s="23"/>
      <c r="E10541" s="24"/>
      <c r="F10541" s="25"/>
      <c r="G10541" s="25"/>
      <c r="H10541" s="27"/>
      <c r="I10541" s="28"/>
      <c r="J10541" s="39"/>
      <c r="K10541" s="41"/>
      <c r="L10541" s="31" t="str">
        <f>IFERROR(__xludf.DUMMYFUNCTION("IF(OR(E10541="""",K10541=""""),"""",IFERROR(IF(K10541="""","""",query('tbl user'!$A$2:$D10975,""SELECT A WHERE D = '""&amp;K10541&amp;""'"")),""USER TIDAK DIKETAHUI""))"),"")</f>
        <v/>
      </c>
    </row>
    <row r="10542">
      <c r="A10542" s="21" t="str">
        <f t="shared" si="3"/>
        <v/>
      </c>
      <c r="B10542" s="38"/>
      <c r="C10542" s="23"/>
      <c r="D10542" s="23"/>
      <c r="E10542" s="24"/>
      <c r="F10542" s="25"/>
      <c r="G10542" s="25"/>
      <c r="H10542" s="27"/>
      <c r="I10542" s="28"/>
      <c r="J10542" s="39"/>
      <c r="K10542" s="41"/>
      <c r="L10542" s="31" t="str">
        <f>IFERROR(__xludf.DUMMYFUNCTION("IF(OR(E10542="""",K10542=""""),"""",IFERROR(IF(K10542="""","""",query('tbl user'!$A$2:$D10975,""SELECT A WHERE D = '""&amp;K10542&amp;""'"")),""USER TIDAK DIKETAHUI""))"),"")</f>
        <v/>
      </c>
    </row>
    <row r="10543">
      <c r="A10543" s="21" t="str">
        <f t="shared" si="3"/>
        <v/>
      </c>
      <c r="B10543" s="38"/>
      <c r="C10543" s="23"/>
      <c r="D10543" s="23"/>
      <c r="E10543" s="24"/>
      <c r="F10543" s="25"/>
      <c r="G10543" s="25"/>
      <c r="H10543" s="27"/>
      <c r="I10543" s="28"/>
      <c r="J10543" s="39"/>
      <c r="K10543" s="41"/>
      <c r="L10543" s="31" t="str">
        <f>IFERROR(__xludf.DUMMYFUNCTION("IF(OR(E10543="""",K10543=""""),"""",IFERROR(IF(K10543="""","""",query('tbl user'!$A$2:$D10975,""SELECT A WHERE D = '""&amp;K10543&amp;""'"")),""USER TIDAK DIKETAHUI""))"),"")</f>
        <v/>
      </c>
    </row>
    <row r="10544">
      <c r="A10544" s="21" t="str">
        <f t="shared" si="3"/>
        <v/>
      </c>
      <c r="B10544" s="38"/>
      <c r="C10544" s="23"/>
      <c r="D10544" s="23"/>
      <c r="E10544" s="24"/>
      <c r="F10544" s="25"/>
      <c r="G10544" s="25"/>
      <c r="H10544" s="27"/>
      <c r="I10544" s="28"/>
      <c r="J10544" s="39"/>
      <c r="K10544" s="41"/>
      <c r="L10544" s="31" t="str">
        <f>IFERROR(__xludf.DUMMYFUNCTION("IF(OR(E10544="""",K10544=""""),"""",IFERROR(IF(K10544="""","""",query('tbl user'!$A$2:$D10975,""SELECT A WHERE D = '""&amp;K10544&amp;""'"")),""USER TIDAK DIKETAHUI""))"),"")</f>
        <v/>
      </c>
    </row>
    <row r="10545">
      <c r="A10545" s="21" t="str">
        <f t="shared" si="3"/>
        <v/>
      </c>
      <c r="B10545" s="38"/>
      <c r="C10545" s="23"/>
      <c r="D10545" s="23"/>
      <c r="E10545" s="24"/>
      <c r="F10545" s="25"/>
      <c r="G10545" s="25"/>
      <c r="H10545" s="27"/>
      <c r="I10545" s="28"/>
      <c r="J10545" s="39"/>
      <c r="K10545" s="41"/>
      <c r="L10545" s="31" t="str">
        <f>IFERROR(__xludf.DUMMYFUNCTION("IF(OR(E10545="""",K10545=""""),"""",IFERROR(IF(K10545="""","""",query('tbl user'!$A$2:$D10975,""SELECT A WHERE D = '""&amp;K10545&amp;""'"")),""USER TIDAK DIKETAHUI""))"),"")</f>
        <v/>
      </c>
    </row>
    <row r="10546">
      <c r="A10546" s="21" t="str">
        <f t="shared" si="3"/>
        <v/>
      </c>
      <c r="B10546" s="38"/>
      <c r="C10546" s="23"/>
      <c r="D10546" s="23"/>
      <c r="E10546" s="24"/>
      <c r="F10546" s="25"/>
      <c r="G10546" s="25"/>
      <c r="H10546" s="27"/>
      <c r="I10546" s="28"/>
      <c r="J10546" s="39"/>
      <c r="K10546" s="41"/>
      <c r="L10546" s="31" t="str">
        <f>IFERROR(__xludf.DUMMYFUNCTION("IF(OR(E10546="""",K10546=""""),"""",IFERROR(IF(K10546="""","""",query('tbl user'!$A$2:$D10975,""SELECT A WHERE D = '""&amp;K10546&amp;""'"")),""USER TIDAK DIKETAHUI""))"),"")</f>
        <v/>
      </c>
    </row>
    <row r="10547">
      <c r="A10547" s="21" t="str">
        <f t="shared" si="3"/>
        <v/>
      </c>
      <c r="B10547" s="38"/>
      <c r="C10547" s="23"/>
      <c r="D10547" s="23"/>
      <c r="E10547" s="24"/>
      <c r="F10547" s="25"/>
      <c r="G10547" s="25"/>
      <c r="H10547" s="27"/>
      <c r="I10547" s="28"/>
      <c r="J10547" s="39"/>
      <c r="K10547" s="41"/>
      <c r="L10547" s="31" t="str">
        <f>IFERROR(__xludf.DUMMYFUNCTION("IF(OR(E10547="""",K10547=""""),"""",IFERROR(IF(K10547="""","""",query('tbl user'!$A$2:$D10975,""SELECT A WHERE D = '""&amp;K10547&amp;""'"")),""USER TIDAK DIKETAHUI""))"),"")</f>
        <v/>
      </c>
    </row>
    <row r="10548">
      <c r="A10548" s="21" t="str">
        <f t="shared" si="3"/>
        <v/>
      </c>
      <c r="B10548" s="38"/>
      <c r="C10548" s="23"/>
      <c r="D10548" s="23"/>
      <c r="E10548" s="24"/>
      <c r="F10548" s="25"/>
      <c r="G10548" s="25"/>
      <c r="H10548" s="27"/>
      <c r="I10548" s="28"/>
      <c r="J10548" s="39"/>
      <c r="K10548" s="41"/>
      <c r="L10548" s="31" t="str">
        <f>IFERROR(__xludf.DUMMYFUNCTION("IF(OR(E10548="""",K10548=""""),"""",IFERROR(IF(K10548="""","""",query('tbl user'!$A$2:$D10975,""SELECT A WHERE D = '""&amp;K10548&amp;""'"")),""USER TIDAK DIKETAHUI""))"),"")</f>
        <v/>
      </c>
    </row>
    <row r="10549">
      <c r="A10549" s="21" t="str">
        <f t="shared" si="3"/>
        <v/>
      </c>
      <c r="B10549" s="38"/>
      <c r="C10549" s="23"/>
      <c r="D10549" s="23"/>
      <c r="E10549" s="24"/>
      <c r="F10549" s="25"/>
      <c r="G10549" s="25"/>
      <c r="H10549" s="27"/>
      <c r="I10549" s="28"/>
      <c r="J10549" s="39"/>
      <c r="K10549" s="41"/>
      <c r="L10549" s="31" t="str">
        <f>IFERROR(__xludf.DUMMYFUNCTION("IF(OR(E10549="""",K10549=""""),"""",IFERROR(IF(K10549="""","""",query('tbl user'!$A$2:$D10975,""SELECT A WHERE D = '""&amp;K10549&amp;""'"")),""USER TIDAK DIKETAHUI""))"),"")</f>
        <v/>
      </c>
    </row>
    <row r="10550">
      <c r="A10550" s="21" t="str">
        <f t="shared" si="3"/>
        <v/>
      </c>
      <c r="B10550" s="38"/>
      <c r="C10550" s="23"/>
      <c r="D10550" s="23"/>
      <c r="E10550" s="24"/>
      <c r="F10550" s="25"/>
      <c r="G10550" s="25"/>
      <c r="H10550" s="27"/>
      <c r="I10550" s="28"/>
      <c r="J10550" s="39"/>
      <c r="K10550" s="41"/>
      <c r="L10550" s="31" t="str">
        <f>IFERROR(__xludf.DUMMYFUNCTION("IF(OR(E10550="""",K10550=""""),"""",IFERROR(IF(K10550="""","""",query('tbl user'!$A$2:$D10975,""SELECT A WHERE D = '""&amp;K10550&amp;""'"")),""USER TIDAK DIKETAHUI""))"),"")</f>
        <v/>
      </c>
    </row>
    <row r="10551">
      <c r="A10551" s="21" t="str">
        <f t="shared" si="3"/>
        <v/>
      </c>
      <c r="B10551" s="38"/>
      <c r="C10551" s="23"/>
      <c r="D10551" s="23"/>
      <c r="E10551" s="24"/>
      <c r="F10551" s="25"/>
      <c r="G10551" s="25"/>
      <c r="H10551" s="27"/>
      <c r="I10551" s="28"/>
      <c r="J10551" s="39"/>
      <c r="K10551" s="41"/>
      <c r="L10551" s="31" t="str">
        <f>IFERROR(__xludf.DUMMYFUNCTION("IF(OR(E10551="""",K10551=""""),"""",IFERROR(IF(K10551="""","""",query('tbl user'!$A$2:$D10975,""SELECT A WHERE D = '""&amp;K10551&amp;""'"")),""USER TIDAK DIKETAHUI""))"),"")</f>
        <v/>
      </c>
    </row>
    <row r="10552">
      <c r="A10552" s="21" t="str">
        <f t="shared" si="3"/>
        <v/>
      </c>
      <c r="B10552" s="38"/>
      <c r="C10552" s="23"/>
      <c r="D10552" s="23"/>
      <c r="E10552" s="24"/>
      <c r="F10552" s="25"/>
      <c r="G10552" s="25"/>
      <c r="H10552" s="27"/>
      <c r="I10552" s="28"/>
      <c r="J10552" s="39"/>
      <c r="K10552" s="41"/>
      <c r="L10552" s="31" t="str">
        <f>IFERROR(__xludf.DUMMYFUNCTION("IF(OR(E10552="""",K10552=""""),"""",IFERROR(IF(K10552="""","""",query('tbl user'!$A$2:$D10975,""SELECT A WHERE D = '""&amp;K10552&amp;""'"")),""USER TIDAK DIKETAHUI""))"),"")</f>
        <v/>
      </c>
    </row>
    <row r="10553">
      <c r="A10553" s="21" t="str">
        <f t="shared" si="3"/>
        <v/>
      </c>
      <c r="B10553" s="38"/>
      <c r="C10553" s="23"/>
      <c r="D10553" s="23"/>
      <c r="E10553" s="24"/>
      <c r="F10553" s="25"/>
      <c r="G10553" s="25"/>
      <c r="H10553" s="27"/>
      <c r="I10553" s="28"/>
      <c r="J10553" s="39"/>
      <c r="K10553" s="41"/>
      <c r="L10553" s="31" t="str">
        <f>IFERROR(__xludf.DUMMYFUNCTION("IF(OR(E10553="""",K10553=""""),"""",IFERROR(IF(K10553="""","""",query('tbl user'!$A$2:$D10975,""SELECT A WHERE D = '""&amp;K10553&amp;""'"")),""USER TIDAK DIKETAHUI""))"),"")</f>
        <v/>
      </c>
    </row>
    <row r="10554">
      <c r="A10554" s="21" t="str">
        <f t="shared" si="3"/>
        <v/>
      </c>
      <c r="B10554" s="38"/>
      <c r="C10554" s="23"/>
      <c r="D10554" s="23"/>
      <c r="E10554" s="24"/>
      <c r="F10554" s="25"/>
      <c r="G10554" s="25"/>
      <c r="H10554" s="27"/>
      <c r="I10554" s="28"/>
      <c r="J10554" s="39"/>
      <c r="K10554" s="41"/>
      <c r="L10554" s="31" t="str">
        <f>IFERROR(__xludf.DUMMYFUNCTION("IF(OR(E10554="""",K10554=""""),"""",IFERROR(IF(K10554="""","""",query('tbl user'!$A$2:$D10975,""SELECT A WHERE D = '""&amp;K10554&amp;""'"")),""USER TIDAK DIKETAHUI""))"),"")</f>
        <v/>
      </c>
    </row>
    <row r="10555">
      <c r="A10555" s="21" t="str">
        <f t="shared" si="3"/>
        <v/>
      </c>
      <c r="B10555" s="38"/>
      <c r="C10555" s="23"/>
      <c r="D10555" s="23"/>
      <c r="E10555" s="24"/>
      <c r="F10555" s="25"/>
      <c r="G10555" s="25"/>
      <c r="H10555" s="27"/>
      <c r="I10555" s="28"/>
      <c r="J10555" s="39"/>
      <c r="K10555" s="41"/>
      <c r="L10555" s="31" t="str">
        <f>IFERROR(__xludf.DUMMYFUNCTION("IF(OR(E10555="""",K10555=""""),"""",IFERROR(IF(K10555="""","""",query('tbl user'!$A$2:$D10975,""SELECT A WHERE D = '""&amp;K10555&amp;""'"")),""USER TIDAK DIKETAHUI""))"),"")</f>
        <v/>
      </c>
    </row>
    <row r="10556">
      <c r="A10556" s="21" t="str">
        <f t="shared" si="3"/>
        <v/>
      </c>
      <c r="B10556" s="38"/>
      <c r="C10556" s="23"/>
      <c r="D10556" s="23"/>
      <c r="E10556" s="24"/>
      <c r="F10556" s="25"/>
      <c r="G10556" s="25"/>
      <c r="H10556" s="27"/>
      <c r="I10556" s="28"/>
      <c r="J10556" s="39"/>
      <c r="K10556" s="41"/>
      <c r="L10556" s="31" t="str">
        <f>IFERROR(__xludf.DUMMYFUNCTION("IF(OR(E10556="""",K10556=""""),"""",IFERROR(IF(K10556="""","""",query('tbl user'!$A$2:$D10975,""SELECT A WHERE D = '""&amp;K10556&amp;""'"")),""USER TIDAK DIKETAHUI""))"),"")</f>
        <v/>
      </c>
    </row>
    <row r="10557">
      <c r="A10557" s="21" t="str">
        <f t="shared" si="3"/>
        <v/>
      </c>
      <c r="B10557" s="38"/>
      <c r="C10557" s="23"/>
      <c r="D10557" s="23"/>
      <c r="E10557" s="24"/>
      <c r="F10557" s="25"/>
      <c r="G10557" s="25"/>
      <c r="H10557" s="27"/>
      <c r="I10557" s="28"/>
      <c r="J10557" s="39"/>
      <c r="K10557" s="41"/>
      <c r="L10557" s="31" t="str">
        <f>IFERROR(__xludf.DUMMYFUNCTION("IF(OR(E10557="""",K10557=""""),"""",IFERROR(IF(K10557="""","""",query('tbl user'!$A$2:$D10975,""SELECT A WHERE D = '""&amp;K10557&amp;""'"")),""USER TIDAK DIKETAHUI""))"),"")</f>
        <v/>
      </c>
    </row>
    <row r="10558">
      <c r="A10558" s="21" t="str">
        <f t="shared" si="3"/>
        <v/>
      </c>
      <c r="B10558" s="38"/>
      <c r="C10558" s="23"/>
      <c r="D10558" s="23"/>
      <c r="E10558" s="24"/>
      <c r="F10558" s="25"/>
      <c r="G10558" s="25"/>
      <c r="H10558" s="27"/>
      <c r="I10558" s="28"/>
      <c r="J10558" s="39"/>
      <c r="K10558" s="41"/>
      <c r="L10558" s="31" t="str">
        <f>IFERROR(__xludf.DUMMYFUNCTION("IF(OR(E10558="""",K10558=""""),"""",IFERROR(IF(K10558="""","""",query('tbl user'!$A$2:$D10975,""SELECT A WHERE D = '""&amp;K10558&amp;""'"")),""USER TIDAK DIKETAHUI""))"),"")</f>
        <v/>
      </c>
    </row>
    <row r="10559">
      <c r="A10559" s="21" t="str">
        <f t="shared" si="3"/>
        <v/>
      </c>
      <c r="B10559" s="38"/>
      <c r="C10559" s="23"/>
      <c r="D10559" s="23"/>
      <c r="E10559" s="24"/>
      <c r="F10559" s="25"/>
      <c r="G10559" s="25"/>
      <c r="H10559" s="27"/>
      <c r="I10559" s="28"/>
      <c r="J10559" s="39"/>
      <c r="K10559" s="41"/>
      <c r="L10559" s="31" t="str">
        <f>IFERROR(__xludf.DUMMYFUNCTION("IF(OR(E10559="""",K10559=""""),"""",IFERROR(IF(K10559="""","""",query('tbl user'!$A$2:$D10975,""SELECT A WHERE D = '""&amp;K10559&amp;""'"")),""USER TIDAK DIKETAHUI""))"),"")</f>
        <v/>
      </c>
    </row>
    <row r="10560">
      <c r="A10560" s="21" t="str">
        <f t="shared" si="3"/>
        <v/>
      </c>
      <c r="B10560" s="38"/>
      <c r="C10560" s="23"/>
      <c r="D10560" s="23"/>
      <c r="E10560" s="24"/>
      <c r="F10560" s="25"/>
      <c r="G10560" s="25"/>
      <c r="H10560" s="27"/>
      <c r="I10560" s="28"/>
      <c r="J10560" s="39"/>
      <c r="K10560" s="41"/>
      <c r="L10560" s="31" t="str">
        <f>IFERROR(__xludf.DUMMYFUNCTION("IF(OR(E10560="""",K10560=""""),"""",IFERROR(IF(K10560="""","""",query('tbl user'!$A$2:$D10975,""SELECT A WHERE D = '""&amp;K10560&amp;""'"")),""USER TIDAK DIKETAHUI""))"),"")</f>
        <v/>
      </c>
    </row>
    <row r="10561">
      <c r="A10561" s="21" t="str">
        <f t="shared" si="3"/>
        <v/>
      </c>
      <c r="B10561" s="38"/>
      <c r="C10561" s="23"/>
      <c r="D10561" s="23"/>
      <c r="E10561" s="24"/>
      <c r="F10561" s="25"/>
      <c r="G10561" s="25"/>
      <c r="H10561" s="27"/>
      <c r="I10561" s="28"/>
      <c r="J10561" s="39"/>
      <c r="K10561" s="41"/>
      <c r="L10561" s="31" t="str">
        <f>IFERROR(__xludf.DUMMYFUNCTION("IF(OR(E10561="""",K10561=""""),"""",IFERROR(IF(K10561="""","""",query('tbl user'!$A$2:$D10975,""SELECT A WHERE D = '""&amp;K10561&amp;""'"")),""USER TIDAK DIKETAHUI""))"),"")</f>
        <v/>
      </c>
    </row>
    <row r="10562">
      <c r="A10562" s="21" t="str">
        <f t="shared" si="3"/>
        <v/>
      </c>
      <c r="B10562" s="38"/>
      <c r="C10562" s="23"/>
      <c r="D10562" s="23"/>
      <c r="E10562" s="24"/>
      <c r="F10562" s="25"/>
      <c r="G10562" s="25"/>
      <c r="H10562" s="27"/>
      <c r="I10562" s="28"/>
      <c r="J10562" s="39"/>
      <c r="K10562" s="41"/>
      <c r="L10562" s="31" t="str">
        <f>IFERROR(__xludf.DUMMYFUNCTION("IF(OR(E10562="""",K10562=""""),"""",IFERROR(IF(K10562="""","""",query('tbl user'!$A$2:$D10975,""SELECT A WHERE D = '""&amp;K10562&amp;""'"")),""USER TIDAK DIKETAHUI""))"),"")</f>
        <v/>
      </c>
    </row>
    <row r="10563">
      <c r="A10563" s="21" t="str">
        <f t="shared" si="3"/>
        <v/>
      </c>
      <c r="B10563" s="38"/>
      <c r="C10563" s="23"/>
      <c r="D10563" s="23"/>
      <c r="E10563" s="24"/>
      <c r="F10563" s="25"/>
      <c r="G10563" s="25"/>
      <c r="H10563" s="27"/>
      <c r="I10563" s="28"/>
      <c r="J10563" s="39"/>
      <c r="K10563" s="41"/>
      <c r="L10563" s="31" t="str">
        <f>IFERROR(__xludf.DUMMYFUNCTION("IF(OR(E10563="""",K10563=""""),"""",IFERROR(IF(K10563="""","""",query('tbl user'!$A$2:$D10975,""SELECT A WHERE D = '""&amp;K10563&amp;""'"")),""USER TIDAK DIKETAHUI""))"),"")</f>
        <v/>
      </c>
    </row>
    <row r="10564">
      <c r="A10564" s="21" t="str">
        <f t="shared" si="3"/>
        <v/>
      </c>
      <c r="B10564" s="38"/>
      <c r="C10564" s="23"/>
      <c r="D10564" s="23"/>
      <c r="E10564" s="24"/>
      <c r="F10564" s="25"/>
      <c r="G10564" s="25"/>
      <c r="H10564" s="27"/>
      <c r="I10564" s="28"/>
      <c r="J10564" s="39"/>
      <c r="K10564" s="41"/>
      <c r="L10564" s="31" t="str">
        <f>IFERROR(__xludf.DUMMYFUNCTION("IF(OR(E10564="""",K10564=""""),"""",IFERROR(IF(K10564="""","""",query('tbl user'!$A$2:$D10975,""SELECT A WHERE D = '""&amp;K10564&amp;""'"")),""USER TIDAK DIKETAHUI""))"),"")</f>
        <v/>
      </c>
    </row>
    <row r="10565">
      <c r="A10565" s="21" t="str">
        <f t="shared" si="3"/>
        <v/>
      </c>
      <c r="B10565" s="38"/>
      <c r="C10565" s="23"/>
      <c r="D10565" s="23"/>
      <c r="E10565" s="24"/>
      <c r="F10565" s="25"/>
      <c r="G10565" s="25"/>
      <c r="H10565" s="27"/>
      <c r="I10565" s="28"/>
      <c r="J10565" s="39"/>
      <c r="K10565" s="41"/>
      <c r="L10565" s="31" t="str">
        <f>IFERROR(__xludf.DUMMYFUNCTION("IF(OR(E10565="""",K10565=""""),"""",IFERROR(IF(K10565="""","""",query('tbl user'!$A$2:$D10975,""SELECT A WHERE D = '""&amp;K10565&amp;""'"")),""USER TIDAK DIKETAHUI""))"),"")</f>
        <v/>
      </c>
    </row>
    <row r="10566">
      <c r="A10566" s="21" t="str">
        <f t="shared" si="3"/>
        <v/>
      </c>
      <c r="B10566" s="38"/>
      <c r="C10566" s="23"/>
      <c r="D10566" s="23"/>
      <c r="E10566" s="24"/>
      <c r="F10566" s="25"/>
      <c r="G10566" s="25"/>
      <c r="H10566" s="27"/>
      <c r="I10566" s="28"/>
      <c r="J10566" s="39"/>
      <c r="K10566" s="41"/>
      <c r="L10566" s="31" t="str">
        <f>IFERROR(__xludf.DUMMYFUNCTION("IF(OR(E10566="""",K10566=""""),"""",IFERROR(IF(K10566="""","""",query('tbl user'!$A$2:$D10975,""SELECT A WHERE D = '""&amp;K10566&amp;""'"")),""USER TIDAK DIKETAHUI""))"),"")</f>
        <v/>
      </c>
    </row>
    <row r="10567">
      <c r="A10567" s="21" t="str">
        <f t="shared" si="3"/>
        <v/>
      </c>
      <c r="B10567" s="38"/>
      <c r="C10567" s="23"/>
      <c r="D10567" s="23"/>
      <c r="E10567" s="24"/>
      <c r="F10567" s="25"/>
      <c r="G10567" s="25"/>
      <c r="H10567" s="27"/>
      <c r="I10567" s="28"/>
      <c r="J10567" s="39"/>
      <c r="K10567" s="41"/>
      <c r="L10567" s="31" t="str">
        <f>IFERROR(__xludf.DUMMYFUNCTION("IF(OR(E10567="""",K10567=""""),"""",IFERROR(IF(K10567="""","""",query('tbl user'!$A$2:$D10975,""SELECT A WHERE D = '""&amp;K10567&amp;""'"")),""USER TIDAK DIKETAHUI""))"),"")</f>
        <v/>
      </c>
    </row>
    <row r="10568">
      <c r="A10568" s="21" t="str">
        <f t="shared" si="3"/>
        <v/>
      </c>
      <c r="B10568" s="38"/>
      <c r="C10568" s="23"/>
      <c r="D10568" s="23"/>
      <c r="E10568" s="24"/>
      <c r="F10568" s="25"/>
      <c r="G10568" s="25"/>
      <c r="H10568" s="27"/>
      <c r="I10568" s="28"/>
      <c r="J10568" s="39"/>
      <c r="K10568" s="41"/>
      <c r="L10568" s="31" t="str">
        <f>IFERROR(__xludf.DUMMYFUNCTION("IF(OR(E10568="""",K10568=""""),"""",IFERROR(IF(K10568="""","""",query('tbl user'!$A$2:$D10975,""SELECT A WHERE D = '""&amp;K10568&amp;""'"")),""USER TIDAK DIKETAHUI""))"),"")</f>
        <v/>
      </c>
    </row>
    <row r="10569">
      <c r="A10569" s="21" t="str">
        <f t="shared" si="3"/>
        <v/>
      </c>
      <c r="B10569" s="38"/>
      <c r="C10569" s="23"/>
      <c r="D10569" s="23"/>
      <c r="E10569" s="24"/>
      <c r="F10569" s="25"/>
      <c r="G10569" s="25"/>
      <c r="H10569" s="27"/>
      <c r="I10569" s="28"/>
      <c r="J10569" s="39"/>
      <c r="K10569" s="41"/>
      <c r="L10569" s="31" t="str">
        <f>IFERROR(__xludf.DUMMYFUNCTION("IF(OR(E10569="""",K10569=""""),"""",IFERROR(IF(K10569="""","""",query('tbl user'!$A$2:$D10975,""SELECT A WHERE D = '""&amp;K10569&amp;""'"")),""USER TIDAK DIKETAHUI""))"),"")</f>
        <v/>
      </c>
    </row>
    <row r="10570">
      <c r="A10570" s="21" t="str">
        <f t="shared" si="3"/>
        <v/>
      </c>
      <c r="B10570" s="38"/>
      <c r="C10570" s="23"/>
      <c r="D10570" s="23"/>
      <c r="E10570" s="24"/>
      <c r="F10570" s="25"/>
      <c r="G10570" s="25"/>
      <c r="H10570" s="27"/>
      <c r="I10570" s="28"/>
      <c r="J10570" s="39"/>
      <c r="K10570" s="41"/>
      <c r="L10570" s="31" t="str">
        <f>IFERROR(__xludf.DUMMYFUNCTION("IF(OR(E10570="""",K10570=""""),"""",IFERROR(IF(K10570="""","""",query('tbl user'!$A$2:$D10975,""SELECT A WHERE D = '""&amp;K10570&amp;""'"")),""USER TIDAK DIKETAHUI""))"),"")</f>
        <v/>
      </c>
    </row>
    <row r="10571">
      <c r="A10571" s="21" t="str">
        <f t="shared" si="3"/>
        <v/>
      </c>
      <c r="B10571" s="38"/>
      <c r="C10571" s="23"/>
      <c r="D10571" s="23"/>
      <c r="E10571" s="24"/>
      <c r="F10571" s="25"/>
      <c r="G10571" s="25"/>
      <c r="H10571" s="27"/>
      <c r="I10571" s="28"/>
      <c r="J10571" s="39"/>
      <c r="K10571" s="41"/>
      <c r="L10571" s="31" t="str">
        <f>IFERROR(__xludf.DUMMYFUNCTION("IF(OR(E10571="""",K10571=""""),"""",IFERROR(IF(K10571="""","""",query('tbl user'!$A$2:$D10975,""SELECT A WHERE D = '""&amp;K10571&amp;""'"")),""USER TIDAK DIKETAHUI""))"),"")</f>
        <v/>
      </c>
    </row>
    <row r="10572">
      <c r="A10572" s="21" t="str">
        <f t="shared" si="3"/>
        <v/>
      </c>
      <c r="B10572" s="38"/>
      <c r="C10572" s="23"/>
      <c r="D10572" s="23"/>
      <c r="E10572" s="24"/>
      <c r="F10572" s="25"/>
      <c r="G10572" s="25"/>
      <c r="H10572" s="27"/>
      <c r="I10572" s="28"/>
      <c r="J10572" s="39"/>
      <c r="K10572" s="41"/>
      <c r="L10572" s="31" t="str">
        <f>IFERROR(__xludf.DUMMYFUNCTION("IF(OR(E10572="""",K10572=""""),"""",IFERROR(IF(K10572="""","""",query('tbl user'!$A$2:$D10975,""SELECT A WHERE D = '""&amp;K10572&amp;""'"")),""USER TIDAK DIKETAHUI""))"),"")</f>
        <v/>
      </c>
    </row>
    <row r="10573">
      <c r="A10573" s="21" t="str">
        <f t="shared" si="3"/>
        <v/>
      </c>
      <c r="B10573" s="38"/>
      <c r="C10573" s="23"/>
      <c r="D10573" s="23"/>
      <c r="E10573" s="24"/>
      <c r="F10573" s="25"/>
      <c r="G10573" s="25"/>
      <c r="H10573" s="27"/>
      <c r="I10573" s="28"/>
      <c r="J10573" s="39"/>
      <c r="K10573" s="41"/>
      <c r="L10573" s="31" t="str">
        <f>IFERROR(__xludf.DUMMYFUNCTION("IF(OR(E10573="""",K10573=""""),"""",IFERROR(IF(K10573="""","""",query('tbl user'!$A$2:$D10975,""SELECT A WHERE D = '""&amp;K10573&amp;""'"")),""USER TIDAK DIKETAHUI""))"),"")</f>
        <v/>
      </c>
    </row>
    <row r="10574">
      <c r="A10574" s="21" t="str">
        <f t="shared" si="3"/>
        <v/>
      </c>
      <c r="B10574" s="38"/>
      <c r="C10574" s="23"/>
      <c r="D10574" s="23"/>
      <c r="E10574" s="24"/>
      <c r="F10574" s="25"/>
      <c r="G10574" s="25"/>
      <c r="H10574" s="27"/>
      <c r="I10574" s="28"/>
      <c r="J10574" s="39"/>
      <c r="K10574" s="41"/>
      <c r="L10574" s="31" t="str">
        <f>IFERROR(__xludf.DUMMYFUNCTION("IF(OR(E10574="""",K10574=""""),"""",IFERROR(IF(K10574="""","""",query('tbl user'!$A$2:$D10975,""SELECT A WHERE D = '""&amp;K10574&amp;""'"")),""USER TIDAK DIKETAHUI""))"),"")</f>
        <v/>
      </c>
    </row>
    <row r="10575">
      <c r="A10575" s="21" t="str">
        <f t="shared" si="3"/>
        <v/>
      </c>
      <c r="B10575" s="38"/>
      <c r="C10575" s="23"/>
      <c r="D10575" s="23"/>
      <c r="E10575" s="24"/>
      <c r="F10575" s="25"/>
      <c r="G10575" s="25"/>
      <c r="H10575" s="27"/>
      <c r="I10575" s="28"/>
      <c r="J10575" s="39"/>
      <c r="K10575" s="41"/>
      <c r="L10575" s="31" t="str">
        <f>IFERROR(__xludf.DUMMYFUNCTION("IF(OR(E10575="""",K10575=""""),"""",IFERROR(IF(K10575="""","""",query('tbl user'!$A$2:$D10975,""SELECT A WHERE D = '""&amp;K10575&amp;""'"")),""USER TIDAK DIKETAHUI""))"),"")</f>
        <v/>
      </c>
    </row>
    <row r="10576">
      <c r="A10576" s="21" t="str">
        <f t="shared" si="3"/>
        <v/>
      </c>
      <c r="B10576" s="38"/>
      <c r="C10576" s="23"/>
      <c r="D10576" s="23"/>
      <c r="E10576" s="24"/>
      <c r="F10576" s="25"/>
      <c r="G10576" s="25"/>
      <c r="H10576" s="27"/>
      <c r="I10576" s="28"/>
      <c r="J10576" s="39"/>
      <c r="K10576" s="41"/>
      <c r="L10576" s="31" t="str">
        <f>IFERROR(__xludf.DUMMYFUNCTION("IF(OR(E10576="""",K10576=""""),"""",IFERROR(IF(K10576="""","""",query('tbl user'!$A$2:$D10975,""SELECT A WHERE D = '""&amp;K10576&amp;""'"")),""USER TIDAK DIKETAHUI""))"),"")</f>
        <v/>
      </c>
    </row>
    <row r="10577">
      <c r="A10577" s="21" t="str">
        <f t="shared" si="3"/>
        <v/>
      </c>
      <c r="B10577" s="38"/>
      <c r="C10577" s="23"/>
      <c r="D10577" s="23"/>
      <c r="E10577" s="24"/>
      <c r="F10577" s="25"/>
      <c r="G10577" s="25"/>
      <c r="H10577" s="27"/>
      <c r="I10577" s="28"/>
      <c r="J10577" s="39"/>
      <c r="K10577" s="41"/>
      <c r="L10577" s="31" t="str">
        <f>IFERROR(__xludf.DUMMYFUNCTION("IF(OR(E10577="""",K10577=""""),"""",IFERROR(IF(K10577="""","""",query('tbl user'!$A$2:$D10975,""SELECT A WHERE D = '""&amp;K10577&amp;""'"")),""USER TIDAK DIKETAHUI""))"),"")</f>
        <v/>
      </c>
    </row>
    <row r="10578">
      <c r="A10578" s="21" t="str">
        <f t="shared" si="3"/>
        <v/>
      </c>
      <c r="B10578" s="38"/>
      <c r="C10578" s="23"/>
      <c r="D10578" s="23"/>
      <c r="E10578" s="24"/>
      <c r="F10578" s="25"/>
      <c r="G10578" s="25"/>
      <c r="H10578" s="27"/>
      <c r="I10578" s="28"/>
      <c r="J10578" s="39"/>
      <c r="K10578" s="41"/>
      <c r="L10578" s="31" t="str">
        <f>IFERROR(__xludf.DUMMYFUNCTION("IF(OR(E10578="""",K10578=""""),"""",IFERROR(IF(K10578="""","""",query('tbl user'!$A$2:$D10975,""SELECT A WHERE D = '""&amp;K10578&amp;""'"")),""USER TIDAK DIKETAHUI""))"),"")</f>
        <v/>
      </c>
    </row>
    <row r="10579">
      <c r="A10579" s="21" t="str">
        <f t="shared" si="3"/>
        <v/>
      </c>
      <c r="B10579" s="38"/>
      <c r="C10579" s="23"/>
      <c r="D10579" s="23"/>
      <c r="E10579" s="24"/>
      <c r="F10579" s="25"/>
      <c r="G10579" s="25"/>
      <c r="H10579" s="27"/>
      <c r="I10579" s="28"/>
      <c r="J10579" s="39"/>
      <c r="K10579" s="41"/>
      <c r="L10579" s="31" t="str">
        <f>IFERROR(__xludf.DUMMYFUNCTION("IF(OR(E10579="""",K10579=""""),"""",IFERROR(IF(K10579="""","""",query('tbl user'!$A$2:$D10975,""SELECT A WHERE D = '""&amp;K10579&amp;""'"")),""USER TIDAK DIKETAHUI""))"),"")</f>
        <v/>
      </c>
    </row>
    <row r="10580">
      <c r="A10580" s="21" t="str">
        <f t="shared" si="3"/>
        <v/>
      </c>
      <c r="B10580" s="38"/>
      <c r="C10580" s="23"/>
      <c r="D10580" s="23"/>
      <c r="E10580" s="24"/>
      <c r="F10580" s="25"/>
      <c r="G10580" s="25"/>
      <c r="H10580" s="27"/>
      <c r="I10580" s="28"/>
      <c r="J10580" s="39"/>
      <c r="K10580" s="41"/>
      <c r="L10580" s="31" t="str">
        <f>IFERROR(__xludf.DUMMYFUNCTION("IF(OR(E10580="""",K10580=""""),"""",IFERROR(IF(K10580="""","""",query('tbl user'!$A$2:$D10975,""SELECT A WHERE D = '""&amp;K10580&amp;""'"")),""USER TIDAK DIKETAHUI""))"),"")</f>
        <v/>
      </c>
    </row>
    <row r="10581">
      <c r="A10581" s="21" t="str">
        <f t="shared" si="3"/>
        <v/>
      </c>
      <c r="B10581" s="38"/>
      <c r="C10581" s="23"/>
      <c r="D10581" s="23"/>
      <c r="E10581" s="24"/>
      <c r="F10581" s="25"/>
      <c r="G10581" s="25"/>
      <c r="H10581" s="27"/>
      <c r="I10581" s="28"/>
      <c r="J10581" s="39"/>
      <c r="K10581" s="41"/>
      <c r="L10581" s="31" t="str">
        <f>IFERROR(__xludf.DUMMYFUNCTION("IF(OR(E10581="""",K10581=""""),"""",IFERROR(IF(K10581="""","""",query('tbl user'!$A$2:$D10975,""SELECT A WHERE D = '""&amp;K10581&amp;""'"")),""USER TIDAK DIKETAHUI""))"),"")</f>
        <v/>
      </c>
    </row>
    <row r="10582">
      <c r="A10582" s="21" t="str">
        <f t="shared" si="3"/>
        <v/>
      </c>
      <c r="B10582" s="38"/>
      <c r="C10582" s="23"/>
      <c r="D10582" s="23"/>
      <c r="E10582" s="24"/>
      <c r="F10582" s="25"/>
      <c r="G10582" s="25"/>
      <c r="H10582" s="27"/>
      <c r="I10582" s="28"/>
      <c r="J10582" s="39"/>
      <c r="K10582" s="41"/>
      <c r="L10582" s="31" t="str">
        <f>IFERROR(__xludf.DUMMYFUNCTION("IF(OR(E10582="""",K10582=""""),"""",IFERROR(IF(K10582="""","""",query('tbl user'!$A$2:$D10975,""SELECT A WHERE D = '""&amp;K10582&amp;""'"")),""USER TIDAK DIKETAHUI""))"),"")</f>
        <v/>
      </c>
    </row>
    <row r="10583">
      <c r="A10583" s="21" t="str">
        <f t="shared" si="3"/>
        <v/>
      </c>
      <c r="B10583" s="38"/>
      <c r="C10583" s="23"/>
      <c r="D10583" s="23"/>
      <c r="E10583" s="24"/>
      <c r="F10583" s="25"/>
      <c r="G10583" s="25"/>
      <c r="H10583" s="27"/>
      <c r="I10583" s="28"/>
      <c r="J10583" s="39"/>
      <c r="K10583" s="41"/>
      <c r="L10583" s="31" t="str">
        <f>IFERROR(__xludf.DUMMYFUNCTION("IF(OR(E10583="""",K10583=""""),"""",IFERROR(IF(K10583="""","""",query('tbl user'!$A$2:$D10975,""SELECT A WHERE D = '""&amp;K10583&amp;""'"")),""USER TIDAK DIKETAHUI""))"),"")</f>
        <v/>
      </c>
    </row>
    <row r="10584">
      <c r="A10584" s="21" t="str">
        <f t="shared" si="3"/>
        <v/>
      </c>
      <c r="B10584" s="38"/>
      <c r="C10584" s="23"/>
      <c r="D10584" s="23"/>
      <c r="E10584" s="24"/>
      <c r="F10584" s="25"/>
      <c r="G10584" s="25"/>
      <c r="H10584" s="27"/>
      <c r="I10584" s="28"/>
      <c r="J10584" s="39"/>
      <c r="K10584" s="41"/>
      <c r="L10584" s="31" t="str">
        <f>IFERROR(__xludf.DUMMYFUNCTION("IF(OR(E10584="""",K10584=""""),"""",IFERROR(IF(K10584="""","""",query('tbl user'!$A$2:$D10975,""SELECT A WHERE D = '""&amp;K10584&amp;""'"")),""USER TIDAK DIKETAHUI""))"),"")</f>
        <v/>
      </c>
    </row>
    <row r="10585">
      <c r="A10585" s="21" t="str">
        <f t="shared" si="3"/>
        <v/>
      </c>
      <c r="B10585" s="38"/>
      <c r="C10585" s="23"/>
      <c r="D10585" s="23"/>
      <c r="E10585" s="24"/>
      <c r="F10585" s="25"/>
      <c r="G10585" s="25"/>
      <c r="H10585" s="27"/>
      <c r="I10585" s="28"/>
      <c r="J10585" s="39"/>
      <c r="K10585" s="41"/>
      <c r="L10585" s="31" t="str">
        <f>IFERROR(__xludf.DUMMYFUNCTION("IF(OR(E10585="""",K10585=""""),"""",IFERROR(IF(K10585="""","""",query('tbl user'!$A$2:$D10975,""SELECT A WHERE D = '""&amp;K10585&amp;""'"")),""USER TIDAK DIKETAHUI""))"),"")</f>
        <v/>
      </c>
    </row>
    <row r="10586">
      <c r="A10586" s="21" t="str">
        <f t="shared" si="3"/>
        <v/>
      </c>
      <c r="B10586" s="38"/>
      <c r="C10586" s="23"/>
      <c r="D10586" s="23"/>
      <c r="E10586" s="24"/>
      <c r="F10586" s="25"/>
      <c r="G10586" s="25"/>
      <c r="H10586" s="27"/>
      <c r="I10586" s="28"/>
      <c r="J10586" s="39"/>
      <c r="K10586" s="41"/>
      <c r="L10586" s="31" t="str">
        <f>IFERROR(__xludf.DUMMYFUNCTION("IF(OR(E10586="""",K10586=""""),"""",IFERROR(IF(K10586="""","""",query('tbl user'!$A$2:$D10975,""SELECT A WHERE D = '""&amp;K10586&amp;""'"")),""USER TIDAK DIKETAHUI""))"),"")</f>
        <v/>
      </c>
    </row>
    <row r="10587">
      <c r="A10587" s="21" t="str">
        <f t="shared" si="3"/>
        <v/>
      </c>
      <c r="B10587" s="38"/>
      <c r="C10587" s="23"/>
      <c r="D10587" s="23"/>
      <c r="E10587" s="24"/>
      <c r="F10587" s="25"/>
      <c r="G10587" s="25"/>
      <c r="H10587" s="27"/>
      <c r="I10587" s="28"/>
      <c r="J10587" s="39"/>
      <c r="K10587" s="41"/>
      <c r="L10587" s="31" t="str">
        <f>IFERROR(__xludf.DUMMYFUNCTION("IF(OR(E10587="""",K10587=""""),"""",IFERROR(IF(K10587="""","""",query('tbl user'!$A$2:$D10975,""SELECT A WHERE D = '""&amp;K10587&amp;""'"")),""USER TIDAK DIKETAHUI""))"),"")</f>
        <v/>
      </c>
    </row>
    <row r="10588">
      <c r="A10588" s="21" t="str">
        <f t="shared" si="3"/>
        <v/>
      </c>
      <c r="B10588" s="38"/>
      <c r="C10588" s="23"/>
      <c r="D10588" s="23"/>
      <c r="E10588" s="24"/>
      <c r="F10588" s="25"/>
      <c r="G10588" s="25"/>
      <c r="H10588" s="27"/>
      <c r="I10588" s="28"/>
      <c r="J10588" s="39"/>
      <c r="K10588" s="41"/>
      <c r="L10588" s="31" t="str">
        <f>IFERROR(__xludf.DUMMYFUNCTION("IF(OR(E10588="""",K10588=""""),"""",IFERROR(IF(K10588="""","""",query('tbl user'!$A$2:$D10975,""SELECT A WHERE D = '""&amp;K10588&amp;""'"")),""USER TIDAK DIKETAHUI""))"),"")</f>
        <v/>
      </c>
    </row>
    <row r="10589">
      <c r="A10589" s="21" t="str">
        <f t="shared" si="3"/>
        <v/>
      </c>
      <c r="B10589" s="38"/>
      <c r="C10589" s="23"/>
      <c r="D10589" s="23"/>
      <c r="E10589" s="24"/>
      <c r="F10589" s="25"/>
      <c r="G10589" s="25"/>
      <c r="H10589" s="27"/>
      <c r="I10589" s="28"/>
      <c r="J10589" s="39"/>
      <c r="K10589" s="41"/>
      <c r="L10589" s="31" t="str">
        <f>IFERROR(__xludf.DUMMYFUNCTION("IF(OR(E10589="""",K10589=""""),"""",IFERROR(IF(K10589="""","""",query('tbl user'!$A$2:$D10975,""SELECT A WHERE D = '""&amp;K10589&amp;""'"")),""USER TIDAK DIKETAHUI""))"),"")</f>
        <v/>
      </c>
    </row>
    <row r="10590">
      <c r="A10590" s="21" t="str">
        <f t="shared" si="3"/>
        <v/>
      </c>
      <c r="B10590" s="38"/>
      <c r="C10590" s="23"/>
      <c r="D10590" s="23"/>
      <c r="E10590" s="24"/>
      <c r="F10590" s="25"/>
      <c r="G10590" s="25"/>
      <c r="H10590" s="27"/>
      <c r="I10590" s="28"/>
      <c r="J10590" s="39"/>
      <c r="K10590" s="41"/>
      <c r="L10590" s="31" t="str">
        <f>IFERROR(__xludf.DUMMYFUNCTION("IF(OR(E10590="""",K10590=""""),"""",IFERROR(IF(K10590="""","""",query('tbl user'!$A$2:$D10975,""SELECT A WHERE D = '""&amp;K10590&amp;""'"")),""USER TIDAK DIKETAHUI""))"),"")</f>
        <v/>
      </c>
    </row>
    <row r="10591">
      <c r="A10591" s="21" t="str">
        <f t="shared" si="3"/>
        <v/>
      </c>
      <c r="B10591" s="38"/>
      <c r="C10591" s="23"/>
      <c r="D10591" s="23"/>
      <c r="E10591" s="24"/>
      <c r="F10591" s="25"/>
      <c r="G10591" s="25"/>
      <c r="H10591" s="27"/>
      <c r="I10591" s="28"/>
      <c r="J10591" s="39"/>
      <c r="K10591" s="41"/>
      <c r="L10591" s="31" t="str">
        <f>IFERROR(__xludf.DUMMYFUNCTION("IF(OR(E10591="""",K10591=""""),"""",IFERROR(IF(K10591="""","""",query('tbl user'!$A$2:$D10975,""SELECT A WHERE D = '""&amp;K10591&amp;""'"")),""USER TIDAK DIKETAHUI""))"),"")</f>
        <v/>
      </c>
    </row>
    <row r="10592">
      <c r="A10592" s="21" t="str">
        <f t="shared" si="3"/>
        <v/>
      </c>
      <c r="B10592" s="38"/>
      <c r="C10592" s="23"/>
      <c r="D10592" s="23"/>
      <c r="E10592" s="24"/>
      <c r="F10592" s="25"/>
      <c r="G10592" s="25"/>
      <c r="H10592" s="27"/>
      <c r="I10592" s="28"/>
      <c r="J10592" s="39"/>
      <c r="K10592" s="41"/>
      <c r="L10592" s="31" t="str">
        <f>IFERROR(__xludf.DUMMYFUNCTION("IF(OR(E10592="""",K10592=""""),"""",IFERROR(IF(K10592="""","""",query('tbl user'!$A$2:$D10975,""SELECT A WHERE D = '""&amp;K10592&amp;""'"")),""USER TIDAK DIKETAHUI""))"),"")</f>
        <v/>
      </c>
    </row>
    <row r="10593">
      <c r="A10593" s="21" t="str">
        <f t="shared" si="3"/>
        <v/>
      </c>
      <c r="B10593" s="38"/>
      <c r="C10593" s="23"/>
      <c r="D10593" s="23"/>
      <c r="E10593" s="24"/>
      <c r="F10593" s="25"/>
      <c r="G10593" s="25"/>
      <c r="H10593" s="27"/>
      <c r="I10593" s="28"/>
      <c r="J10593" s="39"/>
      <c r="K10593" s="41"/>
      <c r="L10593" s="31" t="str">
        <f>IFERROR(__xludf.DUMMYFUNCTION("IF(OR(E10593="""",K10593=""""),"""",IFERROR(IF(K10593="""","""",query('tbl user'!$A$2:$D10975,""SELECT A WHERE D = '""&amp;K10593&amp;""'"")),""USER TIDAK DIKETAHUI""))"),"")</f>
        <v/>
      </c>
    </row>
    <row r="10594">
      <c r="A10594" s="21" t="str">
        <f t="shared" si="3"/>
        <v/>
      </c>
      <c r="B10594" s="38"/>
      <c r="C10594" s="23"/>
      <c r="D10594" s="23"/>
      <c r="E10594" s="24"/>
      <c r="F10594" s="25"/>
      <c r="G10594" s="25"/>
      <c r="H10594" s="27"/>
      <c r="I10594" s="28"/>
      <c r="J10594" s="39"/>
      <c r="K10594" s="41"/>
      <c r="L10594" s="31" t="str">
        <f>IFERROR(__xludf.DUMMYFUNCTION("IF(OR(E10594="""",K10594=""""),"""",IFERROR(IF(K10594="""","""",query('tbl user'!$A$2:$D10975,""SELECT A WHERE D = '""&amp;K10594&amp;""'"")),""USER TIDAK DIKETAHUI""))"),"")</f>
        <v/>
      </c>
    </row>
    <row r="10595">
      <c r="A10595" s="21" t="str">
        <f t="shared" si="3"/>
        <v/>
      </c>
      <c r="B10595" s="38"/>
      <c r="C10595" s="23"/>
      <c r="D10595" s="23"/>
      <c r="E10595" s="24"/>
      <c r="F10595" s="25"/>
      <c r="G10595" s="25"/>
      <c r="H10595" s="27"/>
      <c r="I10595" s="28"/>
      <c r="J10595" s="39"/>
      <c r="K10595" s="41"/>
      <c r="L10595" s="31" t="str">
        <f>IFERROR(__xludf.DUMMYFUNCTION("IF(OR(E10595="""",K10595=""""),"""",IFERROR(IF(K10595="""","""",query('tbl user'!$A$2:$D10975,""SELECT A WHERE D = '""&amp;K10595&amp;""'"")),""USER TIDAK DIKETAHUI""))"),"")</f>
        <v/>
      </c>
    </row>
    <row r="10596">
      <c r="A10596" s="21" t="str">
        <f t="shared" si="3"/>
        <v/>
      </c>
      <c r="B10596" s="38"/>
      <c r="C10596" s="23"/>
      <c r="D10596" s="23"/>
      <c r="E10596" s="24"/>
      <c r="F10596" s="25"/>
      <c r="G10596" s="25"/>
      <c r="H10596" s="27"/>
      <c r="I10596" s="28"/>
      <c r="J10596" s="39"/>
      <c r="K10596" s="41"/>
      <c r="L10596" s="31" t="str">
        <f>IFERROR(__xludf.DUMMYFUNCTION("IF(OR(E10596="""",K10596=""""),"""",IFERROR(IF(K10596="""","""",query('tbl user'!$A$2:$D10975,""SELECT A WHERE D = '""&amp;K10596&amp;""'"")),""USER TIDAK DIKETAHUI""))"),"")</f>
        <v/>
      </c>
    </row>
    <row r="10597">
      <c r="A10597" s="21" t="str">
        <f t="shared" si="3"/>
        <v/>
      </c>
      <c r="B10597" s="38"/>
      <c r="C10597" s="23"/>
      <c r="D10597" s="23"/>
      <c r="E10597" s="24"/>
      <c r="F10597" s="25"/>
      <c r="G10597" s="25"/>
      <c r="H10597" s="27"/>
      <c r="I10597" s="28"/>
      <c r="J10597" s="39"/>
      <c r="K10597" s="41"/>
      <c r="L10597" s="31" t="str">
        <f>IFERROR(__xludf.DUMMYFUNCTION("IF(OR(E10597="""",K10597=""""),"""",IFERROR(IF(K10597="""","""",query('tbl user'!$A$2:$D10975,""SELECT A WHERE D = '""&amp;K10597&amp;""'"")),""USER TIDAK DIKETAHUI""))"),"")</f>
        <v/>
      </c>
    </row>
    <row r="10598">
      <c r="A10598" s="21" t="str">
        <f t="shared" si="3"/>
        <v/>
      </c>
      <c r="B10598" s="38"/>
      <c r="C10598" s="23"/>
      <c r="D10598" s="23"/>
      <c r="E10598" s="24"/>
      <c r="F10598" s="25"/>
      <c r="G10598" s="25"/>
      <c r="H10598" s="27"/>
      <c r="I10598" s="28"/>
      <c r="J10598" s="39"/>
      <c r="K10598" s="41"/>
      <c r="L10598" s="31" t="str">
        <f>IFERROR(__xludf.DUMMYFUNCTION("IF(OR(E10598="""",K10598=""""),"""",IFERROR(IF(K10598="""","""",query('tbl user'!$A$2:$D10975,""SELECT A WHERE D = '""&amp;K10598&amp;""'"")),""USER TIDAK DIKETAHUI""))"),"")</f>
        <v/>
      </c>
    </row>
    <row r="10599">
      <c r="A10599" s="21" t="str">
        <f t="shared" si="3"/>
        <v/>
      </c>
      <c r="B10599" s="38"/>
      <c r="C10599" s="23"/>
      <c r="D10599" s="23"/>
      <c r="E10599" s="24"/>
      <c r="F10599" s="25"/>
      <c r="G10599" s="25"/>
      <c r="H10599" s="27"/>
      <c r="I10599" s="28"/>
      <c r="J10599" s="39"/>
      <c r="K10599" s="41"/>
      <c r="L10599" s="31" t="str">
        <f>IFERROR(__xludf.DUMMYFUNCTION("IF(OR(E10599="""",K10599=""""),"""",IFERROR(IF(K10599="""","""",query('tbl user'!$A$2:$D10975,""SELECT A WHERE D = '""&amp;K10599&amp;""'"")),""USER TIDAK DIKETAHUI""))"),"")</f>
        <v/>
      </c>
    </row>
    <row r="10600">
      <c r="A10600" s="21" t="str">
        <f t="shared" si="3"/>
        <v/>
      </c>
      <c r="B10600" s="38"/>
      <c r="C10600" s="23"/>
      <c r="D10600" s="23"/>
      <c r="E10600" s="24"/>
      <c r="F10600" s="25"/>
      <c r="G10600" s="25"/>
      <c r="H10600" s="27"/>
      <c r="I10600" s="28"/>
      <c r="J10600" s="39"/>
      <c r="K10600" s="41"/>
      <c r="L10600" s="31" t="str">
        <f>IFERROR(__xludf.DUMMYFUNCTION("IF(OR(E10600="""",K10600=""""),"""",IFERROR(IF(K10600="""","""",query('tbl user'!$A$2:$D10975,""SELECT A WHERE D = '""&amp;K10600&amp;""'"")),""USER TIDAK DIKETAHUI""))"),"")</f>
        <v/>
      </c>
    </row>
    <row r="10601">
      <c r="A10601" s="21" t="str">
        <f t="shared" si="3"/>
        <v/>
      </c>
      <c r="B10601" s="38"/>
      <c r="C10601" s="23"/>
      <c r="D10601" s="23"/>
      <c r="E10601" s="24"/>
      <c r="F10601" s="25"/>
      <c r="G10601" s="25"/>
      <c r="H10601" s="27"/>
      <c r="I10601" s="28"/>
      <c r="J10601" s="39"/>
      <c r="K10601" s="41"/>
      <c r="L10601" s="31" t="str">
        <f>IFERROR(__xludf.DUMMYFUNCTION("IF(OR(E10601="""",K10601=""""),"""",IFERROR(IF(K10601="""","""",query('tbl user'!$A$2:$D10975,""SELECT A WHERE D = '""&amp;K10601&amp;""'"")),""USER TIDAK DIKETAHUI""))"),"")</f>
        <v/>
      </c>
    </row>
    <row r="10602">
      <c r="A10602" s="21" t="str">
        <f t="shared" si="3"/>
        <v/>
      </c>
      <c r="B10602" s="38"/>
      <c r="C10602" s="23"/>
      <c r="D10602" s="23"/>
      <c r="E10602" s="24"/>
      <c r="F10602" s="25"/>
      <c r="G10602" s="25"/>
      <c r="H10602" s="27"/>
      <c r="I10602" s="28"/>
      <c r="J10602" s="39"/>
      <c r="K10602" s="41"/>
      <c r="L10602" s="31" t="str">
        <f>IFERROR(__xludf.DUMMYFUNCTION("IF(OR(E10602="""",K10602=""""),"""",IFERROR(IF(K10602="""","""",query('tbl user'!$A$2:$D10975,""SELECT A WHERE D = '""&amp;K10602&amp;""'"")),""USER TIDAK DIKETAHUI""))"),"")</f>
        <v/>
      </c>
    </row>
    <row r="10603">
      <c r="A10603" s="21" t="str">
        <f t="shared" si="3"/>
        <v/>
      </c>
      <c r="B10603" s="38"/>
      <c r="C10603" s="23"/>
      <c r="D10603" s="23"/>
      <c r="E10603" s="24"/>
      <c r="F10603" s="25"/>
      <c r="G10603" s="25"/>
      <c r="H10603" s="27"/>
      <c r="I10603" s="28"/>
      <c r="J10603" s="39"/>
      <c r="K10603" s="41"/>
      <c r="L10603" s="31" t="str">
        <f>IFERROR(__xludf.DUMMYFUNCTION("IF(OR(E10603="""",K10603=""""),"""",IFERROR(IF(K10603="""","""",query('tbl user'!$A$2:$D10975,""SELECT A WHERE D = '""&amp;K10603&amp;""'"")),""USER TIDAK DIKETAHUI""))"),"")</f>
        <v/>
      </c>
    </row>
    <row r="10604">
      <c r="A10604" s="21" t="str">
        <f t="shared" si="3"/>
        <v/>
      </c>
      <c r="B10604" s="38"/>
      <c r="C10604" s="23"/>
      <c r="D10604" s="23"/>
      <c r="E10604" s="24"/>
      <c r="F10604" s="25"/>
      <c r="G10604" s="25"/>
      <c r="H10604" s="27"/>
      <c r="I10604" s="28"/>
      <c r="J10604" s="39"/>
      <c r="K10604" s="41"/>
      <c r="L10604" s="31" t="str">
        <f>IFERROR(__xludf.DUMMYFUNCTION("IF(OR(E10604="""",K10604=""""),"""",IFERROR(IF(K10604="""","""",query('tbl user'!$A$2:$D10975,""SELECT A WHERE D = '""&amp;K10604&amp;""'"")),""USER TIDAK DIKETAHUI""))"),"")</f>
        <v/>
      </c>
    </row>
    <row r="10605">
      <c r="A10605" s="21" t="str">
        <f t="shared" si="3"/>
        <v/>
      </c>
      <c r="B10605" s="38"/>
      <c r="C10605" s="23"/>
      <c r="D10605" s="23"/>
      <c r="E10605" s="24"/>
      <c r="F10605" s="25"/>
      <c r="G10605" s="25"/>
      <c r="H10605" s="27"/>
      <c r="I10605" s="28"/>
      <c r="J10605" s="39"/>
      <c r="K10605" s="41"/>
      <c r="L10605" s="31" t="str">
        <f>IFERROR(__xludf.DUMMYFUNCTION("IF(OR(E10605="""",K10605=""""),"""",IFERROR(IF(K10605="""","""",query('tbl user'!$A$2:$D10975,""SELECT A WHERE D = '""&amp;K10605&amp;""'"")),""USER TIDAK DIKETAHUI""))"),"")</f>
        <v/>
      </c>
    </row>
    <row r="10606">
      <c r="A10606" s="21" t="str">
        <f t="shared" si="3"/>
        <v/>
      </c>
      <c r="B10606" s="38"/>
      <c r="C10606" s="23"/>
      <c r="D10606" s="23"/>
      <c r="E10606" s="24"/>
      <c r="F10606" s="25"/>
      <c r="G10606" s="25"/>
      <c r="H10606" s="27"/>
      <c r="I10606" s="28"/>
      <c r="J10606" s="39"/>
      <c r="K10606" s="41"/>
      <c r="L10606" s="31" t="str">
        <f>IFERROR(__xludf.DUMMYFUNCTION("IF(OR(E10606="""",K10606=""""),"""",IFERROR(IF(K10606="""","""",query('tbl user'!$A$2:$D10975,""SELECT A WHERE D = '""&amp;K10606&amp;""'"")),""USER TIDAK DIKETAHUI""))"),"")</f>
        <v/>
      </c>
    </row>
    <row r="10607">
      <c r="A10607" s="21" t="str">
        <f t="shared" si="3"/>
        <v/>
      </c>
      <c r="B10607" s="38"/>
      <c r="C10607" s="23"/>
      <c r="D10607" s="23"/>
      <c r="E10607" s="24"/>
      <c r="F10607" s="25"/>
      <c r="G10607" s="25"/>
      <c r="H10607" s="27"/>
      <c r="I10607" s="28"/>
      <c r="J10607" s="39"/>
      <c r="K10607" s="41"/>
      <c r="L10607" s="31" t="str">
        <f>IFERROR(__xludf.DUMMYFUNCTION("IF(OR(E10607="""",K10607=""""),"""",IFERROR(IF(K10607="""","""",query('tbl user'!$A$2:$D10975,""SELECT A WHERE D = '""&amp;K10607&amp;""'"")),""USER TIDAK DIKETAHUI""))"),"")</f>
        <v/>
      </c>
    </row>
    <row r="10608">
      <c r="A10608" s="21" t="str">
        <f t="shared" si="3"/>
        <v/>
      </c>
      <c r="B10608" s="38"/>
      <c r="C10608" s="23"/>
      <c r="D10608" s="23"/>
      <c r="E10608" s="24"/>
      <c r="F10608" s="25"/>
      <c r="G10608" s="25"/>
      <c r="H10608" s="27"/>
      <c r="I10608" s="28"/>
      <c r="J10608" s="39"/>
      <c r="K10608" s="41"/>
      <c r="L10608" s="31" t="str">
        <f>IFERROR(__xludf.DUMMYFUNCTION("IF(OR(E10608="""",K10608=""""),"""",IFERROR(IF(K10608="""","""",query('tbl user'!$A$2:$D10975,""SELECT A WHERE D = '""&amp;K10608&amp;""'"")),""USER TIDAK DIKETAHUI""))"),"")</f>
        <v/>
      </c>
    </row>
    <row r="10609">
      <c r="A10609" s="21" t="str">
        <f t="shared" si="3"/>
        <v/>
      </c>
      <c r="B10609" s="38"/>
      <c r="C10609" s="23"/>
      <c r="D10609" s="23"/>
      <c r="E10609" s="24"/>
      <c r="F10609" s="25"/>
      <c r="G10609" s="25"/>
      <c r="H10609" s="27"/>
      <c r="I10609" s="28"/>
      <c r="J10609" s="39"/>
      <c r="K10609" s="41"/>
      <c r="L10609" s="31" t="str">
        <f>IFERROR(__xludf.DUMMYFUNCTION("IF(OR(E10609="""",K10609=""""),"""",IFERROR(IF(K10609="""","""",query('tbl user'!$A$2:$D10975,""SELECT A WHERE D = '""&amp;K10609&amp;""'"")),""USER TIDAK DIKETAHUI""))"),"")</f>
        <v/>
      </c>
    </row>
    <row r="10610">
      <c r="A10610" s="21" t="str">
        <f t="shared" si="3"/>
        <v/>
      </c>
      <c r="B10610" s="38"/>
      <c r="C10610" s="23"/>
      <c r="D10610" s="23"/>
      <c r="E10610" s="24"/>
      <c r="F10610" s="25"/>
      <c r="G10610" s="25"/>
      <c r="H10610" s="27"/>
      <c r="I10610" s="28"/>
      <c r="J10610" s="39"/>
      <c r="K10610" s="41"/>
      <c r="L10610" s="31" t="str">
        <f>IFERROR(__xludf.DUMMYFUNCTION("IF(OR(E10610="""",K10610=""""),"""",IFERROR(IF(K10610="""","""",query('tbl user'!$A$2:$D10975,""SELECT A WHERE D = '""&amp;K10610&amp;""'"")),""USER TIDAK DIKETAHUI""))"),"")</f>
        <v/>
      </c>
    </row>
    <row r="10611">
      <c r="A10611" s="21" t="str">
        <f t="shared" si="3"/>
        <v/>
      </c>
      <c r="B10611" s="38"/>
      <c r="C10611" s="23"/>
      <c r="D10611" s="23"/>
      <c r="E10611" s="24"/>
      <c r="F10611" s="25"/>
      <c r="G10611" s="25"/>
      <c r="H10611" s="27"/>
      <c r="I10611" s="28"/>
      <c r="J10611" s="39"/>
      <c r="K10611" s="41"/>
      <c r="L10611" s="31" t="str">
        <f>IFERROR(__xludf.DUMMYFUNCTION("IF(OR(E10611="""",K10611=""""),"""",IFERROR(IF(K10611="""","""",query('tbl user'!$A$2:$D10975,""SELECT A WHERE D = '""&amp;K10611&amp;""'"")),""USER TIDAK DIKETAHUI""))"),"")</f>
        <v/>
      </c>
    </row>
    <row r="10612">
      <c r="A10612" s="21" t="str">
        <f t="shared" si="3"/>
        <v/>
      </c>
      <c r="B10612" s="38"/>
      <c r="C10612" s="23"/>
      <c r="D10612" s="23"/>
      <c r="E10612" s="24"/>
      <c r="F10612" s="25"/>
      <c r="G10612" s="25"/>
      <c r="H10612" s="27"/>
      <c r="I10612" s="28"/>
      <c r="J10612" s="39"/>
      <c r="K10612" s="41"/>
      <c r="L10612" s="31" t="str">
        <f>IFERROR(__xludf.DUMMYFUNCTION("IF(OR(E10612="""",K10612=""""),"""",IFERROR(IF(K10612="""","""",query('tbl user'!$A$2:$D10975,""SELECT A WHERE D = '""&amp;K10612&amp;""'"")),""USER TIDAK DIKETAHUI""))"),"")</f>
        <v/>
      </c>
    </row>
    <row r="10613">
      <c r="A10613" s="21" t="str">
        <f t="shared" si="3"/>
        <v/>
      </c>
      <c r="B10613" s="38"/>
      <c r="C10613" s="23"/>
      <c r="D10613" s="23"/>
      <c r="E10613" s="24"/>
      <c r="F10613" s="25"/>
      <c r="G10613" s="25"/>
      <c r="H10613" s="27"/>
      <c r="I10613" s="28"/>
      <c r="J10613" s="39"/>
      <c r="K10613" s="41"/>
      <c r="L10613" s="31" t="str">
        <f>IFERROR(__xludf.DUMMYFUNCTION("IF(OR(E10613="""",K10613=""""),"""",IFERROR(IF(K10613="""","""",query('tbl user'!$A$2:$D10975,""SELECT A WHERE D = '""&amp;K10613&amp;""'"")),""USER TIDAK DIKETAHUI""))"),"")</f>
        <v/>
      </c>
    </row>
    <row r="10614">
      <c r="A10614" s="21" t="str">
        <f t="shared" si="3"/>
        <v/>
      </c>
      <c r="B10614" s="38"/>
      <c r="C10614" s="23"/>
      <c r="D10614" s="23"/>
      <c r="E10614" s="24"/>
      <c r="F10614" s="25"/>
      <c r="G10614" s="25"/>
      <c r="H10614" s="27"/>
      <c r="I10614" s="28"/>
      <c r="J10614" s="39"/>
      <c r="K10614" s="41"/>
      <c r="L10614" s="31" t="str">
        <f>IFERROR(__xludf.DUMMYFUNCTION("IF(OR(E10614="""",K10614=""""),"""",IFERROR(IF(K10614="""","""",query('tbl user'!$A$2:$D10975,""SELECT A WHERE D = '""&amp;K10614&amp;""'"")),""USER TIDAK DIKETAHUI""))"),"")</f>
        <v/>
      </c>
    </row>
    <row r="10615">
      <c r="A10615" s="21" t="str">
        <f t="shared" si="3"/>
        <v/>
      </c>
      <c r="B10615" s="38"/>
      <c r="C10615" s="23"/>
      <c r="D10615" s="23"/>
      <c r="E10615" s="24"/>
      <c r="F10615" s="25"/>
      <c r="G10615" s="25"/>
      <c r="H10615" s="27"/>
      <c r="I10615" s="28"/>
      <c r="J10615" s="39"/>
      <c r="K10615" s="41"/>
      <c r="L10615" s="31" t="str">
        <f>IFERROR(__xludf.DUMMYFUNCTION("IF(OR(E10615="""",K10615=""""),"""",IFERROR(IF(K10615="""","""",query('tbl user'!$A$2:$D10975,""SELECT A WHERE D = '""&amp;K10615&amp;""'"")),""USER TIDAK DIKETAHUI""))"),"")</f>
        <v/>
      </c>
    </row>
    <row r="10616">
      <c r="A10616" s="21" t="str">
        <f t="shared" si="3"/>
        <v/>
      </c>
      <c r="B10616" s="38"/>
      <c r="C10616" s="23"/>
      <c r="D10616" s="23"/>
      <c r="E10616" s="24"/>
      <c r="F10616" s="25"/>
      <c r="G10616" s="25"/>
      <c r="H10616" s="27"/>
      <c r="I10616" s="28"/>
      <c r="J10616" s="39"/>
      <c r="K10616" s="41"/>
      <c r="L10616" s="31" t="str">
        <f>IFERROR(__xludf.DUMMYFUNCTION("IF(OR(E10616="""",K10616=""""),"""",IFERROR(IF(K10616="""","""",query('tbl user'!$A$2:$D10975,""SELECT A WHERE D = '""&amp;K10616&amp;""'"")),""USER TIDAK DIKETAHUI""))"),"")</f>
        <v/>
      </c>
    </row>
    <row r="10617">
      <c r="A10617" s="21" t="str">
        <f t="shared" si="3"/>
        <v/>
      </c>
      <c r="B10617" s="38"/>
      <c r="C10617" s="23"/>
      <c r="D10617" s="23"/>
      <c r="E10617" s="24"/>
      <c r="F10617" s="25"/>
      <c r="G10617" s="25"/>
      <c r="H10617" s="27"/>
      <c r="I10617" s="28"/>
      <c r="J10617" s="39"/>
      <c r="K10617" s="41"/>
      <c r="L10617" s="31" t="str">
        <f>IFERROR(__xludf.DUMMYFUNCTION("IF(OR(E10617="""",K10617=""""),"""",IFERROR(IF(K10617="""","""",query('tbl user'!$A$2:$D10975,""SELECT A WHERE D = '""&amp;K10617&amp;""'"")),""USER TIDAK DIKETAHUI""))"),"")</f>
        <v/>
      </c>
    </row>
    <row r="10618">
      <c r="A10618" s="21" t="str">
        <f t="shared" si="3"/>
        <v/>
      </c>
      <c r="B10618" s="38"/>
      <c r="C10618" s="23"/>
      <c r="D10618" s="23"/>
      <c r="E10618" s="24"/>
      <c r="F10618" s="25"/>
      <c r="G10618" s="25"/>
      <c r="H10618" s="27"/>
      <c r="I10618" s="28"/>
      <c r="J10618" s="39"/>
      <c r="K10618" s="41"/>
      <c r="L10618" s="31" t="str">
        <f>IFERROR(__xludf.DUMMYFUNCTION("IF(OR(E10618="""",K10618=""""),"""",IFERROR(IF(K10618="""","""",query('tbl user'!$A$2:$D10975,""SELECT A WHERE D = '""&amp;K10618&amp;""'"")),""USER TIDAK DIKETAHUI""))"),"")</f>
        <v/>
      </c>
    </row>
    <row r="10619">
      <c r="A10619" s="21" t="str">
        <f t="shared" si="3"/>
        <v/>
      </c>
      <c r="B10619" s="38"/>
      <c r="C10619" s="23"/>
      <c r="D10619" s="23"/>
      <c r="E10619" s="24"/>
      <c r="F10619" s="25"/>
      <c r="G10619" s="25"/>
      <c r="H10619" s="27"/>
      <c r="I10619" s="28"/>
      <c r="J10619" s="39"/>
      <c r="K10619" s="41"/>
      <c r="L10619" s="31" t="str">
        <f>IFERROR(__xludf.DUMMYFUNCTION("IF(OR(E10619="""",K10619=""""),"""",IFERROR(IF(K10619="""","""",query('tbl user'!$A$2:$D10975,""SELECT A WHERE D = '""&amp;K10619&amp;""'"")),""USER TIDAK DIKETAHUI""))"),"")</f>
        <v/>
      </c>
    </row>
    <row r="10620">
      <c r="A10620" s="21" t="str">
        <f t="shared" si="3"/>
        <v/>
      </c>
      <c r="B10620" s="38"/>
      <c r="C10620" s="23"/>
      <c r="D10620" s="23"/>
      <c r="E10620" s="24"/>
      <c r="F10620" s="25"/>
      <c r="G10620" s="25"/>
      <c r="H10620" s="27"/>
      <c r="I10620" s="28"/>
      <c r="J10620" s="39"/>
      <c r="K10620" s="41"/>
      <c r="L10620" s="31" t="str">
        <f>IFERROR(__xludf.DUMMYFUNCTION("IF(OR(E10620="""",K10620=""""),"""",IFERROR(IF(K10620="""","""",query('tbl user'!$A$2:$D10975,""SELECT A WHERE D = '""&amp;K10620&amp;""'"")),""USER TIDAK DIKETAHUI""))"),"")</f>
        <v/>
      </c>
    </row>
    <row r="10621">
      <c r="A10621" s="21" t="str">
        <f t="shared" si="3"/>
        <v/>
      </c>
      <c r="B10621" s="38"/>
      <c r="C10621" s="23"/>
      <c r="D10621" s="23"/>
      <c r="E10621" s="24"/>
      <c r="F10621" s="25"/>
      <c r="G10621" s="25"/>
      <c r="H10621" s="27"/>
      <c r="I10621" s="28"/>
      <c r="J10621" s="39"/>
      <c r="K10621" s="41"/>
      <c r="L10621" s="31" t="str">
        <f>IFERROR(__xludf.DUMMYFUNCTION("IF(OR(E10621="""",K10621=""""),"""",IFERROR(IF(K10621="""","""",query('tbl user'!$A$2:$D10975,""SELECT A WHERE D = '""&amp;K10621&amp;""'"")),""USER TIDAK DIKETAHUI""))"),"")</f>
        <v/>
      </c>
    </row>
    <row r="10622">
      <c r="A10622" s="21" t="str">
        <f t="shared" si="3"/>
        <v/>
      </c>
      <c r="B10622" s="38"/>
      <c r="C10622" s="23"/>
      <c r="D10622" s="23"/>
      <c r="E10622" s="24"/>
      <c r="F10622" s="25"/>
      <c r="G10622" s="25"/>
      <c r="H10622" s="27"/>
      <c r="I10622" s="28"/>
      <c r="J10622" s="39"/>
      <c r="K10622" s="41"/>
      <c r="L10622" s="31" t="str">
        <f>IFERROR(__xludf.DUMMYFUNCTION("IF(OR(E10622="""",K10622=""""),"""",IFERROR(IF(K10622="""","""",query('tbl user'!$A$2:$D10975,""SELECT A WHERE D = '""&amp;K10622&amp;""'"")),""USER TIDAK DIKETAHUI""))"),"")</f>
        <v/>
      </c>
    </row>
    <row r="10623">
      <c r="A10623" s="21" t="str">
        <f t="shared" si="3"/>
        <v/>
      </c>
      <c r="B10623" s="38"/>
      <c r="C10623" s="23"/>
      <c r="D10623" s="23"/>
      <c r="E10623" s="24"/>
      <c r="F10623" s="25"/>
      <c r="G10623" s="25"/>
      <c r="H10623" s="27"/>
      <c r="I10623" s="28"/>
      <c r="J10623" s="39"/>
      <c r="K10623" s="41"/>
      <c r="L10623" s="31" t="str">
        <f>IFERROR(__xludf.DUMMYFUNCTION("IF(OR(E10623="""",K10623=""""),"""",IFERROR(IF(K10623="""","""",query('tbl user'!$A$2:$D10975,""SELECT A WHERE D = '""&amp;K10623&amp;""'"")),""USER TIDAK DIKETAHUI""))"),"")</f>
        <v/>
      </c>
    </row>
    <row r="10624">
      <c r="A10624" s="21" t="str">
        <f t="shared" si="3"/>
        <v/>
      </c>
      <c r="B10624" s="38"/>
      <c r="C10624" s="23"/>
      <c r="D10624" s="23"/>
      <c r="E10624" s="24"/>
      <c r="F10624" s="25"/>
      <c r="G10624" s="25"/>
      <c r="H10624" s="27"/>
      <c r="I10624" s="28"/>
      <c r="J10624" s="39"/>
      <c r="K10624" s="41"/>
      <c r="L10624" s="31" t="str">
        <f>IFERROR(__xludf.DUMMYFUNCTION("IF(OR(E10624="""",K10624=""""),"""",IFERROR(IF(K10624="""","""",query('tbl user'!$A$2:$D10975,""SELECT A WHERE D = '""&amp;K10624&amp;""'"")),""USER TIDAK DIKETAHUI""))"),"")</f>
        <v/>
      </c>
    </row>
    <row r="10625">
      <c r="A10625" s="21" t="str">
        <f t="shared" si="3"/>
        <v/>
      </c>
      <c r="B10625" s="38"/>
      <c r="C10625" s="23"/>
      <c r="D10625" s="23"/>
      <c r="E10625" s="24"/>
      <c r="F10625" s="25"/>
      <c r="G10625" s="25"/>
      <c r="H10625" s="27"/>
      <c r="I10625" s="28"/>
      <c r="J10625" s="39"/>
      <c r="K10625" s="41"/>
      <c r="L10625" s="31" t="str">
        <f>IFERROR(__xludf.DUMMYFUNCTION("IF(OR(E10625="""",K10625=""""),"""",IFERROR(IF(K10625="""","""",query('tbl user'!$A$2:$D10975,""SELECT A WHERE D = '""&amp;K10625&amp;""'"")),""USER TIDAK DIKETAHUI""))"),"")</f>
        <v/>
      </c>
    </row>
    <row r="10626">
      <c r="A10626" s="21" t="str">
        <f t="shared" si="3"/>
        <v/>
      </c>
      <c r="B10626" s="38"/>
      <c r="C10626" s="23"/>
      <c r="D10626" s="23"/>
      <c r="E10626" s="24"/>
      <c r="F10626" s="25"/>
      <c r="G10626" s="25"/>
      <c r="H10626" s="27"/>
      <c r="I10626" s="28"/>
      <c r="J10626" s="39"/>
      <c r="K10626" s="41"/>
      <c r="L10626" s="31" t="str">
        <f>IFERROR(__xludf.DUMMYFUNCTION("IF(OR(E10626="""",K10626=""""),"""",IFERROR(IF(K10626="""","""",query('tbl user'!$A$2:$D10975,""SELECT A WHERE D = '""&amp;K10626&amp;""'"")),""USER TIDAK DIKETAHUI""))"),"")</f>
        <v/>
      </c>
    </row>
    <row r="10627">
      <c r="A10627" s="21" t="str">
        <f t="shared" si="3"/>
        <v/>
      </c>
      <c r="B10627" s="38"/>
      <c r="C10627" s="23"/>
      <c r="D10627" s="23"/>
      <c r="E10627" s="24"/>
      <c r="F10627" s="25"/>
      <c r="G10627" s="25"/>
      <c r="H10627" s="27"/>
      <c r="I10627" s="28"/>
      <c r="J10627" s="39"/>
      <c r="K10627" s="41"/>
      <c r="L10627" s="31" t="str">
        <f>IFERROR(__xludf.DUMMYFUNCTION("IF(OR(E10627="""",K10627=""""),"""",IFERROR(IF(K10627="""","""",query('tbl user'!$A$2:$D10975,""SELECT A WHERE D = '""&amp;K10627&amp;""'"")),""USER TIDAK DIKETAHUI""))"),"")</f>
        <v/>
      </c>
    </row>
    <row r="10628">
      <c r="A10628" s="21" t="str">
        <f t="shared" si="3"/>
        <v/>
      </c>
      <c r="B10628" s="38"/>
      <c r="C10628" s="23"/>
      <c r="D10628" s="23"/>
      <c r="E10628" s="24"/>
      <c r="F10628" s="25"/>
      <c r="G10628" s="25"/>
      <c r="H10628" s="27"/>
      <c r="I10628" s="28"/>
      <c r="J10628" s="39"/>
      <c r="K10628" s="41"/>
      <c r="L10628" s="31" t="str">
        <f>IFERROR(__xludf.DUMMYFUNCTION("IF(OR(E10628="""",K10628=""""),"""",IFERROR(IF(K10628="""","""",query('tbl user'!$A$2:$D10975,""SELECT A WHERE D = '""&amp;K10628&amp;""'"")),""USER TIDAK DIKETAHUI""))"),"")</f>
        <v/>
      </c>
    </row>
    <row r="10629">
      <c r="A10629" s="21" t="str">
        <f t="shared" si="3"/>
        <v/>
      </c>
      <c r="B10629" s="38"/>
      <c r="C10629" s="23"/>
      <c r="D10629" s="23"/>
      <c r="E10629" s="24"/>
      <c r="F10629" s="25"/>
      <c r="G10629" s="25"/>
      <c r="H10629" s="27"/>
      <c r="I10629" s="28"/>
      <c r="J10629" s="39"/>
      <c r="K10629" s="41"/>
      <c r="L10629" s="31" t="str">
        <f>IFERROR(__xludf.DUMMYFUNCTION("IF(OR(E10629="""",K10629=""""),"""",IFERROR(IF(K10629="""","""",query('tbl user'!$A$2:$D10975,""SELECT A WHERE D = '""&amp;K10629&amp;""'"")),""USER TIDAK DIKETAHUI""))"),"")</f>
        <v/>
      </c>
    </row>
    <row r="10630">
      <c r="A10630" s="21" t="str">
        <f t="shared" si="3"/>
        <v/>
      </c>
      <c r="B10630" s="38"/>
      <c r="C10630" s="23"/>
      <c r="D10630" s="23"/>
      <c r="E10630" s="24"/>
      <c r="F10630" s="25"/>
      <c r="G10630" s="25"/>
      <c r="H10630" s="27"/>
      <c r="I10630" s="28"/>
      <c r="J10630" s="39"/>
      <c r="K10630" s="41"/>
      <c r="L10630" s="31" t="str">
        <f>IFERROR(__xludf.DUMMYFUNCTION("IF(OR(E10630="""",K10630=""""),"""",IFERROR(IF(K10630="""","""",query('tbl user'!$A$2:$D10975,""SELECT A WHERE D = '""&amp;K10630&amp;""'"")),""USER TIDAK DIKETAHUI""))"),"")</f>
        <v/>
      </c>
    </row>
    <row r="10631">
      <c r="A10631" s="21" t="str">
        <f t="shared" si="3"/>
        <v/>
      </c>
      <c r="B10631" s="38"/>
      <c r="C10631" s="23"/>
      <c r="D10631" s="23"/>
      <c r="E10631" s="24"/>
      <c r="F10631" s="25"/>
      <c r="G10631" s="25"/>
      <c r="H10631" s="27"/>
      <c r="I10631" s="28"/>
      <c r="J10631" s="39"/>
      <c r="K10631" s="41"/>
      <c r="L10631" s="31" t="str">
        <f>IFERROR(__xludf.DUMMYFUNCTION("IF(OR(E10631="""",K10631=""""),"""",IFERROR(IF(K10631="""","""",query('tbl user'!$A$2:$D10975,""SELECT A WHERE D = '""&amp;K10631&amp;""'"")),""USER TIDAK DIKETAHUI""))"),"")</f>
        <v/>
      </c>
    </row>
    <row r="10632">
      <c r="A10632" s="21" t="str">
        <f t="shared" si="3"/>
        <v/>
      </c>
      <c r="B10632" s="38"/>
      <c r="C10632" s="23"/>
      <c r="D10632" s="23"/>
      <c r="E10632" s="24"/>
      <c r="F10632" s="25"/>
      <c r="G10632" s="25"/>
      <c r="H10632" s="27"/>
      <c r="I10632" s="28"/>
      <c r="J10632" s="39"/>
      <c r="K10632" s="41"/>
      <c r="L10632" s="31" t="str">
        <f>IFERROR(__xludf.DUMMYFUNCTION("IF(OR(E10632="""",K10632=""""),"""",IFERROR(IF(K10632="""","""",query('tbl user'!$A$2:$D10975,""SELECT A WHERE D = '""&amp;K10632&amp;""'"")),""USER TIDAK DIKETAHUI""))"),"")</f>
        <v/>
      </c>
    </row>
    <row r="10633">
      <c r="A10633" s="21" t="str">
        <f t="shared" si="3"/>
        <v/>
      </c>
      <c r="B10633" s="38"/>
      <c r="C10633" s="23"/>
      <c r="D10633" s="23"/>
      <c r="E10633" s="24"/>
      <c r="F10633" s="25"/>
      <c r="G10633" s="25"/>
      <c r="H10633" s="27"/>
      <c r="I10633" s="28"/>
      <c r="J10633" s="39"/>
      <c r="K10633" s="41"/>
      <c r="L10633" s="31" t="str">
        <f>IFERROR(__xludf.DUMMYFUNCTION("IF(OR(E10633="""",K10633=""""),"""",IFERROR(IF(K10633="""","""",query('tbl user'!$A$2:$D10975,""SELECT A WHERE D = '""&amp;K10633&amp;""'"")),""USER TIDAK DIKETAHUI""))"),"")</f>
        <v/>
      </c>
    </row>
    <row r="10634">
      <c r="A10634" s="21" t="str">
        <f t="shared" si="3"/>
        <v/>
      </c>
      <c r="B10634" s="38"/>
      <c r="C10634" s="23"/>
      <c r="D10634" s="23"/>
      <c r="E10634" s="24"/>
      <c r="F10634" s="25"/>
      <c r="G10634" s="25"/>
      <c r="H10634" s="27"/>
      <c r="I10634" s="28"/>
      <c r="J10634" s="39"/>
      <c r="K10634" s="41"/>
      <c r="L10634" s="31" t="str">
        <f>IFERROR(__xludf.DUMMYFUNCTION("IF(OR(E10634="""",K10634=""""),"""",IFERROR(IF(K10634="""","""",query('tbl user'!$A$2:$D10975,""SELECT A WHERE D = '""&amp;K10634&amp;""'"")),""USER TIDAK DIKETAHUI""))"),"")</f>
        <v/>
      </c>
    </row>
    <row r="10635">
      <c r="A10635" s="21" t="str">
        <f t="shared" si="3"/>
        <v/>
      </c>
      <c r="B10635" s="38"/>
      <c r="C10635" s="23"/>
      <c r="D10635" s="23"/>
      <c r="E10635" s="24"/>
      <c r="F10635" s="25"/>
      <c r="G10635" s="25"/>
      <c r="H10635" s="27"/>
      <c r="I10635" s="28"/>
      <c r="J10635" s="39"/>
      <c r="K10635" s="41"/>
      <c r="L10635" s="31" t="str">
        <f>IFERROR(__xludf.DUMMYFUNCTION("IF(OR(E10635="""",K10635=""""),"""",IFERROR(IF(K10635="""","""",query('tbl user'!$A$2:$D10975,""SELECT A WHERE D = '""&amp;K10635&amp;""'"")),""USER TIDAK DIKETAHUI""))"),"")</f>
        <v/>
      </c>
    </row>
    <row r="10636">
      <c r="A10636" s="21" t="str">
        <f t="shared" si="3"/>
        <v/>
      </c>
      <c r="B10636" s="38"/>
      <c r="C10636" s="23"/>
      <c r="D10636" s="23"/>
      <c r="E10636" s="24"/>
      <c r="F10636" s="25"/>
      <c r="G10636" s="25"/>
      <c r="H10636" s="27"/>
      <c r="I10636" s="28"/>
      <c r="J10636" s="39"/>
      <c r="K10636" s="41"/>
      <c r="L10636" s="31" t="str">
        <f>IFERROR(__xludf.DUMMYFUNCTION("IF(OR(E10636="""",K10636=""""),"""",IFERROR(IF(K10636="""","""",query('tbl user'!$A$2:$D10975,""SELECT A WHERE D = '""&amp;K10636&amp;""'"")),""USER TIDAK DIKETAHUI""))"),"")</f>
        <v/>
      </c>
    </row>
    <row r="10637">
      <c r="A10637" s="21" t="str">
        <f t="shared" si="3"/>
        <v/>
      </c>
      <c r="B10637" s="38"/>
      <c r="C10637" s="23"/>
      <c r="D10637" s="23"/>
      <c r="E10637" s="24"/>
      <c r="F10637" s="25"/>
      <c r="G10637" s="25"/>
      <c r="H10637" s="27"/>
      <c r="I10637" s="28"/>
      <c r="J10637" s="39"/>
      <c r="K10637" s="41"/>
      <c r="L10637" s="31" t="str">
        <f>IFERROR(__xludf.DUMMYFUNCTION("IF(OR(E10637="""",K10637=""""),"""",IFERROR(IF(K10637="""","""",query('tbl user'!$A$2:$D10975,""SELECT A WHERE D = '""&amp;K10637&amp;""'"")),""USER TIDAK DIKETAHUI""))"),"")</f>
        <v/>
      </c>
    </row>
    <row r="10638">
      <c r="A10638" s="21" t="str">
        <f t="shared" si="3"/>
        <v/>
      </c>
      <c r="B10638" s="38"/>
      <c r="C10638" s="23"/>
      <c r="D10638" s="23"/>
      <c r="E10638" s="24"/>
      <c r="F10638" s="25"/>
      <c r="G10638" s="25"/>
      <c r="H10638" s="27"/>
      <c r="I10638" s="28"/>
      <c r="J10638" s="39"/>
      <c r="K10638" s="41"/>
      <c r="L10638" s="31" t="str">
        <f>IFERROR(__xludf.DUMMYFUNCTION("IF(OR(E10638="""",K10638=""""),"""",IFERROR(IF(K10638="""","""",query('tbl user'!$A$2:$D10975,""SELECT A WHERE D = '""&amp;K10638&amp;""'"")),""USER TIDAK DIKETAHUI""))"),"")</f>
        <v/>
      </c>
    </row>
    <row r="10639">
      <c r="A10639" s="21" t="str">
        <f t="shared" si="3"/>
        <v/>
      </c>
      <c r="B10639" s="38"/>
      <c r="C10639" s="23"/>
      <c r="D10639" s="23"/>
      <c r="E10639" s="24"/>
      <c r="F10639" s="25"/>
      <c r="G10639" s="25"/>
      <c r="H10639" s="27"/>
      <c r="I10639" s="28"/>
      <c r="J10639" s="39"/>
      <c r="K10639" s="41"/>
      <c r="L10639" s="31" t="str">
        <f>IFERROR(__xludf.DUMMYFUNCTION("IF(OR(E10639="""",K10639=""""),"""",IFERROR(IF(K10639="""","""",query('tbl user'!$A$2:$D10975,""SELECT A WHERE D = '""&amp;K10639&amp;""'"")),""USER TIDAK DIKETAHUI""))"),"")</f>
        <v/>
      </c>
    </row>
    <row r="10640">
      <c r="A10640" s="21" t="str">
        <f t="shared" si="3"/>
        <v/>
      </c>
      <c r="B10640" s="38"/>
      <c r="C10640" s="23"/>
      <c r="D10640" s="23"/>
      <c r="E10640" s="24"/>
      <c r="F10640" s="25"/>
      <c r="G10640" s="25"/>
      <c r="H10640" s="27"/>
      <c r="I10640" s="28"/>
      <c r="J10640" s="39"/>
      <c r="K10640" s="41"/>
      <c r="L10640" s="31" t="str">
        <f>IFERROR(__xludf.DUMMYFUNCTION("IF(OR(E10640="""",K10640=""""),"""",IFERROR(IF(K10640="""","""",query('tbl user'!$A$2:$D10975,""SELECT A WHERE D = '""&amp;K10640&amp;""'"")),""USER TIDAK DIKETAHUI""))"),"")</f>
        <v/>
      </c>
    </row>
    <row r="10641">
      <c r="A10641" s="21" t="str">
        <f t="shared" si="3"/>
        <v/>
      </c>
      <c r="B10641" s="38"/>
      <c r="C10641" s="23"/>
      <c r="D10641" s="23"/>
      <c r="E10641" s="24"/>
      <c r="F10641" s="25"/>
      <c r="G10641" s="25"/>
      <c r="H10641" s="27"/>
      <c r="I10641" s="28"/>
      <c r="J10641" s="39"/>
      <c r="K10641" s="41"/>
      <c r="L10641" s="31" t="str">
        <f>IFERROR(__xludf.DUMMYFUNCTION("IF(OR(E10641="""",K10641=""""),"""",IFERROR(IF(K10641="""","""",query('tbl user'!$A$2:$D10975,""SELECT A WHERE D = '""&amp;K10641&amp;""'"")),""USER TIDAK DIKETAHUI""))"),"")</f>
        <v/>
      </c>
    </row>
    <row r="10642">
      <c r="A10642" s="21" t="str">
        <f t="shared" si="3"/>
        <v/>
      </c>
      <c r="B10642" s="38"/>
      <c r="C10642" s="23"/>
      <c r="D10642" s="23"/>
      <c r="E10642" s="24"/>
      <c r="F10642" s="25"/>
      <c r="G10642" s="25"/>
      <c r="H10642" s="27"/>
      <c r="I10642" s="28"/>
      <c r="J10642" s="39"/>
      <c r="K10642" s="41"/>
      <c r="L10642" s="31" t="str">
        <f>IFERROR(__xludf.DUMMYFUNCTION("IF(OR(E10642="""",K10642=""""),"""",IFERROR(IF(K10642="""","""",query('tbl user'!$A$2:$D10975,""SELECT A WHERE D = '""&amp;K10642&amp;""'"")),""USER TIDAK DIKETAHUI""))"),"")</f>
        <v/>
      </c>
    </row>
    <row r="10643">
      <c r="A10643" s="21" t="str">
        <f t="shared" si="3"/>
        <v/>
      </c>
      <c r="B10643" s="38"/>
      <c r="C10643" s="23"/>
      <c r="D10643" s="23"/>
      <c r="E10643" s="24"/>
      <c r="F10643" s="25"/>
      <c r="G10643" s="25"/>
      <c r="H10643" s="27"/>
      <c r="I10643" s="28"/>
      <c r="J10643" s="39"/>
      <c r="K10643" s="41"/>
      <c r="L10643" s="31" t="str">
        <f>IFERROR(__xludf.DUMMYFUNCTION("IF(OR(E10643="""",K10643=""""),"""",IFERROR(IF(K10643="""","""",query('tbl user'!$A$2:$D10975,""SELECT A WHERE D = '""&amp;K10643&amp;""'"")),""USER TIDAK DIKETAHUI""))"),"")</f>
        <v/>
      </c>
    </row>
    <row r="10644">
      <c r="A10644" s="21" t="str">
        <f t="shared" si="3"/>
        <v/>
      </c>
      <c r="B10644" s="38"/>
      <c r="C10644" s="23"/>
      <c r="D10644" s="23"/>
      <c r="E10644" s="24"/>
      <c r="F10644" s="25"/>
      <c r="G10644" s="25"/>
      <c r="H10644" s="27"/>
      <c r="I10644" s="28"/>
      <c r="J10644" s="39"/>
      <c r="K10644" s="41"/>
      <c r="L10644" s="31" t="str">
        <f>IFERROR(__xludf.DUMMYFUNCTION("IF(OR(E10644="""",K10644=""""),"""",IFERROR(IF(K10644="""","""",query('tbl user'!$A$2:$D10975,""SELECT A WHERE D = '""&amp;K10644&amp;""'"")),""USER TIDAK DIKETAHUI""))"),"")</f>
        <v/>
      </c>
    </row>
    <row r="10645">
      <c r="A10645" s="21" t="str">
        <f t="shared" si="3"/>
        <v/>
      </c>
      <c r="B10645" s="38"/>
      <c r="C10645" s="23"/>
      <c r="D10645" s="23"/>
      <c r="E10645" s="24"/>
      <c r="F10645" s="25"/>
      <c r="G10645" s="25"/>
      <c r="H10645" s="27"/>
      <c r="I10645" s="28"/>
      <c r="J10645" s="39"/>
      <c r="K10645" s="41"/>
      <c r="L10645" s="31" t="str">
        <f>IFERROR(__xludf.DUMMYFUNCTION("IF(OR(E10645="""",K10645=""""),"""",IFERROR(IF(K10645="""","""",query('tbl user'!$A$2:$D10975,""SELECT A WHERE D = '""&amp;K10645&amp;""'"")),""USER TIDAK DIKETAHUI""))"),"")</f>
        <v/>
      </c>
    </row>
    <row r="10646">
      <c r="A10646" s="21" t="str">
        <f t="shared" si="3"/>
        <v/>
      </c>
      <c r="B10646" s="38"/>
      <c r="C10646" s="23"/>
      <c r="D10646" s="23"/>
      <c r="E10646" s="24"/>
      <c r="F10646" s="25"/>
      <c r="G10646" s="25"/>
      <c r="H10646" s="27"/>
      <c r="I10646" s="28"/>
      <c r="J10646" s="39"/>
      <c r="K10646" s="41"/>
      <c r="L10646" s="31" t="str">
        <f>IFERROR(__xludf.DUMMYFUNCTION("IF(OR(E10646="""",K10646=""""),"""",IFERROR(IF(K10646="""","""",query('tbl user'!$A$2:$D10975,""SELECT A WHERE D = '""&amp;K10646&amp;""'"")),""USER TIDAK DIKETAHUI""))"),"")</f>
        <v/>
      </c>
    </row>
    <row r="10647">
      <c r="A10647" s="21" t="str">
        <f t="shared" si="3"/>
        <v/>
      </c>
      <c r="B10647" s="38"/>
      <c r="C10647" s="23"/>
      <c r="D10647" s="23"/>
      <c r="E10647" s="24"/>
      <c r="F10647" s="25"/>
      <c r="G10647" s="25"/>
      <c r="H10647" s="27"/>
      <c r="I10647" s="28"/>
      <c r="J10647" s="39"/>
      <c r="K10647" s="41"/>
      <c r="L10647" s="31" t="str">
        <f>IFERROR(__xludf.DUMMYFUNCTION("IF(OR(E10647="""",K10647=""""),"""",IFERROR(IF(K10647="""","""",query('tbl user'!$A$2:$D10975,""SELECT A WHERE D = '""&amp;K10647&amp;""'"")),""USER TIDAK DIKETAHUI""))"),"")</f>
        <v/>
      </c>
    </row>
    <row r="10648">
      <c r="A10648" s="21" t="str">
        <f t="shared" si="3"/>
        <v/>
      </c>
      <c r="B10648" s="38"/>
      <c r="C10648" s="23"/>
      <c r="D10648" s="23"/>
      <c r="E10648" s="24"/>
      <c r="F10648" s="25"/>
      <c r="G10648" s="25"/>
      <c r="H10648" s="27"/>
      <c r="I10648" s="28"/>
      <c r="J10648" s="39"/>
      <c r="K10648" s="41"/>
      <c r="L10648" s="31" t="str">
        <f>IFERROR(__xludf.DUMMYFUNCTION("IF(OR(E10648="""",K10648=""""),"""",IFERROR(IF(K10648="""","""",query('tbl user'!$A$2:$D10975,""SELECT A WHERE D = '""&amp;K10648&amp;""'"")),""USER TIDAK DIKETAHUI""))"),"")</f>
        <v/>
      </c>
    </row>
    <row r="10649">
      <c r="A10649" s="21" t="str">
        <f t="shared" si="3"/>
        <v/>
      </c>
      <c r="B10649" s="38"/>
      <c r="C10649" s="23"/>
      <c r="D10649" s="23"/>
      <c r="E10649" s="24"/>
      <c r="F10649" s="25"/>
      <c r="G10649" s="25"/>
      <c r="H10649" s="27"/>
      <c r="I10649" s="28"/>
      <c r="J10649" s="39"/>
      <c r="K10649" s="41"/>
      <c r="L10649" s="31" t="str">
        <f>IFERROR(__xludf.DUMMYFUNCTION("IF(OR(E10649="""",K10649=""""),"""",IFERROR(IF(K10649="""","""",query('tbl user'!$A$2:$D10975,""SELECT A WHERE D = '""&amp;K10649&amp;""'"")),""USER TIDAK DIKETAHUI""))"),"")</f>
        <v/>
      </c>
    </row>
    <row r="10650">
      <c r="A10650" s="21" t="str">
        <f t="shared" si="3"/>
        <v/>
      </c>
      <c r="B10650" s="38"/>
      <c r="C10650" s="23"/>
      <c r="D10650" s="23"/>
      <c r="E10650" s="24"/>
      <c r="F10650" s="25"/>
      <c r="G10650" s="25"/>
      <c r="H10650" s="27"/>
      <c r="I10650" s="28"/>
      <c r="J10650" s="39"/>
      <c r="K10650" s="41"/>
      <c r="L10650" s="31" t="str">
        <f>IFERROR(__xludf.DUMMYFUNCTION("IF(OR(E10650="""",K10650=""""),"""",IFERROR(IF(K10650="""","""",query('tbl user'!$A$2:$D10975,""SELECT A WHERE D = '""&amp;K10650&amp;""'"")),""USER TIDAK DIKETAHUI""))"),"")</f>
        <v/>
      </c>
    </row>
    <row r="10651">
      <c r="A10651" s="21" t="str">
        <f t="shared" si="3"/>
        <v/>
      </c>
      <c r="B10651" s="38"/>
      <c r="C10651" s="23"/>
      <c r="D10651" s="23"/>
      <c r="E10651" s="24"/>
      <c r="F10651" s="25"/>
      <c r="G10651" s="25"/>
      <c r="H10651" s="27"/>
      <c r="I10651" s="28"/>
      <c r="J10651" s="39"/>
      <c r="K10651" s="41"/>
      <c r="L10651" s="31" t="str">
        <f>IFERROR(__xludf.DUMMYFUNCTION("IF(OR(E10651="""",K10651=""""),"""",IFERROR(IF(K10651="""","""",query('tbl user'!$A$2:$D10975,""SELECT A WHERE D = '""&amp;K10651&amp;""'"")),""USER TIDAK DIKETAHUI""))"),"")</f>
        <v/>
      </c>
    </row>
    <row r="10652">
      <c r="A10652" s="21" t="str">
        <f t="shared" si="3"/>
        <v/>
      </c>
      <c r="B10652" s="38"/>
      <c r="C10652" s="23"/>
      <c r="D10652" s="23"/>
      <c r="E10652" s="24"/>
      <c r="F10652" s="25"/>
      <c r="G10652" s="25"/>
      <c r="H10652" s="27"/>
      <c r="I10652" s="28"/>
      <c r="J10652" s="39"/>
      <c r="K10652" s="41"/>
      <c r="L10652" s="31" t="str">
        <f>IFERROR(__xludf.DUMMYFUNCTION("IF(OR(E10652="""",K10652=""""),"""",IFERROR(IF(K10652="""","""",query('tbl user'!$A$2:$D10975,""SELECT A WHERE D = '""&amp;K10652&amp;""'"")),""USER TIDAK DIKETAHUI""))"),"")</f>
        <v/>
      </c>
    </row>
    <row r="10653">
      <c r="A10653" s="21" t="str">
        <f t="shared" si="3"/>
        <v/>
      </c>
      <c r="B10653" s="38"/>
      <c r="C10653" s="23"/>
      <c r="D10653" s="23"/>
      <c r="E10653" s="24"/>
      <c r="F10653" s="25"/>
      <c r="G10653" s="25"/>
      <c r="H10653" s="27"/>
      <c r="I10653" s="28"/>
      <c r="J10653" s="39"/>
      <c r="K10653" s="41"/>
      <c r="L10653" s="31" t="str">
        <f>IFERROR(__xludf.DUMMYFUNCTION("IF(OR(E10653="""",K10653=""""),"""",IFERROR(IF(K10653="""","""",query('tbl user'!$A$2:$D10975,""SELECT A WHERE D = '""&amp;K10653&amp;""'"")),""USER TIDAK DIKETAHUI""))"),"")</f>
        <v/>
      </c>
    </row>
    <row r="10654">
      <c r="A10654" s="21" t="str">
        <f t="shared" si="3"/>
        <v/>
      </c>
      <c r="B10654" s="38"/>
      <c r="C10654" s="23"/>
      <c r="D10654" s="23"/>
      <c r="E10654" s="24"/>
      <c r="F10654" s="25"/>
      <c r="G10654" s="25"/>
      <c r="H10654" s="27"/>
      <c r="I10654" s="28"/>
      <c r="J10654" s="39"/>
      <c r="K10654" s="41"/>
      <c r="L10654" s="31" t="str">
        <f>IFERROR(__xludf.DUMMYFUNCTION("IF(OR(E10654="""",K10654=""""),"""",IFERROR(IF(K10654="""","""",query('tbl user'!$A$2:$D10975,""SELECT A WHERE D = '""&amp;K10654&amp;""'"")),""USER TIDAK DIKETAHUI""))"),"")</f>
        <v/>
      </c>
    </row>
    <row r="10655">
      <c r="A10655" s="21" t="str">
        <f t="shared" si="3"/>
        <v/>
      </c>
      <c r="B10655" s="38"/>
      <c r="C10655" s="23"/>
      <c r="D10655" s="23"/>
      <c r="E10655" s="24"/>
      <c r="F10655" s="25"/>
      <c r="G10655" s="25"/>
      <c r="H10655" s="27"/>
      <c r="I10655" s="28"/>
      <c r="J10655" s="39"/>
      <c r="K10655" s="41"/>
      <c r="L10655" s="31" t="str">
        <f>IFERROR(__xludf.DUMMYFUNCTION("IF(OR(E10655="""",K10655=""""),"""",IFERROR(IF(K10655="""","""",query('tbl user'!$A$2:$D10975,""SELECT A WHERE D = '""&amp;K10655&amp;""'"")),""USER TIDAK DIKETAHUI""))"),"")</f>
        <v/>
      </c>
    </row>
    <row r="10656">
      <c r="A10656" s="21" t="str">
        <f t="shared" si="3"/>
        <v/>
      </c>
      <c r="B10656" s="38"/>
      <c r="C10656" s="23"/>
      <c r="D10656" s="23"/>
      <c r="E10656" s="24"/>
      <c r="F10656" s="25"/>
      <c r="G10656" s="25"/>
      <c r="H10656" s="27"/>
      <c r="I10656" s="28"/>
      <c r="J10656" s="39"/>
      <c r="K10656" s="41"/>
      <c r="L10656" s="31" t="str">
        <f>IFERROR(__xludf.DUMMYFUNCTION("IF(OR(E10656="""",K10656=""""),"""",IFERROR(IF(K10656="""","""",query('tbl user'!$A$2:$D10975,""SELECT A WHERE D = '""&amp;K10656&amp;""'"")),""USER TIDAK DIKETAHUI""))"),"")</f>
        <v/>
      </c>
    </row>
    <row r="10657">
      <c r="A10657" s="21" t="str">
        <f t="shared" si="3"/>
        <v/>
      </c>
      <c r="B10657" s="38"/>
      <c r="C10657" s="23"/>
      <c r="D10657" s="23"/>
      <c r="E10657" s="24"/>
      <c r="F10657" s="25"/>
      <c r="G10657" s="25"/>
      <c r="H10657" s="27"/>
      <c r="I10657" s="28"/>
      <c r="J10657" s="39"/>
      <c r="K10657" s="41"/>
      <c r="L10657" s="31" t="str">
        <f>IFERROR(__xludf.DUMMYFUNCTION("IF(OR(E10657="""",K10657=""""),"""",IFERROR(IF(K10657="""","""",query('tbl user'!$A$2:$D10975,""SELECT A WHERE D = '""&amp;K10657&amp;""'"")),""USER TIDAK DIKETAHUI""))"),"")</f>
        <v/>
      </c>
    </row>
    <row r="10658">
      <c r="A10658" s="21" t="str">
        <f t="shared" si="3"/>
        <v/>
      </c>
      <c r="B10658" s="38"/>
      <c r="C10658" s="23"/>
      <c r="D10658" s="23"/>
      <c r="E10658" s="24"/>
      <c r="F10658" s="25"/>
      <c r="G10658" s="25"/>
      <c r="H10658" s="27"/>
      <c r="I10658" s="28"/>
      <c r="J10658" s="39"/>
      <c r="K10658" s="41"/>
      <c r="L10658" s="31" t="str">
        <f>IFERROR(__xludf.DUMMYFUNCTION("IF(OR(E10658="""",K10658=""""),"""",IFERROR(IF(K10658="""","""",query('tbl user'!$A$2:$D10975,""SELECT A WHERE D = '""&amp;K10658&amp;""'"")),""USER TIDAK DIKETAHUI""))"),"")</f>
        <v/>
      </c>
    </row>
    <row r="10659">
      <c r="A10659" s="21" t="str">
        <f t="shared" si="3"/>
        <v/>
      </c>
      <c r="B10659" s="38"/>
      <c r="C10659" s="23"/>
      <c r="D10659" s="23"/>
      <c r="E10659" s="24"/>
      <c r="F10659" s="25"/>
      <c r="G10659" s="25"/>
      <c r="H10659" s="27"/>
      <c r="I10659" s="28"/>
      <c r="J10659" s="39"/>
      <c r="K10659" s="41"/>
      <c r="L10659" s="31" t="str">
        <f>IFERROR(__xludf.DUMMYFUNCTION("IF(OR(E10659="""",K10659=""""),"""",IFERROR(IF(K10659="""","""",query('tbl user'!$A$2:$D10975,""SELECT A WHERE D = '""&amp;K10659&amp;""'"")),""USER TIDAK DIKETAHUI""))"),"")</f>
        <v/>
      </c>
    </row>
    <row r="10660">
      <c r="A10660" s="21" t="str">
        <f t="shared" si="3"/>
        <v/>
      </c>
      <c r="B10660" s="38"/>
      <c r="C10660" s="23"/>
      <c r="D10660" s="23"/>
      <c r="E10660" s="24"/>
      <c r="F10660" s="25"/>
      <c r="G10660" s="25"/>
      <c r="H10660" s="27"/>
      <c r="I10660" s="28"/>
      <c r="J10660" s="39"/>
      <c r="K10660" s="41"/>
      <c r="L10660" s="31" t="str">
        <f>IFERROR(__xludf.DUMMYFUNCTION("IF(OR(E10660="""",K10660=""""),"""",IFERROR(IF(K10660="""","""",query('tbl user'!$A$2:$D10975,""SELECT A WHERE D = '""&amp;K10660&amp;""'"")),""USER TIDAK DIKETAHUI""))"),"")</f>
        <v/>
      </c>
    </row>
    <row r="10661">
      <c r="A10661" s="21" t="str">
        <f t="shared" si="3"/>
        <v/>
      </c>
      <c r="B10661" s="38"/>
      <c r="C10661" s="23"/>
      <c r="D10661" s="23"/>
      <c r="E10661" s="24"/>
      <c r="F10661" s="25"/>
      <c r="G10661" s="25"/>
      <c r="H10661" s="27"/>
      <c r="I10661" s="28"/>
      <c r="J10661" s="39"/>
      <c r="K10661" s="41"/>
      <c r="L10661" s="31" t="str">
        <f>IFERROR(__xludf.DUMMYFUNCTION("IF(OR(E10661="""",K10661=""""),"""",IFERROR(IF(K10661="""","""",query('tbl user'!$A$2:$D10975,""SELECT A WHERE D = '""&amp;K10661&amp;""'"")),""USER TIDAK DIKETAHUI""))"),"")</f>
        <v/>
      </c>
    </row>
    <row r="10662">
      <c r="A10662" s="21" t="str">
        <f t="shared" si="3"/>
        <v/>
      </c>
      <c r="B10662" s="38"/>
      <c r="C10662" s="23"/>
      <c r="D10662" s="23"/>
      <c r="E10662" s="24"/>
      <c r="F10662" s="25"/>
      <c r="G10662" s="25"/>
      <c r="H10662" s="27"/>
      <c r="I10662" s="28"/>
      <c r="J10662" s="39"/>
      <c r="K10662" s="41"/>
      <c r="L10662" s="31" t="str">
        <f>IFERROR(__xludf.DUMMYFUNCTION("IF(OR(E10662="""",K10662=""""),"""",IFERROR(IF(K10662="""","""",query('tbl user'!$A$2:$D10975,""SELECT A WHERE D = '""&amp;K10662&amp;""'"")),""USER TIDAK DIKETAHUI""))"),"")</f>
        <v/>
      </c>
    </row>
    <row r="10663">
      <c r="A10663" s="21" t="str">
        <f t="shared" si="3"/>
        <v/>
      </c>
      <c r="B10663" s="38"/>
      <c r="C10663" s="23"/>
      <c r="D10663" s="23"/>
      <c r="E10663" s="24"/>
      <c r="F10663" s="25"/>
      <c r="G10663" s="25"/>
      <c r="H10663" s="27"/>
      <c r="I10663" s="28"/>
      <c r="J10663" s="39"/>
      <c r="K10663" s="41"/>
      <c r="L10663" s="31" t="str">
        <f>IFERROR(__xludf.DUMMYFUNCTION("IF(OR(E10663="""",K10663=""""),"""",IFERROR(IF(K10663="""","""",query('tbl user'!$A$2:$D10975,""SELECT A WHERE D = '""&amp;K10663&amp;""'"")),""USER TIDAK DIKETAHUI""))"),"")</f>
        <v/>
      </c>
    </row>
    <row r="10664">
      <c r="A10664" s="21" t="str">
        <f t="shared" si="3"/>
        <v/>
      </c>
      <c r="B10664" s="38"/>
      <c r="C10664" s="23"/>
      <c r="D10664" s="23"/>
      <c r="E10664" s="24"/>
      <c r="F10664" s="25"/>
      <c r="G10664" s="25"/>
      <c r="H10664" s="27"/>
      <c r="I10664" s="28"/>
      <c r="J10664" s="39"/>
      <c r="K10664" s="41"/>
      <c r="L10664" s="31" t="str">
        <f>IFERROR(__xludf.DUMMYFUNCTION("IF(OR(E10664="""",K10664=""""),"""",IFERROR(IF(K10664="""","""",query('tbl user'!$A$2:$D10975,""SELECT A WHERE D = '""&amp;K10664&amp;""'"")),""USER TIDAK DIKETAHUI""))"),"")</f>
        <v/>
      </c>
    </row>
    <row r="10665">
      <c r="A10665" s="21" t="str">
        <f t="shared" si="3"/>
        <v/>
      </c>
      <c r="B10665" s="38"/>
      <c r="C10665" s="23"/>
      <c r="D10665" s="23"/>
      <c r="E10665" s="24"/>
      <c r="F10665" s="25"/>
      <c r="G10665" s="25"/>
      <c r="H10665" s="27"/>
      <c r="I10665" s="28"/>
      <c r="J10665" s="39"/>
      <c r="K10665" s="41"/>
      <c r="L10665" s="31" t="str">
        <f>IFERROR(__xludf.DUMMYFUNCTION("IF(OR(E10665="""",K10665=""""),"""",IFERROR(IF(K10665="""","""",query('tbl user'!$A$2:$D10975,""SELECT A WHERE D = '""&amp;K10665&amp;""'"")),""USER TIDAK DIKETAHUI""))"),"")</f>
        <v/>
      </c>
    </row>
    <row r="10666">
      <c r="A10666" s="21" t="str">
        <f t="shared" si="3"/>
        <v/>
      </c>
      <c r="B10666" s="38"/>
      <c r="C10666" s="23"/>
      <c r="D10666" s="23"/>
      <c r="E10666" s="24"/>
      <c r="F10666" s="25"/>
      <c r="G10666" s="25"/>
      <c r="H10666" s="27"/>
      <c r="I10666" s="28"/>
      <c r="J10666" s="39"/>
      <c r="K10666" s="41"/>
      <c r="L10666" s="31" t="str">
        <f>IFERROR(__xludf.DUMMYFUNCTION("IF(OR(E10666="""",K10666=""""),"""",IFERROR(IF(K10666="""","""",query('tbl user'!$A$2:$D10975,""SELECT A WHERE D = '""&amp;K10666&amp;""'"")),""USER TIDAK DIKETAHUI""))"),"")</f>
        <v/>
      </c>
    </row>
    <row r="10667">
      <c r="A10667" s="21" t="str">
        <f t="shared" si="3"/>
        <v/>
      </c>
      <c r="B10667" s="38"/>
      <c r="C10667" s="23"/>
      <c r="D10667" s="23"/>
      <c r="E10667" s="24"/>
      <c r="F10667" s="25"/>
      <c r="G10667" s="25"/>
      <c r="H10667" s="27"/>
      <c r="I10667" s="28"/>
      <c r="J10667" s="39"/>
      <c r="K10667" s="41"/>
      <c r="L10667" s="31" t="str">
        <f>IFERROR(__xludf.DUMMYFUNCTION("IF(OR(E10667="""",K10667=""""),"""",IFERROR(IF(K10667="""","""",query('tbl user'!$A$2:$D10975,""SELECT A WHERE D = '""&amp;K10667&amp;""'"")),""USER TIDAK DIKETAHUI""))"),"")</f>
        <v/>
      </c>
    </row>
    <row r="10668">
      <c r="A10668" s="21" t="str">
        <f t="shared" si="3"/>
        <v/>
      </c>
      <c r="B10668" s="38"/>
      <c r="C10668" s="23"/>
      <c r="D10668" s="23"/>
      <c r="E10668" s="24"/>
      <c r="F10668" s="25"/>
      <c r="G10668" s="25"/>
      <c r="H10668" s="27"/>
      <c r="I10668" s="28"/>
      <c r="J10668" s="39"/>
      <c r="K10668" s="41"/>
      <c r="L10668" s="31" t="str">
        <f>IFERROR(__xludf.DUMMYFUNCTION("IF(OR(E10668="""",K10668=""""),"""",IFERROR(IF(K10668="""","""",query('tbl user'!$A$2:$D10975,""SELECT A WHERE D = '""&amp;K10668&amp;""'"")),""USER TIDAK DIKETAHUI""))"),"")</f>
        <v/>
      </c>
    </row>
    <row r="10669">
      <c r="A10669" s="21" t="str">
        <f t="shared" si="3"/>
        <v/>
      </c>
      <c r="B10669" s="38"/>
      <c r="C10669" s="23"/>
      <c r="D10669" s="23"/>
      <c r="E10669" s="24"/>
      <c r="F10669" s="25"/>
      <c r="G10669" s="25"/>
      <c r="H10669" s="27"/>
      <c r="I10669" s="28"/>
      <c r="J10669" s="39"/>
      <c r="K10669" s="41"/>
      <c r="L10669" s="31" t="str">
        <f>IFERROR(__xludf.DUMMYFUNCTION("IF(OR(E10669="""",K10669=""""),"""",IFERROR(IF(K10669="""","""",query('tbl user'!$A$2:$D10975,""SELECT A WHERE D = '""&amp;K10669&amp;""'"")),""USER TIDAK DIKETAHUI""))"),"")</f>
        <v/>
      </c>
    </row>
    <row r="10670">
      <c r="A10670" s="21" t="str">
        <f t="shared" si="3"/>
        <v/>
      </c>
      <c r="B10670" s="38"/>
      <c r="C10670" s="23"/>
      <c r="D10670" s="23"/>
      <c r="E10670" s="24"/>
      <c r="F10670" s="25"/>
      <c r="G10670" s="25"/>
      <c r="H10670" s="27"/>
      <c r="I10670" s="28"/>
      <c r="J10670" s="39"/>
      <c r="K10670" s="41"/>
      <c r="L10670" s="31" t="str">
        <f>IFERROR(__xludf.DUMMYFUNCTION("IF(OR(E10670="""",K10670=""""),"""",IFERROR(IF(K10670="""","""",query('tbl user'!$A$2:$D10975,""SELECT A WHERE D = '""&amp;K10670&amp;""'"")),""USER TIDAK DIKETAHUI""))"),"")</f>
        <v/>
      </c>
    </row>
    <row r="10671">
      <c r="A10671" s="21" t="str">
        <f t="shared" si="3"/>
        <v/>
      </c>
      <c r="B10671" s="38"/>
      <c r="C10671" s="23"/>
      <c r="D10671" s="23"/>
      <c r="E10671" s="24"/>
      <c r="F10671" s="25"/>
      <c r="G10671" s="25"/>
      <c r="H10671" s="27"/>
      <c r="I10671" s="28"/>
      <c r="J10671" s="39"/>
      <c r="K10671" s="41"/>
      <c r="L10671" s="31" t="str">
        <f>IFERROR(__xludf.DUMMYFUNCTION("IF(OR(E10671="""",K10671=""""),"""",IFERROR(IF(K10671="""","""",query('tbl user'!$A$2:$D10975,""SELECT A WHERE D = '""&amp;K10671&amp;""'"")),""USER TIDAK DIKETAHUI""))"),"")</f>
        <v/>
      </c>
    </row>
    <row r="10672">
      <c r="A10672" s="21" t="str">
        <f t="shared" si="3"/>
        <v/>
      </c>
      <c r="B10672" s="38"/>
      <c r="C10672" s="23"/>
      <c r="D10672" s="23"/>
      <c r="E10672" s="24"/>
      <c r="F10672" s="25"/>
      <c r="G10672" s="25"/>
      <c r="H10672" s="27"/>
      <c r="I10672" s="28"/>
      <c r="J10672" s="39"/>
      <c r="K10672" s="41"/>
      <c r="L10672" s="31" t="str">
        <f>IFERROR(__xludf.DUMMYFUNCTION("IF(OR(E10672="""",K10672=""""),"""",IFERROR(IF(K10672="""","""",query('tbl user'!$A$2:$D10975,""SELECT A WHERE D = '""&amp;K10672&amp;""'"")),""USER TIDAK DIKETAHUI""))"),"")</f>
        <v/>
      </c>
    </row>
    <row r="10673">
      <c r="A10673" s="21" t="str">
        <f t="shared" si="3"/>
        <v/>
      </c>
      <c r="B10673" s="38"/>
      <c r="C10673" s="23"/>
      <c r="D10673" s="23"/>
      <c r="E10673" s="24"/>
      <c r="F10673" s="25"/>
      <c r="G10673" s="25"/>
      <c r="H10673" s="27"/>
      <c r="I10673" s="28"/>
      <c r="J10673" s="39"/>
      <c r="K10673" s="41"/>
      <c r="L10673" s="31" t="str">
        <f>IFERROR(__xludf.DUMMYFUNCTION("IF(OR(E10673="""",K10673=""""),"""",IFERROR(IF(K10673="""","""",query('tbl user'!$A$2:$D10975,""SELECT A WHERE D = '""&amp;K10673&amp;""'"")),""USER TIDAK DIKETAHUI""))"),"")</f>
        <v/>
      </c>
    </row>
    <row r="10674">
      <c r="A10674" s="21" t="str">
        <f t="shared" si="3"/>
        <v/>
      </c>
      <c r="B10674" s="38"/>
      <c r="C10674" s="23"/>
      <c r="D10674" s="23"/>
      <c r="E10674" s="24"/>
      <c r="F10674" s="25"/>
      <c r="G10674" s="25"/>
      <c r="H10674" s="27"/>
      <c r="I10674" s="28"/>
      <c r="J10674" s="39"/>
      <c r="K10674" s="41"/>
      <c r="L10674" s="31" t="str">
        <f>IFERROR(__xludf.DUMMYFUNCTION("IF(OR(E10674="""",K10674=""""),"""",IFERROR(IF(K10674="""","""",query('tbl user'!$A$2:$D10975,""SELECT A WHERE D = '""&amp;K10674&amp;""'"")),""USER TIDAK DIKETAHUI""))"),"")</f>
        <v/>
      </c>
    </row>
    <row r="10675">
      <c r="A10675" s="21" t="str">
        <f t="shared" si="3"/>
        <v/>
      </c>
      <c r="B10675" s="38"/>
      <c r="C10675" s="23"/>
      <c r="D10675" s="23"/>
      <c r="E10675" s="24"/>
      <c r="F10675" s="25"/>
      <c r="G10675" s="25"/>
      <c r="H10675" s="27"/>
      <c r="I10675" s="28"/>
      <c r="J10675" s="39"/>
      <c r="K10675" s="41"/>
      <c r="L10675" s="31" t="str">
        <f>IFERROR(__xludf.DUMMYFUNCTION("IF(OR(E10675="""",K10675=""""),"""",IFERROR(IF(K10675="""","""",query('tbl user'!$A$2:$D10975,""SELECT A WHERE D = '""&amp;K10675&amp;""'"")),""USER TIDAK DIKETAHUI""))"),"")</f>
        <v/>
      </c>
    </row>
    <row r="10676">
      <c r="A10676" s="21" t="str">
        <f t="shared" si="3"/>
        <v/>
      </c>
      <c r="B10676" s="38"/>
      <c r="C10676" s="23"/>
      <c r="D10676" s="23"/>
      <c r="E10676" s="24"/>
      <c r="F10676" s="25"/>
      <c r="G10676" s="25"/>
      <c r="H10676" s="27"/>
      <c r="I10676" s="28"/>
      <c r="J10676" s="39"/>
      <c r="K10676" s="41"/>
      <c r="L10676" s="31" t="str">
        <f>IFERROR(__xludf.DUMMYFUNCTION("IF(OR(E10676="""",K10676=""""),"""",IFERROR(IF(K10676="""","""",query('tbl user'!$A$2:$D10975,""SELECT A WHERE D = '""&amp;K10676&amp;""'"")),""USER TIDAK DIKETAHUI""))"),"")</f>
        <v/>
      </c>
    </row>
    <row r="10677">
      <c r="A10677" s="21" t="str">
        <f t="shared" si="3"/>
        <v/>
      </c>
      <c r="B10677" s="38"/>
      <c r="C10677" s="23"/>
      <c r="D10677" s="23"/>
      <c r="E10677" s="24"/>
      <c r="F10677" s="25"/>
      <c r="G10677" s="25"/>
      <c r="H10677" s="27"/>
      <c r="I10677" s="28"/>
      <c r="J10677" s="39"/>
      <c r="K10677" s="41"/>
      <c r="L10677" s="31" t="str">
        <f>IFERROR(__xludf.DUMMYFUNCTION("IF(OR(E10677="""",K10677=""""),"""",IFERROR(IF(K10677="""","""",query('tbl user'!$A$2:$D10975,""SELECT A WHERE D = '""&amp;K10677&amp;""'"")),""USER TIDAK DIKETAHUI""))"),"")</f>
        <v/>
      </c>
    </row>
    <row r="10678">
      <c r="A10678" s="21" t="str">
        <f t="shared" si="3"/>
        <v/>
      </c>
      <c r="B10678" s="38"/>
      <c r="C10678" s="23"/>
      <c r="D10678" s="23"/>
      <c r="E10678" s="24"/>
      <c r="F10678" s="25"/>
      <c r="G10678" s="25"/>
      <c r="H10678" s="27"/>
      <c r="I10678" s="28"/>
      <c r="J10678" s="39"/>
      <c r="K10678" s="41"/>
      <c r="L10678" s="31" t="str">
        <f>IFERROR(__xludf.DUMMYFUNCTION("IF(OR(E10678="""",K10678=""""),"""",IFERROR(IF(K10678="""","""",query('tbl user'!$A$2:$D10975,""SELECT A WHERE D = '""&amp;K10678&amp;""'"")),""USER TIDAK DIKETAHUI""))"),"")</f>
        <v/>
      </c>
    </row>
    <row r="10679">
      <c r="A10679" s="21" t="str">
        <f t="shared" si="3"/>
        <v/>
      </c>
      <c r="B10679" s="38"/>
      <c r="C10679" s="23"/>
      <c r="D10679" s="23"/>
      <c r="E10679" s="24"/>
      <c r="F10679" s="25"/>
      <c r="G10679" s="25"/>
      <c r="H10679" s="27"/>
      <c r="I10679" s="28"/>
      <c r="J10679" s="39"/>
      <c r="K10679" s="41"/>
      <c r="L10679" s="31" t="str">
        <f>IFERROR(__xludf.DUMMYFUNCTION("IF(OR(E10679="""",K10679=""""),"""",IFERROR(IF(K10679="""","""",query('tbl user'!$A$2:$D10975,""SELECT A WHERE D = '""&amp;K10679&amp;""'"")),""USER TIDAK DIKETAHUI""))"),"")</f>
        <v/>
      </c>
    </row>
    <row r="10680">
      <c r="A10680" s="21" t="str">
        <f t="shared" si="3"/>
        <v/>
      </c>
      <c r="B10680" s="38"/>
      <c r="C10680" s="23"/>
      <c r="D10680" s="23"/>
      <c r="E10680" s="24"/>
      <c r="F10680" s="25"/>
      <c r="G10680" s="25"/>
      <c r="H10680" s="27"/>
      <c r="I10680" s="28"/>
      <c r="J10680" s="39"/>
      <c r="K10680" s="41"/>
      <c r="L10680" s="31" t="str">
        <f>IFERROR(__xludf.DUMMYFUNCTION("IF(OR(E10680="""",K10680=""""),"""",IFERROR(IF(K10680="""","""",query('tbl user'!$A$2:$D10975,""SELECT A WHERE D = '""&amp;K10680&amp;""'"")),""USER TIDAK DIKETAHUI""))"),"")</f>
        <v/>
      </c>
    </row>
    <row r="10681">
      <c r="A10681" s="21" t="str">
        <f t="shared" si="3"/>
        <v/>
      </c>
      <c r="B10681" s="38"/>
      <c r="C10681" s="23"/>
      <c r="D10681" s="23"/>
      <c r="E10681" s="24"/>
      <c r="F10681" s="25"/>
      <c r="G10681" s="25"/>
      <c r="H10681" s="27"/>
      <c r="I10681" s="28"/>
      <c r="J10681" s="39"/>
      <c r="K10681" s="41"/>
      <c r="L10681" s="31" t="str">
        <f>IFERROR(__xludf.DUMMYFUNCTION("IF(OR(E10681="""",K10681=""""),"""",IFERROR(IF(K10681="""","""",query('tbl user'!$A$2:$D10975,""SELECT A WHERE D = '""&amp;K10681&amp;""'"")),""USER TIDAK DIKETAHUI""))"),"")</f>
        <v/>
      </c>
    </row>
    <row r="10682">
      <c r="A10682" s="21" t="str">
        <f t="shared" si="3"/>
        <v/>
      </c>
      <c r="B10682" s="38"/>
      <c r="C10682" s="23"/>
      <c r="D10682" s="23"/>
      <c r="E10682" s="24"/>
      <c r="F10682" s="25"/>
      <c r="G10682" s="25"/>
      <c r="H10682" s="27"/>
      <c r="I10682" s="28"/>
      <c r="J10682" s="39"/>
      <c r="K10682" s="41"/>
      <c r="L10682" s="31" t="str">
        <f>IFERROR(__xludf.DUMMYFUNCTION("IF(OR(E10682="""",K10682=""""),"""",IFERROR(IF(K10682="""","""",query('tbl user'!$A$2:$D10975,""SELECT A WHERE D = '""&amp;K10682&amp;""'"")),""USER TIDAK DIKETAHUI""))"),"")</f>
        <v/>
      </c>
    </row>
    <row r="10683">
      <c r="A10683" s="21" t="str">
        <f t="shared" si="3"/>
        <v/>
      </c>
      <c r="B10683" s="38"/>
      <c r="C10683" s="23"/>
      <c r="D10683" s="23"/>
      <c r="E10683" s="24"/>
      <c r="F10683" s="25"/>
      <c r="G10683" s="25"/>
      <c r="H10683" s="27"/>
      <c r="I10683" s="28"/>
      <c r="J10683" s="39"/>
      <c r="K10683" s="41"/>
      <c r="L10683" s="31" t="str">
        <f>IFERROR(__xludf.DUMMYFUNCTION("IF(OR(E10683="""",K10683=""""),"""",IFERROR(IF(K10683="""","""",query('tbl user'!$A$2:$D10975,""SELECT A WHERE D = '""&amp;K10683&amp;""'"")),""USER TIDAK DIKETAHUI""))"),"")</f>
        <v/>
      </c>
    </row>
    <row r="10684">
      <c r="A10684" s="21" t="str">
        <f t="shared" si="3"/>
        <v/>
      </c>
      <c r="B10684" s="38"/>
      <c r="C10684" s="23"/>
      <c r="D10684" s="23"/>
      <c r="E10684" s="24"/>
      <c r="F10684" s="25"/>
      <c r="G10684" s="25"/>
      <c r="H10684" s="27"/>
      <c r="I10684" s="28"/>
      <c r="J10684" s="39"/>
      <c r="K10684" s="41"/>
      <c r="L10684" s="31" t="str">
        <f>IFERROR(__xludf.DUMMYFUNCTION("IF(OR(E10684="""",K10684=""""),"""",IFERROR(IF(K10684="""","""",query('tbl user'!$A$2:$D10975,""SELECT A WHERE D = '""&amp;K10684&amp;""'"")),""USER TIDAK DIKETAHUI""))"),"")</f>
        <v/>
      </c>
    </row>
    <row r="10685">
      <c r="A10685" s="21" t="str">
        <f t="shared" si="3"/>
        <v/>
      </c>
      <c r="B10685" s="38"/>
      <c r="C10685" s="23"/>
      <c r="D10685" s="23"/>
      <c r="E10685" s="24"/>
      <c r="F10685" s="25"/>
      <c r="G10685" s="25"/>
      <c r="H10685" s="27"/>
      <c r="I10685" s="28"/>
      <c r="J10685" s="39"/>
      <c r="K10685" s="41"/>
      <c r="L10685" s="31" t="str">
        <f>IFERROR(__xludf.DUMMYFUNCTION("IF(OR(E10685="""",K10685=""""),"""",IFERROR(IF(K10685="""","""",query('tbl user'!$A$2:$D10975,""SELECT A WHERE D = '""&amp;K10685&amp;""'"")),""USER TIDAK DIKETAHUI""))"),"")</f>
        <v/>
      </c>
    </row>
    <row r="10686">
      <c r="A10686" s="21" t="str">
        <f t="shared" si="3"/>
        <v/>
      </c>
      <c r="B10686" s="38"/>
      <c r="C10686" s="23"/>
      <c r="D10686" s="23"/>
      <c r="E10686" s="24"/>
      <c r="F10686" s="25"/>
      <c r="G10686" s="25"/>
      <c r="H10686" s="27"/>
      <c r="I10686" s="28"/>
      <c r="J10686" s="39"/>
      <c r="K10686" s="41"/>
      <c r="L10686" s="31" t="str">
        <f>IFERROR(__xludf.DUMMYFUNCTION("IF(OR(E10686="""",K10686=""""),"""",IFERROR(IF(K10686="""","""",query('tbl user'!$A$2:$D10975,""SELECT A WHERE D = '""&amp;K10686&amp;""'"")),""USER TIDAK DIKETAHUI""))"),"")</f>
        <v/>
      </c>
    </row>
    <row r="10687">
      <c r="A10687" s="21" t="str">
        <f t="shared" si="3"/>
        <v/>
      </c>
      <c r="B10687" s="38"/>
      <c r="C10687" s="23"/>
      <c r="D10687" s="23"/>
      <c r="E10687" s="24"/>
      <c r="F10687" s="25"/>
      <c r="G10687" s="25"/>
      <c r="H10687" s="27"/>
      <c r="I10687" s="28"/>
      <c r="J10687" s="39"/>
      <c r="K10687" s="41"/>
      <c r="L10687" s="31" t="str">
        <f>IFERROR(__xludf.DUMMYFUNCTION("IF(OR(E10687="""",K10687=""""),"""",IFERROR(IF(K10687="""","""",query('tbl user'!$A$2:$D10975,""SELECT A WHERE D = '""&amp;K10687&amp;""'"")),""USER TIDAK DIKETAHUI""))"),"")</f>
        <v/>
      </c>
    </row>
    <row r="10688">
      <c r="A10688" s="21" t="str">
        <f t="shared" si="3"/>
        <v/>
      </c>
      <c r="B10688" s="38"/>
      <c r="C10688" s="23"/>
      <c r="D10688" s="23"/>
      <c r="E10688" s="24"/>
      <c r="F10688" s="25"/>
      <c r="G10688" s="25"/>
      <c r="H10688" s="27"/>
      <c r="I10688" s="28"/>
      <c r="J10688" s="39"/>
      <c r="K10688" s="41"/>
      <c r="L10688" s="31" t="str">
        <f>IFERROR(__xludf.DUMMYFUNCTION("IF(OR(E10688="""",K10688=""""),"""",IFERROR(IF(K10688="""","""",query('tbl user'!$A$2:$D10975,""SELECT A WHERE D = '""&amp;K10688&amp;""'"")),""USER TIDAK DIKETAHUI""))"),"")</f>
        <v/>
      </c>
    </row>
    <row r="10689">
      <c r="A10689" s="21" t="str">
        <f t="shared" si="3"/>
        <v/>
      </c>
      <c r="B10689" s="38"/>
      <c r="C10689" s="23"/>
      <c r="D10689" s="23"/>
      <c r="E10689" s="24"/>
      <c r="F10689" s="25"/>
      <c r="G10689" s="25"/>
      <c r="H10689" s="27"/>
      <c r="I10689" s="28"/>
      <c r="J10689" s="39"/>
      <c r="K10689" s="41"/>
      <c r="L10689" s="31" t="str">
        <f>IFERROR(__xludf.DUMMYFUNCTION("IF(OR(E10689="""",K10689=""""),"""",IFERROR(IF(K10689="""","""",query('tbl user'!$A$2:$D10975,""SELECT A WHERE D = '""&amp;K10689&amp;""'"")),""USER TIDAK DIKETAHUI""))"),"")</f>
        <v/>
      </c>
    </row>
    <row r="10690">
      <c r="A10690" s="21" t="str">
        <f t="shared" si="3"/>
        <v/>
      </c>
      <c r="B10690" s="38"/>
      <c r="C10690" s="23"/>
      <c r="D10690" s="23"/>
      <c r="E10690" s="24"/>
      <c r="F10690" s="25"/>
      <c r="G10690" s="25"/>
      <c r="H10690" s="27"/>
      <c r="I10690" s="28"/>
      <c r="J10690" s="39"/>
      <c r="K10690" s="41"/>
      <c r="L10690" s="31" t="str">
        <f>IFERROR(__xludf.DUMMYFUNCTION("IF(OR(E10690="""",K10690=""""),"""",IFERROR(IF(K10690="""","""",query('tbl user'!$A$2:$D10975,""SELECT A WHERE D = '""&amp;K10690&amp;""'"")),""USER TIDAK DIKETAHUI""))"),"")</f>
        <v/>
      </c>
    </row>
    <row r="10691">
      <c r="A10691" s="21" t="str">
        <f t="shared" si="3"/>
        <v/>
      </c>
      <c r="B10691" s="38"/>
      <c r="C10691" s="23"/>
      <c r="D10691" s="23"/>
      <c r="E10691" s="24"/>
      <c r="F10691" s="25"/>
      <c r="G10691" s="25"/>
      <c r="H10691" s="27"/>
      <c r="I10691" s="28"/>
      <c r="J10691" s="39"/>
      <c r="K10691" s="41"/>
      <c r="L10691" s="31" t="str">
        <f>IFERROR(__xludf.DUMMYFUNCTION("IF(OR(E10691="""",K10691=""""),"""",IFERROR(IF(K10691="""","""",query('tbl user'!$A$2:$D10975,""SELECT A WHERE D = '""&amp;K10691&amp;""'"")),""USER TIDAK DIKETAHUI""))"),"")</f>
        <v/>
      </c>
    </row>
    <row r="10692">
      <c r="A10692" s="21" t="str">
        <f t="shared" si="3"/>
        <v/>
      </c>
      <c r="B10692" s="38"/>
      <c r="C10692" s="23"/>
      <c r="D10692" s="23"/>
      <c r="E10692" s="24"/>
      <c r="F10692" s="25"/>
      <c r="G10692" s="25"/>
      <c r="H10692" s="27"/>
      <c r="I10692" s="28"/>
      <c r="J10692" s="39"/>
      <c r="K10692" s="41"/>
      <c r="L10692" s="31" t="str">
        <f>IFERROR(__xludf.DUMMYFUNCTION("IF(OR(E10692="""",K10692=""""),"""",IFERROR(IF(K10692="""","""",query('tbl user'!$A$2:$D10975,""SELECT A WHERE D = '""&amp;K10692&amp;""'"")),""USER TIDAK DIKETAHUI""))"),"")</f>
        <v/>
      </c>
    </row>
    <row r="10693">
      <c r="A10693" s="21" t="str">
        <f t="shared" si="3"/>
        <v/>
      </c>
      <c r="B10693" s="38"/>
      <c r="C10693" s="23"/>
      <c r="D10693" s="23"/>
      <c r="E10693" s="24"/>
      <c r="F10693" s="25"/>
      <c r="G10693" s="25"/>
      <c r="H10693" s="27"/>
      <c r="I10693" s="28"/>
      <c r="J10693" s="39"/>
      <c r="K10693" s="41"/>
      <c r="L10693" s="31" t="str">
        <f>IFERROR(__xludf.DUMMYFUNCTION("IF(OR(E10693="""",K10693=""""),"""",IFERROR(IF(K10693="""","""",query('tbl user'!$A$2:$D10975,""SELECT A WHERE D = '""&amp;K10693&amp;""'"")),""USER TIDAK DIKETAHUI""))"),"")</f>
        <v/>
      </c>
    </row>
    <row r="10694">
      <c r="A10694" s="21" t="str">
        <f t="shared" si="3"/>
        <v/>
      </c>
      <c r="B10694" s="38"/>
      <c r="C10694" s="23"/>
      <c r="D10694" s="23"/>
      <c r="E10694" s="24"/>
      <c r="F10694" s="25"/>
      <c r="G10694" s="25"/>
      <c r="H10694" s="27"/>
      <c r="I10694" s="28"/>
      <c r="J10694" s="39"/>
      <c r="K10694" s="41"/>
      <c r="L10694" s="31" t="str">
        <f>IFERROR(__xludf.DUMMYFUNCTION("IF(OR(E10694="""",K10694=""""),"""",IFERROR(IF(K10694="""","""",query('tbl user'!$A$2:$D10975,""SELECT A WHERE D = '""&amp;K10694&amp;""'"")),""USER TIDAK DIKETAHUI""))"),"")</f>
        <v/>
      </c>
    </row>
    <row r="10695">
      <c r="A10695" s="21" t="str">
        <f t="shared" si="3"/>
        <v/>
      </c>
      <c r="B10695" s="38"/>
      <c r="C10695" s="23"/>
      <c r="D10695" s="23"/>
      <c r="E10695" s="24"/>
      <c r="F10695" s="25"/>
      <c r="G10695" s="25"/>
      <c r="H10695" s="27"/>
      <c r="I10695" s="28"/>
      <c r="J10695" s="39"/>
      <c r="K10695" s="41"/>
      <c r="L10695" s="31" t="str">
        <f>IFERROR(__xludf.DUMMYFUNCTION("IF(OR(E10695="""",K10695=""""),"""",IFERROR(IF(K10695="""","""",query('tbl user'!$A$2:$D10975,""SELECT A WHERE D = '""&amp;K10695&amp;""'"")),""USER TIDAK DIKETAHUI""))"),"")</f>
        <v/>
      </c>
    </row>
    <row r="10696">
      <c r="A10696" s="21" t="str">
        <f t="shared" si="3"/>
        <v/>
      </c>
      <c r="B10696" s="38"/>
      <c r="C10696" s="23"/>
      <c r="D10696" s="23"/>
      <c r="E10696" s="24"/>
      <c r="F10696" s="25"/>
      <c r="G10696" s="25"/>
      <c r="H10696" s="27"/>
      <c r="I10696" s="28"/>
      <c r="J10696" s="39"/>
      <c r="K10696" s="41"/>
      <c r="L10696" s="31" t="str">
        <f>IFERROR(__xludf.DUMMYFUNCTION("IF(OR(E10696="""",K10696=""""),"""",IFERROR(IF(K10696="""","""",query('tbl user'!$A$2:$D10975,""SELECT A WHERE D = '""&amp;K10696&amp;""'"")),""USER TIDAK DIKETAHUI""))"),"")</f>
        <v/>
      </c>
    </row>
    <row r="10697">
      <c r="A10697" s="21" t="str">
        <f t="shared" si="3"/>
        <v/>
      </c>
      <c r="B10697" s="38"/>
      <c r="C10697" s="23"/>
      <c r="D10697" s="23"/>
      <c r="E10697" s="24"/>
      <c r="F10697" s="25"/>
      <c r="G10697" s="25"/>
      <c r="H10697" s="27"/>
      <c r="I10697" s="28"/>
      <c r="J10697" s="39"/>
      <c r="K10697" s="41"/>
      <c r="L10697" s="31" t="str">
        <f>IFERROR(__xludf.DUMMYFUNCTION("IF(OR(E10697="""",K10697=""""),"""",IFERROR(IF(K10697="""","""",query('tbl user'!$A$2:$D10975,""SELECT A WHERE D = '""&amp;K10697&amp;""'"")),""USER TIDAK DIKETAHUI""))"),"")</f>
        <v/>
      </c>
    </row>
    <row r="10698">
      <c r="A10698" s="21" t="str">
        <f t="shared" si="3"/>
        <v/>
      </c>
      <c r="B10698" s="38"/>
      <c r="C10698" s="23"/>
      <c r="D10698" s="23"/>
      <c r="E10698" s="24"/>
      <c r="F10698" s="25"/>
      <c r="G10698" s="25"/>
      <c r="H10698" s="27"/>
      <c r="I10698" s="28"/>
      <c r="J10698" s="39"/>
      <c r="K10698" s="41"/>
      <c r="L10698" s="31" t="str">
        <f>IFERROR(__xludf.DUMMYFUNCTION("IF(OR(E10698="""",K10698=""""),"""",IFERROR(IF(K10698="""","""",query('tbl user'!$A$2:$D10975,""SELECT A WHERE D = '""&amp;K10698&amp;""'"")),""USER TIDAK DIKETAHUI""))"),"")</f>
        <v/>
      </c>
    </row>
    <row r="10699">
      <c r="A10699" s="21" t="str">
        <f t="shared" si="3"/>
        <v/>
      </c>
      <c r="B10699" s="38"/>
      <c r="C10699" s="23"/>
      <c r="D10699" s="23"/>
      <c r="E10699" s="24"/>
      <c r="F10699" s="25"/>
      <c r="G10699" s="25"/>
      <c r="H10699" s="27"/>
      <c r="I10699" s="28"/>
      <c r="J10699" s="39"/>
      <c r="K10699" s="41"/>
      <c r="L10699" s="31" t="str">
        <f>IFERROR(__xludf.DUMMYFUNCTION("IF(OR(E10699="""",K10699=""""),"""",IFERROR(IF(K10699="""","""",query('tbl user'!$A$2:$D10975,""SELECT A WHERE D = '""&amp;K10699&amp;""'"")),""USER TIDAK DIKETAHUI""))"),"")</f>
        <v/>
      </c>
    </row>
    <row r="10700">
      <c r="A10700" s="21" t="str">
        <f t="shared" si="3"/>
        <v/>
      </c>
      <c r="B10700" s="38"/>
      <c r="C10700" s="23"/>
      <c r="D10700" s="23"/>
      <c r="E10700" s="24"/>
      <c r="F10700" s="25"/>
      <c r="G10700" s="25"/>
      <c r="H10700" s="27"/>
      <c r="I10700" s="28"/>
      <c r="J10700" s="39"/>
      <c r="K10700" s="41"/>
      <c r="L10700" s="31" t="str">
        <f>IFERROR(__xludf.DUMMYFUNCTION("IF(OR(E10700="""",K10700=""""),"""",IFERROR(IF(K10700="""","""",query('tbl user'!$A$2:$D10975,""SELECT A WHERE D = '""&amp;K10700&amp;""'"")),""USER TIDAK DIKETAHUI""))"),"")</f>
        <v/>
      </c>
    </row>
    <row r="10701">
      <c r="A10701" s="21" t="str">
        <f t="shared" si="3"/>
        <v/>
      </c>
      <c r="B10701" s="38"/>
      <c r="C10701" s="23"/>
      <c r="D10701" s="23"/>
      <c r="E10701" s="24"/>
      <c r="F10701" s="25"/>
      <c r="G10701" s="25"/>
      <c r="H10701" s="27"/>
      <c r="I10701" s="28"/>
      <c r="J10701" s="39"/>
      <c r="K10701" s="41"/>
      <c r="L10701" s="31" t="str">
        <f>IFERROR(__xludf.DUMMYFUNCTION("IF(OR(E10701="""",K10701=""""),"""",IFERROR(IF(K10701="""","""",query('tbl user'!$A$2:$D10975,""SELECT A WHERE D = '""&amp;K10701&amp;""'"")),""USER TIDAK DIKETAHUI""))"),"")</f>
        <v/>
      </c>
    </row>
    <row r="10702">
      <c r="A10702" s="21" t="str">
        <f t="shared" si="3"/>
        <v/>
      </c>
      <c r="B10702" s="38"/>
      <c r="C10702" s="23"/>
      <c r="D10702" s="23"/>
      <c r="E10702" s="24"/>
      <c r="F10702" s="25"/>
      <c r="G10702" s="25"/>
      <c r="H10702" s="27"/>
      <c r="I10702" s="28"/>
      <c r="J10702" s="39"/>
      <c r="K10702" s="41"/>
      <c r="L10702" s="31" t="str">
        <f>IFERROR(__xludf.DUMMYFUNCTION("IF(OR(E10702="""",K10702=""""),"""",IFERROR(IF(K10702="""","""",query('tbl user'!$A$2:$D10975,""SELECT A WHERE D = '""&amp;K10702&amp;""'"")),""USER TIDAK DIKETAHUI""))"),"")</f>
        <v/>
      </c>
    </row>
    <row r="10703">
      <c r="A10703" s="21" t="str">
        <f t="shared" si="3"/>
        <v/>
      </c>
      <c r="B10703" s="38"/>
      <c r="C10703" s="23"/>
      <c r="D10703" s="23"/>
      <c r="E10703" s="24"/>
      <c r="F10703" s="25"/>
      <c r="G10703" s="25"/>
      <c r="H10703" s="27"/>
      <c r="I10703" s="28"/>
      <c r="J10703" s="39"/>
      <c r="K10703" s="41"/>
      <c r="L10703" s="31" t="str">
        <f>IFERROR(__xludf.DUMMYFUNCTION("IF(OR(E10703="""",K10703=""""),"""",IFERROR(IF(K10703="""","""",query('tbl user'!$A$2:$D10975,""SELECT A WHERE D = '""&amp;K10703&amp;""'"")),""USER TIDAK DIKETAHUI""))"),"")</f>
        <v/>
      </c>
    </row>
    <row r="10704">
      <c r="A10704" s="21" t="str">
        <f t="shared" si="3"/>
        <v/>
      </c>
      <c r="B10704" s="38"/>
      <c r="C10704" s="23"/>
      <c r="D10704" s="23"/>
      <c r="E10704" s="24"/>
      <c r="F10704" s="25"/>
      <c r="G10704" s="25"/>
      <c r="H10704" s="27"/>
      <c r="I10704" s="28"/>
      <c r="J10704" s="39"/>
      <c r="K10704" s="41"/>
      <c r="L10704" s="31" t="str">
        <f>IFERROR(__xludf.DUMMYFUNCTION("IF(OR(E10704="""",K10704=""""),"""",IFERROR(IF(K10704="""","""",query('tbl user'!$A$2:$D10975,""SELECT A WHERE D = '""&amp;K10704&amp;""'"")),""USER TIDAK DIKETAHUI""))"),"")</f>
        <v/>
      </c>
    </row>
    <row r="10705">
      <c r="A10705" s="21" t="str">
        <f t="shared" si="3"/>
        <v/>
      </c>
      <c r="B10705" s="38"/>
      <c r="C10705" s="23"/>
      <c r="D10705" s="23"/>
      <c r="E10705" s="24"/>
      <c r="F10705" s="25"/>
      <c r="G10705" s="25"/>
      <c r="H10705" s="27"/>
      <c r="I10705" s="28"/>
      <c r="J10705" s="39"/>
      <c r="K10705" s="41"/>
      <c r="L10705" s="31" t="str">
        <f>IFERROR(__xludf.DUMMYFUNCTION("IF(OR(E10705="""",K10705=""""),"""",IFERROR(IF(K10705="""","""",query('tbl user'!$A$2:$D10975,""SELECT A WHERE D = '""&amp;K10705&amp;""'"")),""USER TIDAK DIKETAHUI""))"),"")</f>
        <v/>
      </c>
    </row>
    <row r="10706">
      <c r="A10706" s="21" t="str">
        <f t="shared" si="3"/>
        <v/>
      </c>
      <c r="B10706" s="38"/>
      <c r="C10706" s="23"/>
      <c r="D10706" s="23"/>
      <c r="E10706" s="24"/>
      <c r="F10706" s="25"/>
      <c r="G10706" s="25"/>
      <c r="H10706" s="27"/>
      <c r="I10706" s="28"/>
      <c r="J10706" s="39"/>
      <c r="K10706" s="41"/>
      <c r="L10706" s="31" t="str">
        <f>IFERROR(__xludf.DUMMYFUNCTION("IF(OR(E10706="""",K10706=""""),"""",IFERROR(IF(K10706="""","""",query('tbl user'!$A$2:$D10975,""SELECT A WHERE D = '""&amp;K10706&amp;""'"")),""USER TIDAK DIKETAHUI""))"),"")</f>
        <v/>
      </c>
    </row>
    <row r="10707">
      <c r="A10707" s="21" t="str">
        <f t="shared" si="3"/>
        <v/>
      </c>
      <c r="B10707" s="38"/>
      <c r="C10707" s="23"/>
      <c r="D10707" s="23"/>
      <c r="E10707" s="24"/>
      <c r="F10707" s="25"/>
      <c r="G10707" s="25"/>
      <c r="H10707" s="27"/>
      <c r="I10707" s="28"/>
      <c r="J10707" s="39"/>
      <c r="K10707" s="41"/>
      <c r="L10707" s="31" t="str">
        <f>IFERROR(__xludf.DUMMYFUNCTION("IF(OR(E10707="""",K10707=""""),"""",IFERROR(IF(K10707="""","""",query('tbl user'!$A$2:$D10975,""SELECT A WHERE D = '""&amp;K10707&amp;""'"")),""USER TIDAK DIKETAHUI""))"),"")</f>
        <v/>
      </c>
    </row>
    <row r="10708">
      <c r="A10708" s="21" t="str">
        <f t="shared" si="3"/>
        <v/>
      </c>
      <c r="B10708" s="38"/>
      <c r="C10708" s="23"/>
      <c r="D10708" s="23"/>
      <c r="E10708" s="24"/>
      <c r="F10708" s="25"/>
      <c r="G10708" s="25"/>
      <c r="H10708" s="27"/>
      <c r="I10708" s="28"/>
      <c r="J10708" s="39"/>
      <c r="K10708" s="41"/>
      <c r="L10708" s="31" t="str">
        <f>IFERROR(__xludf.DUMMYFUNCTION("IF(OR(E10708="""",K10708=""""),"""",IFERROR(IF(K10708="""","""",query('tbl user'!$A$2:$D10975,""SELECT A WHERE D = '""&amp;K10708&amp;""'"")),""USER TIDAK DIKETAHUI""))"),"")</f>
        <v/>
      </c>
    </row>
    <row r="10709">
      <c r="A10709" s="21" t="str">
        <f t="shared" si="3"/>
        <v/>
      </c>
      <c r="B10709" s="38"/>
      <c r="C10709" s="23"/>
      <c r="D10709" s="23"/>
      <c r="E10709" s="24"/>
      <c r="F10709" s="25"/>
      <c r="G10709" s="25"/>
      <c r="H10709" s="27"/>
      <c r="I10709" s="28"/>
      <c r="J10709" s="39"/>
      <c r="K10709" s="41"/>
      <c r="L10709" s="31" t="str">
        <f>IFERROR(__xludf.DUMMYFUNCTION("IF(OR(E10709="""",K10709=""""),"""",IFERROR(IF(K10709="""","""",query('tbl user'!$A$2:$D10975,""SELECT A WHERE D = '""&amp;K10709&amp;""'"")),""USER TIDAK DIKETAHUI""))"),"")</f>
        <v/>
      </c>
    </row>
    <row r="10710">
      <c r="A10710" s="21" t="str">
        <f t="shared" si="3"/>
        <v/>
      </c>
      <c r="B10710" s="38"/>
      <c r="C10710" s="23"/>
      <c r="D10710" s="23"/>
      <c r="E10710" s="24"/>
      <c r="F10710" s="25"/>
      <c r="G10710" s="25"/>
      <c r="H10710" s="27"/>
      <c r="I10710" s="28"/>
      <c r="J10710" s="39"/>
      <c r="K10710" s="41"/>
      <c r="L10710" s="31" t="str">
        <f>IFERROR(__xludf.DUMMYFUNCTION("IF(OR(E10710="""",K10710=""""),"""",IFERROR(IF(K10710="""","""",query('tbl user'!$A$2:$D10975,""SELECT A WHERE D = '""&amp;K10710&amp;""'"")),""USER TIDAK DIKETAHUI""))"),"")</f>
        <v/>
      </c>
    </row>
    <row r="10711">
      <c r="A10711" s="21" t="str">
        <f t="shared" si="3"/>
        <v/>
      </c>
      <c r="B10711" s="38"/>
      <c r="C10711" s="23"/>
      <c r="D10711" s="23"/>
      <c r="E10711" s="24"/>
      <c r="F10711" s="25"/>
      <c r="G10711" s="25"/>
      <c r="H10711" s="27"/>
      <c r="I10711" s="28"/>
      <c r="J10711" s="39"/>
      <c r="K10711" s="41"/>
      <c r="L10711" s="31" t="str">
        <f>IFERROR(__xludf.DUMMYFUNCTION("IF(OR(E10711="""",K10711=""""),"""",IFERROR(IF(K10711="""","""",query('tbl user'!$A$2:$D10975,""SELECT A WHERE D = '""&amp;K10711&amp;""'"")),""USER TIDAK DIKETAHUI""))"),"")</f>
        <v/>
      </c>
    </row>
    <row r="10712">
      <c r="A10712" s="21" t="str">
        <f t="shared" si="3"/>
        <v/>
      </c>
      <c r="B10712" s="38"/>
      <c r="C10712" s="23"/>
      <c r="D10712" s="23"/>
      <c r="E10712" s="24"/>
      <c r="F10712" s="25"/>
      <c r="G10712" s="25"/>
      <c r="H10712" s="27"/>
      <c r="I10712" s="28"/>
      <c r="J10712" s="39"/>
      <c r="K10712" s="41"/>
      <c r="L10712" s="31" t="str">
        <f>IFERROR(__xludf.DUMMYFUNCTION("IF(OR(E10712="""",K10712=""""),"""",IFERROR(IF(K10712="""","""",query('tbl user'!$A$2:$D10975,""SELECT A WHERE D = '""&amp;K10712&amp;""'"")),""USER TIDAK DIKETAHUI""))"),"")</f>
        <v/>
      </c>
    </row>
    <row r="10713">
      <c r="A10713" s="21" t="str">
        <f t="shared" si="3"/>
        <v/>
      </c>
      <c r="B10713" s="38"/>
      <c r="C10713" s="23"/>
      <c r="D10713" s="23"/>
      <c r="E10713" s="24"/>
      <c r="F10713" s="25"/>
      <c r="G10713" s="25"/>
      <c r="H10713" s="27"/>
      <c r="I10713" s="28"/>
      <c r="J10713" s="39"/>
      <c r="K10713" s="41"/>
      <c r="L10713" s="31" t="str">
        <f>IFERROR(__xludf.DUMMYFUNCTION("IF(OR(E10713="""",K10713=""""),"""",IFERROR(IF(K10713="""","""",query('tbl user'!$A$2:$D10975,""SELECT A WHERE D = '""&amp;K10713&amp;""'"")),""USER TIDAK DIKETAHUI""))"),"")</f>
        <v/>
      </c>
    </row>
    <row r="10714">
      <c r="A10714" s="21" t="str">
        <f t="shared" si="3"/>
        <v/>
      </c>
      <c r="B10714" s="38"/>
      <c r="C10714" s="23"/>
      <c r="D10714" s="23"/>
      <c r="E10714" s="24"/>
      <c r="F10714" s="25"/>
      <c r="G10714" s="25"/>
      <c r="H10714" s="27"/>
      <c r="I10714" s="28"/>
      <c r="J10714" s="39"/>
      <c r="K10714" s="41"/>
      <c r="L10714" s="31" t="str">
        <f>IFERROR(__xludf.DUMMYFUNCTION("IF(OR(E10714="""",K10714=""""),"""",IFERROR(IF(K10714="""","""",query('tbl user'!$A$2:$D10975,""SELECT A WHERE D = '""&amp;K10714&amp;""'"")),""USER TIDAK DIKETAHUI""))"),"")</f>
        <v/>
      </c>
    </row>
    <row r="10715">
      <c r="A10715" s="21" t="str">
        <f t="shared" si="3"/>
        <v/>
      </c>
      <c r="B10715" s="38"/>
      <c r="C10715" s="23"/>
      <c r="D10715" s="23"/>
      <c r="E10715" s="24"/>
      <c r="F10715" s="25"/>
      <c r="G10715" s="25"/>
      <c r="H10715" s="27"/>
      <c r="I10715" s="28"/>
      <c r="J10715" s="39"/>
      <c r="K10715" s="41"/>
      <c r="L10715" s="31" t="str">
        <f>IFERROR(__xludf.DUMMYFUNCTION("IF(OR(E10715="""",K10715=""""),"""",IFERROR(IF(K10715="""","""",query('tbl user'!$A$2:$D10975,""SELECT A WHERE D = '""&amp;K10715&amp;""'"")),""USER TIDAK DIKETAHUI""))"),"")</f>
        <v/>
      </c>
    </row>
    <row r="10716">
      <c r="A10716" s="21" t="str">
        <f t="shared" si="3"/>
        <v/>
      </c>
      <c r="B10716" s="38"/>
      <c r="C10716" s="23"/>
      <c r="D10716" s="23"/>
      <c r="E10716" s="24"/>
      <c r="F10716" s="25"/>
      <c r="G10716" s="25"/>
      <c r="H10716" s="27"/>
      <c r="I10716" s="28"/>
      <c r="J10716" s="39"/>
      <c r="K10716" s="41"/>
      <c r="L10716" s="31" t="str">
        <f>IFERROR(__xludf.DUMMYFUNCTION("IF(OR(E10716="""",K10716=""""),"""",IFERROR(IF(K10716="""","""",query('tbl user'!$A$2:$D10975,""SELECT A WHERE D = '""&amp;K10716&amp;""'"")),""USER TIDAK DIKETAHUI""))"),"")</f>
        <v/>
      </c>
    </row>
    <row r="10717">
      <c r="A10717" s="21" t="str">
        <f t="shared" si="3"/>
        <v/>
      </c>
      <c r="B10717" s="38"/>
      <c r="C10717" s="23"/>
      <c r="D10717" s="23"/>
      <c r="E10717" s="24"/>
      <c r="F10717" s="25"/>
      <c r="G10717" s="25"/>
      <c r="H10717" s="27"/>
      <c r="I10717" s="28"/>
      <c r="J10717" s="39"/>
      <c r="K10717" s="41"/>
      <c r="L10717" s="31" t="str">
        <f>IFERROR(__xludf.DUMMYFUNCTION("IF(OR(E10717="""",K10717=""""),"""",IFERROR(IF(K10717="""","""",query('tbl user'!$A$2:$D10975,""SELECT A WHERE D = '""&amp;K10717&amp;""'"")),""USER TIDAK DIKETAHUI""))"),"")</f>
        <v/>
      </c>
    </row>
    <row r="10718">
      <c r="A10718" s="21" t="str">
        <f t="shared" si="3"/>
        <v/>
      </c>
      <c r="B10718" s="38"/>
      <c r="C10718" s="23"/>
      <c r="D10718" s="23"/>
      <c r="E10718" s="24"/>
      <c r="F10718" s="25"/>
      <c r="G10718" s="25"/>
      <c r="H10718" s="27"/>
      <c r="I10718" s="28"/>
      <c r="J10718" s="39"/>
      <c r="K10718" s="41"/>
      <c r="L10718" s="31" t="str">
        <f>IFERROR(__xludf.DUMMYFUNCTION("IF(OR(E10718="""",K10718=""""),"""",IFERROR(IF(K10718="""","""",query('tbl user'!$A$2:$D10975,""SELECT A WHERE D = '""&amp;K10718&amp;""'"")),""USER TIDAK DIKETAHUI""))"),"")</f>
        <v/>
      </c>
    </row>
    <row r="10719">
      <c r="A10719" s="21" t="str">
        <f t="shared" si="3"/>
        <v/>
      </c>
      <c r="B10719" s="38"/>
      <c r="C10719" s="23"/>
      <c r="D10719" s="23"/>
      <c r="E10719" s="24"/>
      <c r="F10719" s="25"/>
      <c r="G10719" s="25"/>
      <c r="H10719" s="27"/>
      <c r="I10719" s="28"/>
      <c r="J10719" s="39"/>
      <c r="K10719" s="41"/>
      <c r="L10719" s="31" t="str">
        <f>IFERROR(__xludf.DUMMYFUNCTION("IF(OR(E10719="""",K10719=""""),"""",IFERROR(IF(K10719="""","""",query('tbl user'!$A$2:$D10975,""SELECT A WHERE D = '""&amp;K10719&amp;""'"")),""USER TIDAK DIKETAHUI""))"),"")</f>
        <v/>
      </c>
    </row>
    <row r="10720">
      <c r="A10720" s="21" t="str">
        <f t="shared" si="3"/>
        <v/>
      </c>
      <c r="B10720" s="38"/>
      <c r="C10720" s="23"/>
      <c r="D10720" s="23"/>
      <c r="E10720" s="24"/>
      <c r="F10720" s="25"/>
      <c r="G10720" s="25"/>
      <c r="H10720" s="27"/>
      <c r="I10720" s="28"/>
      <c r="J10720" s="39"/>
      <c r="K10720" s="41"/>
      <c r="L10720" s="31" t="str">
        <f>IFERROR(__xludf.DUMMYFUNCTION("IF(OR(E10720="""",K10720=""""),"""",IFERROR(IF(K10720="""","""",query('tbl user'!$A$2:$D10975,""SELECT A WHERE D = '""&amp;K10720&amp;""'"")),""USER TIDAK DIKETAHUI""))"),"")</f>
        <v/>
      </c>
    </row>
    <row r="10721">
      <c r="A10721" s="21" t="str">
        <f t="shared" si="3"/>
        <v/>
      </c>
      <c r="B10721" s="38"/>
      <c r="C10721" s="23"/>
      <c r="D10721" s="23"/>
      <c r="E10721" s="24"/>
      <c r="F10721" s="25"/>
      <c r="G10721" s="25"/>
      <c r="H10721" s="27"/>
      <c r="I10721" s="28"/>
      <c r="J10721" s="39"/>
      <c r="K10721" s="41"/>
      <c r="L10721" s="31" t="str">
        <f>IFERROR(__xludf.DUMMYFUNCTION("IF(OR(E10721="""",K10721=""""),"""",IFERROR(IF(K10721="""","""",query('tbl user'!$A$2:$D10975,""SELECT A WHERE D = '""&amp;K10721&amp;""'"")),""USER TIDAK DIKETAHUI""))"),"")</f>
        <v/>
      </c>
    </row>
    <row r="10722">
      <c r="A10722" s="21" t="str">
        <f t="shared" si="3"/>
        <v/>
      </c>
      <c r="B10722" s="38"/>
      <c r="C10722" s="23"/>
      <c r="D10722" s="23"/>
      <c r="E10722" s="24"/>
      <c r="F10722" s="25"/>
      <c r="G10722" s="25"/>
      <c r="H10722" s="27"/>
      <c r="I10722" s="28"/>
      <c r="J10722" s="39"/>
      <c r="K10722" s="41"/>
      <c r="L10722" s="31" t="str">
        <f>IFERROR(__xludf.DUMMYFUNCTION("IF(OR(E10722="""",K10722=""""),"""",IFERROR(IF(K10722="""","""",query('tbl user'!$A$2:$D10975,""SELECT A WHERE D = '""&amp;K10722&amp;""'"")),""USER TIDAK DIKETAHUI""))"),"")</f>
        <v/>
      </c>
    </row>
    <row r="10723">
      <c r="A10723" s="21" t="str">
        <f t="shared" si="3"/>
        <v/>
      </c>
      <c r="B10723" s="38"/>
      <c r="C10723" s="23"/>
      <c r="D10723" s="23"/>
      <c r="E10723" s="24"/>
      <c r="F10723" s="25"/>
      <c r="G10723" s="25"/>
      <c r="H10723" s="27"/>
      <c r="I10723" s="28"/>
      <c r="J10723" s="39"/>
      <c r="K10723" s="41"/>
      <c r="L10723" s="31" t="str">
        <f>IFERROR(__xludf.DUMMYFUNCTION("IF(OR(E10723="""",K10723=""""),"""",IFERROR(IF(K10723="""","""",query('tbl user'!$A$2:$D10975,""SELECT A WHERE D = '""&amp;K10723&amp;""'"")),""USER TIDAK DIKETAHUI""))"),"")</f>
        <v/>
      </c>
    </row>
    <row r="10724">
      <c r="A10724" s="21" t="str">
        <f t="shared" si="3"/>
        <v/>
      </c>
      <c r="B10724" s="38"/>
      <c r="C10724" s="23"/>
      <c r="D10724" s="23"/>
      <c r="E10724" s="24"/>
      <c r="F10724" s="25"/>
      <c r="G10724" s="25"/>
      <c r="H10724" s="27"/>
      <c r="I10724" s="28"/>
      <c r="J10724" s="39"/>
      <c r="K10724" s="41"/>
      <c r="L10724" s="31" t="str">
        <f>IFERROR(__xludf.DUMMYFUNCTION("IF(OR(E10724="""",K10724=""""),"""",IFERROR(IF(K10724="""","""",query('tbl user'!$A$2:$D10975,""SELECT A WHERE D = '""&amp;K10724&amp;""'"")),""USER TIDAK DIKETAHUI""))"),"")</f>
        <v/>
      </c>
    </row>
    <row r="10725">
      <c r="A10725" s="21" t="str">
        <f t="shared" si="3"/>
        <v/>
      </c>
      <c r="B10725" s="38"/>
      <c r="C10725" s="23"/>
      <c r="D10725" s="23"/>
      <c r="E10725" s="24"/>
      <c r="F10725" s="25"/>
      <c r="G10725" s="25"/>
      <c r="H10725" s="27"/>
      <c r="I10725" s="28"/>
      <c r="J10725" s="39"/>
      <c r="K10725" s="41"/>
      <c r="L10725" s="31" t="str">
        <f>IFERROR(__xludf.DUMMYFUNCTION("IF(OR(E10725="""",K10725=""""),"""",IFERROR(IF(K10725="""","""",query('tbl user'!$A$2:$D10975,""SELECT A WHERE D = '""&amp;K10725&amp;""'"")),""USER TIDAK DIKETAHUI""))"),"")</f>
        <v/>
      </c>
    </row>
    <row r="10726">
      <c r="A10726" s="21" t="str">
        <f t="shared" si="3"/>
        <v/>
      </c>
      <c r="B10726" s="38"/>
      <c r="C10726" s="23"/>
      <c r="D10726" s="23"/>
      <c r="E10726" s="24"/>
      <c r="F10726" s="25"/>
      <c r="G10726" s="25"/>
      <c r="H10726" s="27"/>
      <c r="I10726" s="28"/>
      <c r="J10726" s="39"/>
      <c r="K10726" s="41"/>
      <c r="L10726" s="31" t="str">
        <f>IFERROR(__xludf.DUMMYFUNCTION("IF(OR(E10726="""",K10726=""""),"""",IFERROR(IF(K10726="""","""",query('tbl user'!$A$2:$D10975,""SELECT A WHERE D = '""&amp;K10726&amp;""'"")),""USER TIDAK DIKETAHUI""))"),"")</f>
        <v/>
      </c>
    </row>
    <row r="10727">
      <c r="A10727" s="21" t="str">
        <f t="shared" si="3"/>
        <v/>
      </c>
      <c r="B10727" s="38"/>
      <c r="C10727" s="23"/>
      <c r="D10727" s="23"/>
      <c r="E10727" s="24"/>
      <c r="F10727" s="25"/>
      <c r="G10727" s="25"/>
      <c r="H10727" s="27"/>
      <c r="I10727" s="28"/>
      <c r="J10727" s="39"/>
      <c r="K10727" s="41"/>
      <c r="L10727" s="31" t="str">
        <f>IFERROR(__xludf.DUMMYFUNCTION("IF(OR(E10727="""",K10727=""""),"""",IFERROR(IF(K10727="""","""",query('tbl user'!$A$2:$D10975,""SELECT A WHERE D = '""&amp;K10727&amp;""'"")),""USER TIDAK DIKETAHUI""))"),"")</f>
        <v/>
      </c>
    </row>
    <row r="10728">
      <c r="A10728" s="21" t="str">
        <f t="shared" si="3"/>
        <v/>
      </c>
      <c r="B10728" s="38"/>
      <c r="C10728" s="23"/>
      <c r="D10728" s="23"/>
      <c r="E10728" s="24"/>
      <c r="F10728" s="25"/>
      <c r="G10728" s="25"/>
      <c r="H10728" s="27"/>
      <c r="I10728" s="28"/>
      <c r="J10728" s="39"/>
      <c r="K10728" s="41"/>
      <c r="L10728" s="31" t="str">
        <f>IFERROR(__xludf.DUMMYFUNCTION("IF(OR(E10728="""",K10728=""""),"""",IFERROR(IF(K10728="""","""",query('tbl user'!$A$2:$D10975,""SELECT A WHERE D = '""&amp;K10728&amp;""'"")),""USER TIDAK DIKETAHUI""))"),"")</f>
        <v/>
      </c>
    </row>
    <row r="10729">
      <c r="A10729" s="21" t="str">
        <f t="shared" si="3"/>
        <v/>
      </c>
      <c r="B10729" s="38"/>
      <c r="C10729" s="23"/>
      <c r="D10729" s="23"/>
      <c r="E10729" s="24"/>
      <c r="F10729" s="25"/>
      <c r="G10729" s="25"/>
      <c r="H10729" s="27"/>
      <c r="I10729" s="28"/>
      <c r="J10729" s="39"/>
      <c r="K10729" s="41"/>
      <c r="L10729" s="31" t="str">
        <f>IFERROR(__xludf.DUMMYFUNCTION("IF(OR(E10729="""",K10729=""""),"""",IFERROR(IF(K10729="""","""",query('tbl user'!$A$2:$D10975,""SELECT A WHERE D = '""&amp;K10729&amp;""'"")),""USER TIDAK DIKETAHUI""))"),"")</f>
        <v/>
      </c>
    </row>
    <row r="10730">
      <c r="A10730" s="21" t="str">
        <f t="shared" si="3"/>
        <v/>
      </c>
      <c r="B10730" s="38"/>
      <c r="C10730" s="23"/>
      <c r="D10730" s="23"/>
      <c r="E10730" s="24"/>
      <c r="F10730" s="25"/>
      <c r="G10730" s="25"/>
      <c r="H10730" s="27"/>
      <c r="I10730" s="28"/>
      <c r="J10730" s="39"/>
      <c r="K10730" s="41"/>
      <c r="L10730" s="31" t="str">
        <f>IFERROR(__xludf.DUMMYFUNCTION("IF(OR(E10730="""",K10730=""""),"""",IFERROR(IF(K10730="""","""",query('tbl user'!$A$2:$D10975,""SELECT A WHERE D = '""&amp;K10730&amp;""'"")),""USER TIDAK DIKETAHUI""))"),"")</f>
        <v/>
      </c>
    </row>
    <row r="10731">
      <c r="A10731" s="21" t="str">
        <f t="shared" si="3"/>
        <v/>
      </c>
      <c r="B10731" s="38"/>
      <c r="C10731" s="23"/>
      <c r="D10731" s="23"/>
      <c r="E10731" s="24"/>
      <c r="F10731" s="25"/>
      <c r="G10731" s="25"/>
      <c r="H10731" s="27"/>
      <c r="I10731" s="28"/>
      <c r="J10731" s="39"/>
      <c r="K10731" s="41"/>
      <c r="L10731" s="31" t="str">
        <f>IFERROR(__xludf.DUMMYFUNCTION("IF(OR(E10731="""",K10731=""""),"""",IFERROR(IF(K10731="""","""",query('tbl user'!$A$2:$D10975,""SELECT A WHERE D = '""&amp;K10731&amp;""'"")),""USER TIDAK DIKETAHUI""))"),"")</f>
        <v/>
      </c>
    </row>
    <row r="10732">
      <c r="A10732" s="21" t="str">
        <f t="shared" si="3"/>
        <v/>
      </c>
      <c r="B10732" s="38"/>
      <c r="C10732" s="23"/>
      <c r="D10732" s="23"/>
      <c r="E10732" s="24"/>
      <c r="F10732" s="25"/>
      <c r="G10732" s="25"/>
      <c r="H10732" s="27"/>
      <c r="I10732" s="28"/>
      <c r="J10732" s="39"/>
      <c r="K10732" s="41"/>
      <c r="L10732" s="31" t="str">
        <f>IFERROR(__xludf.DUMMYFUNCTION("IF(OR(E10732="""",K10732=""""),"""",IFERROR(IF(K10732="""","""",query('tbl user'!$A$2:$D10975,""SELECT A WHERE D = '""&amp;K10732&amp;""'"")),""USER TIDAK DIKETAHUI""))"),"")</f>
        <v/>
      </c>
    </row>
    <row r="10733">
      <c r="A10733" s="21" t="str">
        <f t="shared" si="3"/>
        <v/>
      </c>
      <c r="B10733" s="38"/>
      <c r="C10733" s="23"/>
      <c r="D10733" s="23"/>
      <c r="E10733" s="24"/>
      <c r="F10733" s="25"/>
      <c r="G10733" s="25"/>
      <c r="H10733" s="27"/>
      <c r="I10733" s="28"/>
      <c r="J10733" s="39"/>
      <c r="K10733" s="41"/>
      <c r="L10733" s="31" t="str">
        <f>IFERROR(__xludf.DUMMYFUNCTION("IF(OR(E10733="""",K10733=""""),"""",IFERROR(IF(K10733="""","""",query('tbl user'!$A$2:$D10975,""SELECT A WHERE D = '""&amp;K10733&amp;""'"")),""USER TIDAK DIKETAHUI""))"),"")</f>
        <v/>
      </c>
    </row>
    <row r="10734">
      <c r="A10734" s="21" t="str">
        <f t="shared" si="3"/>
        <v/>
      </c>
      <c r="B10734" s="38"/>
      <c r="C10734" s="23"/>
      <c r="D10734" s="23"/>
      <c r="E10734" s="24"/>
      <c r="F10734" s="25"/>
      <c r="G10734" s="25"/>
      <c r="H10734" s="27"/>
      <c r="I10734" s="28"/>
      <c r="J10734" s="39"/>
      <c r="K10734" s="41"/>
      <c r="L10734" s="31" t="str">
        <f>IFERROR(__xludf.DUMMYFUNCTION("IF(OR(E10734="""",K10734=""""),"""",IFERROR(IF(K10734="""","""",query('tbl user'!$A$2:$D10975,""SELECT A WHERE D = '""&amp;K10734&amp;""'"")),""USER TIDAK DIKETAHUI""))"),"")</f>
        <v/>
      </c>
    </row>
    <row r="10735">
      <c r="A10735" s="21" t="str">
        <f t="shared" si="3"/>
        <v/>
      </c>
      <c r="B10735" s="38"/>
      <c r="C10735" s="23"/>
      <c r="D10735" s="23"/>
      <c r="E10735" s="24"/>
      <c r="F10735" s="25"/>
      <c r="G10735" s="25"/>
      <c r="H10735" s="27"/>
      <c r="I10735" s="28"/>
      <c r="J10735" s="39"/>
      <c r="K10735" s="41"/>
      <c r="L10735" s="31" t="str">
        <f>IFERROR(__xludf.DUMMYFUNCTION("IF(OR(E10735="""",K10735=""""),"""",IFERROR(IF(K10735="""","""",query('tbl user'!$A$2:$D10975,""SELECT A WHERE D = '""&amp;K10735&amp;""'"")),""USER TIDAK DIKETAHUI""))"),"")</f>
        <v/>
      </c>
    </row>
    <row r="10736">
      <c r="A10736" s="21" t="str">
        <f t="shared" si="3"/>
        <v/>
      </c>
      <c r="B10736" s="38"/>
      <c r="C10736" s="23"/>
      <c r="D10736" s="23"/>
      <c r="E10736" s="24"/>
      <c r="F10736" s="25"/>
      <c r="G10736" s="25"/>
      <c r="H10736" s="27"/>
      <c r="I10736" s="28"/>
      <c r="J10736" s="39"/>
      <c r="K10736" s="41"/>
      <c r="L10736" s="31" t="str">
        <f>IFERROR(__xludf.DUMMYFUNCTION("IF(OR(E10736="""",K10736=""""),"""",IFERROR(IF(K10736="""","""",query('tbl user'!$A$2:$D10975,""SELECT A WHERE D = '""&amp;K10736&amp;""'"")),""USER TIDAK DIKETAHUI""))"),"")</f>
        <v/>
      </c>
    </row>
    <row r="10737">
      <c r="A10737" s="21" t="str">
        <f t="shared" si="3"/>
        <v/>
      </c>
      <c r="B10737" s="38"/>
      <c r="C10737" s="23"/>
      <c r="D10737" s="23"/>
      <c r="E10737" s="24"/>
      <c r="F10737" s="25"/>
      <c r="G10737" s="25"/>
      <c r="H10737" s="27"/>
      <c r="I10737" s="28"/>
      <c r="J10737" s="39"/>
      <c r="K10737" s="41"/>
      <c r="L10737" s="31" t="str">
        <f>IFERROR(__xludf.DUMMYFUNCTION("IF(OR(E10737="""",K10737=""""),"""",IFERROR(IF(K10737="""","""",query('tbl user'!$A$2:$D10975,""SELECT A WHERE D = '""&amp;K10737&amp;""'"")),""USER TIDAK DIKETAHUI""))"),"")</f>
        <v/>
      </c>
    </row>
    <row r="10738">
      <c r="A10738" s="21" t="str">
        <f t="shared" si="3"/>
        <v/>
      </c>
      <c r="B10738" s="38"/>
      <c r="C10738" s="23"/>
      <c r="D10738" s="23"/>
      <c r="E10738" s="24"/>
      <c r="F10738" s="25"/>
      <c r="G10738" s="25"/>
      <c r="H10738" s="27"/>
      <c r="I10738" s="28"/>
      <c r="J10738" s="39"/>
      <c r="K10738" s="41"/>
      <c r="L10738" s="31" t="str">
        <f>IFERROR(__xludf.DUMMYFUNCTION("IF(OR(E10738="""",K10738=""""),"""",IFERROR(IF(K10738="""","""",query('tbl user'!$A$2:$D10975,""SELECT A WHERE D = '""&amp;K10738&amp;""'"")),""USER TIDAK DIKETAHUI""))"),"")</f>
        <v/>
      </c>
    </row>
    <row r="10739">
      <c r="A10739" s="21" t="str">
        <f t="shared" si="3"/>
        <v/>
      </c>
      <c r="B10739" s="38"/>
      <c r="C10739" s="23"/>
      <c r="D10739" s="23"/>
      <c r="E10739" s="24"/>
      <c r="F10739" s="25"/>
      <c r="G10739" s="25"/>
      <c r="H10739" s="27"/>
      <c r="I10739" s="28"/>
      <c r="J10739" s="39"/>
      <c r="K10739" s="41"/>
      <c r="L10739" s="31" t="str">
        <f>IFERROR(__xludf.DUMMYFUNCTION("IF(OR(E10739="""",K10739=""""),"""",IFERROR(IF(K10739="""","""",query('tbl user'!$A$2:$D10975,""SELECT A WHERE D = '""&amp;K10739&amp;""'"")),""USER TIDAK DIKETAHUI""))"),"")</f>
        <v/>
      </c>
    </row>
    <row r="10740">
      <c r="A10740" s="21" t="str">
        <f t="shared" si="3"/>
        <v/>
      </c>
      <c r="B10740" s="38"/>
      <c r="C10740" s="23"/>
      <c r="D10740" s="23"/>
      <c r="E10740" s="24"/>
      <c r="F10740" s="25"/>
      <c r="G10740" s="25"/>
      <c r="H10740" s="27"/>
      <c r="I10740" s="28"/>
      <c r="J10740" s="39"/>
      <c r="K10740" s="41"/>
      <c r="L10740" s="31" t="str">
        <f>IFERROR(__xludf.DUMMYFUNCTION("IF(OR(E10740="""",K10740=""""),"""",IFERROR(IF(K10740="""","""",query('tbl user'!$A$2:$D10975,""SELECT A WHERE D = '""&amp;K10740&amp;""'"")),""USER TIDAK DIKETAHUI""))"),"")</f>
        <v/>
      </c>
    </row>
    <row r="10741">
      <c r="A10741" s="21" t="str">
        <f t="shared" si="3"/>
        <v/>
      </c>
      <c r="B10741" s="38"/>
      <c r="C10741" s="23"/>
      <c r="D10741" s="23"/>
      <c r="E10741" s="24"/>
      <c r="F10741" s="25"/>
      <c r="G10741" s="25"/>
      <c r="H10741" s="27"/>
      <c r="I10741" s="28"/>
      <c r="J10741" s="39"/>
      <c r="K10741" s="41"/>
      <c r="L10741" s="31" t="str">
        <f>IFERROR(__xludf.DUMMYFUNCTION("IF(OR(E10741="""",K10741=""""),"""",IFERROR(IF(K10741="""","""",query('tbl user'!$A$2:$D10975,""SELECT A WHERE D = '""&amp;K10741&amp;""'"")),""USER TIDAK DIKETAHUI""))"),"")</f>
        <v/>
      </c>
    </row>
    <row r="10742">
      <c r="A10742" s="21" t="str">
        <f t="shared" si="3"/>
        <v/>
      </c>
      <c r="B10742" s="38"/>
      <c r="C10742" s="23"/>
      <c r="D10742" s="23"/>
      <c r="E10742" s="24"/>
      <c r="F10742" s="25"/>
      <c r="G10742" s="25"/>
      <c r="H10742" s="27"/>
      <c r="I10742" s="28"/>
      <c r="J10742" s="39"/>
      <c r="K10742" s="41"/>
      <c r="L10742" s="31" t="str">
        <f>IFERROR(__xludf.DUMMYFUNCTION("IF(OR(E10742="""",K10742=""""),"""",IFERROR(IF(K10742="""","""",query('tbl user'!$A$2:$D10975,""SELECT A WHERE D = '""&amp;K10742&amp;""'"")),""USER TIDAK DIKETAHUI""))"),"")</f>
        <v/>
      </c>
    </row>
    <row r="10743">
      <c r="A10743" s="21" t="str">
        <f t="shared" si="3"/>
        <v/>
      </c>
      <c r="B10743" s="38"/>
      <c r="C10743" s="23"/>
      <c r="D10743" s="23"/>
      <c r="E10743" s="24"/>
      <c r="F10743" s="25"/>
      <c r="G10743" s="25"/>
      <c r="H10743" s="27"/>
      <c r="I10743" s="28"/>
      <c r="J10743" s="39"/>
      <c r="K10743" s="41"/>
      <c r="L10743" s="31" t="str">
        <f>IFERROR(__xludf.DUMMYFUNCTION("IF(OR(E10743="""",K10743=""""),"""",IFERROR(IF(K10743="""","""",query('tbl user'!$A$2:$D10975,""SELECT A WHERE D = '""&amp;K10743&amp;""'"")),""USER TIDAK DIKETAHUI""))"),"")</f>
        <v/>
      </c>
    </row>
    <row r="10744">
      <c r="A10744" s="21" t="str">
        <f t="shared" si="3"/>
        <v/>
      </c>
      <c r="B10744" s="38"/>
      <c r="C10744" s="23"/>
      <c r="D10744" s="23"/>
      <c r="E10744" s="24"/>
      <c r="F10744" s="25"/>
      <c r="G10744" s="25"/>
      <c r="H10744" s="27"/>
      <c r="I10744" s="28"/>
      <c r="J10744" s="39"/>
      <c r="K10744" s="41"/>
      <c r="L10744" s="31" t="str">
        <f>IFERROR(__xludf.DUMMYFUNCTION("IF(OR(E10744="""",K10744=""""),"""",IFERROR(IF(K10744="""","""",query('tbl user'!$A$2:$D10975,""SELECT A WHERE D = '""&amp;K10744&amp;""'"")),""USER TIDAK DIKETAHUI""))"),"")</f>
        <v/>
      </c>
    </row>
    <row r="10745">
      <c r="A10745" s="21" t="str">
        <f t="shared" si="3"/>
        <v/>
      </c>
      <c r="B10745" s="38"/>
      <c r="C10745" s="23"/>
      <c r="D10745" s="23"/>
      <c r="E10745" s="24"/>
      <c r="F10745" s="25"/>
      <c r="G10745" s="25"/>
      <c r="H10745" s="27"/>
      <c r="I10745" s="28"/>
      <c r="J10745" s="39"/>
      <c r="K10745" s="41"/>
      <c r="L10745" s="31" t="str">
        <f>IFERROR(__xludf.DUMMYFUNCTION("IF(OR(E10745="""",K10745=""""),"""",IFERROR(IF(K10745="""","""",query('tbl user'!$A$2:$D10975,""SELECT A WHERE D = '""&amp;K10745&amp;""'"")),""USER TIDAK DIKETAHUI""))"),"")</f>
        <v/>
      </c>
    </row>
    <row r="10746">
      <c r="A10746" s="21" t="str">
        <f t="shared" si="3"/>
        <v/>
      </c>
      <c r="B10746" s="38"/>
      <c r="C10746" s="23"/>
      <c r="D10746" s="23"/>
      <c r="E10746" s="24"/>
      <c r="F10746" s="25"/>
      <c r="G10746" s="25"/>
      <c r="H10746" s="27"/>
      <c r="I10746" s="28"/>
      <c r="J10746" s="39"/>
      <c r="K10746" s="41"/>
      <c r="L10746" s="31" t="str">
        <f>IFERROR(__xludf.DUMMYFUNCTION("IF(OR(E10746="""",K10746=""""),"""",IFERROR(IF(K10746="""","""",query('tbl user'!$A$2:$D10975,""SELECT A WHERE D = '""&amp;K10746&amp;""'"")),""USER TIDAK DIKETAHUI""))"),"")</f>
        <v/>
      </c>
    </row>
    <row r="10747">
      <c r="A10747" s="21" t="str">
        <f t="shared" si="3"/>
        <v/>
      </c>
      <c r="B10747" s="38"/>
      <c r="C10747" s="23"/>
      <c r="D10747" s="23"/>
      <c r="E10747" s="24"/>
      <c r="F10747" s="25"/>
      <c r="G10747" s="25"/>
      <c r="H10747" s="27"/>
      <c r="I10747" s="28"/>
      <c r="J10747" s="39"/>
      <c r="K10747" s="41"/>
      <c r="L10747" s="31" t="str">
        <f>IFERROR(__xludf.DUMMYFUNCTION("IF(OR(E10747="""",K10747=""""),"""",IFERROR(IF(K10747="""","""",query('tbl user'!$A$2:$D10975,""SELECT A WHERE D = '""&amp;K10747&amp;""'"")),""USER TIDAK DIKETAHUI""))"),"")</f>
        <v/>
      </c>
    </row>
    <row r="10748">
      <c r="A10748" s="21" t="str">
        <f t="shared" si="3"/>
        <v/>
      </c>
      <c r="B10748" s="38"/>
      <c r="C10748" s="23"/>
      <c r="D10748" s="23"/>
      <c r="E10748" s="24"/>
      <c r="F10748" s="25"/>
      <c r="G10748" s="25"/>
      <c r="H10748" s="27"/>
      <c r="I10748" s="28"/>
      <c r="J10748" s="39"/>
      <c r="K10748" s="41"/>
      <c r="L10748" s="31" t="str">
        <f>IFERROR(__xludf.DUMMYFUNCTION("IF(OR(E10748="""",K10748=""""),"""",IFERROR(IF(K10748="""","""",query('tbl user'!$A$2:$D10975,""SELECT A WHERE D = '""&amp;K10748&amp;""'"")),""USER TIDAK DIKETAHUI""))"),"")</f>
        <v/>
      </c>
    </row>
    <row r="10749">
      <c r="A10749" s="21" t="str">
        <f t="shared" si="3"/>
        <v/>
      </c>
      <c r="B10749" s="38"/>
      <c r="C10749" s="23"/>
      <c r="D10749" s="23"/>
      <c r="E10749" s="24"/>
      <c r="F10749" s="25"/>
      <c r="G10749" s="25"/>
      <c r="H10749" s="27"/>
      <c r="I10749" s="28"/>
      <c r="J10749" s="39"/>
      <c r="K10749" s="41"/>
      <c r="L10749" s="31" t="str">
        <f>IFERROR(__xludf.DUMMYFUNCTION("IF(OR(E10749="""",K10749=""""),"""",IFERROR(IF(K10749="""","""",query('tbl user'!$A$2:$D10975,""SELECT A WHERE D = '""&amp;K10749&amp;""'"")),""USER TIDAK DIKETAHUI""))"),"")</f>
        <v/>
      </c>
    </row>
    <row r="10750">
      <c r="A10750" s="21" t="str">
        <f t="shared" si="3"/>
        <v/>
      </c>
      <c r="B10750" s="38"/>
      <c r="C10750" s="23"/>
      <c r="D10750" s="23"/>
      <c r="E10750" s="24"/>
      <c r="F10750" s="25"/>
      <c r="G10750" s="25"/>
      <c r="H10750" s="27"/>
      <c r="I10750" s="28"/>
      <c r="J10750" s="39"/>
      <c r="K10750" s="41"/>
      <c r="L10750" s="31" t="str">
        <f>IFERROR(__xludf.DUMMYFUNCTION("IF(OR(E10750="""",K10750=""""),"""",IFERROR(IF(K10750="""","""",query('tbl user'!$A$2:$D10975,""SELECT A WHERE D = '""&amp;K10750&amp;""'"")),""USER TIDAK DIKETAHUI""))"),"")</f>
        <v/>
      </c>
    </row>
    <row r="10751">
      <c r="A10751" s="21" t="str">
        <f t="shared" si="3"/>
        <v/>
      </c>
      <c r="B10751" s="38"/>
      <c r="C10751" s="23"/>
      <c r="D10751" s="23"/>
      <c r="E10751" s="24"/>
      <c r="F10751" s="25"/>
      <c r="G10751" s="25"/>
      <c r="H10751" s="27"/>
      <c r="I10751" s="28"/>
      <c r="J10751" s="39"/>
      <c r="K10751" s="41"/>
      <c r="L10751" s="31" t="str">
        <f>IFERROR(__xludf.DUMMYFUNCTION("IF(OR(E10751="""",K10751=""""),"""",IFERROR(IF(K10751="""","""",query('tbl user'!$A$2:$D10975,""SELECT A WHERE D = '""&amp;K10751&amp;""'"")),""USER TIDAK DIKETAHUI""))"),"")</f>
        <v/>
      </c>
    </row>
    <row r="10752">
      <c r="A10752" s="21" t="str">
        <f t="shared" si="3"/>
        <v/>
      </c>
      <c r="B10752" s="38"/>
      <c r="C10752" s="23"/>
      <c r="D10752" s="23"/>
      <c r="E10752" s="24"/>
      <c r="F10752" s="25"/>
      <c r="G10752" s="25"/>
      <c r="H10752" s="27"/>
      <c r="I10752" s="28"/>
      <c r="J10752" s="39"/>
      <c r="K10752" s="41"/>
      <c r="L10752" s="31" t="str">
        <f>IFERROR(__xludf.DUMMYFUNCTION("IF(OR(E10752="""",K10752=""""),"""",IFERROR(IF(K10752="""","""",query('tbl user'!$A$2:$D10975,""SELECT A WHERE D = '""&amp;K10752&amp;""'"")),""USER TIDAK DIKETAHUI""))"),"")</f>
        <v/>
      </c>
    </row>
    <row r="10753">
      <c r="A10753" s="21" t="str">
        <f t="shared" si="3"/>
        <v/>
      </c>
      <c r="B10753" s="38"/>
      <c r="C10753" s="23"/>
      <c r="D10753" s="23"/>
      <c r="E10753" s="24"/>
      <c r="F10753" s="25"/>
      <c r="G10753" s="25"/>
      <c r="H10753" s="27"/>
      <c r="I10753" s="28"/>
      <c r="J10753" s="39"/>
      <c r="K10753" s="41"/>
      <c r="L10753" s="31" t="str">
        <f>IFERROR(__xludf.DUMMYFUNCTION("IF(OR(E10753="""",K10753=""""),"""",IFERROR(IF(K10753="""","""",query('tbl user'!$A$2:$D10975,""SELECT A WHERE D = '""&amp;K10753&amp;""'"")),""USER TIDAK DIKETAHUI""))"),"")</f>
        <v/>
      </c>
    </row>
    <row r="10754">
      <c r="A10754" s="21" t="str">
        <f t="shared" si="3"/>
        <v/>
      </c>
      <c r="B10754" s="38"/>
      <c r="C10754" s="23"/>
      <c r="D10754" s="23"/>
      <c r="E10754" s="24"/>
      <c r="F10754" s="25"/>
      <c r="G10754" s="25"/>
      <c r="H10754" s="27"/>
      <c r="I10754" s="28"/>
      <c r="J10754" s="39"/>
      <c r="K10754" s="41"/>
      <c r="L10754" s="31" t="str">
        <f>IFERROR(__xludf.DUMMYFUNCTION("IF(OR(E10754="""",K10754=""""),"""",IFERROR(IF(K10754="""","""",query('tbl user'!$A$2:$D10975,""SELECT A WHERE D = '""&amp;K10754&amp;""'"")),""USER TIDAK DIKETAHUI""))"),"")</f>
        <v/>
      </c>
    </row>
    <row r="10755">
      <c r="A10755" s="21" t="str">
        <f t="shared" si="3"/>
        <v/>
      </c>
      <c r="B10755" s="38"/>
      <c r="C10755" s="23"/>
      <c r="D10755" s="23"/>
      <c r="E10755" s="24"/>
      <c r="F10755" s="25"/>
      <c r="G10755" s="25"/>
      <c r="H10755" s="27"/>
      <c r="I10755" s="28"/>
      <c r="J10755" s="39"/>
      <c r="K10755" s="41"/>
      <c r="L10755" s="31" t="str">
        <f>IFERROR(__xludf.DUMMYFUNCTION("IF(OR(E10755="""",K10755=""""),"""",IFERROR(IF(K10755="""","""",query('tbl user'!$A$2:$D10975,""SELECT A WHERE D = '""&amp;K10755&amp;""'"")),""USER TIDAK DIKETAHUI""))"),"")</f>
        <v/>
      </c>
    </row>
    <row r="10756">
      <c r="A10756" s="21" t="str">
        <f t="shared" si="3"/>
        <v/>
      </c>
      <c r="B10756" s="38"/>
      <c r="C10756" s="23"/>
      <c r="D10756" s="23"/>
      <c r="E10756" s="24"/>
      <c r="F10756" s="25"/>
      <c r="G10756" s="25"/>
      <c r="H10756" s="27"/>
      <c r="I10756" s="28"/>
      <c r="J10756" s="39"/>
      <c r="K10756" s="41"/>
      <c r="L10756" s="31" t="str">
        <f>IFERROR(__xludf.DUMMYFUNCTION("IF(OR(E10756="""",K10756=""""),"""",IFERROR(IF(K10756="""","""",query('tbl user'!$A$2:$D10975,""SELECT A WHERE D = '""&amp;K10756&amp;""'"")),""USER TIDAK DIKETAHUI""))"),"")</f>
        <v/>
      </c>
    </row>
    <row r="10757">
      <c r="A10757" s="21" t="str">
        <f t="shared" si="3"/>
        <v/>
      </c>
      <c r="B10757" s="38"/>
      <c r="C10757" s="23"/>
      <c r="D10757" s="23"/>
      <c r="E10757" s="24"/>
      <c r="F10757" s="25"/>
      <c r="G10757" s="25"/>
      <c r="H10757" s="27"/>
      <c r="I10757" s="28"/>
      <c r="J10757" s="39"/>
      <c r="K10757" s="41"/>
      <c r="L10757" s="31" t="str">
        <f>IFERROR(__xludf.DUMMYFUNCTION("IF(OR(E10757="""",K10757=""""),"""",IFERROR(IF(K10757="""","""",query('tbl user'!$A$2:$D10975,""SELECT A WHERE D = '""&amp;K10757&amp;""'"")),""USER TIDAK DIKETAHUI""))"),"")</f>
        <v/>
      </c>
    </row>
    <row r="10758">
      <c r="A10758" s="21" t="str">
        <f t="shared" si="3"/>
        <v/>
      </c>
      <c r="B10758" s="38"/>
      <c r="C10758" s="23"/>
      <c r="D10758" s="23"/>
      <c r="E10758" s="24"/>
      <c r="F10758" s="25"/>
      <c r="G10758" s="25"/>
      <c r="H10758" s="27"/>
      <c r="I10758" s="28"/>
      <c r="J10758" s="39"/>
      <c r="K10758" s="41"/>
      <c r="L10758" s="31" t="str">
        <f>IFERROR(__xludf.DUMMYFUNCTION("IF(OR(E10758="""",K10758=""""),"""",IFERROR(IF(K10758="""","""",query('tbl user'!$A$2:$D10975,""SELECT A WHERE D = '""&amp;K10758&amp;""'"")),""USER TIDAK DIKETAHUI""))"),"")</f>
        <v/>
      </c>
    </row>
    <row r="10759">
      <c r="A10759" s="21" t="str">
        <f t="shared" si="3"/>
        <v/>
      </c>
      <c r="B10759" s="38"/>
      <c r="C10759" s="23"/>
      <c r="D10759" s="23"/>
      <c r="E10759" s="24"/>
      <c r="F10759" s="25"/>
      <c r="G10759" s="25"/>
      <c r="H10759" s="27"/>
      <c r="I10759" s="28"/>
      <c r="J10759" s="39"/>
      <c r="K10759" s="41"/>
      <c r="L10759" s="31" t="str">
        <f>IFERROR(__xludf.DUMMYFUNCTION("IF(OR(E10759="""",K10759=""""),"""",IFERROR(IF(K10759="""","""",query('tbl user'!$A$2:$D10975,""SELECT A WHERE D = '""&amp;K10759&amp;""'"")),""USER TIDAK DIKETAHUI""))"),"")</f>
        <v/>
      </c>
    </row>
    <row r="10760">
      <c r="A10760" s="21" t="str">
        <f t="shared" si="3"/>
        <v/>
      </c>
      <c r="B10760" s="38"/>
      <c r="C10760" s="23"/>
      <c r="D10760" s="23"/>
      <c r="E10760" s="24"/>
      <c r="F10760" s="25"/>
      <c r="G10760" s="25"/>
      <c r="H10760" s="27"/>
      <c r="I10760" s="28"/>
      <c r="J10760" s="39"/>
      <c r="K10760" s="41"/>
      <c r="L10760" s="31" t="str">
        <f>IFERROR(__xludf.DUMMYFUNCTION("IF(OR(E10760="""",K10760=""""),"""",IFERROR(IF(K10760="""","""",query('tbl user'!$A$2:$D10975,""SELECT A WHERE D = '""&amp;K10760&amp;""'"")),""USER TIDAK DIKETAHUI""))"),"")</f>
        <v/>
      </c>
    </row>
    <row r="10761">
      <c r="A10761" s="21" t="str">
        <f t="shared" si="3"/>
        <v/>
      </c>
      <c r="B10761" s="38"/>
      <c r="C10761" s="23"/>
      <c r="D10761" s="23"/>
      <c r="E10761" s="24"/>
      <c r="F10761" s="25"/>
      <c r="G10761" s="25"/>
      <c r="H10761" s="27"/>
      <c r="I10761" s="28"/>
      <c r="J10761" s="39"/>
      <c r="K10761" s="41"/>
      <c r="L10761" s="31" t="str">
        <f>IFERROR(__xludf.DUMMYFUNCTION("IF(OR(E10761="""",K10761=""""),"""",IFERROR(IF(K10761="""","""",query('tbl user'!$A$2:$D10975,""SELECT A WHERE D = '""&amp;K10761&amp;""'"")),""USER TIDAK DIKETAHUI""))"),"")</f>
        <v/>
      </c>
    </row>
    <row r="10762">
      <c r="A10762" s="21" t="str">
        <f t="shared" si="3"/>
        <v/>
      </c>
      <c r="B10762" s="38"/>
      <c r="C10762" s="23"/>
      <c r="D10762" s="23"/>
      <c r="E10762" s="24"/>
      <c r="F10762" s="25"/>
      <c r="G10762" s="25"/>
      <c r="H10762" s="27"/>
      <c r="I10762" s="28"/>
      <c r="J10762" s="39"/>
      <c r="K10762" s="41"/>
      <c r="L10762" s="31" t="str">
        <f>IFERROR(__xludf.DUMMYFUNCTION("IF(OR(E10762="""",K10762=""""),"""",IFERROR(IF(K10762="""","""",query('tbl user'!$A$2:$D10975,""SELECT A WHERE D = '""&amp;K10762&amp;""'"")),""USER TIDAK DIKETAHUI""))"),"")</f>
        <v/>
      </c>
    </row>
    <row r="10763">
      <c r="A10763" s="21" t="str">
        <f t="shared" si="3"/>
        <v/>
      </c>
      <c r="B10763" s="38"/>
      <c r="C10763" s="23"/>
      <c r="D10763" s="23"/>
      <c r="E10763" s="24"/>
      <c r="F10763" s="25"/>
      <c r="G10763" s="25"/>
      <c r="H10763" s="27"/>
      <c r="I10763" s="28"/>
      <c r="J10763" s="39"/>
      <c r="K10763" s="41"/>
      <c r="L10763" s="31" t="str">
        <f>IFERROR(__xludf.DUMMYFUNCTION("IF(OR(E10763="""",K10763=""""),"""",IFERROR(IF(K10763="""","""",query('tbl user'!$A$2:$D10975,""SELECT A WHERE D = '""&amp;K10763&amp;""'"")),""USER TIDAK DIKETAHUI""))"),"")</f>
        <v/>
      </c>
    </row>
    <row r="10764">
      <c r="A10764" s="21" t="str">
        <f t="shared" si="3"/>
        <v/>
      </c>
      <c r="B10764" s="38"/>
      <c r="C10764" s="23"/>
      <c r="D10764" s="23"/>
      <c r="E10764" s="24"/>
      <c r="F10764" s="25"/>
      <c r="G10764" s="25"/>
      <c r="H10764" s="27"/>
      <c r="I10764" s="28"/>
      <c r="J10764" s="39"/>
      <c r="K10764" s="41"/>
      <c r="L10764" s="31" t="str">
        <f>IFERROR(__xludf.DUMMYFUNCTION("IF(OR(E10764="""",K10764=""""),"""",IFERROR(IF(K10764="""","""",query('tbl user'!$A$2:$D10975,""SELECT A WHERE D = '""&amp;K10764&amp;""'"")),""USER TIDAK DIKETAHUI""))"),"")</f>
        <v/>
      </c>
    </row>
    <row r="10765">
      <c r="A10765" s="21" t="str">
        <f t="shared" si="3"/>
        <v/>
      </c>
      <c r="B10765" s="38"/>
      <c r="C10765" s="23"/>
      <c r="D10765" s="23"/>
      <c r="E10765" s="24"/>
      <c r="F10765" s="25"/>
      <c r="G10765" s="25"/>
      <c r="H10765" s="27"/>
      <c r="I10765" s="28"/>
      <c r="J10765" s="39"/>
      <c r="K10765" s="41"/>
      <c r="L10765" s="31" t="str">
        <f>IFERROR(__xludf.DUMMYFUNCTION("IF(OR(E10765="""",K10765=""""),"""",IFERROR(IF(K10765="""","""",query('tbl user'!$A$2:$D10975,""SELECT A WHERE D = '""&amp;K10765&amp;""'"")),""USER TIDAK DIKETAHUI""))"),"")</f>
        <v/>
      </c>
    </row>
    <row r="10766">
      <c r="A10766" s="21" t="str">
        <f t="shared" si="3"/>
        <v/>
      </c>
      <c r="B10766" s="38"/>
      <c r="C10766" s="23"/>
      <c r="D10766" s="23"/>
      <c r="E10766" s="24"/>
      <c r="F10766" s="25"/>
      <c r="G10766" s="25"/>
      <c r="H10766" s="27"/>
      <c r="I10766" s="28"/>
      <c r="J10766" s="39"/>
      <c r="K10766" s="41"/>
      <c r="L10766" s="31" t="str">
        <f>IFERROR(__xludf.DUMMYFUNCTION("IF(OR(E10766="""",K10766=""""),"""",IFERROR(IF(K10766="""","""",query('tbl user'!$A$2:$D10975,""SELECT A WHERE D = '""&amp;K10766&amp;""'"")),""USER TIDAK DIKETAHUI""))"),"")</f>
        <v/>
      </c>
    </row>
    <row r="10767">
      <c r="A10767" s="21" t="str">
        <f t="shared" si="3"/>
        <v/>
      </c>
      <c r="B10767" s="38"/>
      <c r="C10767" s="23"/>
      <c r="D10767" s="23"/>
      <c r="E10767" s="24"/>
      <c r="F10767" s="25"/>
      <c r="G10767" s="25"/>
      <c r="H10767" s="27"/>
      <c r="I10767" s="28"/>
      <c r="J10767" s="39"/>
      <c r="K10767" s="41"/>
      <c r="L10767" s="31" t="str">
        <f>IFERROR(__xludf.DUMMYFUNCTION("IF(OR(E10767="""",K10767=""""),"""",IFERROR(IF(K10767="""","""",query('tbl user'!$A$2:$D10975,""SELECT A WHERE D = '""&amp;K10767&amp;""'"")),""USER TIDAK DIKETAHUI""))"),"")</f>
        <v/>
      </c>
    </row>
    <row r="10768">
      <c r="A10768" s="21" t="str">
        <f t="shared" si="3"/>
        <v/>
      </c>
      <c r="B10768" s="38"/>
      <c r="C10768" s="23"/>
      <c r="D10768" s="23"/>
      <c r="E10768" s="24"/>
      <c r="F10768" s="25"/>
      <c r="G10768" s="25"/>
      <c r="H10768" s="27"/>
      <c r="I10768" s="28"/>
      <c r="J10768" s="39"/>
      <c r="K10768" s="41"/>
      <c r="L10768" s="31" t="str">
        <f>IFERROR(__xludf.DUMMYFUNCTION("IF(OR(E10768="""",K10768=""""),"""",IFERROR(IF(K10768="""","""",query('tbl user'!$A$2:$D10975,""SELECT A WHERE D = '""&amp;K10768&amp;""'"")),""USER TIDAK DIKETAHUI""))"),"")</f>
        <v/>
      </c>
    </row>
    <row r="10769">
      <c r="A10769" s="21" t="str">
        <f t="shared" si="3"/>
        <v/>
      </c>
      <c r="B10769" s="38"/>
      <c r="C10769" s="23"/>
      <c r="D10769" s="23"/>
      <c r="E10769" s="24"/>
      <c r="F10769" s="25"/>
      <c r="G10769" s="25"/>
      <c r="H10769" s="27"/>
      <c r="I10769" s="28"/>
      <c r="J10769" s="39"/>
      <c r="K10769" s="41"/>
      <c r="L10769" s="31" t="str">
        <f>IFERROR(__xludf.DUMMYFUNCTION("IF(OR(E10769="""",K10769=""""),"""",IFERROR(IF(K10769="""","""",query('tbl user'!$A$2:$D10975,""SELECT A WHERE D = '""&amp;K10769&amp;""'"")),""USER TIDAK DIKETAHUI""))"),"")</f>
        <v/>
      </c>
    </row>
    <row r="10770">
      <c r="A10770" s="21" t="str">
        <f t="shared" si="3"/>
        <v/>
      </c>
      <c r="B10770" s="38"/>
      <c r="C10770" s="23"/>
      <c r="D10770" s="23"/>
      <c r="E10770" s="24"/>
      <c r="F10770" s="25"/>
      <c r="G10770" s="25"/>
      <c r="H10770" s="27"/>
      <c r="I10770" s="28"/>
      <c r="J10770" s="39"/>
      <c r="K10770" s="41"/>
      <c r="L10770" s="31" t="str">
        <f>IFERROR(__xludf.DUMMYFUNCTION("IF(OR(E10770="""",K10770=""""),"""",IFERROR(IF(K10770="""","""",query('tbl user'!$A$2:$D10975,""SELECT A WHERE D = '""&amp;K10770&amp;""'"")),""USER TIDAK DIKETAHUI""))"),"")</f>
        <v/>
      </c>
    </row>
    <row r="10771">
      <c r="A10771" s="21" t="str">
        <f t="shared" si="3"/>
        <v/>
      </c>
      <c r="B10771" s="38"/>
      <c r="C10771" s="23"/>
      <c r="D10771" s="23"/>
      <c r="E10771" s="24"/>
      <c r="F10771" s="25"/>
      <c r="G10771" s="25"/>
      <c r="H10771" s="27"/>
      <c r="I10771" s="28"/>
      <c r="J10771" s="39"/>
      <c r="K10771" s="41"/>
      <c r="L10771" s="31" t="str">
        <f>IFERROR(__xludf.DUMMYFUNCTION("IF(OR(E10771="""",K10771=""""),"""",IFERROR(IF(K10771="""","""",query('tbl user'!$A$2:$D10975,""SELECT A WHERE D = '""&amp;K10771&amp;""'"")),""USER TIDAK DIKETAHUI""))"),"")</f>
        <v/>
      </c>
    </row>
    <row r="10772">
      <c r="A10772" s="21" t="str">
        <f t="shared" si="3"/>
        <v/>
      </c>
      <c r="B10772" s="38"/>
      <c r="C10772" s="23"/>
      <c r="D10772" s="23"/>
      <c r="E10772" s="24"/>
      <c r="F10772" s="25"/>
      <c r="G10772" s="25"/>
      <c r="H10772" s="27"/>
      <c r="I10772" s="28"/>
      <c r="J10772" s="39"/>
      <c r="K10772" s="41"/>
      <c r="L10772" s="31" t="str">
        <f>IFERROR(__xludf.DUMMYFUNCTION("IF(OR(E10772="""",K10772=""""),"""",IFERROR(IF(K10772="""","""",query('tbl user'!$A$2:$D10975,""SELECT A WHERE D = '""&amp;K10772&amp;""'"")),""USER TIDAK DIKETAHUI""))"),"")</f>
        <v/>
      </c>
    </row>
    <row r="10773">
      <c r="A10773" s="21" t="str">
        <f t="shared" si="3"/>
        <v/>
      </c>
      <c r="B10773" s="38"/>
      <c r="C10773" s="23"/>
      <c r="D10773" s="23"/>
      <c r="E10773" s="24"/>
      <c r="F10773" s="25"/>
      <c r="G10773" s="25"/>
      <c r="H10773" s="27"/>
      <c r="I10773" s="28"/>
      <c r="J10773" s="39"/>
      <c r="K10773" s="41"/>
      <c r="L10773" s="31" t="str">
        <f>IFERROR(__xludf.DUMMYFUNCTION("IF(OR(E10773="""",K10773=""""),"""",IFERROR(IF(K10773="""","""",query('tbl user'!$A$2:$D10975,""SELECT A WHERE D = '""&amp;K10773&amp;""'"")),""USER TIDAK DIKETAHUI""))"),"")</f>
        <v/>
      </c>
    </row>
    <row r="10774">
      <c r="A10774" s="21" t="str">
        <f t="shared" si="3"/>
        <v/>
      </c>
      <c r="B10774" s="38"/>
      <c r="C10774" s="23"/>
      <c r="D10774" s="23"/>
      <c r="E10774" s="24"/>
      <c r="F10774" s="25"/>
      <c r="G10774" s="25"/>
      <c r="H10774" s="27"/>
      <c r="I10774" s="28"/>
      <c r="J10774" s="39"/>
      <c r="K10774" s="41"/>
      <c r="L10774" s="31" t="str">
        <f>IFERROR(__xludf.DUMMYFUNCTION("IF(OR(E10774="""",K10774=""""),"""",IFERROR(IF(K10774="""","""",query('tbl user'!$A$2:$D10975,""SELECT A WHERE D = '""&amp;K10774&amp;""'"")),""USER TIDAK DIKETAHUI""))"),"")</f>
        <v/>
      </c>
    </row>
    <row r="10775">
      <c r="A10775" s="21" t="str">
        <f t="shared" si="3"/>
        <v/>
      </c>
      <c r="B10775" s="38"/>
      <c r="C10775" s="23"/>
      <c r="D10775" s="23"/>
      <c r="E10775" s="24"/>
      <c r="F10775" s="25"/>
      <c r="G10775" s="25"/>
      <c r="H10775" s="27"/>
      <c r="I10775" s="28"/>
      <c r="J10775" s="39"/>
      <c r="K10775" s="41"/>
      <c r="L10775" s="31" t="str">
        <f>IFERROR(__xludf.DUMMYFUNCTION("IF(OR(E10775="""",K10775=""""),"""",IFERROR(IF(K10775="""","""",query('tbl user'!$A$2:$D10975,""SELECT A WHERE D = '""&amp;K10775&amp;""'"")),""USER TIDAK DIKETAHUI""))"),"")</f>
        <v/>
      </c>
    </row>
    <row r="10776">
      <c r="A10776" s="21" t="str">
        <f t="shared" si="3"/>
        <v/>
      </c>
      <c r="B10776" s="38"/>
      <c r="C10776" s="23"/>
      <c r="D10776" s="23"/>
      <c r="E10776" s="24"/>
      <c r="F10776" s="25"/>
      <c r="G10776" s="25"/>
      <c r="H10776" s="27"/>
      <c r="I10776" s="28"/>
      <c r="J10776" s="39"/>
      <c r="K10776" s="41"/>
      <c r="L10776" s="31" t="str">
        <f>IFERROR(__xludf.DUMMYFUNCTION("IF(OR(E10776="""",K10776=""""),"""",IFERROR(IF(K10776="""","""",query('tbl user'!$A$2:$D10975,""SELECT A WHERE D = '""&amp;K10776&amp;""'"")),""USER TIDAK DIKETAHUI""))"),"")</f>
        <v/>
      </c>
    </row>
    <row r="10777">
      <c r="A10777" s="21" t="str">
        <f t="shared" si="3"/>
        <v/>
      </c>
      <c r="B10777" s="38"/>
      <c r="C10777" s="23"/>
      <c r="D10777" s="23"/>
      <c r="E10777" s="24"/>
      <c r="F10777" s="25"/>
      <c r="G10777" s="25"/>
      <c r="H10777" s="27"/>
      <c r="I10777" s="28"/>
      <c r="J10777" s="39"/>
      <c r="K10777" s="41"/>
      <c r="L10777" s="31" t="str">
        <f>IFERROR(__xludf.DUMMYFUNCTION("IF(OR(E10777="""",K10777=""""),"""",IFERROR(IF(K10777="""","""",query('tbl user'!$A$2:$D10975,""SELECT A WHERE D = '""&amp;K10777&amp;""'"")),""USER TIDAK DIKETAHUI""))"),"")</f>
        <v/>
      </c>
    </row>
    <row r="10778">
      <c r="A10778" s="21" t="str">
        <f t="shared" si="3"/>
        <v/>
      </c>
      <c r="B10778" s="38"/>
      <c r="C10778" s="23"/>
      <c r="D10778" s="23"/>
      <c r="E10778" s="24"/>
      <c r="F10778" s="25"/>
      <c r="G10778" s="25"/>
      <c r="H10778" s="27"/>
      <c r="I10778" s="28"/>
      <c r="J10778" s="39"/>
      <c r="K10778" s="41"/>
      <c r="L10778" s="31" t="str">
        <f>IFERROR(__xludf.DUMMYFUNCTION("IF(OR(E10778="""",K10778=""""),"""",IFERROR(IF(K10778="""","""",query('tbl user'!$A$2:$D10975,""SELECT A WHERE D = '""&amp;K10778&amp;""'"")),""USER TIDAK DIKETAHUI""))"),"")</f>
        <v/>
      </c>
    </row>
    <row r="10779">
      <c r="A10779" s="21" t="str">
        <f t="shared" si="3"/>
        <v/>
      </c>
      <c r="B10779" s="38"/>
      <c r="C10779" s="23"/>
      <c r="D10779" s="23"/>
      <c r="E10779" s="24"/>
      <c r="F10779" s="25"/>
      <c r="G10779" s="25"/>
      <c r="H10779" s="27"/>
      <c r="I10779" s="28"/>
      <c r="J10779" s="39"/>
      <c r="K10779" s="41"/>
      <c r="L10779" s="31" t="str">
        <f>IFERROR(__xludf.DUMMYFUNCTION("IF(OR(E10779="""",K10779=""""),"""",IFERROR(IF(K10779="""","""",query('tbl user'!$A$2:$D10975,""SELECT A WHERE D = '""&amp;K10779&amp;""'"")),""USER TIDAK DIKETAHUI""))"),"")</f>
        <v/>
      </c>
    </row>
    <row r="10780">
      <c r="A10780" s="21" t="str">
        <f t="shared" si="3"/>
        <v/>
      </c>
      <c r="B10780" s="38"/>
      <c r="C10780" s="23"/>
      <c r="D10780" s="23"/>
      <c r="E10780" s="24"/>
      <c r="F10780" s="25"/>
      <c r="G10780" s="25"/>
      <c r="H10780" s="27"/>
      <c r="I10780" s="28"/>
      <c r="J10780" s="39"/>
      <c r="K10780" s="41"/>
      <c r="L10780" s="31" t="str">
        <f>IFERROR(__xludf.DUMMYFUNCTION("IF(OR(E10780="""",K10780=""""),"""",IFERROR(IF(K10780="""","""",query('tbl user'!$A$2:$D10975,""SELECT A WHERE D = '""&amp;K10780&amp;""'"")),""USER TIDAK DIKETAHUI""))"),"")</f>
        <v/>
      </c>
    </row>
    <row r="10781">
      <c r="A10781" s="21" t="str">
        <f t="shared" si="3"/>
        <v/>
      </c>
      <c r="B10781" s="38"/>
      <c r="C10781" s="23"/>
      <c r="D10781" s="23"/>
      <c r="E10781" s="24"/>
      <c r="F10781" s="25"/>
      <c r="G10781" s="25"/>
      <c r="H10781" s="27"/>
      <c r="I10781" s="28"/>
      <c r="J10781" s="39"/>
      <c r="K10781" s="41"/>
      <c r="L10781" s="31" t="str">
        <f>IFERROR(__xludf.DUMMYFUNCTION("IF(OR(E10781="""",K10781=""""),"""",IFERROR(IF(K10781="""","""",query('tbl user'!$A$2:$D10975,""SELECT A WHERE D = '""&amp;K10781&amp;""'"")),""USER TIDAK DIKETAHUI""))"),"")</f>
        <v/>
      </c>
    </row>
    <row r="10782">
      <c r="A10782" s="21" t="str">
        <f t="shared" si="3"/>
        <v/>
      </c>
      <c r="B10782" s="38"/>
      <c r="C10782" s="23"/>
      <c r="D10782" s="23"/>
      <c r="E10782" s="24"/>
      <c r="F10782" s="25"/>
      <c r="G10782" s="25"/>
      <c r="H10782" s="27"/>
      <c r="I10782" s="28"/>
      <c r="J10782" s="39"/>
      <c r="K10782" s="41"/>
      <c r="L10782" s="31" t="str">
        <f>IFERROR(__xludf.DUMMYFUNCTION("IF(OR(E10782="""",K10782=""""),"""",IFERROR(IF(K10782="""","""",query('tbl user'!$A$2:$D10975,""SELECT A WHERE D = '""&amp;K10782&amp;""'"")),""USER TIDAK DIKETAHUI""))"),"")</f>
        <v/>
      </c>
    </row>
    <row r="10783">
      <c r="A10783" s="21" t="str">
        <f t="shared" si="3"/>
        <v/>
      </c>
      <c r="B10783" s="38"/>
      <c r="C10783" s="23"/>
      <c r="D10783" s="23"/>
      <c r="E10783" s="24"/>
      <c r="F10783" s="25"/>
      <c r="G10783" s="25"/>
      <c r="H10783" s="27"/>
      <c r="I10783" s="28"/>
      <c r="J10783" s="39"/>
      <c r="K10783" s="41"/>
      <c r="L10783" s="31" t="str">
        <f>IFERROR(__xludf.DUMMYFUNCTION("IF(OR(E10783="""",K10783=""""),"""",IFERROR(IF(K10783="""","""",query('tbl user'!$A$2:$D10975,""SELECT A WHERE D = '""&amp;K10783&amp;""'"")),""USER TIDAK DIKETAHUI""))"),"")</f>
        <v/>
      </c>
    </row>
    <row r="10784">
      <c r="A10784" s="21" t="str">
        <f t="shared" si="3"/>
        <v/>
      </c>
      <c r="B10784" s="38"/>
      <c r="C10784" s="23"/>
      <c r="D10784" s="23"/>
      <c r="E10784" s="24"/>
      <c r="F10784" s="25"/>
      <c r="G10784" s="25"/>
      <c r="H10784" s="27"/>
      <c r="I10784" s="28"/>
      <c r="J10784" s="39"/>
      <c r="K10784" s="41"/>
      <c r="L10784" s="31" t="str">
        <f>IFERROR(__xludf.DUMMYFUNCTION("IF(OR(E10784="""",K10784=""""),"""",IFERROR(IF(K10784="""","""",query('tbl user'!$A$2:$D10975,""SELECT A WHERE D = '""&amp;K10784&amp;""'"")),""USER TIDAK DIKETAHUI""))"),"")</f>
        <v/>
      </c>
    </row>
    <row r="10785">
      <c r="A10785" s="21" t="str">
        <f t="shared" si="3"/>
        <v/>
      </c>
      <c r="B10785" s="38"/>
      <c r="C10785" s="23"/>
      <c r="D10785" s="23"/>
      <c r="E10785" s="24"/>
      <c r="F10785" s="25"/>
      <c r="G10785" s="25"/>
      <c r="H10785" s="27"/>
      <c r="I10785" s="28"/>
      <c r="J10785" s="39"/>
      <c r="K10785" s="41"/>
      <c r="L10785" s="31" t="str">
        <f>IFERROR(__xludf.DUMMYFUNCTION("IF(OR(E10785="""",K10785=""""),"""",IFERROR(IF(K10785="""","""",query('tbl user'!$A$2:$D10975,""SELECT A WHERE D = '""&amp;K10785&amp;""'"")),""USER TIDAK DIKETAHUI""))"),"")</f>
        <v/>
      </c>
    </row>
    <row r="10786">
      <c r="A10786" s="21" t="str">
        <f t="shared" si="3"/>
        <v/>
      </c>
      <c r="B10786" s="38"/>
      <c r="C10786" s="23"/>
      <c r="D10786" s="23"/>
      <c r="E10786" s="24"/>
      <c r="F10786" s="25"/>
      <c r="G10786" s="25"/>
      <c r="H10786" s="27"/>
      <c r="I10786" s="28"/>
      <c r="J10786" s="39"/>
      <c r="K10786" s="41"/>
      <c r="L10786" s="31" t="str">
        <f>IFERROR(__xludf.DUMMYFUNCTION("IF(OR(E10786="""",K10786=""""),"""",IFERROR(IF(K10786="""","""",query('tbl user'!$A$2:$D10975,""SELECT A WHERE D = '""&amp;K10786&amp;""'"")),""USER TIDAK DIKETAHUI""))"),"")</f>
        <v/>
      </c>
    </row>
    <row r="10787">
      <c r="A10787" s="21" t="str">
        <f t="shared" si="3"/>
        <v/>
      </c>
      <c r="B10787" s="38"/>
      <c r="C10787" s="23"/>
      <c r="D10787" s="23"/>
      <c r="E10787" s="24"/>
      <c r="F10787" s="25"/>
      <c r="G10787" s="25"/>
      <c r="H10787" s="27"/>
      <c r="I10787" s="28"/>
      <c r="J10787" s="39"/>
      <c r="K10787" s="41"/>
      <c r="L10787" s="31" t="str">
        <f>IFERROR(__xludf.DUMMYFUNCTION("IF(OR(E10787="""",K10787=""""),"""",IFERROR(IF(K10787="""","""",query('tbl user'!$A$2:$D10975,""SELECT A WHERE D = '""&amp;K10787&amp;""'"")),""USER TIDAK DIKETAHUI""))"),"")</f>
        <v/>
      </c>
    </row>
    <row r="10788">
      <c r="A10788" s="21" t="str">
        <f t="shared" si="3"/>
        <v/>
      </c>
      <c r="B10788" s="38"/>
      <c r="C10788" s="23"/>
      <c r="D10788" s="23"/>
      <c r="E10788" s="24"/>
      <c r="F10788" s="25"/>
      <c r="G10788" s="25"/>
      <c r="H10788" s="27"/>
      <c r="I10788" s="28"/>
      <c r="J10788" s="39"/>
      <c r="K10788" s="41"/>
      <c r="L10788" s="31" t="str">
        <f>IFERROR(__xludf.DUMMYFUNCTION("IF(OR(E10788="""",K10788=""""),"""",IFERROR(IF(K10788="""","""",query('tbl user'!$A$2:$D10975,""SELECT A WHERE D = '""&amp;K10788&amp;""'"")),""USER TIDAK DIKETAHUI""))"),"")</f>
        <v/>
      </c>
    </row>
    <row r="10789">
      <c r="A10789" s="21" t="str">
        <f t="shared" si="3"/>
        <v/>
      </c>
      <c r="B10789" s="38"/>
      <c r="C10789" s="23"/>
      <c r="D10789" s="23"/>
      <c r="E10789" s="24"/>
      <c r="F10789" s="25"/>
      <c r="G10789" s="25"/>
      <c r="H10789" s="27"/>
      <c r="I10789" s="28"/>
      <c r="J10789" s="39"/>
      <c r="K10789" s="41"/>
      <c r="L10789" s="31" t="str">
        <f>IFERROR(__xludf.DUMMYFUNCTION("IF(OR(E10789="""",K10789=""""),"""",IFERROR(IF(K10789="""","""",query('tbl user'!$A$2:$D10975,""SELECT A WHERE D = '""&amp;K10789&amp;""'"")),""USER TIDAK DIKETAHUI""))"),"")</f>
        <v/>
      </c>
    </row>
    <row r="10790">
      <c r="A10790" s="21" t="str">
        <f t="shared" si="3"/>
        <v/>
      </c>
      <c r="B10790" s="38"/>
      <c r="C10790" s="23"/>
      <c r="D10790" s="23"/>
      <c r="E10790" s="24"/>
      <c r="F10790" s="25"/>
      <c r="G10790" s="25"/>
      <c r="H10790" s="27"/>
      <c r="I10790" s="28"/>
      <c r="J10790" s="39"/>
      <c r="K10790" s="41"/>
      <c r="L10790" s="31" t="str">
        <f>IFERROR(__xludf.DUMMYFUNCTION("IF(OR(E10790="""",K10790=""""),"""",IFERROR(IF(K10790="""","""",query('tbl user'!$A$2:$D10975,""SELECT A WHERE D = '""&amp;K10790&amp;""'"")),""USER TIDAK DIKETAHUI""))"),"")</f>
        <v/>
      </c>
    </row>
    <row r="10791">
      <c r="A10791" s="21" t="str">
        <f t="shared" si="3"/>
        <v/>
      </c>
      <c r="B10791" s="38"/>
      <c r="C10791" s="23"/>
      <c r="D10791" s="23"/>
      <c r="E10791" s="24"/>
      <c r="F10791" s="25"/>
      <c r="G10791" s="25"/>
      <c r="H10791" s="27"/>
      <c r="I10791" s="28"/>
      <c r="J10791" s="39"/>
      <c r="K10791" s="41"/>
      <c r="L10791" s="31" t="str">
        <f>IFERROR(__xludf.DUMMYFUNCTION("IF(OR(E10791="""",K10791=""""),"""",IFERROR(IF(K10791="""","""",query('tbl user'!$A$2:$D10975,""SELECT A WHERE D = '""&amp;K10791&amp;""'"")),""USER TIDAK DIKETAHUI""))"),"")</f>
        <v/>
      </c>
    </row>
    <row r="10792">
      <c r="A10792" s="21" t="str">
        <f t="shared" si="3"/>
        <v/>
      </c>
      <c r="B10792" s="38"/>
      <c r="C10792" s="23"/>
      <c r="D10792" s="23"/>
      <c r="E10792" s="24"/>
      <c r="F10792" s="25"/>
      <c r="G10792" s="25"/>
      <c r="H10792" s="27"/>
      <c r="I10792" s="28"/>
      <c r="J10792" s="39"/>
      <c r="K10792" s="41"/>
      <c r="L10792" s="31" t="str">
        <f>IFERROR(__xludf.DUMMYFUNCTION("IF(OR(E10792="""",K10792=""""),"""",IFERROR(IF(K10792="""","""",query('tbl user'!$A$2:$D10975,""SELECT A WHERE D = '""&amp;K10792&amp;""'"")),""USER TIDAK DIKETAHUI""))"),"")</f>
        <v/>
      </c>
    </row>
    <row r="10793">
      <c r="A10793" s="21" t="str">
        <f t="shared" si="3"/>
        <v/>
      </c>
      <c r="B10793" s="38"/>
      <c r="C10793" s="23"/>
      <c r="D10793" s="23"/>
      <c r="E10793" s="24"/>
      <c r="F10793" s="25"/>
      <c r="G10793" s="25"/>
      <c r="H10793" s="27"/>
      <c r="I10793" s="28"/>
      <c r="J10793" s="39"/>
      <c r="K10793" s="41"/>
      <c r="L10793" s="31" t="str">
        <f>IFERROR(__xludf.DUMMYFUNCTION("IF(OR(E10793="""",K10793=""""),"""",IFERROR(IF(K10793="""","""",query('tbl user'!$A$2:$D10975,""SELECT A WHERE D = '""&amp;K10793&amp;""'"")),""USER TIDAK DIKETAHUI""))"),"")</f>
        <v/>
      </c>
    </row>
    <row r="10794">
      <c r="A10794" s="21" t="str">
        <f t="shared" si="3"/>
        <v/>
      </c>
      <c r="B10794" s="38"/>
      <c r="C10794" s="23"/>
      <c r="D10794" s="23"/>
      <c r="E10794" s="24"/>
      <c r="F10794" s="25"/>
      <c r="G10794" s="25"/>
      <c r="H10794" s="27"/>
      <c r="I10794" s="28"/>
      <c r="J10794" s="39"/>
      <c r="K10794" s="41"/>
      <c r="L10794" s="31" t="str">
        <f>IFERROR(__xludf.DUMMYFUNCTION("IF(OR(E10794="""",K10794=""""),"""",IFERROR(IF(K10794="""","""",query('tbl user'!$A$2:$D10975,""SELECT A WHERE D = '""&amp;K10794&amp;""'"")),""USER TIDAK DIKETAHUI""))"),"")</f>
        <v/>
      </c>
    </row>
    <row r="10795">
      <c r="A10795" s="21" t="str">
        <f t="shared" si="3"/>
        <v/>
      </c>
      <c r="B10795" s="38"/>
      <c r="C10795" s="23"/>
      <c r="D10795" s="23"/>
      <c r="E10795" s="24"/>
      <c r="F10795" s="25"/>
      <c r="G10795" s="25"/>
      <c r="H10795" s="27"/>
      <c r="I10795" s="28"/>
      <c r="J10795" s="39"/>
      <c r="K10795" s="41"/>
      <c r="L10795" s="31" t="str">
        <f>IFERROR(__xludf.DUMMYFUNCTION("IF(OR(E10795="""",K10795=""""),"""",IFERROR(IF(K10795="""","""",query('tbl user'!$A$2:$D10975,""SELECT A WHERE D = '""&amp;K10795&amp;""'"")),""USER TIDAK DIKETAHUI""))"),"")</f>
        <v/>
      </c>
    </row>
    <row r="10796">
      <c r="A10796" s="21" t="str">
        <f t="shared" si="3"/>
        <v/>
      </c>
      <c r="B10796" s="38"/>
      <c r="C10796" s="23"/>
      <c r="D10796" s="23"/>
      <c r="E10796" s="24"/>
      <c r="F10796" s="25"/>
      <c r="G10796" s="25"/>
      <c r="H10796" s="27"/>
      <c r="I10796" s="28"/>
      <c r="J10796" s="39"/>
      <c r="K10796" s="41"/>
      <c r="L10796" s="31" t="str">
        <f>IFERROR(__xludf.DUMMYFUNCTION("IF(OR(E10796="""",K10796=""""),"""",IFERROR(IF(K10796="""","""",query('tbl user'!$A$2:$D10975,""SELECT A WHERE D = '""&amp;K10796&amp;""'"")),""USER TIDAK DIKETAHUI""))"),"")</f>
        <v/>
      </c>
    </row>
    <row r="10797">
      <c r="A10797" s="21" t="str">
        <f t="shared" si="3"/>
        <v/>
      </c>
      <c r="B10797" s="38"/>
      <c r="C10797" s="23"/>
      <c r="D10797" s="23"/>
      <c r="E10797" s="24"/>
      <c r="F10797" s="25"/>
      <c r="G10797" s="25"/>
      <c r="H10797" s="27"/>
      <c r="I10797" s="28"/>
      <c r="J10797" s="39"/>
      <c r="K10797" s="41"/>
      <c r="L10797" s="31" t="str">
        <f>IFERROR(__xludf.DUMMYFUNCTION("IF(OR(E10797="""",K10797=""""),"""",IFERROR(IF(K10797="""","""",query('tbl user'!$A$2:$D10975,""SELECT A WHERE D = '""&amp;K10797&amp;""'"")),""USER TIDAK DIKETAHUI""))"),"")</f>
        <v/>
      </c>
    </row>
    <row r="10798">
      <c r="A10798" s="21" t="str">
        <f t="shared" si="3"/>
        <v/>
      </c>
      <c r="B10798" s="38"/>
      <c r="C10798" s="23"/>
      <c r="D10798" s="23"/>
      <c r="E10798" s="24"/>
      <c r="F10798" s="25"/>
      <c r="G10798" s="25"/>
      <c r="H10798" s="27"/>
      <c r="I10798" s="28"/>
      <c r="J10798" s="39"/>
      <c r="K10798" s="41"/>
      <c r="L10798" s="31" t="str">
        <f>IFERROR(__xludf.DUMMYFUNCTION("IF(OR(E10798="""",K10798=""""),"""",IFERROR(IF(K10798="""","""",query('tbl user'!$A$2:$D10975,""SELECT A WHERE D = '""&amp;K10798&amp;""'"")),""USER TIDAK DIKETAHUI""))"),"")</f>
        <v/>
      </c>
    </row>
    <row r="10799">
      <c r="A10799" s="21" t="str">
        <f t="shared" si="3"/>
        <v/>
      </c>
      <c r="B10799" s="38"/>
      <c r="C10799" s="23"/>
      <c r="D10799" s="23"/>
      <c r="E10799" s="24"/>
      <c r="F10799" s="25"/>
      <c r="G10799" s="25"/>
      <c r="H10799" s="27"/>
      <c r="I10799" s="28"/>
      <c r="J10799" s="39"/>
      <c r="K10799" s="41"/>
      <c r="L10799" s="31" t="str">
        <f>IFERROR(__xludf.DUMMYFUNCTION("IF(OR(E10799="""",K10799=""""),"""",IFERROR(IF(K10799="""","""",query('tbl user'!$A$2:$D10975,""SELECT A WHERE D = '""&amp;K10799&amp;""'"")),""USER TIDAK DIKETAHUI""))"),"")</f>
        <v/>
      </c>
    </row>
    <row r="10800">
      <c r="A10800" s="21" t="str">
        <f t="shared" si="3"/>
        <v/>
      </c>
      <c r="B10800" s="38"/>
      <c r="C10800" s="23"/>
      <c r="D10800" s="23"/>
      <c r="E10800" s="24"/>
      <c r="F10800" s="25"/>
      <c r="G10800" s="25"/>
      <c r="H10800" s="27"/>
      <c r="I10800" s="28"/>
      <c r="J10800" s="39"/>
      <c r="K10800" s="41"/>
      <c r="L10800" s="31" t="str">
        <f>IFERROR(__xludf.DUMMYFUNCTION("IF(OR(E10800="""",K10800=""""),"""",IFERROR(IF(K10800="""","""",query('tbl user'!$A$2:$D10975,""SELECT A WHERE D = '""&amp;K10800&amp;""'"")),""USER TIDAK DIKETAHUI""))"),"")</f>
        <v/>
      </c>
    </row>
    <row r="10801">
      <c r="A10801" s="21" t="str">
        <f t="shared" si="3"/>
        <v/>
      </c>
      <c r="B10801" s="38"/>
      <c r="C10801" s="23"/>
      <c r="D10801" s="23"/>
      <c r="E10801" s="24"/>
      <c r="F10801" s="25"/>
      <c r="G10801" s="25"/>
      <c r="H10801" s="27"/>
      <c r="I10801" s="28"/>
      <c r="J10801" s="39"/>
      <c r="K10801" s="41"/>
      <c r="L10801" s="31" t="str">
        <f>IFERROR(__xludf.DUMMYFUNCTION("IF(OR(E10801="""",K10801=""""),"""",IFERROR(IF(K10801="""","""",query('tbl user'!$A$2:$D10975,""SELECT A WHERE D = '""&amp;K10801&amp;""'"")),""USER TIDAK DIKETAHUI""))"),"")</f>
        <v/>
      </c>
    </row>
    <row r="10802">
      <c r="A10802" s="21" t="str">
        <f t="shared" si="3"/>
        <v/>
      </c>
      <c r="B10802" s="38"/>
      <c r="C10802" s="23"/>
      <c r="D10802" s="23"/>
      <c r="E10802" s="24"/>
      <c r="F10802" s="25"/>
      <c r="G10802" s="25"/>
      <c r="H10802" s="27"/>
      <c r="I10802" s="28"/>
      <c r="J10802" s="39"/>
      <c r="K10802" s="41"/>
      <c r="L10802" s="31" t="str">
        <f>IFERROR(__xludf.DUMMYFUNCTION("IF(OR(E10802="""",K10802=""""),"""",IFERROR(IF(K10802="""","""",query('tbl user'!$A$2:$D10975,""SELECT A WHERE D = '""&amp;K10802&amp;""'"")),""USER TIDAK DIKETAHUI""))"),"")</f>
        <v/>
      </c>
    </row>
    <row r="10803">
      <c r="A10803" s="21" t="str">
        <f t="shared" si="3"/>
        <v/>
      </c>
      <c r="B10803" s="38"/>
      <c r="C10803" s="23"/>
      <c r="D10803" s="23"/>
      <c r="E10803" s="24"/>
      <c r="F10803" s="25"/>
      <c r="G10803" s="25"/>
      <c r="H10803" s="27"/>
      <c r="I10803" s="28"/>
      <c r="J10803" s="39"/>
      <c r="K10803" s="41"/>
      <c r="L10803" s="31" t="str">
        <f>IFERROR(__xludf.DUMMYFUNCTION("IF(OR(E10803="""",K10803=""""),"""",IFERROR(IF(K10803="""","""",query('tbl user'!$A$2:$D10975,""SELECT A WHERE D = '""&amp;K10803&amp;""'"")),""USER TIDAK DIKETAHUI""))"),"")</f>
        <v/>
      </c>
    </row>
    <row r="10804">
      <c r="A10804" s="21" t="str">
        <f t="shared" si="3"/>
        <v/>
      </c>
      <c r="B10804" s="38"/>
      <c r="C10804" s="23"/>
      <c r="D10804" s="23"/>
      <c r="E10804" s="24"/>
      <c r="F10804" s="25"/>
      <c r="G10804" s="25"/>
      <c r="H10804" s="27"/>
      <c r="I10804" s="28"/>
      <c r="J10804" s="39"/>
      <c r="K10804" s="41"/>
      <c r="L10804" s="31" t="str">
        <f>IFERROR(__xludf.DUMMYFUNCTION("IF(OR(E10804="""",K10804=""""),"""",IFERROR(IF(K10804="""","""",query('tbl user'!$A$2:$D10975,""SELECT A WHERE D = '""&amp;K10804&amp;""'"")),""USER TIDAK DIKETAHUI""))"),"")</f>
        <v/>
      </c>
    </row>
    <row r="10805">
      <c r="A10805" s="21" t="str">
        <f t="shared" si="3"/>
        <v/>
      </c>
      <c r="B10805" s="38"/>
      <c r="C10805" s="23"/>
      <c r="D10805" s="23"/>
      <c r="E10805" s="24"/>
      <c r="F10805" s="25"/>
      <c r="G10805" s="25"/>
      <c r="H10805" s="27"/>
      <c r="I10805" s="28"/>
      <c r="J10805" s="39"/>
      <c r="K10805" s="41"/>
      <c r="L10805" s="31" t="str">
        <f>IFERROR(__xludf.DUMMYFUNCTION("IF(OR(E10805="""",K10805=""""),"""",IFERROR(IF(K10805="""","""",query('tbl user'!$A$2:$D10975,""SELECT A WHERE D = '""&amp;K10805&amp;""'"")),""USER TIDAK DIKETAHUI""))"),"")</f>
        <v/>
      </c>
    </row>
    <row r="10806">
      <c r="A10806" s="21" t="str">
        <f t="shared" si="3"/>
        <v/>
      </c>
      <c r="B10806" s="38"/>
      <c r="C10806" s="23"/>
      <c r="D10806" s="23"/>
      <c r="E10806" s="24"/>
      <c r="F10806" s="25"/>
      <c r="G10806" s="25"/>
      <c r="H10806" s="27"/>
      <c r="I10806" s="28"/>
      <c r="J10806" s="39"/>
      <c r="K10806" s="41"/>
      <c r="L10806" s="31" t="str">
        <f>IFERROR(__xludf.DUMMYFUNCTION("IF(OR(E10806="""",K10806=""""),"""",IFERROR(IF(K10806="""","""",query('tbl user'!$A$2:$D10975,""SELECT A WHERE D = '""&amp;K10806&amp;""'"")),""USER TIDAK DIKETAHUI""))"),"")</f>
        <v/>
      </c>
    </row>
    <row r="10807">
      <c r="A10807" s="21" t="str">
        <f t="shared" si="3"/>
        <v/>
      </c>
      <c r="B10807" s="38"/>
      <c r="C10807" s="23"/>
      <c r="D10807" s="23"/>
      <c r="E10807" s="24"/>
      <c r="F10807" s="25"/>
      <c r="G10807" s="25"/>
      <c r="H10807" s="27"/>
      <c r="I10807" s="28"/>
      <c r="J10807" s="39"/>
      <c r="K10807" s="41"/>
      <c r="L10807" s="31" t="str">
        <f>IFERROR(__xludf.DUMMYFUNCTION("IF(OR(E10807="""",K10807=""""),"""",IFERROR(IF(K10807="""","""",query('tbl user'!$A$2:$D10975,""SELECT A WHERE D = '""&amp;K10807&amp;""'"")),""USER TIDAK DIKETAHUI""))"),"")</f>
        <v/>
      </c>
    </row>
    <row r="10808">
      <c r="A10808" s="21" t="str">
        <f t="shared" si="3"/>
        <v/>
      </c>
      <c r="B10808" s="38"/>
      <c r="C10808" s="23"/>
      <c r="D10808" s="23"/>
      <c r="E10808" s="24"/>
      <c r="F10808" s="25"/>
      <c r="G10808" s="25"/>
      <c r="H10808" s="27"/>
      <c r="I10808" s="28"/>
      <c r="J10808" s="39"/>
      <c r="K10808" s="41"/>
      <c r="L10808" s="31" t="str">
        <f>IFERROR(__xludf.DUMMYFUNCTION("IF(OR(E10808="""",K10808=""""),"""",IFERROR(IF(K10808="""","""",query('tbl user'!$A$2:$D10975,""SELECT A WHERE D = '""&amp;K10808&amp;""'"")),""USER TIDAK DIKETAHUI""))"),"")</f>
        <v/>
      </c>
    </row>
    <row r="10809">
      <c r="A10809" s="21" t="str">
        <f t="shared" si="3"/>
        <v/>
      </c>
      <c r="B10809" s="38"/>
      <c r="C10809" s="23"/>
      <c r="D10809" s="23"/>
      <c r="E10809" s="24"/>
      <c r="F10809" s="25"/>
      <c r="G10809" s="25"/>
      <c r="H10809" s="27"/>
      <c r="I10809" s="28"/>
      <c r="J10809" s="39"/>
      <c r="K10809" s="41"/>
      <c r="L10809" s="31" t="str">
        <f>IFERROR(__xludf.DUMMYFUNCTION("IF(OR(E10809="""",K10809=""""),"""",IFERROR(IF(K10809="""","""",query('tbl user'!$A$2:$D10975,""SELECT A WHERE D = '""&amp;K10809&amp;""'"")),""USER TIDAK DIKETAHUI""))"),"")</f>
        <v/>
      </c>
    </row>
    <row r="10810">
      <c r="A10810" s="21" t="str">
        <f t="shared" si="3"/>
        <v/>
      </c>
      <c r="B10810" s="38"/>
      <c r="C10810" s="23"/>
      <c r="D10810" s="23"/>
      <c r="E10810" s="24"/>
      <c r="F10810" s="25"/>
      <c r="G10810" s="25"/>
      <c r="H10810" s="27"/>
      <c r="I10810" s="28"/>
      <c r="J10810" s="39"/>
      <c r="K10810" s="41"/>
      <c r="L10810" s="31" t="str">
        <f>IFERROR(__xludf.DUMMYFUNCTION("IF(OR(E10810="""",K10810=""""),"""",IFERROR(IF(K10810="""","""",query('tbl user'!$A$2:$D10975,""SELECT A WHERE D = '""&amp;K10810&amp;""'"")),""USER TIDAK DIKETAHUI""))"),"")</f>
        <v/>
      </c>
    </row>
    <row r="10811">
      <c r="A10811" s="21" t="str">
        <f t="shared" si="3"/>
        <v/>
      </c>
      <c r="B10811" s="38"/>
      <c r="C10811" s="23"/>
      <c r="D10811" s="23"/>
      <c r="E10811" s="24"/>
      <c r="F10811" s="25"/>
      <c r="G10811" s="25"/>
      <c r="H10811" s="27"/>
      <c r="I10811" s="28"/>
      <c r="J10811" s="39"/>
      <c r="K10811" s="41"/>
      <c r="L10811" s="31" t="str">
        <f>IFERROR(__xludf.DUMMYFUNCTION("IF(OR(E10811="""",K10811=""""),"""",IFERROR(IF(K10811="""","""",query('tbl user'!$A$2:$D10975,""SELECT A WHERE D = '""&amp;K10811&amp;""'"")),""USER TIDAK DIKETAHUI""))"),"")</f>
        <v/>
      </c>
    </row>
    <row r="10812">
      <c r="A10812" s="21" t="str">
        <f t="shared" si="3"/>
        <v/>
      </c>
      <c r="B10812" s="38"/>
      <c r="C10812" s="23"/>
      <c r="D10812" s="23"/>
      <c r="E10812" s="24"/>
      <c r="F10812" s="25"/>
      <c r="G10812" s="25"/>
      <c r="H10812" s="27"/>
      <c r="I10812" s="28"/>
      <c r="J10812" s="39"/>
      <c r="K10812" s="41"/>
      <c r="L10812" s="31" t="str">
        <f>IFERROR(__xludf.DUMMYFUNCTION("IF(OR(E10812="""",K10812=""""),"""",IFERROR(IF(K10812="""","""",query('tbl user'!$A$2:$D10975,""SELECT A WHERE D = '""&amp;K10812&amp;""'"")),""USER TIDAK DIKETAHUI""))"),"")</f>
        <v/>
      </c>
    </row>
    <row r="10813">
      <c r="A10813" s="21" t="str">
        <f t="shared" si="3"/>
        <v/>
      </c>
      <c r="B10813" s="38"/>
      <c r="C10813" s="23"/>
      <c r="D10813" s="23"/>
      <c r="E10813" s="24"/>
      <c r="F10813" s="25"/>
      <c r="G10813" s="25"/>
      <c r="H10813" s="27"/>
      <c r="I10813" s="28"/>
      <c r="J10813" s="39"/>
      <c r="K10813" s="41"/>
      <c r="L10813" s="31" t="str">
        <f>IFERROR(__xludf.DUMMYFUNCTION("IF(OR(E10813="""",K10813=""""),"""",IFERROR(IF(K10813="""","""",query('tbl user'!$A$2:$D10975,""SELECT A WHERE D = '""&amp;K10813&amp;""'"")),""USER TIDAK DIKETAHUI""))"),"")</f>
        <v/>
      </c>
    </row>
    <row r="10814">
      <c r="A10814" s="21" t="str">
        <f t="shared" si="3"/>
        <v/>
      </c>
      <c r="B10814" s="38"/>
      <c r="C10814" s="23"/>
      <c r="D10814" s="23"/>
      <c r="E10814" s="24"/>
      <c r="F10814" s="25"/>
      <c r="G10814" s="25"/>
      <c r="H10814" s="27"/>
      <c r="I10814" s="28"/>
      <c r="J10814" s="39"/>
      <c r="K10814" s="41"/>
      <c r="L10814" s="31" t="str">
        <f>IFERROR(__xludf.DUMMYFUNCTION("IF(OR(E10814="""",K10814=""""),"""",IFERROR(IF(K10814="""","""",query('tbl user'!$A$2:$D10975,""SELECT A WHERE D = '""&amp;K10814&amp;""'"")),""USER TIDAK DIKETAHUI""))"),"")</f>
        <v/>
      </c>
    </row>
    <row r="10815">
      <c r="A10815" s="21" t="str">
        <f t="shared" si="3"/>
        <v/>
      </c>
      <c r="B10815" s="38"/>
      <c r="C10815" s="23"/>
      <c r="D10815" s="23"/>
      <c r="E10815" s="24"/>
      <c r="F10815" s="25"/>
      <c r="G10815" s="25"/>
      <c r="H10815" s="27"/>
      <c r="I10815" s="28"/>
      <c r="J10815" s="39"/>
      <c r="K10815" s="41"/>
      <c r="L10815" s="31" t="str">
        <f>IFERROR(__xludf.DUMMYFUNCTION("IF(OR(E10815="""",K10815=""""),"""",IFERROR(IF(K10815="""","""",query('tbl user'!$A$2:$D10975,""SELECT A WHERE D = '""&amp;K10815&amp;""'"")),""USER TIDAK DIKETAHUI""))"),"")</f>
        <v/>
      </c>
    </row>
    <row r="10816">
      <c r="A10816" s="21" t="str">
        <f t="shared" si="3"/>
        <v/>
      </c>
      <c r="B10816" s="38"/>
      <c r="C10816" s="23"/>
      <c r="D10816" s="23"/>
      <c r="E10816" s="24"/>
      <c r="F10816" s="25"/>
      <c r="G10816" s="25"/>
      <c r="H10816" s="27"/>
      <c r="I10816" s="28"/>
      <c r="J10816" s="39"/>
      <c r="K10816" s="41"/>
      <c r="L10816" s="31" t="str">
        <f>IFERROR(__xludf.DUMMYFUNCTION("IF(OR(E10816="""",K10816=""""),"""",IFERROR(IF(K10816="""","""",query('tbl user'!$A$2:$D10975,""SELECT A WHERE D = '""&amp;K10816&amp;""'"")),""USER TIDAK DIKETAHUI""))"),"")</f>
        <v/>
      </c>
    </row>
    <row r="10817">
      <c r="A10817" s="21" t="str">
        <f t="shared" si="3"/>
        <v/>
      </c>
      <c r="B10817" s="38"/>
      <c r="C10817" s="23"/>
      <c r="D10817" s="23"/>
      <c r="E10817" s="24"/>
      <c r="F10817" s="25"/>
      <c r="G10817" s="25"/>
      <c r="H10817" s="27"/>
      <c r="I10817" s="28"/>
      <c r="J10817" s="39"/>
      <c r="K10817" s="41"/>
      <c r="L10817" s="31" t="str">
        <f>IFERROR(__xludf.DUMMYFUNCTION("IF(OR(E10817="""",K10817=""""),"""",IFERROR(IF(K10817="""","""",query('tbl user'!$A$2:$D10975,""SELECT A WHERE D = '""&amp;K10817&amp;""'"")),""USER TIDAK DIKETAHUI""))"),"")</f>
        <v/>
      </c>
    </row>
    <row r="10818">
      <c r="A10818" s="21" t="str">
        <f t="shared" si="3"/>
        <v/>
      </c>
      <c r="B10818" s="38"/>
      <c r="C10818" s="23"/>
      <c r="D10818" s="23"/>
      <c r="E10818" s="24"/>
      <c r="F10818" s="25"/>
      <c r="G10818" s="25"/>
      <c r="H10818" s="27"/>
      <c r="I10818" s="28"/>
      <c r="J10818" s="39"/>
      <c r="K10818" s="41"/>
      <c r="L10818" s="31" t="str">
        <f>IFERROR(__xludf.DUMMYFUNCTION("IF(OR(E10818="""",K10818=""""),"""",IFERROR(IF(K10818="""","""",query('tbl user'!$A$2:$D10975,""SELECT A WHERE D = '""&amp;K10818&amp;""'"")),""USER TIDAK DIKETAHUI""))"),"")</f>
        <v/>
      </c>
    </row>
    <row r="10819">
      <c r="A10819" s="21" t="str">
        <f t="shared" si="3"/>
        <v/>
      </c>
      <c r="B10819" s="38"/>
      <c r="C10819" s="23"/>
      <c r="D10819" s="23"/>
      <c r="E10819" s="24"/>
      <c r="F10819" s="25"/>
      <c r="G10819" s="25"/>
      <c r="H10819" s="27"/>
      <c r="I10819" s="28"/>
      <c r="J10819" s="39"/>
      <c r="K10819" s="41"/>
      <c r="L10819" s="31" t="str">
        <f>IFERROR(__xludf.DUMMYFUNCTION("IF(OR(E10819="""",K10819=""""),"""",IFERROR(IF(K10819="""","""",query('tbl user'!$A$2:$D10975,""SELECT A WHERE D = '""&amp;K10819&amp;""'"")),""USER TIDAK DIKETAHUI""))"),"")</f>
        <v/>
      </c>
    </row>
    <row r="10820">
      <c r="A10820" s="21" t="str">
        <f t="shared" si="3"/>
        <v/>
      </c>
      <c r="B10820" s="38"/>
      <c r="C10820" s="23"/>
      <c r="D10820" s="23"/>
      <c r="E10820" s="24"/>
      <c r="F10820" s="25"/>
      <c r="G10820" s="25"/>
      <c r="H10820" s="27"/>
      <c r="I10820" s="28"/>
      <c r="J10820" s="39"/>
      <c r="K10820" s="41"/>
      <c r="L10820" s="31" t="str">
        <f>IFERROR(__xludf.DUMMYFUNCTION("IF(OR(E10820="""",K10820=""""),"""",IFERROR(IF(K10820="""","""",query('tbl user'!$A$2:$D10975,""SELECT A WHERE D = '""&amp;K10820&amp;""'"")),""USER TIDAK DIKETAHUI""))"),"")</f>
        <v/>
      </c>
    </row>
    <row r="10821">
      <c r="A10821" s="21" t="str">
        <f t="shared" si="3"/>
        <v/>
      </c>
      <c r="B10821" s="38"/>
      <c r="C10821" s="23"/>
      <c r="D10821" s="23"/>
      <c r="E10821" s="24"/>
      <c r="F10821" s="25"/>
      <c r="G10821" s="25"/>
      <c r="H10821" s="27"/>
      <c r="I10821" s="28"/>
      <c r="J10821" s="39"/>
      <c r="K10821" s="41"/>
      <c r="L10821" s="31" t="str">
        <f>IFERROR(__xludf.DUMMYFUNCTION("IF(OR(E10821="""",K10821=""""),"""",IFERROR(IF(K10821="""","""",query('tbl user'!$A$2:$D10975,""SELECT A WHERE D = '""&amp;K10821&amp;""'"")),""USER TIDAK DIKETAHUI""))"),"")</f>
        <v/>
      </c>
    </row>
    <row r="10822">
      <c r="A10822" s="21" t="str">
        <f t="shared" si="3"/>
        <v/>
      </c>
      <c r="B10822" s="38"/>
      <c r="C10822" s="23"/>
      <c r="D10822" s="23"/>
      <c r="E10822" s="24"/>
      <c r="F10822" s="25"/>
      <c r="G10822" s="25"/>
      <c r="H10822" s="27"/>
      <c r="I10822" s="28"/>
      <c r="J10822" s="39"/>
      <c r="K10822" s="41"/>
      <c r="L10822" s="31" t="str">
        <f>IFERROR(__xludf.DUMMYFUNCTION("IF(OR(E10822="""",K10822=""""),"""",IFERROR(IF(K10822="""","""",query('tbl user'!$A$2:$D10975,""SELECT A WHERE D = '""&amp;K10822&amp;""'"")),""USER TIDAK DIKETAHUI""))"),"")</f>
        <v/>
      </c>
    </row>
    <row r="10823">
      <c r="A10823" s="21" t="str">
        <f t="shared" si="3"/>
        <v/>
      </c>
      <c r="B10823" s="38"/>
      <c r="C10823" s="23"/>
      <c r="D10823" s="23"/>
      <c r="E10823" s="24"/>
      <c r="F10823" s="25"/>
      <c r="G10823" s="25"/>
      <c r="H10823" s="27"/>
      <c r="I10823" s="28"/>
      <c r="J10823" s="39"/>
      <c r="K10823" s="41"/>
      <c r="L10823" s="31" t="str">
        <f>IFERROR(__xludf.DUMMYFUNCTION("IF(OR(E10823="""",K10823=""""),"""",IFERROR(IF(K10823="""","""",query('tbl user'!$A$2:$D10975,""SELECT A WHERE D = '""&amp;K10823&amp;""'"")),""USER TIDAK DIKETAHUI""))"),"")</f>
        <v/>
      </c>
    </row>
    <row r="10824">
      <c r="A10824" s="21" t="str">
        <f t="shared" si="3"/>
        <v/>
      </c>
      <c r="B10824" s="38"/>
      <c r="C10824" s="23"/>
      <c r="D10824" s="23"/>
      <c r="E10824" s="24"/>
      <c r="F10824" s="25"/>
      <c r="G10824" s="25"/>
      <c r="H10824" s="27"/>
      <c r="I10824" s="28"/>
      <c r="J10824" s="39"/>
      <c r="K10824" s="41"/>
      <c r="L10824" s="31" t="str">
        <f>IFERROR(__xludf.DUMMYFUNCTION("IF(OR(E10824="""",K10824=""""),"""",IFERROR(IF(K10824="""","""",query('tbl user'!$A$2:$D10975,""SELECT A WHERE D = '""&amp;K10824&amp;""'"")),""USER TIDAK DIKETAHUI""))"),"")</f>
        <v/>
      </c>
    </row>
    <row r="10825">
      <c r="A10825" s="21" t="str">
        <f t="shared" si="3"/>
        <v/>
      </c>
      <c r="B10825" s="38"/>
      <c r="C10825" s="23"/>
      <c r="D10825" s="23"/>
      <c r="E10825" s="24"/>
      <c r="F10825" s="25"/>
      <c r="G10825" s="25"/>
      <c r="H10825" s="27"/>
      <c r="I10825" s="28"/>
      <c r="J10825" s="39"/>
      <c r="K10825" s="41"/>
      <c r="L10825" s="31" t="str">
        <f>IFERROR(__xludf.DUMMYFUNCTION("IF(OR(E10825="""",K10825=""""),"""",IFERROR(IF(K10825="""","""",query('tbl user'!$A$2:$D10975,""SELECT A WHERE D = '""&amp;K10825&amp;""'"")),""USER TIDAK DIKETAHUI""))"),"")</f>
        <v/>
      </c>
    </row>
    <row r="10826">
      <c r="A10826" s="21" t="str">
        <f t="shared" si="3"/>
        <v/>
      </c>
      <c r="B10826" s="38"/>
      <c r="C10826" s="23"/>
      <c r="D10826" s="23"/>
      <c r="E10826" s="24"/>
      <c r="F10826" s="25"/>
      <c r="G10826" s="25"/>
      <c r="H10826" s="27"/>
      <c r="I10826" s="28"/>
      <c r="J10826" s="39"/>
      <c r="K10826" s="41"/>
      <c r="L10826" s="31" t="str">
        <f>IFERROR(__xludf.DUMMYFUNCTION("IF(OR(E10826="""",K10826=""""),"""",IFERROR(IF(K10826="""","""",query('tbl user'!$A$2:$D10975,""SELECT A WHERE D = '""&amp;K10826&amp;""'"")),""USER TIDAK DIKETAHUI""))"),"")</f>
        <v/>
      </c>
    </row>
    <row r="10827">
      <c r="A10827" s="21" t="str">
        <f t="shared" si="3"/>
        <v/>
      </c>
      <c r="B10827" s="38"/>
      <c r="C10827" s="23"/>
      <c r="D10827" s="23"/>
      <c r="E10827" s="24"/>
      <c r="F10827" s="25"/>
      <c r="G10827" s="25"/>
      <c r="H10827" s="27"/>
      <c r="I10827" s="28"/>
      <c r="J10827" s="39"/>
      <c r="K10827" s="41"/>
      <c r="L10827" s="31" t="str">
        <f>IFERROR(__xludf.DUMMYFUNCTION("IF(OR(E10827="""",K10827=""""),"""",IFERROR(IF(K10827="""","""",query('tbl user'!$A$2:$D10975,""SELECT A WHERE D = '""&amp;K10827&amp;""'"")),""USER TIDAK DIKETAHUI""))"),"")</f>
        <v/>
      </c>
    </row>
    <row r="10828">
      <c r="A10828" s="21" t="str">
        <f t="shared" si="3"/>
        <v/>
      </c>
      <c r="B10828" s="38"/>
      <c r="C10828" s="23"/>
      <c r="D10828" s="23"/>
      <c r="E10828" s="24"/>
      <c r="F10828" s="25"/>
      <c r="G10828" s="25"/>
      <c r="H10828" s="27"/>
      <c r="I10828" s="28"/>
      <c r="J10828" s="39"/>
      <c r="K10828" s="41"/>
      <c r="L10828" s="31" t="str">
        <f>IFERROR(__xludf.DUMMYFUNCTION("IF(OR(E10828="""",K10828=""""),"""",IFERROR(IF(K10828="""","""",query('tbl user'!$A$2:$D10975,""SELECT A WHERE D = '""&amp;K10828&amp;""'"")),""USER TIDAK DIKETAHUI""))"),"")</f>
        <v/>
      </c>
    </row>
    <row r="10829">
      <c r="A10829" s="21" t="str">
        <f t="shared" si="3"/>
        <v/>
      </c>
      <c r="B10829" s="38"/>
      <c r="C10829" s="23"/>
      <c r="D10829" s="23"/>
      <c r="E10829" s="24"/>
      <c r="F10829" s="25"/>
      <c r="G10829" s="25"/>
      <c r="H10829" s="27"/>
      <c r="I10829" s="28"/>
      <c r="J10829" s="39"/>
      <c r="K10829" s="41"/>
      <c r="L10829" s="31" t="str">
        <f>IFERROR(__xludf.DUMMYFUNCTION("IF(OR(E10829="""",K10829=""""),"""",IFERROR(IF(K10829="""","""",query('tbl user'!$A$2:$D10975,""SELECT A WHERE D = '""&amp;K10829&amp;""'"")),""USER TIDAK DIKETAHUI""))"),"")</f>
        <v/>
      </c>
    </row>
    <row r="10830">
      <c r="A10830" s="21" t="str">
        <f t="shared" si="3"/>
        <v/>
      </c>
      <c r="B10830" s="38"/>
      <c r="C10830" s="23"/>
      <c r="D10830" s="23"/>
      <c r="E10830" s="24"/>
      <c r="F10830" s="25"/>
      <c r="G10830" s="25"/>
      <c r="H10830" s="27"/>
      <c r="I10830" s="28"/>
      <c r="J10830" s="39"/>
      <c r="K10830" s="41"/>
      <c r="L10830" s="31" t="str">
        <f>IFERROR(__xludf.DUMMYFUNCTION("IF(OR(E10830="""",K10830=""""),"""",IFERROR(IF(K10830="""","""",query('tbl user'!$A$2:$D10975,""SELECT A WHERE D = '""&amp;K10830&amp;""'"")),""USER TIDAK DIKETAHUI""))"),"")</f>
        <v/>
      </c>
    </row>
    <row r="10831">
      <c r="A10831" s="21" t="str">
        <f t="shared" si="3"/>
        <v/>
      </c>
      <c r="B10831" s="38"/>
      <c r="C10831" s="23"/>
      <c r="D10831" s="23"/>
      <c r="E10831" s="24"/>
      <c r="F10831" s="25"/>
      <c r="G10831" s="25"/>
      <c r="H10831" s="27"/>
      <c r="I10831" s="28"/>
      <c r="J10831" s="39"/>
      <c r="K10831" s="41"/>
      <c r="L10831" s="31" t="str">
        <f>IFERROR(__xludf.DUMMYFUNCTION("IF(OR(E10831="""",K10831=""""),"""",IFERROR(IF(K10831="""","""",query('tbl user'!$A$2:$D10975,""SELECT A WHERE D = '""&amp;K10831&amp;""'"")),""USER TIDAK DIKETAHUI""))"),"")</f>
        <v/>
      </c>
    </row>
    <row r="10832">
      <c r="A10832" s="21" t="str">
        <f t="shared" si="3"/>
        <v/>
      </c>
      <c r="B10832" s="38"/>
      <c r="C10832" s="23"/>
      <c r="D10832" s="23"/>
      <c r="E10832" s="24"/>
      <c r="F10832" s="25"/>
      <c r="G10832" s="25"/>
      <c r="H10832" s="27"/>
      <c r="I10832" s="28"/>
      <c r="J10832" s="39"/>
      <c r="K10832" s="41"/>
      <c r="L10832" s="31" t="str">
        <f>IFERROR(__xludf.DUMMYFUNCTION("IF(OR(E10832="""",K10832=""""),"""",IFERROR(IF(K10832="""","""",query('tbl user'!$A$2:$D10975,""SELECT A WHERE D = '""&amp;K10832&amp;""'"")),""USER TIDAK DIKETAHUI""))"),"")</f>
        <v/>
      </c>
    </row>
    <row r="10833">
      <c r="A10833" s="21" t="str">
        <f t="shared" si="3"/>
        <v/>
      </c>
      <c r="B10833" s="38"/>
      <c r="C10833" s="23"/>
      <c r="D10833" s="23"/>
      <c r="E10833" s="24"/>
      <c r="F10833" s="25"/>
      <c r="G10833" s="25"/>
      <c r="H10833" s="27"/>
      <c r="I10833" s="28"/>
      <c r="J10833" s="39"/>
      <c r="K10833" s="41"/>
      <c r="L10833" s="31" t="str">
        <f>IFERROR(__xludf.DUMMYFUNCTION("IF(OR(E10833="""",K10833=""""),"""",IFERROR(IF(K10833="""","""",query('tbl user'!$A$2:$D10975,""SELECT A WHERE D = '""&amp;K10833&amp;""'"")),""USER TIDAK DIKETAHUI""))"),"")</f>
        <v/>
      </c>
    </row>
    <row r="10834">
      <c r="A10834" s="21" t="str">
        <f t="shared" si="3"/>
        <v/>
      </c>
      <c r="B10834" s="38"/>
      <c r="C10834" s="23"/>
      <c r="D10834" s="23"/>
      <c r="E10834" s="24"/>
      <c r="F10834" s="25"/>
      <c r="G10834" s="25"/>
      <c r="H10834" s="27"/>
      <c r="I10834" s="28"/>
      <c r="J10834" s="39"/>
      <c r="K10834" s="41"/>
      <c r="L10834" s="31" t="str">
        <f>IFERROR(__xludf.DUMMYFUNCTION("IF(OR(E10834="""",K10834=""""),"""",IFERROR(IF(K10834="""","""",query('tbl user'!$A$2:$D10975,""SELECT A WHERE D = '""&amp;K10834&amp;""'"")),""USER TIDAK DIKETAHUI""))"),"")</f>
        <v/>
      </c>
    </row>
    <row r="10835">
      <c r="A10835" s="21" t="str">
        <f t="shared" si="3"/>
        <v/>
      </c>
      <c r="B10835" s="38"/>
      <c r="C10835" s="23"/>
      <c r="D10835" s="23"/>
      <c r="E10835" s="24"/>
      <c r="F10835" s="25"/>
      <c r="G10835" s="25"/>
      <c r="H10835" s="27"/>
      <c r="I10835" s="28"/>
      <c r="J10835" s="39"/>
      <c r="K10835" s="41"/>
      <c r="L10835" s="31" t="str">
        <f>IFERROR(__xludf.DUMMYFUNCTION("IF(OR(E10835="""",K10835=""""),"""",IFERROR(IF(K10835="""","""",query('tbl user'!$A$2:$D10975,""SELECT A WHERE D = '""&amp;K10835&amp;""'"")),""USER TIDAK DIKETAHUI""))"),"")</f>
        <v/>
      </c>
    </row>
    <row r="10836">
      <c r="A10836" s="21" t="str">
        <f t="shared" si="3"/>
        <v/>
      </c>
      <c r="B10836" s="38"/>
      <c r="C10836" s="23"/>
      <c r="D10836" s="23"/>
      <c r="E10836" s="24"/>
      <c r="F10836" s="25"/>
      <c r="G10836" s="25"/>
      <c r="H10836" s="27"/>
      <c r="I10836" s="28"/>
      <c r="J10836" s="39"/>
      <c r="K10836" s="41"/>
      <c r="L10836" s="31" t="str">
        <f>IFERROR(__xludf.DUMMYFUNCTION("IF(OR(E10836="""",K10836=""""),"""",IFERROR(IF(K10836="""","""",query('tbl user'!$A$2:$D10975,""SELECT A WHERE D = '""&amp;K10836&amp;""'"")),""USER TIDAK DIKETAHUI""))"),"")</f>
        <v/>
      </c>
    </row>
    <row r="10837">
      <c r="A10837" s="21" t="str">
        <f t="shared" si="3"/>
        <v/>
      </c>
      <c r="B10837" s="38"/>
      <c r="C10837" s="23"/>
      <c r="D10837" s="23"/>
      <c r="E10837" s="24"/>
      <c r="F10837" s="25"/>
      <c r="G10837" s="25"/>
      <c r="H10837" s="27"/>
      <c r="I10837" s="28"/>
      <c r="J10837" s="39"/>
      <c r="K10837" s="41"/>
      <c r="L10837" s="31" t="str">
        <f>IFERROR(__xludf.DUMMYFUNCTION("IF(OR(E10837="""",K10837=""""),"""",IFERROR(IF(K10837="""","""",query('tbl user'!$A$2:$D10975,""SELECT A WHERE D = '""&amp;K10837&amp;""'"")),""USER TIDAK DIKETAHUI""))"),"")</f>
        <v/>
      </c>
    </row>
    <row r="10838">
      <c r="A10838" s="21" t="str">
        <f t="shared" si="3"/>
        <v/>
      </c>
      <c r="B10838" s="38"/>
      <c r="C10838" s="23"/>
      <c r="D10838" s="23"/>
      <c r="E10838" s="24"/>
      <c r="F10838" s="25"/>
      <c r="G10838" s="25"/>
      <c r="H10838" s="27"/>
      <c r="I10838" s="28"/>
      <c r="J10838" s="39"/>
      <c r="K10838" s="41"/>
      <c r="L10838" s="31" t="str">
        <f>IFERROR(__xludf.DUMMYFUNCTION("IF(OR(E10838="""",K10838=""""),"""",IFERROR(IF(K10838="""","""",query('tbl user'!$A$2:$D10975,""SELECT A WHERE D = '""&amp;K10838&amp;""'"")),""USER TIDAK DIKETAHUI""))"),"")</f>
        <v/>
      </c>
    </row>
    <row r="10839">
      <c r="A10839" s="21" t="str">
        <f t="shared" si="3"/>
        <v/>
      </c>
      <c r="B10839" s="38"/>
      <c r="C10839" s="23"/>
      <c r="D10839" s="23"/>
      <c r="E10839" s="24"/>
      <c r="F10839" s="25"/>
      <c r="G10839" s="25"/>
      <c r="H10839" s="27"/>
      <c r="I10839" s="28"/>
      <c r="J10839" s="39"/>
      <c r="K10839" s="41"/>
      <c r="L10839" s="31" t="str">
        <f>IFERROR(__xludf.DUMMYFUNCTION("IF(OR(E10839="""",K10839=""""),"""",IFERROR(IF(K10839="""","""",query('tbl user'!$A$2:$D10975,""SELECT A WHERE D = '""&amp;K10839&amp;""'"")),""USER TIDAK DIKETAHUI""))"),"")</f>
        <v/>
      </c>
    </row>
    <row r="10840">
      <c r="A10840" s="21" t="str">
        <f t="shared" si="3"/>
        <v/>
      </c>
      <c r="B10840" s="38"/>
      <c r="C10840" s="23"/>
      <c r="D10840" s="23"/>
      <c r="E10840" s="24"/>
      <c r="F10840" s="25"/>
      <c r="G10840" s="25"/>
      <c r="H10840" s="27"/>
      <c r="I10840" s="28"/>
      <c r="J10840" s="39"/>
      <c r="K10840" s="41"/>
      <c r="L10840" s="31" t="str">
        <f>IFERROR(__xludf.DUMMYFUNCTION("IF(OR(E10840="""",K10840=""""),"""",IFERROR(IF(K10840="""","""",query('tbl user'!$A$2:$D10975,""SELECT A WHERE D = '""&amp;K10840&amp;""'"")),""USER TIDAK DIKETAHUI""))"),"")</f>
        <v/>
      </c>
    </row>
    <row r="10841">
      <c r="A10841" s="21" t="str">
        <f t="shared" si="3"/>
        <v/>
      </c>
      <c r="B10841" s="38"/>
      <c r="C10841" s="23"/>
      <c r="D10841" s="23"/>
      <c r="E10841" s="24"/>
      <c r="F10841" s="25"/>
      <c r="G10841" s="25"/>
      <c r="H10841" s="27"/>
      <c r="I10841" s="28"/>
      <c r="J10841" s="39"/>
      <c r="K10841" s="41"/>
      <c r="L10841" s="31" t="str">
        <f>IFERROR(__xludf.DUMMYFUNCTION("IF(OR(E10841="""",K10841=""""),"""",IFERROR(IF(K10841="""","""",query('tbl user'!$A$2:$D10975,""SELECT A WHERE D = '""&amp;K10841&amp;""'"")),""USER TIDAK DIKETAHUI""))"),"")</f>
        <v/>
      </c>
    </row>
    <row r="10842">
      <c r="A10842" s="21" t="str">
        <f t="shared" si="3"/>
        <v/>
      </c>
      <c r="B10842" s="38"/>
      <c r="C10842" s="23"/>
      <c r="D10842" s="23"/>
      <c r="E10842" s="24"/>
      <c r="F10842" s="25"/>
      <c r="G10842" s="25"/>
      <c r="H10842" s="27"/>
      <c r="I10842" s="28"/>
      <c r="J10842" s="39"/>
      <c r="K10842" s="41"/>
      <c r="L10842" s="31" t="str">
        <f>IFERROR(__xludf.DUMMYFUNCTION("IF(OR(E10842="""",K10842=""""),"""",IFERROR(IF(K10842="""","""",query('tbl user'!$A$2:$D10975,""SELECT A WHERE D = '""&amp;K10842&amp;""'"")),""USER TIDAK DIKETAHUI""))"),"")</f>
        <v/>
      </c>
    </row>
    <row r="10843">
      <c r="A10843" s="21" t="str">
        <f t="shared" si="3"/>
        <v/>
      </c>
      <c r="B10843" s="38"/>
      <c r="C10843" s="23"/>
      <c r="D10843" s="23"/>
      <c r="E10843" s="24"/>
      <c r="F10843" s="25"/>
      <c r="G10843" s="25"/>
      <c r="H10843" s="27"/>
      <c r="I10843" s="28"/>
      <c r="J10843" s="39"/>
      <c r="K10843" s="41"/>
      <c r="L10843" s="31" t="str">
        <f>IFERROR(__xludf.DUMMYFUNCTION("IF(OR(E10843="""",K10843=""""),"""",IFERROR(IF(K10843="""","""",query('tbl user'!$A$2:$D10975,""SELECT A WHERE D = '""&amp;K10843&amp;""'"")),""USER TIDAK DIKETAHUI""))"),"")</f>
        <v/>
      </c>
    </row>
    <row r="10844">
      <c r="A10844" s="21" t="str">
        <f t="shared" si="3"/>
        <v/>
      </c>
      <c r="B10844" s="38"/>
      <c r="C10844" s="23"/>
      <c r="D10844" s="23"/>
      <c r="E10844" s="24"/>
      <c r="F10844" s="25"/>
      <c r="G10844" s="25"/>
      <c r="H10844" s="27"/>
      <c r="I10844" s="28"/>
      <c r="J10844" s="39"/>
      <c r="K10844" s="41"/>
      <c r="L10844" s="31" t="str">
        <f>IFERROR(__xludf.DUMMYFUNCTION("IF(OR(E10844="""",K10844=""""),"""",IFERROR(IF(K10844="""","""",query('tbl user'!$A$2:$D10975,""SELECT A WHERE D = '""&amp;K10844&amp;""'"")),""USER TIDAK DIKETAHUI""))"),"")</f>
        <v/>
      </c>
    </row>
    <row r="10845">
      <c r="A10845" s="21" t="str">
        <f t="shared" si="3"/>
        <v/>
      </c>
      <c r="B10845" s="38"/>
      <c r="C10845" s="23"/>
      <c r="D10845" s="23"/>
      <c r="E10845" s="24"/>
      <c r="F10845" s="25"/>
      <c r="G10845" s="25"/>
      <c r="H10845" s="27"/>
      <c r="I10845" s="28"/>
      <c r="J10845" s="39"/>
      <c r="K10845" s="41"/>
      <c r="L10845" s="31" t="str">
        <f>IFERROR(__xludf.DUMMYFUNCTION("IF(OR(E10845="""",K10845=""""),"""",IFERROR(IF(K10845="""","""",query('tbl user'!$A$2:$D10975,""SELECT A WHERE D = '""&amp;K10845&amp;""'"")),""USER TIDAK DIKETAHUI""))"),"")</f>
        <v/>
      </c>
    </row>
    <row r="10846">
      <c r="A10846" s="21" t="str">
        <f t="shared" si="3"/>
        <v/>
      </c>
      <c r="B10846" s="38"/>
      <c r="C10846" s="23"/>
      <c r="D10846" s="23"/>
      <c r="E10846" s="24"/>
      <c r="F10846" s="25"/>
      <c r="G10846" s="25"/>
      <c r="H10846" s="27"/>
      <c r="I10846" s="28"/>
      <c r="J10846" s="39"/>
      <c r="K10846" s="41"/>
      <c r="L10846" s="31" t="str">
        <f>IFERROR(__xludf.DUMMYFUNCTION("IF(OR(E10846="""",K10846=""""),"""",IFERROR(IF(K10846="""","""",query('tbl user'!$A$2:$D10975,""SELECT A WHERE D = '""&amp;K10846&amp;""'"")),""USER TIDAK DIKETAHUI""))"),"")</f>
        <v/>
      </c>
    </row>
    <row r="10847">
      <c r="A10847" s="21" t="str">
        <f t="shared" si="3"/>
        <v/>
      </c>
      <c r="B10847" s="38"/>
      <c r="C10847" s="23"/>
      <c r="D10847" s="23"/>
      <c r="E10847" s="24"/>
      <c r="F10847" s="25"/>
      <c r="G10847" s="25"/>
      <c r="H10847" s="27"/>
      <c r="I10847" s="28"/>
      <c r="J10847" s="39"/>
      <c r="K10847" s="41"/>
      <c r="L10847" s="31" t="str">
        <f>IFERROR(__xludf.DUMMYFUNCTION("IF(OR(E10847="""",K10847=""""),"""",IFERROR(IF(K10847="""","""",query('tbl user'!$A$2:$D10975,""SELECT A WHERE D = '""&amp;K10847&amp;""'"")),""USER TIDAK DIKETAHUI""))"),"")</f>
        <v/>
      </c>
    </row>
    <row r="10848">
      <c r="A10848" s="21" t="str">
        <f t="shared" si="3"/>
        <v/>
      </c>
      <c r="B10848" s="38"/>
      <c r="C10848" s="23"/>
      <c r="D10848" s="23"/>
      <c r="E10848" s="24"/>
      <c r="F10848" s="25"/>
      <c r="G10848" s="25"/>
      <c r="H10848" s="27"/>
      <c r="I10848" s="28"/>
      <c r="J10848" s="39"/>
      <c r="K10848" s="41"/>
      <c r="L10848" s="31" t="str">
        <f>IFERROR(__xludf.DUMMYFUNCTION("IF(OR(E10848="""",K10848=""""),"""",IFERROR(IF(K10848="""","""",query('tbl user'!$A$2:$D10975,""SELECT A WHERE D = '""&amp;K10848&amp;""'"")),""USER TIDAK DIKETAHUI""))"),"")</f>
        <v/>
      </c>
    </row>
    <row r="10849">
      <c r="A10849" s="21" t="str">
        <f t="shared" si="3"/>
        <v/>
      </c>
      <c r="B10849" s="38"/>
      <c r="C10849" s="23"/>
      <c r="D10849" s="23"/>
      <c r="E10849" s="24"/>
      <c r="F10849" s="25"/>
      <c r="G10849" s="25"/>
      <c r="H10849" s="27"/>
      <c r="I10849" s="28"/>
      <c r="J10849" s="39"/>
      <c r="K10849" s="41"/>
      <c r="L10849" s="31" t="str">
        <f>IFERROR(__xludf.DUMMYFUNCTION("IF(OR(E10849="""",K10849=""""),"""",IFERROR(IF(K10849="""","""",query('tbl user'!$A$2:$D10975,""SELECT A WHERE D = '""&amp;K10849&amp;""'"")),""USER TIDAK DIKETAHUI""))"),"")</f>
        <v/>
      </c>
    </row>
    <row r="10850">
      <c r="A10850" s="21" t="str">
        <f t="shared" si="3"/>
        <v/>
      </c>
      <c r="B10850" s="38"/>
      <c r="C10850" s="23"/>
      <c r="D10850" s="23"/>
      <c r="E10850" s="24"/>
      <c r="F10850" s="25"/>
      <c r="G10850" s="25"/>
      <c r="H10850" s="27"/>
      <c r="I10850" s="28"/>
      <c r="J10850" s="39"/>
      <c r="K10850" s="41"/>
      <c r="L10850" s="31" t="str">
        <f>IFERROR(__xludf.DUMMYFUNCTION("IF(OR(E10850="""",K10850=""""),"""",IFERROR(IF(K10850="""","""",query('tbl user'!$A$2:$D10975,""SELECT A WHERE D = '""&amp;K10850&amp;""'"")),""USER TIDAK DIKETAHUI""))"),"")</f>
        <v/>
      </c>
    </row>
    <row r="10851">
      <c r="A10851" s="21" t="str">
        <f t="shared" si="3"/>
        <v/>
      </c>
      <c r="B10851" s="38"/>
      <c r="C10851" s="23"/>
      <c r="D10851" s="23"/>
      <c r="E10851" s="24"/>
      <c r="F10851" s="25"/>
      <c r="G10851" s="25"/>
      <c r="H10851" s="27"/>
      <c r="I10851" s="28"/>
      <c r="J10851" s="39"/>
      <c r="K10851" s="41"/>
      <c r="L10851" s="31" t="str">
        <f>IFERROR(__xludf.DUMMYFUNCTION("IF(OR(E10851="""",K10851=""""),"""",IFERROR(IF(K10851="""","""",query('tbl user'!$A$2:$D10975,""SELECT A WHERE D = '""&amp;K10851&amp;""'"")),""USER TIDAK DIKETAHUI""))"),"")</f>
        <v/>
      </c>
    </row>
    <row r="10852">
      <c r="A10852" s="21" t="str">
        <f t="shared" si="3"/>
        <v/>
      </c>
      <c r="B10852" s="38"/>
      <c r="C10852" s="23"/>
      <c r="D10852" s="23"/>
      <c r="E10852" s="24"/>
      <c r="F10852" s="25"/>
      <c r="G10852" s="25"/>
      <c r="H10852" s="27"/>
      <c r="I10852" s="28"/>
      <c r="J10852" s="39"/>
      <c r="K10852" s="41"/>
      <c r="L10852" s="31" t="str">
        <f>IFERROR(__xludf.DUMMYFUNCTION("IF(OR(E10852="""",K10852=""""),"""",IFERROR(IF(K10852="""","""",query('tbl user'!$A$2:$D10975,""SELECT A WHERE D = '""&amp;K10852&amp;""'"")),""USER TIDAK DIKETAHUI""))"),"")</f>
        <v/>
      </c>
    </row>
    <row r="10853">
      <c r="A10853" s="21" t="str">
        <f t="shared" si="3"/>
        <v/>
      </c>
      <c r="B10853" s="38"/>
      <c r="C10853" s="23"/>
      <c r="D10853" s="23"/>
      <c r="E10853" s="24"/>
      <c r="F10853" s="25"/>
      <c r="G10853" s="25"/>
      <c r="H10853" s="27"/>
      <c r="I10853" s="28"/>
      <c r="J10853" s="39"/>
      <c r="K10853" s="41"/>
      <c r="L10853" s="31" t="str">
        <f>IFERROR(__xludf.DUMMYFUNCTION("IF(OR(E10853="""",K10853=""""),"""",IFERROR(IF(K10853="""","""",query('tbl user'!$A$2:$D10975,""SELECT A WHERE D = '""&amp;K10853&amp;""'"")),""USER TIDAK DIKETAHUI""))"),"")</f>
        <v/>
      </c>
    </row>
    <row r="10854">
      <c r="A10854" s="21" t="str">
        <f t="shared" si="3"/>
        <v/>
      </c>
      <c r="B10854" s="38"/>
      <c r="C10854" s="23"/>
      <c r="D10854" s="23"/>
      <c r="E10854" s="24"/>
      <c r="F10854" s="25"/>
      <c r="G10854" s="25"/>
      <c r="H10854" s="27"/>
      <c r="I10854" s="28"/>
      <c r="J10854" s="39"/>
      <c r="K10854" s="41"/>
      <c r="L10854" s="31" t="str">
        <f>IFERROR(__xludf.DUMMYFUNCTION("IF(OR(E10854="""",K10854=""""),"""",IFERROR(IF(K10854="""","""",query('tbl user'!$A$2:$D10975,""SELECT A WHERE D = '""&amp;K10854&amp;""'"")),""USER TIDAK DIKETAHUI""))"),"")</f>
        <v/>
      </c>
    </row>
    <row r="10855">
      <c r="A10855" s="21" t="str">
        <f t="shared" si="3"/>
        <v/>
      </c>
      <c r="B10855" s="38"/>
      <c r="C10855" s="23"/>
      <c r="D10855" s="23"/>
      <c r="E10855" s="24"/>
      <c r="F10855" s="25"/>
      <c r="G10855" s="25"/>
      <c r="H10855" s="27"/>
      <c r="I10855" s="28"/>
      <c r="J10855" s="39"/>
      <c r="K10855" s="41"/>
      <c r="L10855" s="31" t="str">
        <f>IFERROR(__xludf.DUMMYFUNCTION("IF(OR(E10855="""",K10855=""""),"""",IFERROR(IF(K10855="""","""",query('tbl user'!$A$2:$D10975,""SELECT A WHERE D = '""&amp;K10855&amp;""'"")),""USER TIDAK DIKETAHUI""))"),"")</f>
        <v/>
      </c>
    </row>
    <row r="10856">
      <c r="A10856" s="21" t="str">
        <f t="shared" si="3"/>
        <v/>
      </c>
      <c r="B10856" s="38"/>
      <c r="C10856" s="23"/>
      <c r="D10856" s="23"/>
      <c r="E10856" s="24"/>
      <c r="F10856" s="25"/>
      <c r="G10856" s="25"/>
      <c r="H10856" s="27"/>
      <c r="I10856" s="28"/>
      <c r="J10856" s="39"/>
      <c r="K10856" s="41"/>
      <c r="L10856" s="31" t="str">
        <f>IFERROR(__xludf.DUMMYFUNCTION("IF(OR(E10856="""",K10856=""""),"""",IFERROR(IF(K10856="""","""",query('tbl user'!$A$2:$D10975,""SELECT A WHERE D = '""&amp;K10856&amp;""'"")),""USER TIDAK DIKETAHUI""))"),"")</f>
        <v/>
      </c>
    </row>
    <row r="10857">
      <c r="A10857" s="21" t="str">
        <f t="shared" si="3"/>
        <v/>
      </c>
      <c r="B10857" s="38"/>
      <c r="C10857" s="23"/>
      <c r="D10857" s="23"/>
      <c r="E10857" s="24"/>
      <c r="F10857" s="25"/>
      <c r="G10857" s="25"/>
      <c r="H10857" s="27"/>
      <c r="I10857" s="28"/>
      <c r="J10857" s="39"/>
      <c r="K10857" s="41"/>
      <c r="L10857" s="31" t="str">
        <f>IFERROR(__xludf.DUMMYFUNCTION("IF(OR(E10857="""",K10857=""""),"""",IFERROR(IF(K10857="""","""",query('tbl user'!$A$2:$D10975,""SELECT A WHERE D = '""&amp;K10857&amp;""'"")),""USER TIDAK DIKETAHUI""))"),"")</f>
        <v/>
      </c>
    </row>
    <row r="10858">
      <c r="A10858" s="21" t="str">
        <f t="shared" si="3"/>
        <v/>
      </c>
      <c r="B10858" s="38"/>
      <c r="C10858" s="23"/>
      <c r="D10858" s="23"/>
      <c r="E10858" s="24"/>
      <c r="F10858" s="25"/>
      <c r="G10858" s="25"/>
      <c r="H10858" s="27"/>
      <c r="I10858" s="28"/>
      <c r="J10858" s="39"/>
      <c r="K10858" s="41"/>
      <c r="L10858" s="31" t="str">
        <f>IFERROR(__xludf.DUMMYFUNCTION("IF(OR(E10858="""",K10858=""""),"""",IFERROR(IF(K10858="""","""",query('tbl user'!$A$2:$D10975,""SELECT A WHERE D = '""&amp;K10858&amp;""'"")),""USER TIDAK DIKETAHUI""))"),"")</f>
        <v/>
      </c>
    </row>
    <row r="10859">
      <c r="A10859" s="21" t="str">
        <f t="shared" si="3"/>
        <v/>
      </c>
      <c r="B10859" s="38"/>
      <c r="C10859" s="23"/>
      <c r="D10859" s="23"/>
      <c r="E10859" s="24"/>
      <c r="F10859" s="25"/>
      <c r="G10859" s="25"/>
      <c r="H10859" s="27"/>
      <c r="I10859" s="28"/>
      <c r="J10859" s="39"/>
      <c r="K10859" s="41"/>
      <c r="L10859" s="31" t="str">
        <f>IFERROR(__xludf.DUMMYFUNCTION("IF(OR(E10859="""",K10859=""""),"""",IFERROR(IF(K10859="""","""",query('tbl user'!$A$2:$D10975,""SELECT A WHERE D = '""&amp;K10859&amp;""'"")),""USER TIDAK DIKETAHUI""))"),"")</f>
        <v/>
      </c>
    </row>
    <row r="10860">
      <c r="A10860" s="21" t="str">
        <f t="shared" si="3"/>
        <v/>
      </c>
      <c r="B10860" s="38"/>
      <c r="C10860" s="23"/>
      <c r="D10860" s="23"/>
      <c r="E10860" s="24"/>
      <c r="F10860" s="25"/>
      <c r="G10860" s="25"/>
      <c r="H10860" s="27"/>
      <c r="I10860" s="28"/>
      <c r="J10860" s="39"/>
      <c r="K10860" s="41"/>
      <c r="L10860" s="31" t="str">
        <f>IFERROR(__xludf.DUMMYFUNCTION("IF(OR(E10860="""",K10860=""""),"""",IFERROR(IF(K10860="""","""",query('tbl user'!$A$2:$D10975,""SELECT A WHERE D = '""&amp;K10860&amp;""'"")),""USER TIDAK DIKETAHUI""))"),"")</f>
        <v/>
      </c>
    </row>
    <row r="10861">
      <c r="A10861" s="21" t="str">
        <f t="shared" si="3"/>
        <v/>
      </c>
      <c r="B10861" s="38"/>
      <c r="C10861" s="23"/>
      <c r="D10861" s="23"/>
      <c r="E10861" s="24"/>
      <c r="F10861" s="25"/>
      <c r="G10861" s="25"/>
      <c r="H10861" s="27"/>
      <c r="I10861" s="28"/>
      <c r="J10861" s="39"/>
      <c r="K10861" s="41"/>
      <c r="L10861" s="31" t="str">
        <f>IFERROR(__xludf.DUMMYFUNCTION("IF(OR(E10861="""",K10861=""""),"""",IFERROR(IF(K10861="""","""",query('tbl user'!$A$2:$D10975,""SELECT A WHERE D = '""&amp;K10861&amp;""'"")),""USER TIDAK DIKETAHUI""))"),"")</f>
        <v/>
      </c>
    </row>
    <row r="10862">
      <c r="A10862" s="21" t="str">
        <f t="shared" si="3"/>
        <v/>
      </c>
      <c r="B10862" s="38"/>
      <c r="C10862" s="23"/>
      <c r="D10862" s="23"/>
      <c r="E10862" s="24"/>
      <c r="F10862" s="25"/>
      <c r="G10862" s="25"/>
      <c r="H10862" s="27"/>
      <c r="I10862" s="28"/>
      <c r="J10862" s="39"/>
      <c r="K10862" s="41"/>
      <c r="L10862" s="31" t="str">
        <f>IFERROR(__xludf.DUMMYFUNCTION("IF(OR(E10862="""",K10862=""""),"""",IFERROR(IF(K10862="""","""",query('tbl user'!$A$2:$D10975,""SELECT A WHERE D = '""&amp;K10862&amp;""'"")),""USER TIDAK DIKETAHUI""))"),"")</f>
        <v/>
      </c>
    </row>
    <row r="10863">
      <c r="A10863" s="21" t="str">
        <f t="shared" si="3"/>
        <v/>
      </c>
      <c r="B10863" s="38"/>
      <c r="C10863" s="23"/>
      <c r="D10863" s="23"/>
      <c r="E10863" s="24"/>
      <c r="F10863" s="25"/>
      <c r="G10863" s="25"/>
      <c r="H10863" s="27"/>
      <c r="I10863" s="28"/>
      <c r="J10863" s="39"/>
      <c r="K10863" s="41"/>
      <c r="L10863" s="31" t="str">
        <f>IFERROR(__xludf.DUMMYFUNCTION("IF(OR(E10863="""",K10863=""""),"""",IFERROR(IF(K10863="""","""",query('tbl user'!$A$2:$D10975,""SELECT A WHERE D = '""&amp;K10863&amp;""'"")),""USER TIDAK DIKETAHUI""))"),"")</f>
        <v/>
      </c>
    </row>
    <row r="10864">
      <c r="A10864" s="21" t="str">
        <f t="shared" si="3"/>
        <v/>
      </c>
      <c r="B10864" s="38"/>
      <c r="C10864" s="23"/>
      <c r="D10864" s="23"/>
      <c r="E10864" s="24"/>
      <c r="F10864" s="25"/>
      <c r="G10864" s="25"/>
      <c r="H10864" s="27"/>
      <c r="I10864" s="28"/>
      <c r="J10864" s="39"/>
      <c r="K10864" s="41"/>
      <c r="L10864" s="31" t="str">
        <f>IFERROR(__xludf.DUMMYFUNCTION("IF(OR(E10864="""",K10864=""""),"""",IFERROR(IF(K10864="""","""",query('tbl user'!$A$2:$D10975,""SELECT A WHERE D = '""&amp;K10864&amp;""'"")),""USER TIDAK DIKETAHUI""))"),"")</f>
        <v/>
      </c>
    </row>
    <row r="10865">
      <c r="A10865" s="21" t="str">
        <f t="shared" si="3"/>
        <v/>
      </c>
      <c r="B10865" s="38"/>
      <c r="C10865" s="23"/>
      <c r="D10865" s="23"/>
      <c r="E10865" s="24"/>
      <c r="F10865" s="25"/>
      <c r="G10865" s="25"/>
      <c r="H10865" s="27"/>
      <c r="I10865" s="28"/>
      <c r="J10865" s="39"/>
      <c r="K10865" s="41"/>
      <c r="L10865" s="31" t="str">
        <f>IFERROR(__xludf.DUMMYFUNCTION("IF(OR(E10865="""",K10865=""""),"""",IFERROR(IF(K10865="""","""",query('tbl user'!$A$2:$D10975,""SELECT A WHERE D = '""&amp;K10865&amp;""'"")),""USER TIDAK DIKETAHUI""))"),"")</f>
        <v/>
      </c>
    </row>
    <row r="10866">
      <c r="A10866" s="21" t="str">
        <f t="shared" si="3"/>
        <v/>
      </c>
      <c r="B10866" s="38"/>
      <c r="C10866" s="23"/>
      <c r="D10866" s="23"/>
      <c r="E10866" s="24"/>
      <c r="F10866" s="25"/>
      <c r="G10866" s="25"/>
      <c r="H10866" s="27"/>
      <c r="I10866" s="28"/>
      <c r="J10866" s="39"/>
      <c r="K10866" s="41"/>
      <c r="L10866" s="31" t="str">
        <f>IFERROR(__xludf.DUMMYFUNCTION("IF(OR(E10866="""",K10866=""""),"""",IFERROR(IF(K10866="""","""",query('tbl user'!$A$2:$D10975,""SELECT A WHERE D = '""&amp;K10866&amp;""'"")),""USER TIDAK DIKETAHUI""))"),"")</f>
        <v/>
      </c>
    </row>
    <row r="10867">
      <c r="A10867" s="21" t="str">
        <f t="shared" si="3"/>
        <v/>
      </c>
      <c r="B10867" s="38"/>
      <c r="C10867" s="23"/>
      <c r="D10867" s="23"/>
      <c r="E10867" s="24"/>
      <c r="F10867" s="25"/>
      <c r="G10867" s="25"/>
      <c r="H10867" s="27"/>
      <c r="I10867" s="28"/>
      <c r="J10867" s="39"/>
      <c r="K10867" s="41"/>
      <c r="L10867" s="31" t="str">
        <f>IFERROR(__xludf.DUMMYFUNCTION("IF(OR(E10867="""",K10867=""""),"""",IFERROR(IF(K10867="""","""",query('tbl user'!$A$2:$D10975,""SELECT A WHERE D = '""&amp;K10867&amp;""'"")),""USER TIDAK DIKETAHUI""))"),"")</f>
        <v/>
      </c>
    </row>
    <row r="10868">
      <c r="A10868" s="21" t="str">
        <f t="shared" si="3"/>
        <v/>
      </c>
      <c r="B10868" s="38"/>
      <c r="C10868" s="23"/>
      <c r="D10868" s="23"/>
      <c r="E10868" s="24"/>
      <c r="F10868" s="25"/>
      <c r="G10868" s="25"/>
      <c r="H10868" s="27"/>
      <c r="I10868" s="28"/>
      <c r="J10868" s="39"/>
      <c r="K10868" s="41"/>
      <c r="L10868" s="31" t="str">
        <f>IFERROR(__xludf.DUMMYFUNCTION("IF(OR(E10868="""",K10868=""""),"""",IFERROR(IF(K10868="""","""",query('tbl user'!$A$2:$D10975,""SELECT A WHERE D = '""&amp;K10868&amp;""'"")),""USER TIDAK DIKETAHUI""))"),"")</f>
        <v/>
      </c>
    </row>
    <row r="10869">
      <c r="A10869" s="21" t="str">
        <f t="shared" si="3"/>
        <v/>
      </c>
      <c r="B10869" s="38"/>
      <c r="C10869" s="23"/>
      <c r="D10869" s="23"/>
      <c r="E10869" s="24"/>
      <c r="F10869" s="25"/>
      <c r="G10869" s="25"/>
      <c r="H10869" s="27"/>
      <c r="I10869" s="28"/>
      <c r="J10869" s="39"/>
      <c r="K10869" s="41"/>
      <c r="L10869" s="31" t="str">
        <f>IFERROR(__xludf.DUMMYFUNCTION("IF(OR(E10869="""",K10869=""""),"""",IFERROR(IF(K10869="""","""",query('tbl user'!$A$2:$D10975,""SELECT A WHERE D = '""&amp;K10869&amp;""'"")),""USER TIDAK DIKETAHUI""))"),"")</f>
        <v/>
      </c>
    </row>
    <row r="10870">
      <c r="A10870" s="21" t="str">
        <f t="shared" si="3"/>
        <v/>
      </c>
      <c r="B10870" s="38"/>
      <c r="C10870" s="23"/>
      <c r="D10870" s="23"/>
      <c r="E10870" s="24"/>
      <c r="F10870" s="25"/>
      <c r="G10870" s="25"/>
      <c r="H10870" s="27"/>
      <c r="I10870" s="28"/>
      <c r="J10870" s="39"/>
      <c r="K10870" s="41"/>
      <c r="L10870" s="31" t="str">
        <f>IFERROR(__xludf.DUMMYFUNCTION("IF(OR(E10870="""",K10870=""""),"""",IFERROR(IF(K10870="""","""",query('tbl user'!$A$2:$D10975,""SELECT A WHERE D = '""&amp;K10870&amp;""'"")),""USER TIDAK DIKETAHUI""))"),"")</f>
        <v/>
      </c>
    </row>
    <row r="10871">
      <c r="A10871" s="21" t="str">
        <f t="shared" si="3"/>
        <v/>
      </c>
      <c r="B10871" s="38"/>
      <c r="C10871" s="23"/>
      <c r="D10871" s="23"/>
      <c r="E10871" s="24"/>
      <c r="F10871" s="25"/>
      <c r="G10871" s="25"/>
      <c r="H10871" s="27"/>
      <c r="I10871" s="28"/>
      <c r="J10871" s="39"/>
      <c r="K10871" s="41"/>
      <c r="L10871" s="31" t="str">
        <f>IFERROR(__xludf.DUMMYFUNCTION("IF(OR(E10871="""",K10871=""""),"""",IFERROR(IF(K10871="""","""",query('tbl user'!$A$2:$D10975,""SELECT A WHERE D = '""&amp;K10871&amp;""'"")),""USER TIDAK DIKETAHUI""))"),"")</f>
        <v/>
      </c>
    </row>
    <row r="10872">
      <c r="A10872" s="21" t="str">
        <f t="shared" si="3"/>
        <v/>
      </c>
      <c r="B10872" s="38"/>
      <c r="C10872" s="23"/>
      <c r="D10872" s="23"/>
      <c r="E10872" s="24"/>
      <c r="F10872" s="25"/>
      <c r="G10872" s="25"/>
      <c r="H10872" s="27"/>
      <c r="I10872" s="28"/>
      <c r="J10872" s="39"/>
      <c r="K10872" s="41"/>
      <c r="L10872" s="31" t="str">
        <f>IFERROR(__xludf.DUMMYFUNCTION("IF(OR(E10872="""",K10872=""""),"""",IFERROR(IF(K10872="""","""",query('tbl user'!$A$2:$D10975,""SELECT A WHERE D = '""&amp;K10872&amp;""'"")),""USER TIDAK DIKETAHUI""))"),"")</f>
        <v/>
      </c>
    </row>
    <row r="10873">
      <c r="A10873" s="21" t="str">
        <f t="shared" si="3"/>
        <v/>
      </c>
      <c r="B10873" s="38"/>
      <c r="C10873" s="23"/>
      <c r="D10873" s="23"/>
      <c r="E10873" s="24"/>
      <c r="F10873" s="25"/>
      <c r="G10873" s="25"/>
      <c r="H10873" s="27"/>
      <c r="I10873" s="28"/>
      <c r="J10873" s="39"/>
      <c r="K10873" s="41"/>
      <c r="L10873" s="31" t="str">
        <f>IFERROR(__xludf.DUMMYFUNCTION("IF(OR(E10873="""",K10873=""""),"""",IFERROR(IF(K10873="""","""",query('tbl user'!$A$2:$D10975,""SELECT A WHERE D = '""&amp;K10873&amp;""'"")),""USER TIDAK DIKETAHUI""))"),"")</f>
        <v/>
      </c>
    </row>
    <row r="10874">
      <c r="A10874" s="21" t="str">
        <f t="shared" si="3"/>
        <v/>
      </c>
      <c r="B10874" s="38"/>
      <c r="C10874" s="23"/>
      <c r="D10874" s="23"/>
      <c r="E10874" s="24"/>
      <c r="F10874" s="25"/>
      <c r="G10874" s="25"/>
      <c r="H10874" s="27"/>
      <c r="I10874" s="28"/>
      <c r="J10874" s="39"/>
      <c r="K10874" s="41"/>
      <c r="L10874" s="31" t="str">
        <f>IFERROR(__xludf.DUMMYFUNCTION("IF(OR(E10874="""",K10874=""""),"""",IFERROR(IF(K10874="""","""",query('tbl user'!$A$2:$D10975,""SELECT A WHERE D = '""&amp;K10874&amp;""'"")),""USER TIDAK DIKETAHUI""))"),"")</f>
        <v/>
      </c>
    </row>
    <row r="10875">
      <c r="A10875" s="21" t="str">
        <f t="shared" si="3"/>
        <v/>
      </c>
      <c r="B10875" s="38"/>
      <c r="C10875" s="23"/>
      <c r="D10875" s="23"/>
      <c r="E10875" s="24"/>
      <c r="F10875" s="25"/>
      <c r="G10875" s="25"/>
      <c r="H10875" s="27"/>
      <c r="I10875" s="28"/>
      <c r="J10875" s="39"/>
      <c r="K10875" s="41"/>
      <c r="L10875" s="31" t="str">
        <f>IFERROR(__xludf.DUMMYFUNCTION("IF(OR(E10875="""",K10875=""""),"""",IFERROR(IF(K10875="""","""",query('tbl user'!$A$2:$D10975,""SELECT A WHERE D = '""&amp;K10875&amp;""'"")),""USER TIDAK DIKETAHUI""))"),"")</f>
        <v/>
      </c>
    </row>
    <row r="10876">
      <c r="A10876" s="21" t="str">
        <f t="shared" si="3"/>
        <v/>
      </c>
      <c r="B10876" s="38"/>
      <c r="C10876" s="23"/>
      <c r="D10876" s="23"/>
      <c r="E10876" s="24"/>
      <c r="F10876" s="25"/>
      <c r="G10876" s="25"/>
      <c r="H10876" s="27"/>
      <c r="I10876" s="28"/>
      <c r="J10876" s="39"/>
      <c r="K10876" s="41"/>
      <c r="L10876" s="31" t="str">
        <f>IFERROR(__xludf.DUMMYFUNCTION("IF(OR(E10876="""",K10876=""""),"""",IFERROR(IF(K10876="""","""",query('tbl user'!$A$2:$D10975,""SELECT A WHERE D = '""&amp;K10876&amp;""'"")),""USER TIDAK DIKETAHUI""))"),"")</f>
        <v/>
      </c>
    </row>
    <row r="10877">
      <c r="A10877" s="21" t="str">
        <f t="shared" si="3"/>
        <v/>
      </c>
      <c r="B10877" s="38"/>
      <c r="C10877" s="23"/>
      <c r="D10877" s="23"/>
      <c r="E10877" s="24"/>
      <c r="F10877" s="25"/>
      <c r="G10877" s="25"/>
      <c r="H10877" s="27"/>
      <c r="I10877" s="28"/>
      <c r="J10877" s="39"/>
      <c r="K10877" s="41"/>
      <c r="L10877" s="31" t="str">
        <f>IFERROR(__xludf.DUMMYFUNCTION("IF(OR(E10877="""",K10877=""""),"""",IFERROR(IF(K10877="""","""",query('tbl user'!$A$2:$D10975,""SELECT A WHERE D = '""&amp;K10877&amp;""'"")),""USER TIDAK DIKETAHUI""))"),"")</f>
        <v/>
      </c>
    </row>
    <row r="10878">
      <c r="A10878" s="21" t="str">
        <f t="shared" si="3"/>
        <v/>
      </c>
      <c r="B10878" s="38"/>
      <c r="C10878" s="23"/>
      <c r="D10878" s="23"/>
      <c r="E10878" s="24"/>
      <c r="F10878" s="25"/>
      <c r="G10878" s="25"/>
      <c r="H10878" s="27"/>
      <c r="I10878" s="28"/>
      <c r="J10878" s="39"/>
      <c r="K10878" s="41"/>
      <c r="L10878" s="31" t="str">
        <f>IFERROR(__xludf.DUMMYFUNCTION("IF(OR(E10878="""",K10878=""""),"""",IFERROR(IF(K10878="""","""",query('tbl user'!$A$2:$D10975,""SELECT A WHERE D = '""&amp;K10878&amp;""'"")),""USER TIDAK DIKETAHUI""))"),"")</f>
        <v/>
      </c>
    </row>
    <row r="10879">
      <c r="A10879" s="21" t="str">
        <f t="shared" si="3"/>
        <v/>
      </c>
      <c r="B10879" s="38"/>
      <c r="C10879" s="23"/>
      <c r="D10879" s="23"/>
      <c r="E10879" s="24"/>
      <c r="F10879" s="25"/>
      <c r="G10879" s="25"/>
      <c r="H10879" s="27"/>
      <c r="I10879" s="28"/>
      <c r="J10879" s="39"/>
      <c r="K10879" s="41"/>
      <c r="L10879" s="31" t="str">
        <f>IFERROR(__xludf.DUMMYFUNCTION("IF(OR(E10879="""",K10879=""""),"""",IFERROR(IF(K10879="""","""",query('tbl user'!$A$2:$D10975,""SELECT A WHERE D = '""&amp;K10879&amp;""'"")),""USER TIDAK DIKETAHUI""))"),"")</f>
        <v/>
      </c>
    </row>
    <row r="10880">
      <c r="A10880" s="21" t="str">
        <f t="shared" si="3"/>
        <v/>
      </c>
      <c r="B10880" s="38"/>
      <c r="C10880" s="23"/>
      <c r="D10880" s="23"/>
      <c r="E10880" s="24"/>
      <c r="F10880" s="25"/>
      <c r="G10880" s="25"/>
      <c r="H10880" s="27"/>
      <c r="I10880" s="28"/>
      <c r="J10880" s="39"/>
      <c r="K10880" s="41"/>
      <c r="L10880" s="31" t="str">
        <f>IFERROR(__xludf.DUMMYFUNCTION("IF(OR(E10880="""",K10880=""""),"""",IFERROR(IF(K10880="""","""",query('tbl user'!$A$2:$D10975,""SELECT A WHERE D = '""&amp;K10880&amp;""'"")),""USER TIDAK DIKETAHUI""))"),"")</f>
        <v/>
      </c>
    </row>
    <row r="10881">
      <c r="A10881" s="21" t="str">
        <f t="shared" si="3"/>
        <v/>
      </c>
      <c r="B10881" s="38"/>
      <c r="C10881" s="23"/>
      <c r="D10881" s="23"/>
      <c r="E10881" s="24"/>
      <c r="F10881" s="25"/>
      <c r="G10881" s="25"/>
      <c r="H10881" s="27"/>
      <c r="I10881" s="28"/>
      <c r="J10881" s="39"/>
      <c r="K10881" s="41"/>
      <c r="L10881" s="31" t="str">
        <f>IFERROR(__xludf.DUMMYFUNCTION("IF(OR(E10881="""",K10881=""""),"""",IFERROR(IF(K10881="""","""",query('tbl user'!$A$2:$D10975,""SELECT A WHERE D = '""&amp;K10881&amp;""'"")),""USER TIDAK DIKETAHUI""))"),"")</f>
        <v/>
      </c>
    </row>
    <row r="10882">
      <c r="A10882" s="21" t="str">
        <f t="shared" si="3"/>
        <v/>
      </c>
      <c r="B10882" s="38"/>
      <c r="C10882" s="23"/>
      <c r="D10882" s="23"/>
      <c r="E10882" s="24"/>
      <c r="F10882" s="25"/>
      <c r="G10882" s="25"/>
      <c r="H10882" s="27"/>
      <c r="I10882" s="28"/>
      <c r="J10882" s="39"/>
      <c r="K10882" s="41"/>
      <c r="L10882" s="31" t="str">
        <f>IFERROR(__xludf.DUMMYFUNCTION("IF(OR(E10882="""",K10882=""""),"""",IFERROR(IF(K10882="""","""",query('tbl user'!$A$2:$D10975,""SELECT A WHERE D = '""&amp;K10882&amp;""'"")),""USER TIDAK DIKETAHUI""))"),"")</f>
        <v/>
      </c>
    </row>
    <row r="10883">
      <c r="A10883" s="21" t="str">
        <f t="shared" si="3"/>
        <v/>
      </c>
      <c r="B10883" s="38"/>
      <c r="C10883" s="23"/>
      <c r="D10883" s="23"/>
      <c r="E10883" s="24"/>
      <c r="F10883" s="25"/>
      <c r="G10883" s="25"/>
      <c r="H10883" s="27"/>
      <c r="I10883" s="28"/>
      <c r="J10883" s="39"/>
      <c r="K10883" s="41"/>
      <c r="L10883" s="31" t="str">
        <f>IFERROR(__xludf.DUMMYFUNCTION("IF(OR(E10883="""",K10883=""""),"""",IFERROR(IF(K10883="""","""",query('tbl user'!$A$2:$D10975,""SELECT A WHERE D = '""&amp;K10883&amp;""'"")),""USER TIDAK DIKETAHUI""))"),"")</f>
        <v/>
      </c>
    </row>
    <row r="10884">
      <c r="A10884" s="21" t="str">
        <f t="shared" si="3"/>
        <v/>
      </c>
      <c r="B10884" s="38"/>
      <c r="C10884" s="23"/>
      <c r="D10884" s="23"/>
      <c r="E10884" s="24"/>
      <c r="F10884" s="25"/>
      <c r="G10884" s="25"/>
      <c r="H10884" s="27"/>
      <c r="I10884" s="28"/>
      <c r="J10884" s="39"/>
      <c r="K10884" s="41"/>
      <c r="L10884" s="31" t="str">
        <f>IFERROR(__xludf.DUMMYFUNCTION("IF(OR(E10884="""",K10884=""""),"""",IFERROR(IF(K10884="""","""",query('tbl user'!$A$2:$D10975,""SELECT A WHERE D = '""&amp;K10884&amp;""'"")),""USER TIDAK DIKETAHUI""))"),"")</f>
        <v/>
      </c>
    </row>
    <row r="10885">
      <c r="A10885" s="21" t="str">
        <f t="shared" si="3"/>
        <v/>
      </c>
      <c r="B10885" s="38"/>
      <c r="C10885" s="23"/>
      <c r="D10885" s="23"/>
      <c r="E10885" s="24"/>
      <c r="F10885" s="25"/>
      <c r="G10885" s="25"/>
      <c r="H10885" s="27"/>
      <c r="I10885" s="28"/>
      <c r="J10885" s="39"/>
      <c r="K10885" s="41"/>
      <c r="L10885" s="31" t="str">
        <f>IFERROR(__xludf.DUMMYFUNCTION("IF(OR(E10885="""",K10885=""""),"""",IFERROR(IF(K10885="""","""",query('tbl user'!$A$2:$D10975,""SELECT A WHERE D = '""&amp;K10885&amp;""'"")),""USER TIDAK DIKETAHUI""))"),"")</f>
        <v/>
      </c>
    </row>
    <row r="10886">
      <c r="A10886" s="21" t="str">
        <f t="shared" si="3"/>
        <v/>
      </c>
      <c r="B10886" s="38"/>
      <c r="C10886" s="23"/>
      <c r="D10886" s="23"/>
      <c r="E10886" s="24"/>
      <c r="F10886" s="25"/>
      <c r="G10886" s="25"/>
      <c r="H10886" s="27"/>
      <c r="I10886" s="28"/>
      <c r="J10886" s="39"/>
      <c r="K10886" s="41"/>
      <c r="L10886" s="31" t="str">
        <f>IFERROR(__xludf.DUMMYFUNCTION("IF(OR(E10886="""",K10886=""""),"""",IFERROR(IF(K10886="""","""",query('tbl user'!$A$2:$D10975,""SELECT A WHERE D = '""&amp;K10886&amp;""'"")),""USER TIDAK DIKETAHUI""))"),"")</f>
        <v/>
      </c>
    </row>
    <row r="10887">
      <c r="A10887" s="21" t="str">
        <f t="shared" si="3"/>
        <v/>
      </c>
      <c r="B10887" s="38"/>
      <c r="C10887" s="23"/>
      <c r="D10887" s="23"/>
      <c r="E10887" s="24"/>
      <c r="F10887" s="25"/>
      <c r="G10887" s="25"/>
      <c r="H10887" s="27"/>
      <c r="I10887" s="28"/>
      <c r="J10887" s="39"/>
      <c r="K10887" s="41"/>
      <c r="L10887" s="31" t="str">
        <f>IFERROR(__xludf.DUMMYFUNCTION("IF(OR(E10887="""",K10887=""""),"""",IFERROR(IF(K10887="""","""",query('tbl user'!$A$2:$D10975,""SELECT A WHERE D = '""&amp;K10887&amp;""'"")),""USER TIDAK DIKETAHUI""))"),"")</f>
        <v/>
      </c>
    </row>
    <row r="10888">
      <c r="A10888" s="21" t="str">
        <f t="shared" si="3"/>
        <v/>
      </c>
      <c r="B10888" s="38"/>
      <c r="C10888" s="23"/>
      <c r="D10888" s="23"/>
      <c r="E10888" s="24"/>
      <c r="F10888" s="25"/>
      <c r="G10888" s="25"/>
      <c r="H10888" s="27"/>
      <c r="I10888" s="28"/>
      <c r="J10888" s="39"/>
      <c r="K10888" s="41"/>
      <c r="L10888" s="31" t="str">
        <f>IFERROR(__xludf.DUMMYFUNCTION("IF(OR(E10888="""",K10888=""""),"""",IFERROR(IF(K10888="""","""",query('tbl user'!$A$2:$D10975,""SELECT A WHERE D = '""&amp;K10888&amp;""'"")),""USER TIDAK DIKETAHUI""))"),"")</f>
        <v/>
      </c>
    </row>
    <row r="10889">
      <c r="A10889" s="21" t="str">
        <f t="shared" si="3"/>
        <v/>
      </c>
      <c r="B10889" s="38"/>
      <c r="C10889" s="23"/>
      <c r="D10889" s="23"/>
      <c r="E10889" s="24"/>
      <c r="F10889" s="25"/>
      <c r="G10889" s="25"/>
      <c r="H10889" s="27"/>
      <c r="I10889" s="28"/>
      <c r="J10889" s="39"/>
      <c r="K10889" s="41"/>
      <c r="L10889" s="31" t="str">
        <f>IFERROR(__xludf.DUMMYFUNCTION("IF(OR(E10889="""",K10889=""""),"""",IFERROR(IF(K10889="""","""",query('tbl user'!$A$2:$D10975,""SELECT A WHERE D = '""&amp;K10889&amp;""'"")),""USER TIDAK DIKETAHUI""))"),"")</f>
        <v/>
      </c>
    </row>
    <row r="10890">
      <c r="A10890" s="21" t="str">
        <f t="shared" si="3"/>
        <v/>
      </c>
      <c r="B10890" s="38"/>
      <c r="C10890" s="23"/>
      <c r="D10890" s="23"/>
      <c r="E10890" s="24"/>
      <c r="F10890" s="25"/>
      <c r="G10890" s="25"/>
      <c r="H10890" s="27"/>
      <c r="I10890" s="28"/>
      <c r="J10890" s="39"/>
      <c r="K10890" s="41"/>
      <c r="L10890" s="31" t="str">
        <f>IFERROR(__xludf.DUMMYFUNCTION("IF(OR(E10890="""",K10890=""""),"""",IFERROR(IF(K10890="""","""",query('tbl user'!$A$2:$D10975,""SELECT A WHERE D = '""&amp;K10890&amp;""'"")),""USER TIDAK DIKETAHUI""))"),"")</f>
        <v/>
      </c>
    </row>
    <row r="10891">
      <c r="A10891" s="21" t="str">
        <f t="shared" si="3"/>
        <v/>
      </c>
      <c r="B10891" s="38"/>
      <c r="C10891" s="23"/>
      <c r="D10891" s="23"/>
      <c r="E10891" s="24"/>
      <c r="F10891" s="25"/>
      <c r="G10891" s="25"/>
      <c r="H10891" s="27"/>
      <c r="I10891" s="28"/>
      <c r="J10891" s="39"/>
      <c r="K10891" s="41"/>
      <c r="L10891" s="31" t="str">
        <f>IFERROR(__xludf.DUMMYFUNCTION("IF(OR(E10891="""",K10891=""""),"""",IFERROR(IF(K10891="""","""",query('tbl user'!$A$2:$D10975,""SELECT A WHERE D = '""&amp;K10891&amp;""'"")),""USER TIDAK DIKETAHUI""))"),"")</f>
        <v/>
      </c>
    </row>
    <row r="10892">
      <c r="A10892" s="21" t="str">
        <f t="shared" si="3"/>
        <v/>
      </c>
      <c r="B10892" s="38"/>
      <c r="C10892" s="23"/>
      <c r="D10892" s="23"/>
      <c r="E10892" s="24"/>
      <c r="F10892" s="25"/>
      <c r="G10892" s="25"/>
      <c r="H10892" s="27"/>
      <c r="I10892" s="28"/>
      <c r="J10892" s="39"/>
      <c r="K10892" s="41"/>
      <c r="L10892" s="31" t="str">
        <f>IFERROR(__xludf.DUMMYFUNCTION("IF(OR(E10892="""",K10892=""""),"""",IFERROR(IF(K10892="""","""",query('tbl user'!$A$2:$D10975,""SELECT A WHERE D = '""&amp;K10892&amp;""'"")),""USER TIDAK DIKETAHUI""))"),"")</f>
        <v/>
      </c>
    </row>
    <row r="10893">
      <c r="A10893" s="21" t="str">
        <f t="shared" si="3"/>
        <v/>
      </c>
      <c r="B10893" s="38"/>
      <c r="C10893" s="23"/>
      <c r="D10893" s="23"/>
      <c r="E10893" s="24"/>
      <c r="F10893" s="25"/>
      <c r="G10893" s="25"/>
      <c r="H10893" s="27"/>
      <c r="I10893" s="28"/>
      <c r="J10893" s="39"/>
      <c r="K10893" s="41"/>
      <c r="L10893" s="31" t="str">
        <f>IFERROR(__xludf.DUMMYFUNCTION("IF(OR(E10893="""",K10893=""""),"""",IFERROR(IF(K10893="""","""",query('tbl user'!$A$2:$D10975,""SELECT A WHERE D = '""&amp;K10893&amp;""'"")),""USER TIDAK DIKETAHUI""))"),"")</f>
        <v/>
      </c>
    </row>
    <row r="10894">
      <c r="A10894" s="21" t="str">
        <f t="shared" si="3"/>
        <v/>
      </c>
      <c r="B10894" s="38"/>
      <c r="C10894" s="23"/>
      <c r="D10894" s="23"/>
      <c r="E10894" s="24"/>
      <c r="F10894" s="25"/>
      <c r="G10894" s="25"/>
      <c r="H10894" s="27"/>
      <c r="I10894" s="28"/>
      <c r="J10894" s="39"/>
      <c r="K10894" s="41"/>
      <c r="L10894" s="31" t="str">
        <f>IFERROR(__xludf.DUMMYFUNCTION("IF(OR(E10894="""",K10894=""""),"""",IFERROR(IF(K10894="""","""",query('tbl user'!$A$2:$D10975,""SELECT A WHERE D = '""&amp;K10894&amp;""'"")),""USER TIDAK DIKETAHUI""))"),"")</f>
        <v/>
      </c>
    </row>
    <row r="10895">
      <c r="A10895" s="21" t="str">
        <f t="shared" si="3"/>
        <v/>
      </c>
      <c r="B10895" s="38"/>
      <c r="C10895" s="23"/>
      <c r="D10895" s="23"/>
      <c r="E10895" s="24"/>
      <c r="F10895" s="25"/>
      <c r="G10895" s="25"/>
      <c r="H10895" s="27"/>
      <c r="I10895" s="28"/>
      <c r="J10895" s="39"/>
      <c r="K10895" s="41"/>
      <c r="L10895" s="31" t="str">
        <f>IFERROR(__xludf.DUMMYFUNCTION("IF(OR(E10895="""",K10895=""""),"""",IFERROR(IF(K10895="""","""",query('tbl user'!$A$2:$D10975,""SELECT A WHERE D = '""&amp;K10895&amp;""'"")),""USER TIDAK DIKETAHUI""))"),"")</f>
        <v/>
      </c>
    </row>
    <row r="10896">
      <c r="A10896" s="21" t="str">
        <f t="shared" si="3"/>
        <v/>
      </c>
      <c r="B10896" s="38"/>
      <c r="C10896" s="23"/>
      <c r="D10896" s="23"/>
      <c r="E10896" s="24"/>
      <c r="F10896" s="25"/>
      <c r="G10896" s="25"/>
      <c r="H10896" s="27"/>
      <c r="I10896" s="28"/>
      <c r="J10896" s="39"/>
      <c r="K10896" s="41"/>
      <c r="L10896" s="31" t="str">
        <f>IFERROR(__xludf.DUMMYFUNCTION("IF(OR(E10896="""",K10896=""""),"""",IFERROR(IF(K10896="""","""",query('tbl user'!$A$2:$D10975,""SELECT A WHERE D = '""&amp;K10896&amp;""'"")),""USER TIDAK DIKETAHUI""))"),"")</f>
        <v/>
      </c>
    </row>
    <row r="10897">
      <c r="A10897" s="21" t="str">
        <f t="shared" si="3"/>
        <v/>
      </c>
      <c r="B10897" s="38"/>
      <c r="C10897" s="23"/>
      <c r="D10897" s="23"/>
      <c r="E10897" s="24"/>
      <c r="F10897" s="25"/>
      <c r="G10897" s="25"/>
      <c r="H10897" s="27"/>
      <c r="I10897" s="28"/>
      <c r="J10897" s="39"/>
      <c r="K10897" s="41"/>
      <c r="L10897" s="31" t="str">
        <f>IFERROR(__xludf.DUMMYFUNCTION("IF(OR(E10897="""",K10897=""""),"""",IFERROR(IF(K10897="""","""",query('tbl user'!$A$2:$D10975,""SELECT A WHERE D = '""&amp;K10897&amp;""'"")),""USER TIDAK DIKETAHUI""))"),"")</f>
        <v/>
      </c>
    </row>
    <row r="10898">
      <c r="A10898" s="21" t="str">
        <f t="shared" si="3"/>
        <v/>
      </c>
      <c r="B10898" s="38"/>
      <c r="C10898" s="23"/>
      <c r="D10898" s="23"/>
      <c r="E10898" s="24"/>
      <c r="F10898" s="25"/>
      <c r="G10898" s="25"/>
      <c r="H10898" s="27"/>
      <c r="I10898" s="28"/>
      <c r="J10898" s="39"/>
      <c r="K10898" s="41"/>
      <c r="L10898" s="31" t="str">
        <f>IFERROR(__xludf.DUMMYFUNCTION("IF(OR(E10898="""",K10898=""""),"""",IFERROR(IF(K10898="""","""",query('tbl user'!$A$2:$D10975,""SELECT A WHERE D = '""&amp;K10898&amp;""'"")),""USER TIDAK DIKETAHUI""))"),"")</f>
        <v/>
      </c>
    </row>
    <row r="10899">
      <c r="A10899" s="21" t="str">
        <f t="shared" si="3"/>
        <v/>
      </c>
      <c r="B10899" s="38"/>
      <c r="C10899" s="23"/>
      <c r="D10899" s="23"/>
      <c r="E10899" s="24"/>
      <c r="F10899" s="25"/>
      <c r="G10899" s="25"/>
      <c r="H10899" s="27"/>
      <c r="I10899" s="28"/>
      <c r="J10899" s="39"/>
      <c r="K10899" s="41"/>
      <c r="L10899" s="31" t="str">
        <f>IFERROR(__xludf.DUMMYFUNCTION("IF(OR(E10899="""",K10899=""""),"""",IFERROR(IF(K10899="""","""",query('tbl user'!$A$2:$D10975,""SELECT A WHERE D = '""&amp;K10899&amp;""'"")),""USER TIDAK DIKETAHUI""))"),"")</f>
        <v/>
      </c>
    </row>
    <row r="10900">
      <c r="A10900" s="21" t="str">
        <f t="shared" si="3"/>
        <v/>
      </c>
      <c r="B10900" s="38"/>
      <c r="C10900" s="23"/>
      <c r="D10900" s="23"/>
      <c r="E10900" s="24"/>
      <c r="F10900" s="25"/>
      <c r="G10900" s="25"/>
      <c r="H10900" s="27"/>
      <c r="I10900" s="28"/>
      <c r="J10900" s="39"/>
      <c r="K10900" s="41"/>
      <c r="L10900" s="31" t="str">
        <f>IFERROR(__xludf.DUMMYFUNCTION("IF(OR(E10900="""",K10900=""""),"""",IFERROR(IF(K10900="""","""",query('tbl user'!$A$2:$D10975,""SELECT A WHERE D = '""&amp;K10900&amp;""'"")),""USER TIDAK DIKETAHUI""))"),"")</f>
        <v/>
      </c>
    </row>
    <row r="10901">
      <c r="A10901" s="21" t="str">
        <f t="shared" si="3"/>
        <v/>
      </c>
      <c r="B10901" s="38"/>
      <c r="C10901" s="23"/>
      <c r="D10901" s="23"/>
      <c r="E10901" s="24"/>
      <c r="F10901" s="25"/>
      <c r="G10901" s="25"/>
      <c r="H10901" s="27"/>
      <c r="I10901" s="28"/>
      <c r="J10901" s="39"/>
      <c r="K10901" s="41"/>
      <c r="L10901" s="31" t="str">
        <f>IFERROR(__xludf.DUMMYFUNCTION("IF(OR(E10901="""",K10901=""""),"""",IFERROR(IF(K10901="""","""",query('tbl user'!$A$2:$D10975,""SELECT A WHERE D = '""&amp;K10901&amp;""'"")),""USER TIDAK DIKETAHUI""))"),"")</f>
        <v/>
      </c>
    </row>
    <row r="10902">
      <c r="A10902" s="21" t="str">
        <f t="shared" si="3"/>
        <v/>
      </c>
      <c r="B10902" s="38"/>
      <c r="C10902" s="23"/>
      <c r="D10902" s="23"/>
      <c r="E10902" s="24"/>
      <c r="F10902" s="25"/>
      <c r="G10902" s="25"/>
      <c r="H10902" s="27"/>
      <c r="I10902" s="28"/>
      <c r="J10902" s="39"/>
      <c r="K10902" s="41"/>
      <c r="L10902" s="31" t="str">
        <f>IFERROR(__xludf.DUMMYFUNCTION("IF(OR(E10902="""",K10902=""""),"""",IFERROR(IF(K10902="""","""",query('tbl user'!$A$2:$D10975,""SELECT A WHERE D = '""&amp;K10902&amp;""'"")),""USER TIDAK DIKETAHUI""))"),"")</f>
        <v/>
      </c>
    </row>
    <row r="10903">
      <c r="A10903" s="21" t="str">
        <f t="shared" si="3"/>
        <v/>
      </c>
      <c r="B10903" s="38"/>
      <c r="C10903" s="23"/>
      <c r="D10903" s="23"/>
      <c r="E10903" s="24"/>
      <c r="F10903" s="25"/>
      <c r="G10903" s="25"/>
      <c r="H10903" s="27"/>
      <c r="I10903" s="28"/>
      <c r="J10903" s="39"/>
      <c r="K10903" s="41"/>
      <c r="L10903" s="31" t="str">
        <f>IFERROR(__xludf.DUMMYFUNCTION("IF(OR(E10903="""",K10903=""""),"""",IFERROR(IF(K10903="""","""",query('tbl user'!$A$2:$D10975,""SELECT A WHERE D = '""&amp;K10903&amp;""'"")),""USER TIDAK DIKETAHUI""))"),"")</f>
        <v/>
      </c>
    </row>
    <row r="10904">
      <c r="A10904" s="21" t="str">
        <f t="shared" si="3"/>
        <v/>
      </c>
      <c r="B10904" s="38"/>
      <c r="C10904" s="23"/>
      <c r="D10904" s="23"/>
      <c r="E10904" s="24"/>
      <c r="F10904" s="25"/>
      <c r="G10904" s="25"/>
      <c r="H10904" s="27"/>
      <c r="I10904" s="28"/>
      <c r="J10904" s="39"/>
      <c r="K10904" s="41"/>
      <c r="L10904" s="31" t="str">
        <f>IFERROR(__xludf.DUMMYFUNCTION("IF(OR(E10904="""",K10904=""""),"""",IFERROR(IF(K10904="""","""",query('tbl user'!$A$2:$D10975,""SELECT A WHERE D = '""&amp;K10904&amp;""'"")),""USER TIDAK DIKETAHUI""))"),"")</f>
        <v/>
      </c>
    </row>
    <row r="10905">
      <c r="A10905" s="21" t="str">
        <f t="shared" si="3"/>
        <v/>
      </c>
      <c r="B10905" s="38"/>
      <c r="C10905" s="23"/>
      <c r="D10905" s="23"/>
      <c r="E10905" s="24"/>
      <c r="F10905" s="25"/>
      <c r="G10905" s="25"/>
      <c r="H10905" s="27"/>
      <c r="I10905" s="28"/>
      <c r="J10905" s="39"/>
      <c r="K10905" s="41"/>
      <c r="L10905" s="31" t="str">
        <f>IFERROR(__xludf.DUMMYFUNCTION("IF(OR(E10905="""",K10905=""""),"""",IFERROR(IF(K10905="""","""",query('tbl user'!$A$2:$D10975,""SELECT A WHERE D = '""&amp;K10905&amp;""'"")),""USER TIDAK DIKETAHUI""))"),"")</f>
        <v/>
      </c>
    </row>
    <row r="10906">
      <c r="A10906" s="21" t="str">
        <f t="shared" si="3"/>
        <v/>
      </c>
      <c r="B10906" s="38"/>
      <c r="C10906" s="23"/>
      <c r="D10906" s="23"/>
      <c r="E10906" s="24"/>
      <c r="F10906" s="25"/>
      <c r="G10906" s="25"/>
      <c r="H10906" s="27"/>
      <c r="I10906" s="28"/>
      <c r="J10906" s="39"/>
      <c r="K10906" s="41"/>
      <c r="L10906" s="31" t="str">
        <f>IFERROR(__xludf.DUMMYFUNCTION("IF(OR(E10906="""",K10906=""""),"""",IFERROR(IF(K10906="""","""",query('tbl user'!$A$2:$D10975,""SELECT A WHERE D = '""&amp;K10906&amp;""'"")),""USER TIDAK DIKETAHUI""))"),"")</f>
        <v/>
      </c>
    </row>
    <row r="10907">
      <c r="A10907" s="21" t="str">
        <f t="shared" si="3"/>
        <v/>
      </c>
      <c r="B10907" s="38"/>
      <c r="C10907" s="23"/>
      <c r="D10907" s="23"/>
      <c r="E10907" s="24"/>
      <c r="F10907" s="25"/>
      <c r="G10907" s="25"/>
      <c r="H10907" s="27"/>
      <c r="I10907" s="28"/>
      <c r="J10907" s="39"/>
      <c r="K10907" s="41"/>
      <c r="L10907" s="31" t="str">
        <f>IFERROR(__xludf.DUMMYFUNCTION("IF(OR(E10907="""",K10907=""""),"""",IFERROR(IF(K10907="""","""",query('tbl user'!$A$2:$D10975,""SELECT A WHERE D = '""&amp;K10907&amp;""'"")),""USER TIDAK DIKETAHUI""))"),"")</f>
        <v/>
      </c>
    </row>
    <row r="10908">
      <c r="A10908" s="21" t="str">
        <f t="shared" si="3"/>
        <v/>
      </c>
      <c r="B10908" s="38"/>
      <c r="C10908" s="23"/>
      <c r="D10908" s="23"/>
      <c r="E10908" s="24"/>
      <c r="F10908" s="25"/>
      <c r="G10908" s="25"/>
      <c r="H10908" s="27"/>
      <c r="I10908" s="28"/>
      <c r="J10908" s="39"/>
      <c r="K10908" s="41"/>
      <c r="L10908" s="31" t="str">
        <f>IFERROR(__xludf.DUMMYFUNCTION("IF(OR(E10908="""",K10908=""""),"""",IFERROR(IF(K10908="""","""",query('tbl user'!$A$2:$D10975,""SELECT A WHERE D = '""&amp;K10908&amp;""'"")),""USER TIDAK DIKETAHUI""))"),"")</f>
        <v/>
      </c>
    </row>
    <row r="10909">
      <c r="A10909" s="21" t="str">
        <f t="shared" si="3"/>
        <v/>
      </c>
      <c r="B10909" s="38"/>
      <c r="C10909" s="23"/>
      <c r="D10909" s="23"/>
      <c r="E10909" s="24"/>
      <c r="F10909" s="25"/>
      <c r="G10909" s="25"/>
      <c r="H10909" s="27"/>
      <c r="I10909" s="28"/>
      <c r="J10909" s="39"/>
      <c r="K10909" s="41"/>
      <c r="L10909" s="31" t="str">
        <f>IFERROR(__xludf.DUMMYFUNCTION("IF(OR(E10909="""",K10909=""""),"""",IFERROR(IF(K10909="""","""",query('tbl user'!$A$2:$D10975,""SELECT A WHERE D = '""&amp;K10909&amp;""'"")),""USER TIDAK DIKETAHUI""))"),"")</f>
        <v/>
      </c>
    </row>
    <row r="10910">
      <c r="A10910" s="21" t="str">
        <f t="shared" si="3"/>
        <v/>
      </c>
      <c r="B10910" s="38"/>
      <c r="C10910" s="23"/>
      <c r="D10910" s="23"/>
      <c r="E10910" s="24"/>
      <c r="F10910" s="25"/>
      <c r="G10910" s="25"/>
      <c r="H10910" s="27"/>
      <c r="I10910" s="28"/>
      <c r="J10910" s="39"/>
      <c r="K10910" s="41"/>
      <c r="L10910" s="31" t="str">
        <f>IFERROR(__xludf.DUMMYFUNCTION("IF(OR(E10910="""",K10910=""""),"""",IFERROR(IF(K10910="""","""",query('tbl user'!$A$2:$D10975,""SELECT A WHERE D = '""&amp;K10910&amp;""'"")),""USER TIDAK DIKETAHUI""))"),"")</f>
        <v/>
      </c>
    </row>
    <row r="10911">
      <c r="A10911" s="21" t="str">
        <f t="shared" si="3"/>
        <v/>
      </c>
      <c r="B10911" s="38"/>
      <c r="C10911" s="23"/>
      <c r="D10911" s="23"/>
      <c r="E10911" s="24"/>
      <c r="F10911" s="25"/>
      <c r="G10911" s="25"/>
      <c r="H10911" s="27"/>
      <c r="I10911" s="28"/>
      <c r="J10911" s="39"/>
      <c r="K10911" s="41"/>
      <c r="L10911" s="31" t="str">
        <f>IFERROR(__xludf.DUMMYFUNCTION("IF(OR(E10911="""",K10911=""""),"""",IFERROR(IF(K10911="""","""",query('tbl user'!$A$2:$D10975,""SELECT A WHERE D = '""&amp;K10911&amp;""'"")),""USER TIDAK DIKETAHUI""))"),"")</f>
        <v/>
      </c>
    </row>
    <row r="10912">
      <c r="A10912" s="21" t="str">
        <f t="shared" si="3"/>
        <v/>
      </c>
      <c r="B10912" s="38"/>
      <c r="C10912" s="23"/>
      <c r="D10912" s="23"/>
      <c r="E10912" s="24"/>
      <c r="F10912" s="25"/>
      <c r="G10912" s="25"/>
      <c r="H10912" s="27"/>
      <c r="I10912" s="28"/>
      <c r="J10912" s="39"/>
      <c r="K10912" s="41"/>
      <c r="L10912" s="31" t="str">
        <f>IFERROR(__xludf.DUMMYFUNCTION("IF(OR(E10912="""",K10912=""""),"""",IFERROR(IF(K10912="""","""",query('tbl user'!$A$2:$D10975,""SELECT A WHERE D = '""&amp;K10912&amp;""'"")),""USER TIDAK DIKETAHUI""))"),"")</f>
        <v/>
      </c>
    </row>
    <row r="10913">
      <c r="A10913" s="21" t="str">
        <f t="shared" si="3"/>
        <v/>
      </c>
      <c r="B10913" s="38"/>
      <c r="C10913" s="23"/>
      <c r="D10913" s="23"/>
      <c r="E10913" s="24"/>
      <c r="F10913" s="25"/>
      <c r="G10913" s="25"/>
      <c r="H10913" s="27"/>
      <c r="I10913" s="28"/>
      <c r="J10913" s="39"/>
      <c r="K10913" s="41"/>
      <c r="L10913" s="31" t="str">
        <f>IFERROR(__xludf.DUMMYFUNCTION("IF(OR(E10913="""",K10913=""""),"""",IFERROR(IF(K10913="""","""",query('tbl user'!$A$2:$D10975,""SELECT A WHERE D = '""&amp;K10913&amp;""'"")),""USER TIDAK DIKETAHUI""))"),"")</f>
        <v/>
      </c>
    </row>
    <row r="10914">
      <c r="A10914" s="21" t="str">
        <f t="shared" si="3"/>
        <v/>
      </c>
      <c r="B10914" s="38"/>
      <c r="C10914" s="23"/>
      <c r="D10914" s="23"/>
      <c r="E10914" s="24"/>
      <c r="F10914" s="25"/>
      <c r="G10914" s="25"/>
      <c r="H10914" s="27"/>
      <c r="I10914" s="28"/>
      <c r="J10914" s="39"/>
      <c r="K10914" s="41"/>
      <c r="L10914" s="31" t="str">
        <f>IFERROR(__xludf.DUMMYFUNCTION("IF(OR(E10914="""",K10914=""""),"""",IFERROR(IF(K10914="""","""",query('tbl user'!$A$2:$D10975,""SELECT A WHERE D = '""&amp;K10914&amp;""'"")),""USER TIDAK DIKETAHUI""))"),"")</f>
        <v/>
      </c>
    </row>
    <row r="10915">
      <c r="A10915" s="21" t="str">
        <f t="shared" si="3"/>
        <v/>
      </c>
      <c r="B10915" s="38"/>
      <c r="C10915" s="23"/>
      <c r="D10915" s="23"/>
      <c r="E10915" s="24"/>
      <c r="F10915" s="25"/>
      <c r="G10915" s="25"/>
      <c r="H10915" s="27"/>
      <c r="I10915" s="28"/>
      <c r="J10915" s="39"/>
      <c r="K10915" s="41"/>
      <c r="L10915" s="31" t="str">
        <f>IFERROR(__xludf.DUMMYFUNCTION("IF(OR(E10915="""",K10915=""""),"""",IFERROR(IF(K10915="""","""",query('tbl user'!$A$2:$D10975,""SELECT A WHERE D = '""&amp;K10915&amp;""'"")),""USER TIDAK DIKETAHUI""))"),"")</f>
        <v/>
      </c>
    </row>
    <row r="10916">
      <c r="A10916" s="21" t="str">
        <f t="shared" si="3"/>
        <v/>
      </c>
      <c r="B10916" s="38"/>
      <c r="C10916" s="23"/>
      <c r="D10916" s="23"/>
      <c r="E10916" s="24"/>
      <c r="F10916" s="25"/>
      <c r="G10916" s="25"/>
      <c r="H10916" s="27"/>
      <c r="I10916" s="28"/>
      <c r="J10916" s="39"/>
      <c r="K10916" s="41"/>
      <c r="L10916" s="31" t="str">
        <f>IFERROR(__xludf.DUMMYFUNCTION("IF(OR(E10916="""",K10916=""""),"""",IFERROR(IF(K10916="""","""",query('tbl user'!$A$2:$D10975,""SELECT A WHERE D = '""&amp;K10916&amp;""'"")),""USER TIDAK DIKETAHUI""))"),"")</f>
        <v/>
      </c>
    </row>
    <row r="10917">
      <c r="A10917" s="21" t="str">
        <f t="shared" si="3"/>
        <v/>
      </c>
      <c r="B10917" s="38"/>
      <c r="C10917" s="23"/>
      <c r="D10917" s="23"/>
      <c r="E10917" s="24"/>
      <c r="F10917" s="25"/>
      <c r="G10917" s="25"/>
      <c r="H10917" s="27"/>
      <c r="I10917" s="28"/>
      <c r="J10917" s="39"/>
      <c r="K10917" s="41"/>
      <c r="L10917" s="31" t="str">
        <f>IFERROR(__xludf.DUMMYFUNCTION("IF(OR(E10917="""",K10917=""""),"""",IFERROR(IF(K10917="""","""",query('tbl user'!$A$2:$D10975,""SELECT A WHERE D = '""&amp;K10917&amp;""'"")),""USER TIDAK DIKETAHUI""))"),"")</f>
        <v/>
      </c>
    </row>
    <row r="10918">
      <c r="A10918" s="21" t="str">
        <f t="shared" si="3"/>
        <v/>
      </c>
      <c r="B10918" s="38"/>
      <c r="C10918" s="23"/>
      <c r="D10918" s="23"/>
      <c r="E10918" s="24"/>
      <c r="F10918" s="25"/>
      <c r="G10918" s="25"/>
      <c r="H10918" s="27"/>
      <c r="I10918" s="28"/>
      <c r="J10918" s="39"/>
      <c r="K10918" s="41"/>
      <c r="L10918" s="31" t="str">
        <f>IFERROR(__xludf.DUMMYFUNCTION("IF(OR(E10918="""",K10918=""""),"""",IFERROR(IF(K10918="""","""",query('tbl user'!$A$2:$D10975,""SELECT A WHERE D = '""&amp;K10918&amp;""'"")),""USER TIDAK DIKETAHUI""))"),"")</f>
        <v/>
      </c>
    </row>
    <row r="10919">
      <c r="A10919" s="21" t="str">
        <f t="shared" si="3"/>
        <v/>
      </c>
      <c r="B10919" s="38"/>
      <c r="C10919" s="23"/>
      <c r="D10919" s="23"/>
      <c r="E10919" s="24"/>
      <c r="F10919" s="25"/>
      <c r="G10919" s="25"/>
      <c r="H10919" s="27"/>
      <c r="I10919" s="28"/>
      <c r="J10919" s="39"/>
      <c r="K10919" s="41"/>
      <c r="L10919" s="31" t="str">
        <f>IFERROR(__xludf.DUMMYFUNCTION("IF(OR(E10919="""",K10919=""""),"""",IFERROR(IF(K10919="""","""",query('tbl user'!$A$2:$D10975,""SELECT A WHERE D = '""&amp;K10919&amp;""'"")),""USER TIDAK DIKETAHUI""))"),"")</f>
        <v/>
      </c>
    </row>
    <row r="10920">
      <c r="A10920" s="21" t="str">
        <f t="shared" si="3"/>
        <v/>
      </c>
      <c r="B10920" s="38"/>
      <c r="C10920" s="23"/>
      <c r="D10920" s="23"/>
      <c r="E10920" s="24"/>
      <c r="F10920" s="25"/>
      <c r="G10920" s="25"/>
      <c r="H10920" s="27"/>
      <c r="I10920" s="28"/>
      <c r="J10920" s="39"/>
      <c r="K10920" s="41"/>
      <c r="L10920" s="31" t="str">
        <f>IFERROR(__xludf.DUMMYFUNCTION("IF(OR(E10920="""",K10920=""""),"""",IFERROR(IF(K10920="""","""",query('tbl user'!$A$2:$D10975,""SELECT A WHERE D = '""&amp;K10920&amp;""'"")),""USER TIDAK DIKETAHUI""))"),"")</f>
        <v/>
      </c>
    </row>
    <row r="10921">
      <c r="A10921" s="21" t="str">
        <f t="shared" si="3"/>
        <v/>
      </c>
      <c r="B10921" s="38"/>
      <c r="C10921" s="23"/>
      <c r="D10921" s="23"/>
      <c r="E10921" s="24"/>
      <c r="F10921" s="25"/>
      <c r="G10921" s="25"/>
      <c r="H10921" s="27"/>
      <c r="I10921" s="28"/>
      <c r="J10921" s="39"/>
      <c r="K10921" s="41"/>
      <c r="L10921" s="31" t="str">
        <f>IFERROR(__xludf.DUMMYFUNCTION("IF(OR(E10921="""",K10921=""""),"""",IFERROR(IF(K10921="""","""",query('tbl user'!$A$2:$D10975,""SELECT A WHERE D = '""&amp;K10921&amp;""'"")),""USER TIDAK DIKETAHUI""))"),"")</f>
        <v/>
      </c>
    </row>
    <row r="10922">
      <c r="A10922" s="21" t="str">
        <f t="shared" si="3"/>
        <v/>
      </c>
      <c r="B10922" s="38"/>
      <c r="C10922" s="23"/>
      <c r="D10922" s="23"/>
      <c r="E10922" s="24"/>
      <c r="F10922" s="25"/>
      <c r="G10922" s="25"/>
      <c r="H10922" s="27"/>
      <c r="I10922" s="28"/>
      <c r="J10922" s="39"/>
      <c r="K10922" s="41"/>
      <c r="L10922" s="31" t="str">
        <f>IFERROR(__xludf.DUMMYFUNCTION("IF(OR(E10922="""",K10922=""""),"""",IFERROR(IF(K10922="""","""",query('tbl user'!$A$2:$D10975,""SELECT A WHERE D = '""&amp;K10922&amp;""'"")),""USER TIDAK DIKETAHUI""))"),"")</f>
        <v/>
      </c>
    </row>
    <row r="10923">
      <c r="A10923" s="21" t="str">
        <f t="shared" si="3"/>
        <v/>
      </c>
      <c r="B10923" s="38"/>
      <c r="C10923" s="23"/>
      <c r="D10923" s="23"/>
      <c r="E10923" s="24"/>
      <c r="F10923" s="25"/>
      <c r="G10923" s="25"/>
      <c r="H10923" s="27"/>
      <c r="I10923" s="28"/>
      <c r="J10923" s="39"/>
      <c r="K10923" s="41"/>
      <c r="L10923" s="31" t="str">
        <f>IFERROR(__xludf.DUMMYFUNCTION("IF(OR(E10923="""",K10923=""""),"""",IFERROR(IF(K10923="""","""",query('tbl user'!$A$2:$D10975,""SELECT A WHERE D = '""&amp;K10923&amp;""'"")),""USER TIDAK DIKETAHUI""))"),"")</f>
        <v/>
      </c>
    </row>
    <row r="10924">
      <c r="A10924" s="21" t="str">
        <f t="shared" si="3"/>
        <v/>
      </c>
      <c r="B10924" s="38"/>
      <c r="C10924" s="23"/>
      <c r="D10924" s="23"/>
      <c r="E10924" s="24"/>
      <c r="F10924" s="25"/>
      <c r="G10924" s="25"/>
      <c r="H10924" s="27"/>
      <c r="I10924" s="28"/>
      <c r="J10924" s="39"/>
      <c r="K10924" s="41"/>
      <c r="L10924" s="31" t="str">
        <f>IFERROR(__xludf.DUMMYFUNCTION("IF(OR(E10924="""",K10924=""""),"""",IFERROR(IF(K10924="""","""",query('tbl user'!$A$2:$D10975,""SELECT A WHERE D = '""&amp;K10924&amp;""'"")),""USER TIDAK DIKETAHUI""))"),"")</f>
        <v/>
      </c>
    </row>
    <row r="10925">
      <c r="A10925" s="21" t="str">
        <f t="shared" si="3"/>
        <v/>
      </c>
      <c r="B10925" s="38"/>
      <c r="C10925" s="23"/>
      <c r="D10925" s="23"/>
      <c r="E10925" s="24"/>
      <c r="F10925" s="25"/>
      <c r="G10925" s="25"/>
      <c r="H10925" s="27"/>
      <c r="I10925" s="28"/>
      <c r="J10925" s="39"/>
      <c r="K10925" s="41"/>
      <c r="L10925" s="31" t="str">
        <f>IFERROR(__xludf.DUMMYFUNCTION("IF(OR(E10925="""",K10925=""""),"""",IFERROR(IF(K10925="""","""",query('tbl user'!$A$2:$D10975,""SELECT A WHERE D = '""&amp;K10925&amp;""'"")),""USER TIDAK DIKETAHUI""))"),"")</f>
        <v/>
      </c>
    </row>
    <row r="10926">
      <c r="A10926" s="21" t="str">
        <f t="shared" si="3"/>
        <v/>
      </c>
      <c r="B10926" s="38"/>
      <c r="C10926" s="23"/>
      <c r="D10926" s="23"/>
      <c r="E10926" s="24"/>
      <c r="F10926" s="25"/>
      <c r="G10926" s="25"/>
      <c r="H10926" s="27"/>
      <c r="I10926" s="28"/>
      <c r="J10926" s="39"/>
      <c r="K10926" s="41"/>
      <c r="L10926" s="31" t="str">
        <f>IFERROR(__xludf.DUMMYFUNCTION("IF(OR(E10926="""",K10926=""""),"""",IFERROR(IF(K10926="""","""",query('tbl user'!$A$2:$D10975,""SELECT A WHERE D = '""&amp;K10926&amp;""'"")),""USER TIDAK DIKETAHUI""))"),"")</f>
        <v/>
      </c>
    </row>
    <row r="10927">
      <c r="A10927" s="21" t="str">
        <f t="shared" si="3"/>
        <v/>
      </c>
      <c r="B10927" s="38"/>
      <c r="C10927" s="23"/>
      <c r="D10927" s="23"/>
      <c r="E10927" s="24"/>
      <c r="F10927" s="25"/>
      <c r="G10927" s="25"/>
      <c r="H10927" s="27"/>
      <c r="I10927" s="28"/>
      <c r="J10927" s="39"/>
      <c r="K10927" s="41"/>
      <c r="L10927" s="31" t="str">
        <f>IFERROR(__xludf.DUMMYFUNCTION("IF(OR(E10927="""",K10927=""""),"""",IFERROR(IF(K10927="""","""",query('tbl user'!$A$2:$D10975,""SELECT A WHERE D = '""&amp;K10927&amp;""'"")),""USER TIDAK DIKETAHUI""))"),"")</f>
        <v/>
      </c>
    </row>
    <row r="10928">
      <c r="A10928" s="21" t="str">
        <f t="shared" si="3"/>
        <v/>
      </c>
      <c r="B10928" s="38"/>
      <c r="C10928" s="23"/>
      <c r="D10928" s="23"/>
      <c r="E10928" s="24"/>
      <c r="F10928" s="25"/>
      <c r="G10928" s="25"/>
      <c r="H10928" s="27"/>
      <c r="I10928" s="28"/>
      <c r="J10928" s="39"/>
      <c r="K10928" s="41"/>
      <c r="L10928" s="31" t="str">
        <f>IFERROR(__xludf.DUMMYFUNCTION("IF(OR(E10928="""",K10928=""""),"""",IFERROR(IF(K10928="""","""",query('tbl user'!$A$2:$D10975,""SELECT A WHERE D = '""&amp;K10928&amp;""'"")),""USER TIDAK DIKETAHUI""))"),"")</f>
        <v/>
      </c>
    </row>
    <row r="10929">
      <c r="A10929" s="21" t="str">
        <f t="shared" si="3"/>
        <v/>
      </c>
      <c r="B10929" s="38"/>
      <c r="C10929" s="23"/>
      <c r="D10929" s="23"/>
      <c r="E10929" s="24"/>
      <c r="F10929" s="25"/>
      <c r="G10929" s="25"/>
      <c r="H10929" s="27"/>
      <c r="I10929" s="28"/>
      <c r="J10929" s="39"/>
      <c r="K10929" s="41"/>
      <c r="L10929" s="31" t="str">
        <f>IFERROR(__xludf.DUMMYFUNCTION("IF(OR(E10929="""",K10929=""""),"""",IFERROR(IF(K10929="""","""",query('tbl user'!$A$2:$D10975,""SELECT A WHERE D = '""&amp;K10929&amp;""'"")),""USER TIDAK DIKETAHUI""))"),"")</f>
        <v/>
      </c>
    </row>
    <row r="10930">
      <c r="A10930" s="21" t="str">
        <f t="shared" si="3"/>
        <v/>
      </c>
      <c r="B10930" s="38"/>
      <c r="C10930" s="23"/>
      <c r="D10930" s="23"/>
      <c r="E10930" s="24"/>
      <c r="F10930" s="25"/>
      <c r="G10930" s="25"/>
      <c r="H10930" s="27"/>
      <c r="I10930" s="28"/>
      <c r="J10930" s="39"/>
      <c r="K10930" s="41"/>
      <c r="L10930" s="31" t="str">
        <f>IFERROR(__xludf.DUMMYFUNCTION("IF(OR(E10930="""",K10930=""""),"""",IFERROR(IF(K10930="""","""",query('tbl user'!$A$2:$D10975,""SELECT A WHERE D = '""&amp;K10930&amp;""'"")),""USER TIDAK DIKETAHUI""))"),"")</f>
        <v/>
      </c>
    </row>
    <row r="10931">
      <c r="A10931" s="21" t="str">
        <f t="shared" si="3"/>
        <v/>
      </c>
      <c r="B10931" s="38"/>
      <c r="C10931" s="23"/>
      <c r="D10931" s="23"/>
      <c r="E10931" s="24"/>
      <c r="F10931" s="25"/>
      <c r="G10931" s="25"/>
      <c r="H10931" s="27"/>
      <c r="I10931" s="28"/>
      <c r="J10931" s="39"/>
      <c r="K10931" s="41"/>
      <c r="L10931" s="31" t="str">
        <f>IFERROR(__xludf.DUMMYFUNCTION("IF(OR(E10931="""",K10931=""""),"""",IFERROR(IF(K10931="""","""",query('tbl user'!$A$2:$D10975,""SELECT A WHERE D = '""&amp;K10931&amp;""'"")),""USER TIDAK DIKETAHUI""))"),"")</f>
        <v/>
      </c>
    </row>
    <row r="10932">
      <c r="A10932" s="21" t="str">
        <f t="shared" si="3"/>
        <v/>
      </c>
      <c r="B10932" s="38"/>
      <c r="C10932" s="23"/>
      <c r="D10932" s="23"/>
      <c r="E10932" s="24"/>
      <c r="F10932" s="25"/>
      <c r="G10932" s="25"/>
      <c r="H10932" s="27"/>
      <c r="I10932" s="28"/>
      <c r="J10932" s="39"/>
      <c r="K10932" s="41"/>
      <c r="L10932" s="31" t="str">
        <f>IFERROR(__xludf.DUMMYFUNCTION("IF(OR(E10932="""",K10932=""""),"""",IFERROR(IF(K10932="""","""",query('tbl user'!$A$2:$D10975,""SELECT A WHERE D = '""&amp;K10932&amp;""'"")),""USER TIDAK DIKETAHUI""))"),"")</f>
        <v/>
      </c>
    </row>
    <row r="10933">
      <c r="A10933" s="21" t="str">
        <f t="shared" si="3"/>
        <v/>
      </c>
      <c r="B10933" s="38"/>
      <c r="C10933" s="23"/>
      <c r="D10933" s="23"/>
      <c r="E10933" s="24"/>
      <c r="F10933" s="25"/>
      <c r="G10933" s="25"/>
      <c r="H10933" s="27"/>
      <c r="I10933" s="28"/>
      <c r="J10933" s="39"/>
      <c r="K10933" s="41"/>
      <c r="L10933" s="31" t="str">
        <f>IFERROR(__xludf.DUMMYFUNCTION("IF(OR(E10933="""",K10933=""""),"""",IFERROR(IF(K10933="""","""",query('tbl user'!$A$2:$D10975,""SELECT A WHERE D = '""&amp;K10933&amp;""'"")),""USER TIDAK DIKETAHUI""))"),"")</f>
        <v/>
      </c>
    </row>
    <row r="10934">
      <c r="A10934" s="21" t="str">
        <f t="shared" si="3"/>
        <v/>
      </c>
      <c r="B10934" s="38"/>
      <c r="C10934" s="23"/>
      <c r="D10934" s="23"/>
      <c r="E10934" s="24"/>
      <c r="F10934" s="25"/>
      <c r="G10934" s="25"/>
      <c r="H10934" s="27"/>
      <c r="I10934" s="28"/>
      <c r="J10934" s="39"/>
      <c r="K10934" s="41"/>
      <c r="L10934" s="31" t="str">
        <f>IFERROR(__xludf.DUMMYFUNCTION("IF(OR(E10934="""",K10934=""""),"""",IFERROR(IF(K10934="""","""",query('tbl user'!$A$2:$D10975,""SELECT A WHERE D = '""&amp;K10934&amp;""'"")),""USER TIDAK DIKETAHUI""))"),"")</f>
        <v/>
      </c>
    </row>
    <row r="10935">
      <c r="A10935" s="21" t="str">
        <f t="shared" si="3"/>
        <v/>
      </c>
      <c r="B10935" s="38"/>
      <c r="C10935" s="23"/>
      <c r="D10935" s="23"/>
      <c r="E10935" s="24"/>
      <c r="F10935" s="25"/>
      <c r="G10935" s="25"/>
      <c r="H10935" s="27"/>
      <c r="I10935" s="28"/>
      <c r="J10935" s="39"/>
      <c r="K10935" s="41"/>
      <c r="L10935" s="31" t="str">
        <f>IFERROR(__xludf.DUMMYFUNCTION("IF(OR(E10935="""",K10935=""""),"""",IFERROR(IF(K10935="""","""",query('tbl user'!$A$2:$D10975,""SELECT A WHERE D = '""&amp;K10935&amp;""'"")),""USER TIDAK DIKETAHUI""))"),"")</f>
        <v/>
      </c>
    </row>
    <row r="10936">
      <c r="A10936" s="21" t="str">
        <f t="shared" si="3"/>
        <v/>
      </c>
      <c r="B10936" s="38"/>
      <c r="C10936" s="23"/>
      <c r="D10936" s="23"/>
      <c r="E10936" s="24"/>
      <c r="F10936" s="25"/>
      <c r="G10936" s="25"/>
      <c r="H10936" s="27"/>
      <c r="I10936" s="28"/>
      <c r="J10936" s="39"/>
      <c r="K10936" s="41"/>
      <c r="L10936" s="31" t="str">
        <f>IFERROR(__xludf.DUMMYFUNCTION("IF(OR(E10936="""",K10936=""""),"""",IFERROR(IF(K10936="""","""",query('tbl user'!$A$2:$D10975,""SELECT A WHERE D = '""&amp;K10936&amp;""'"")),""USER TIDAK DIKETAHUI""))"),"")</f>
        <v/>
      </c>
    </row>
    <row r="10937">
      <c r="A10937" s="21" t="str">
        <f t="shared" si="3"/>
        <v/>
      </c>
      <c r="B10937" s="38"/>
      <c r="C10937" s="23"/>
      <c r="D10937" s="23"/>
      <c r="E10937" s="24"/>
      <c r="F10937" s="25"/>
      <c r="G10937" s="25"/>
      <c r="H10937" s="27"/>
      <c r="I10937" s="28"/>
      <c r="J10937" s="39"/>
      <c r="K10937" s="41"/>
      <c r="L10937" s="31" t="str">
        <f>IFERROR(__xludf.DUMMYFUNCTION("IF(OR(E10937="""",K10937=""""),"""",IFERROR(IF(K10937="""","""",query('tbl user'!$A$2:$D10975,""SELECT A WHERE D = '""&amp;K10937&amp;""'"")),""USER TIDAK DIKETAHUI""))"),"")</f>
        <v/>
      </c>
    </row>
    <row r="10938">
      <c r="A10938" s="21" t="str">
        <f t="shared" si="3"/>
        <v/>
      </c>
      <c r="B10938" s="38"/>
      <c r="C10938" s="23"/>
      <c r="D10938" s="23"/>
      <c r="E10938" s="24"/>
      <c r="F10938" s="25"/>
      <c r="G10938" s="25"/>
      <c r="H10938" s="27"/>
      <c r="I10938" s="28"/>
      <c r="J10938" s="39"/>
      <c r="K10938" s="41"/>
      <c r="L10938" s="31" t="str">
        <f>IFERROR(__xludf.DUMMYFUNCTION("IF(OR(E10938="""",K10938=""""),"""",IFERROR(IF(K10938="""","""",query('tbl user'!$A$2:$D10975,""SELECT A WHERE D = '""&amp;K10938&amp;""'"")),""USER TIDAK DIKETAHUI""))"),"")</f>
        <v/>
      </c>
    </row>
    <row r="10939">
      <c r="A10939" s="21" t="str">
        <f t="shared" si="3"/>
        <v/>
      </c>
      <c r="B10939" s="38"/>
      <c r="C10939" s="23"/>
      <c r="D10939" s="23"/>
      <c r="E10939" s="24"/>
      <c r="F10939" s="25"/>
      <c r="G10939" s="25"/>
      <c r="H10939" s="27"/>
      <c r="I10939" s="28"/>
      <c r="J10939" s="39"/>
      <c r="K10939" s="41"/>
      <c r="L10939" s="31" t="str">
        <f>IFERROR(__xludf.DUMMYFUNCTION("IF(OR(E10939="""",K10939=""""),"""",IFERROR(IF(K10939="""","""",query('tbl user'!$A$2:$D10975,""SELECT A WHERE D = '""&amp;K10939&amp;""'"")),""USER TIDAK DIKETAHUI""))"),"")</f>
        <v/>
      </c>
    </row>
    <row r="10940">
      <c r="A10940" s="21" t="str">
        <f t="shared" si="3"/>
        <v/>
      </c>
      <c r="B10940" s="38"/>
      <c r="C10940" s="23"/>
      <c r="D10940" s="23"/>
      <c r="E10940" s="24"/>
      <c r="F10940" s="25"/>
      <c r="G10940" s="25"/>
      <c r="H10940" s="27"/>
      <c r="I10940" s="28"/>
      <c r="J10940" s="39"/>
      <c r="K10940" s="41"/>
      <c r="L10940" s="31" t="str">
        <f>IFERROR(__xludf.DUMMYFUNCTION("IF(OR(E10940="""",K10940=""""),"""",IFERROR(IF(K10940="""","""",query('tbl user'!$A$2:$D10975,""SELECT A WHERE D = '""&amp;K10940&amp;""'"")),""USER TIDAK DIKETAHUI""))"),"")</f>
        <v/>
      </c>
    </row>
    <row r="10941">
      <c r="A10941" s="21" t="str">
        <f t="shared" si="3"/>
        <v/>
      </c>
      <c r="B10941" s="38"/>
      <c r="C10941" s="23"/>
      <c r="D10941" s="23"/>
      <c r="E10941" s="24"/>
      <c r="F10941" s="25"/>
      <c r="G10941" s="25"/>
      <c r="H10941" s="27"/>
      <c r="I10941" s="28"/>
      <c r="J10941" s="39"/>
      <c r="K10941" s="41"/>
      <c r="L10941" s="31" t="str">
        <f>IFERROR(__xludf.DUMMYFUNCTION("IF(OR(E10941="""",K10941=""""),"""",IFERROR(IF(K10941="""","""",query('tbl user'!$A$2:$D10975,""SELECT A WHERE D = '""&amp;K10941&amp;""'"")),""USER TIDAK DIKETAHUI""))"),"")</f>
        <v/>
      </c>
    </row>
    <row r="10942">
      <c r="A10942" s="21" t="str">
        <f t="shared" si="3"/>
        <v/>
      </c>
      <c r="B10942" s="38"/>
      <c r="C10942" s="23"/>
      <c r="D10942" s="23"/>
      <c r="E10942" s="24"/>
      <c r="F10942" s="25"/>
      <c r="G10942" s="25"/>
      <c r="H10942" s="27"/>
      <c r="I10942" s="28"/>
      <c r="J10942" s="39"/>
      <c r="K10942" s="41"/>
      <c r="L10942" s="31" t="str">
        <f>IFERROR(__xludf.DUMMYFUNCTION("IF(OR(E10942="""",K10942=""""),"""",IFERROR(IF(K10942="""","""",query('tbl user'!$A$2:$D10975,""SELECT A WHERE D = '""&amp;K10942&amp;""'"")),""USER TIDAK DIKETAHUI""))"),"")</f>
        <v/>
      </c>
    </row>
    <row r="10943">
      <c r="A10943" s="21" t="str">
        <f t="shared" si="3"/>
        <v/>
      </c>
      <c r="B10943" s="38"/>
      <c r="C10943" s="23"/>
      <c r="D10943" s="23"/>
      <c r="E10943" s="24"/>
      <c r="F10943" s="25"/>
      <c r="G10943" s="25"/>
      <c r="H10943" s="27"/>
      <c r="I10943" s="28"/>
      <c r="J10943" s="39"/>
      <c r="K10943" s="41"/>
      <c r="L10943" s="31" t="str">
        <f>IFERROR(__xludf.DUMMYFUNCTION("IF(OR(E10943="""",K10943=""""),"""",IFERROR(IF(K10943="""","""",query('tbl user'!$A$2:$D10975,""SELECT A WHERE D = '""&amp;K10943&amp;""'"")),""USER TIDAK DIKETAHUI""))"),"")</f>
        <v/>
      </c>
    </row>
    <row r="10944">
      <c r="A10944" s="21" t="str">
        <f t="shared" si="3"/>
        <v/>
      </c>
      <c r="B10944" s="38"/>
      <c r="C10944" s="23"/>
      <c r="D10944" s="23"/>
      <c r="E10944" s="24"/>
      <c r="F10944" s="25"/>
      <c r="G10944" s="25"/>
      <c r="H10944" s="27"/>
      <c r="I10944" s="28"/>
      <c r="J10944" s="39"/>
      <c r="K10944" s="41"/>
      <c r="L10944" s="31" t="str">
        <f>IFERROR(__xludf.DUMMYFUNCTION("IF(OR(E10944="""",K10944=""""),"""",IFERROR(IF(K10944="""","""",query('tbl user'!$A$2:$D10975,""SELECT A WHERE D = '""&amp;K10944&amp;""'"")),""USER TIDAK DIKETAHUI""))"),"")</f>
        <v/>
      </c>
    </row>
    <row r="10945">
      <c r="A10945" s="21" t="str">
        <f t="shared" si="3"/>
        <v/>
      </c>
      <c r="B10945" s="38"/>
      <c r="C10945" s="23"/>
      <c r="D10945" s="23"/>
      <c r="E10945" s="24"/>
      <c r="F10945" s="25"/>
      <c r="G10945" s="25"/>
      <c r="H10945" s="27"/>
      <c r="I10945" s="28"/>
      <c r="J10945" s="39"/>
      <c r="K10945" s="41"/>
      <c r="L10945" s="31" t="str">
        <f>IFERROR(__xludf.DUMMYFUNCTION("IF(OR(E10945="""",K10945=""""),"""",IFERROR(IF(K10945="""","""",query('tbl user'!$A$2:$D10975,""SELECT A WHERE D = '""&amp;K10945&amp;""'"")),""USER TIDAK DIKETAHUI""))"),"")</f>
        <v/>
      </c>
    </row>
    <row r="10946">
      <c r="A10946" s="21" t="str">
        <f t="shared" si="3"/>
        <v/>
      </c>
      <c r="B10946" s="38"/>
      <c r="C10946" s="23"/>
      <c r="D10946" s="23"/>
      <c r="E10946" s="24"/>
      <c r="F10946" s="25"/>
      <c r="G10946" s="25"/>
      <c r="H10946" s="27"/>
      <c r="I10946" s="28"/>
      <c r="J10946" s="39"/>
      <c r="K10946" s="41"/>
      <c r="L10946" s="31" t="str">
        <f>IFERROR(__xludf.DUMMYFUNCTION("IF(OR(E10946="""",K10946=""""),"""",IFERROR(IF(K10946="""","""",query('tbl user'!$A$2:$D10975,""SELECT A WHERE D = '""&amp;K10946&amp;""'"")),""USER TIDAK DIKETAHUI""))"),"")</f>
        <v/>
      </c>
    </row>
    <row r="10947">
      <c r="A10947" s="21" t="str">
        <f t="shared" si="3"/>
        <v/>
      </c>
      <c r="B10947" s="38"/>
      <c r="C10947" s="23"/>
      <c r="D10947" s="23"/>
      <c r="E10947" s="24"/>
      <c r="F10947" s="25"/>
      <c r="G10947" s="25"/>
      <c r="H10947" s="27"/>
      <c r="I10947" s="28"/>
      <c r="J10947" s="39"/>
      <c r="K10947" s="41"/>
      <c r="L10947" s="31" t="str">
        <f>IFERROR(__xludf.DUMMYFUNCTION("IF(OR(E10947="""",K10947=""""),"""",IFERROR(IF(K10947="""","""",query('tbl user'!$A$2:$D10975,""SELECT A WHERE D = '""&amp;K10947&amp;""'"")),""USER TIDAK DIKETAHUI""))"),"")</f>
        <v/>
      </c>
    </row>
    <row r="10948">
      <c r="A10948" s="21" t="str">
        <f t="shared" si="3"/>
        <v/>
      </c>
      <c r="B10948" s="38"/>
      <c r="C10948" s="23"/>
      <c r="D10948" s="23"/>
      <c r="E10948" s="24"/>
      <c r="F10948" s="25"/>
      <c r="G10948" s="25"/>
      <c r="H10948" s="27"/>
      <c r="I10948" s="28"/>
      <c r="J10948" s="39"/>
      <c r="K10948" s="41"/>
      <c r="L10948" s="31" t="str">
        <f>IFERROR(__xludf.DUMMYFUNCTION("IF(OR(E10948="""",K10948=""""),"""",IFERROR(IF(K10948="""","""",query('tbl user'!$A$2:$D10975,""SELECT A WHERE D = '""&amp;K10948&amp;""'"")),""USER TIDAK DIKETAHUI""))"),"")</f>
        <v/>
      </c>
    </row>
    <row r="10949">
      <c r="A10949" s="21" t="str">
        <f t="shared" si="3"/>
        <v/>
      </c>
      <c r="B10949" s="38"/>
      <c r="C10949" s="23"/>
      <c r="D10949" s="23"/>
      <c r="E10949" s="24"/>
      <c r="F10949" s="25"/>
      <c r="G10949" s="25"/>
      <c r="H10949" s="27"/>
      <c r="I10949" s="28"/>
      <c r="J10949" s="39"/>
      <c r="K10949" s="41"/>
      <c r="L10949" s="31" t="str">
        <f>IFERROR(__xludf.DUMMYFUNCTION("IF(OR(E10949="""",K10949=""""),"""",IFERROR(IF(K10949="""","""",query('tbl user'!$A$2:$D10975,""SELECT A WHERE D = '""&amp;K10949&amp;""'"")),""USER TIDAK DIKETAHUI""))"),"")</f>
        <v/>
      </c>
    </row>
    <row r="10950">
      <c r="A10950" s="21" t="str">
        <f t="shared" si="3"/>
        <v/>
      </c>
      <c r="B10950" s="38"/>
      <c r="C10950" s="23"/>
      <c r="D10950" s="23"/>
      <c r="E10950" s="24"/>
      <c r="F10950" s="25"/>
      <c r="G10950" s="25"/>
      <c r="H10950" s="27"/>
      <c r="I10950" s="28"/>
      <c r="J10950" s="39"/>
      <c r="K10950" s="41"/>
      <c r="L10950" s="31" t="str">
        <f>IFERROR(__xludf.DUMMYFUNCTION("IF(OR(E10950="""",K10950=""""),"""",IFERROR(IF(K10950="""","""",query('tbl user'!$A$2:$D10975,""SELECT A WHERE D = '""&amp;K10950&amp;""'"")),""USER TIDAK DIKETAHUI""))"),"")</f>
        <v/>
      </c>
    </row>
    <row r="10951">
      <c r="A10951" s="21" t="str">
        <f t="shared" si="3"/>
        <v/>
      </c>
      <c r="B10951" s="38"/>
      <c r="C10951" s="23"/>
      <c r="D10951" s="23"/>
      <c r="E10951" s="24"/>
      <c r="F10951" s="25"/>
      <c r="G10951" s="25"/>
      <c r="H10951" s="27"/>
      <c r="I10951" s="28"/>
      <c r="J10951" s="39"/>
      <c r="K10951" s="41"/>
      <c r="L10951" s="31" t="str">
        <f>IFERROR(__xludf.DUMMYFUNCTION("IF(OR(E10951="""",K10951=""""),"""",IFERROR(IF(K10951="""","""",query('tbl user'!$A$2:$D10975,""SELECT A WHERE D = '""&amp;K10951&amp;""'"")),""USER TIDAK DIKETAHUI""))"),"")</f>
        <v/>
      </c>
    </row>
    <row r="10952">
      <c r="A10952" s="21" t="str">
        <f t="shared" si="3"/>
        <v/>
      </c>
      <c r="B10952" s="38"/>
      <c r="C10952" s="23"/>
      <c r="D10952" s="23"/>
      <c r="E10952" s="24"/>
      <c r="F10952" s="25"/>
      <c r="G10952" s="25"/>
      <c r="H10952" s="27"/>
      <c r="I10952" s="28"/>
      <c r="J10952" s="39"/>
      <c r="K10952" s="41"/>
      <c r="L10952" s="31" t="str">
        <f>IFERROR(__xludf.DUMMYFUNCTION("IF(OR(E10952="""",K10952=""""),"""",IFERROR(IF(K10952="""","""",query('tbl user'!$A$2:$D10975,""SELECT A WHERE D = '""&amp;K10952&amp;""'"")),""USER TIDAK DIKETAHUI""))"),"")</f>
        <v/>
      </c>
    </row>
    <row r="10953">
      <c r="A10953" s="21" t="str">
        <f t="shared" si="3"/>
        <v/>
      </c>
      <c r="B10953" s="38"/>
      <c r="C10953" s="23"/>
      <c r="D10953" s="23"/>
      <c r="E10953" s="24"/>
      <c r="F10953" s="25"/>
      <c r="G10953" s="25"/>
      <c r="H10953" s="27"/>
      <c r="I10953" s="28"/>
      <c r="J10953" s="39"/>
      <c r="K10953" s="41"/>
      <c r="L10953" s="31" t="str">
        <f>IFERROR(__xludf.DUMMYFUNCTION("IF(OR(E10953="""",K10953=""""),"""",IFERROR(IF(K10953="""","""",query('tbl user'!$A$2:$D10975,""SELECT A WHERE D = '""&amp;K10953&amp;""'"")),""USER TIDAK DIKETAHUI""))"),"")</f>
        <v/>
      </c>
    </row>
    <row r="10954">
      <c r="A10954" s="21" t="str">
        <f t="shared" si="3"/>
        <v/>
      </c>
      <c r="B10954" s="38"/>
      <c r="C10954" s="23"/>
      <c r="D10954" s="23"/>
      <c r="E10954" s="24"/>
      <c r="F10954" s="25"/>
      <c r="G10954" s="25"/>
      <c r="H10954" s="27"/>
      <c r="I10954" s="28"/>
      <c r="J10954" s="39"/>
      <c r="K10954" s="41"/>
      <c r="L10954" s="31" t="str">
        <f>IFERROR(__xludf.DUMMYFUNCTION("IF(OR(E10954="""",K10954=""""),"""",IFERROR(IF(K10954="""","""",query('tbl user'!$A$2:$D10975,""SELECT A WHERE D = '""&amp;K10954&amp;""'"")),""USER TIDAK DIKETAHUI""))"),"")</f>
        <v/>
      </c>
    </row>
    <row r="10955">
      <c r="A10955" s="21" t="str">
        <f t="shared" si="3"/>
        <v/>
      </c>
      <c r="B10955" s="38"/>
      <c r="C10955" s="23"/>
      <c r="D10955" s="23"/>
      <c r="E10955" s="24"/>
      <c r="F10955" s="25"/>
      <c r="G10955" s="25"/>
      <c r="H10955" s="27"/>
      <c r="I10955" s="28"/>
      <c r="J10955" s="39"/>
      <c r="K10955" s="41"/>
      <c r="L10955" s="31" t="str">
        <f>IFERROR(__xludf.DUMMYFUNCTION("IF(OR(E10955="""",K10955=""""),"""",IFERROR(IF(K10955="""","""",query('tbl user'!$A$2:$D10975,""SELECT A WHERE D = '""&amp;K10955&amp;""'"")),""USER TIDAK DIKETAHUI""))"),"")</f>
        <v/>
      </c>
    </row>
    <row r="10956">
      <c r="A10956" s="21" t="str">
        <f t="shared" si="3"/>
        <v/>
      </c>
      <c r="B10956" s="38"/>
      <c r="C10956" s="23"/>
      <c r="D10956" s="23"/>
      <c r="E10956" s="24"/>
      <c r="F10956" s="25"/>
      <c r="G10956" s="25"/>
      <c r="H10956" s="27"/>
      <c r="I10956" s="28"/>
      <c r="J10956" s="39"/>
      <c r="K10956" s="41"/>
      <c r="L10956" s="31" t="str">
        <f>IFERROR(__xludf.DUMMYFUNCTION("IF(OR(E10956="""",K10956=""""),"""",IFERROR(IF(K10956="""","""",query('tbl user'!$A$2:$D10975,""SELECT A WHERE D = '""&amp;K10956&amp;""'"")),""USER TIDAK DIKETAHUI""))"),"")</f>
        <v/>
      </c>
    </row>
    <row r="10957">
      <c r="A10957" s="21" t="str">
        <f t="shared" si="3"/>
        <v/>
      </c>
      <c r="B10957" s="38"/>
      <c r="C10957" s="23"/>
      <c r="D10957" s="23"/>
      <c r="E10957" s="24"/>
      <c r="F10957" s="25"/>
      <c r="G10957" s="25"/>
      <c r="H10957" s="27"/>
      <c r="I10957" s="28"/>
      <c r="J10957" s="39"/>
      <c r="K10957" s="41"/>
      <c r="L10957" s="31" t="str">
        <f>IFERROR(__xludf.DUMMYFUNCTION("IF(OR(E10957="""",K10957=""""),"""",IFERROR(IF(K10957="""","""",query('tbl user'!$A$2:$D10975,""SELECT A WHERE D = '""&amp;K10957&amp;""'"")),""USER TIDAK DIKETAHUI""))"),"")</f>
        <v/>
      </c>
    </row>
    <row r="10958">
      <c r="A10958" s="21" t="str">
        <f t="shared" si="3"/>
        <v/>
      </c>
      <c r="B10958" s="38"/>
      <c r="C10958" s="23"/>
      <c r="D10958" s="23"/>
      <c r="E10958" s="24"/>
      <c r="F10958" s="25"/>
      <c r="G10958" s="25"/>
      <c r="H10958" s="27"/>
      <c r="I10958" s="28"/>
      <c r="J10958" s="39"/>
      <c r="K10958" s="41"/>
      <c r="L10958" s="31" t="str">
        <f>IFERROR(__xludf.DUMMYFUNCTION("IF(OR(E10958="""",K10958=""""),"""",IFERROR(IF(K10958="""","""",query('tbl user'!$A$2:$D10975,""SELECT A WHERE D = '""&amp;K10958&amp;""'"")),""USER TIDAK DIKETAHUI""))"),"")</f>
        <v/>
      </c>
    </row>
    <row r="10959">
      <c r="A10959" s="21" t="str">
        <f t="shared" si="3"/>
        <v/>
      </c>
      <c r="B10959" s="38"/>
      <c r="C10959" s="23"/>
      <c r="D10959" s="23"/>
      <c r="E10959" s="24"/>
      <c r="F10959" s="25"/>
      <c r="G10959" s="25"/>
      <c r="H10959" s="27"/>
      <c r="I10959" s="28"/>
      <c r="J10959" s="39"/>
      <c r="K10959" s="41"/>
      <c r="L10959" s="31" t="str">
        <f>IFERROR(__xludf.DUMMYFUNCTION("IF(OR(E10959="""",K10959=""""),"""",IFERROR(IF(K10959="""","""",query('tbl user'!$A$2:$D10975,""SELECT A WHERE D = '""&amp;K10959&amp;""'"")),""USER TIDAK DIKETAHUI""))"),"")</f>
        <v/>
      </c>
    </row>
    <row r="10960">
      <c r="A10960" s="21" t="str">
        <f t="shared" si="3"/>
        <v/>
      </c>
      <c r="B10960" s="38"/>
      <c r="C10960" s="23"/>
      <c r="D10960" s="23"/>
      <c r="E10960" s="24"/>
      <c r="F10960" s="25"/>
      <c r="G10960" s="25"/>
      <c r="H10960" s="27"/>
      <c r="I10960" s="28"/>
      <c r="J10960" s="39"/>
      <c r="K10960" s="41"/>
      <c r="L10960" s="31" t="str">
        <f>IFERROR(__xludf.DUMMYFUNCTION("IF(OR(E10960="""",K10960=""""),"""",IFERROR(IF(K10960="""","""",query('tbl user'!$A$2:$D10975,""SELECT A WHERE D = '""&amp;K10960&amp;""'"")),""USER TIDAK DIKETAHUI""))"),"")</f>
        <v/>
      </c>
    </row>
    <row r="10961">
      <c r="A10961" s="21" t="str">
        <f t="shared" si="3"/>
        <v/>
      </c>
      <c r="B10961" s="38"/>
      <c r="C10961" s="23"/>
      <c r="D10961" s="23"/>
      <c r="E10961" s="24"/>
      <c r="F10961" s="25"/>
      <c r="G10961" s="25"/>
      <c r="H10961" s="27"/>
      <c r="I10961" s="28"/>
      <c r="J10961" s="39"/>
      <c r="K10961" s="41"/>
      <c r="L10961" s="31" t="str">
        <f>IFERROR(__xludf.DUMMYFUNCTION("IF(OR(E10961="""",K10961=""""),"""",IFERROR(IF(K10961="""","""",query('tbl user'!$A$2:$D10975,""SELECT A WHERE D = '""&amp;K10961&amp;""'"")),""USER TIDAK DIKETAHUI""))"),"")</f>
        <v/>
      </c>
    </row>
    <row r="10962">
      <c r="A10962" s="21" t="str">
        <f t="shared" si="3"/>
        <v/>
      </c>
      <c r="B10962" s="38"/>
      <c r="C10962" s="23"/>
      <c r="D10962" s="23"/>
      <c r="E10962" s="24"/>
      <c r="F10962" s="25"/>
      <c r="G10962" s="25"/>
      <c r="H10962" s="27"/>
      <c r="I10962" s="28"/>
      <c r="J10962" s="39"/>
      <c r="K10962" s="41"/>
      <c r="L10962" s="31" t="str">
        <f>IFERROR(__xludf.DUMMYFUNCTION("IF(OR(E10962="""",K10962=""""),"""",IFERROR(IF(K10962="""","""",query('tbl user'!$A$2:$D10975,""SELECT A WHERE D = '""&amp;K10962&amp;""'"")),""USER TIDAK DIKETAHUI""))"),"")</f>
        <v/>
      </c>
    </row>
    <row r="10963">
      <c r="A10963" s="21" t="str">
        <f t="shared" si="3"/>
        <v/>
      </c>
      <c r="B10963" s="38"/>
      <c r="C10963" s="23"/>
      <c r="D10963" s="23"/>
      <c r="E10963" s="24"/>
      <c r="F10963" s="25"/>
      <c r="G10963" s="25"/>
      <c r="H10963" s="27"/>
      <c r="I10963" s="28"/>
      <c r="J10963" s="39"/>
      <c r="K10963" s="41"/>
      <c r="L10963" s="31" t="str">
        <f>IFERROR(__xludf.DUMMYFUNCTION("IF(OR(E10963="""",K10963=""""),"""",IFERROR(IF(K10963="""","""",query('tbl user'!$A$2:$D10975,""SELECT A WHERE D = '""&amp;K10963&amp;""'"")),""USER TIDAK DIKETAHUI""))"),"")</f>
        <v/>
      </c>
    </row>
    <row r="10964">
      <c r="A10964" s="21" t="str">
        <f t="shared" si="3"/>
        <v/>
      </c>
      <c r="B10964" s="38"/>
      <c r="C10964" s="23"/>
      <c r="D10964" s="23"/>
      <c r="E10964" s="24"/>
      <c r="F10964" s="25"/>
      <c r="G10964" s="25"/>
      <c r="H10964" s="27"/>
      <c r="I10964" s="28"/>
      <c r="J10964" s="39"/>
      <c r="K10964" s="41"/>
      <c r="L10964" s="31" t="str">
        <f>IFERROR(__xludf.DUMMYFUNCTION("IF(OR(E10964="""",K10964=""""),"""",IFERROR(IF(K10964="""","""",query('tbl user'!$A$2:$D10975,""SELECT A WHERE D = '""&amp;K10964&amp;""'"")),""USER TIDAK DIKETAHUI""))"),"")</f>
        <v/>
      </c>
    </row>
    <row r="10965">
      <c r="A10965" s="21" t="str">
        <f t="shared" si="3"/>
        <v/>
      </c>
      <c r="B10965" s="38"/>
      <c r="C10965" s="23"/>
      <c r="D10965" s="23"/>
      <c r="E10965" s="24"/>
      <c r="F10965" s="25"/>
      <c r="G10965" s="25"/>
      <c r="H10965" s="27"/>
      <c r="I10965" s="28"/>
      <c r="J10965" s="39"/>
      <c r="K10965" s="41"/>
      <c r="L10965" s="31" t="str">
        <f>IFERROR(__xludf.DUMMYFUNCTION("IF(OR(E10965="""",K10965=""""),"""",IFERROR(IF(K10965="""","""",query('tbl user'!$A$2:$D10975,""SELECT A WHERE D = '""&amp;K10965&amp;""'"")),""USER TIDAK DIKETAHUI""))"),"")</f>
        <v/>
      </c>
    </row>
    <row r="10966">
      <c r="A10966" s="21" t="str">
        <f t="shared" si="3"/>
        <v/>
      </c>
      <c r="B10966" s="38"/>
      <c r="C10966" s="23"/>
      <c r="D10966" s="23"/>
      <c r="E10966" s="24"/>
      <c r="F10966" s="25"/>
      <c r="G10966" s="25"/>
      <c r="H10966" s="27"/>
      <c r="I10966" s="28"/>
      <c r="J10966" s="39"/>
      <c r="K10966" s="41"/>
      <c r="L10966" s="31" t="str">
        <f>IFERROR(__xludf.DUMMYFUNCTION("IF(OR(E10966="""",K10966=""""),"""",IFERROR(IF(K10966="""","""",query('tbl user'!$A$2:$D10975,""SELECT A WHERE D = '""&amp;K10966&amp;""'"")),""USER TIDAK DIKETAHUI""))"),"")</f>
        <v/>
      </c>
    </row>
    <row r="10967">
      <c r="A10967" s="21" t="str">
        <f t="shared" si="3"/>
        <v/>
      </c>
      <c r="B10967" s="38"/>
      <c r="C10967" s="23"/>
      <c r="D10967" s="23"/>
      <c r="E10967" s="24"/>
      <c r="F10967" s="25"/>
      <c r="G10967" s="25"/>
      <c r="H10967" s="27"/>
      <c r="I10967" s="28"/>
      <c r="J10967" s="39"/>
      <c r="K10967" s="41"/>
      <c r="L10967" s="31" t="str">
        <f>IFERROR(__xludf.DUMMYFUNCTION("IF(OR(E10967="""",K10967=""""),"""",IFERROR(IF(K10967="""","""",query('tbl user'!$A$2:$D10975,""SELECT A WHERE D = '""&amp;K10967&amp;""'"")),""USER TIDAK DIKETAHUI""))"),"")</f>
        <v/>
      </c>
    </row>
    <row r="10968">
      <c r="A10968" s="21" t="str">
        <f t="shared" si="3"/>
        <v/>
      </c>
      <c r="B10968" s="38"/>
      <c r="C10968" s="23"/>
      <c r="D10968" s="23"/>
      <c r="E10968" s="24"/>
      <c r="F10968" s="25"/>
      <c r="G10968" s="25"/>
      <c r="H10968" s="27"/>
      <c r="I10968" s="28"/>
      <c r="J10968" s="39"/>
      <c r="K10968" s="41"/>
      <c r="L10968" s="31" t="str">
        <f>IFERROR(__xludf.DUMMYFUNCTION("IF(OR(E10968="""",K10968=""""),"""",IFERROR(IF(K10968="""","""",query('tbl user'!$A$2:$D10975,""SELECT A WHERE D = '""&amp;K10968&amp;""'"")),""USER TIDAK DIKETAHUI""))"),"")</f>
        <v/>
      </c>
    </row>
    <row r="10969">
      <c r="A10969" s="21" t="str">
        <f t="shared" si="3"/>
        <v/>
      </c>
      <c r="B10969" s="38"/>
      <c r="C10969" s="23"/>
      <c r="D10969" s="23"/>
      <c r="E10969" s="24"/>
      <c r="F10969" s="25"/>
      <c r="G10969" s="25"/>
      <c r="H10969" s="27"/>
      <c r="I10969" s="28"/>
      <c r="J10969" s="39"/>
      <c r="K10969" s="41"/>
      <c r="L10969" s="31" t="str">
        <f>IFERROR(__xludf.DUMMYFUNCTION("IF(OR(E10969="""",K10969=""""),"""",IFERROR(IF(K10969="""","""",query('tbl user'!$A$2:$D10975,""SELECT A WHERE D = '""&amp;K10969&amp;""'"")),""USER TIDAK DIKETAHUI""))"),"")</f>
        <v/>
      </c>
    </row>
    <row r="10970">
      <c r="A10970" s="21" t="str">
        <f t="shared" si="3"/>
        <v/>
      </c>
      <c r="B10970" s="38"/>
      <c r="C10970" s="23"/>
      <c r="D10970" s="23"/>
      <c r="E10970" s="24"/>
      <c r="F10970" s="25"/>
      <c r="G10970" s="25"/>
      <c r="H10970" s="27"/>
      <c r="I10970" s="28"/>
      <c r="J10970" s="39"/>
      <c r="K10970" s="41"/>
      <c r="L10970" s="31" t="str">
        <f>IFERROR(__xludf.DUMMYFUNCTION("IF(OR(E10970="""",K10970=""""),"""",IFERROR(IF(K10970="""","""",query('tbl user'!$A$2:$D10975,""SELECT A WHERE D = '""&amp;K10970&amp;""'"")),""USER TIDAK DIKETAHUI""))"),"")</f>
        <v/>
      </c>
    </row>
    <row r="10971">
      <c r="A10971" s="21" t="str">
        <f t="shared" si="3"/>
        <v/>
      </c>
      <c r="B10971" s="38"/>
      <c r="C10971" s="23"/>
      <c r="D10971" s="23"/>
      <c r="E10971" s="24"/>
      <c r="F10971" s="25"/>
      <c r="G10971" s="25"/>
      <c r="H10971" s="27"/>
      <c r="I10971" s="28"/>
      <c r="J10971" s="39"/>
      <c r="K10971" s="41"/>
      <c r="L10971" s="31" t="str">
        <f>IFERROR(__xludf.DUMMYFUNCTION("IF(OR(E10971="""",K10971=""""),"""",IFERROR(IF(K10971="""","""",query('tbl user'!$A$2:$D10975,""SELECT A WHERE D = '""&amp;K10971&amp;""'"")),""USER TIDAK DIKETAHUI""))"),"")</f>
        <v/>
      </c>
    </row>
    <row r="10972">
      <c r="A10972" s="21" t="str">
        <f t="shared" si="3"/>
        <v/>
      </c>
      <c r="B10972" s="38"/>
      <c r="C10972" s="23"/>
      <c r="D10972" s="23"/>
      <c r="E10972" s="24"/>
      <c r="F10972" s="25"/>
      <c r="G10972" s="25"/>
      <c r="H10972" s="27"/>
      <c r="I10972" s="28"/>
      <c r="J10972" s="39"/>
      <c r="K10972" s="41"/>
      <c r="L10972" s="31" t="str">
        <f>IFERROR(__xludf.DUMMYFUNCTION("IF(OR(E10972="""",K10972=""""),"""",IFERROR(IF(K10972="""","""",query('tbl user'!$A$2:$D10975,""SELECT A WHERE D = '""&amp;K10972&amp;""'"")),""USER TIDAK DIKETAHUI""))"),"")</f>
        <v/>
      </c>
    </row>
    <row r="10973">
      <c r="A10973" s="21" t="str">
        <f t="shared" si="3"/>
        <v/>
      </c>
      <c r="B10973" s="38"/>
      <c r="C10973" s="23"/>
      <c r="D10973" s="23"/>
      <c r="E10973" s="24"/>
      <c r="F10973" s="25"/>
      <c r="G10973" s="25"/>
      <c r="H10973" s="27"/>
      <c r="I10973" s="28"/>
      <c r="J10973" s="39"/>
      <c r="K10973" s="41"/>
      <c r="L10973" s="31" t="str">
        <f>IFERROR(__xludf.DUMMYFUNCTION("IF(OR(E10973="""",K10973=""""),"""",IFERROR(IF(K10973="""","""",query('tbl user'!$A$2:$D10975,""SELECT A WHERE D = '""&amp;K10973&amp;""'"")),""USER TIDAK DIKETAHUI""))"),"")</f>
        <v/>
      </c>
    </row>
    <row r="10974">
      <c r="A10974" s="21" t="str">
        <f t="shared" si="3"/>
        <v/>
      </c>
      <c r="B10974" s="38"/>
      <c r="C10974" s="23"/>
      <c r="D10974" s="23"/>
      <c r="E10974" s="24"/>
      <c r="F10974" s="25"/>
      <c r="G10974" s="25"/>
      <c r="H10974" s="27"/>
      <c r="I10974" s="28"/>
      <c r="J10974" s="39"/>
      <c r="K10974" s="41"/>
      <c r="L10974" s="31" t="str">
        <f>IFERROR(__xludf.DUMMYFUNCTION("IF(OR(E10974="""",K10974=""""),"""",IFERROR(IF(K10974="""","""",query('tbl user'!$A$2:$D10975,""SELECT A WHERE D = '""&amp;K10974&amp;""'"")),""USER TIDAK DIKETAHUI""))"),"")</f>
        <v/>
      </c>
    </row>
    <row r="10975">
      <c r="A10975" s="21" t="str">
        <f t="shared" si="3"/>
        <v/>
      </c>
      <c r="B10975" s="38"/>
      <c r="C10975" s="23"/>
      <c r="D10975" s="23"/>
      <c r="E10975" s="24"/>
      <c r="F10975" s="25"/>
      <c r="G10975" s="25"/>
      <c r="H10975" s="27"/>
      <c r="I10975" s="28"/>
      <c r="J10975" s="39"/>
      <c r="K10975" s="41"/>
      <c r="L10975" s="31" t="str">
        <f>IFERROR(__xludf.DUMMYFUNCTION("IF(OR(E10975="""",K10975=""""),"""",IFERROR(IF(K10975="""","""",query('tbl user'!$A$2:$D10975,""SELECT A WHERE D = '""&amp;K10975&amp;""'"")),""USER TIDAK DIKETAHUI""))"),"")</f>
        <v/>
      </c>
    </row>
  </sheetData>
  <autoFilter ref="$B$1:$L$4884"/>
  <mergeCells count="2">
    <mergeCell ref="A1:A2"/>
    <mergeCell ref="F2:G2"/>
  </mergeCells>
  <dataValidations>
    <dataValidation type="list" allowBlank="1" showErrorMessage="1" sqref="C3:C10975">
      <formula1>'tbl equipment'!$C$2:$C10975</formula1>
    </dataValidation>
    <dataValidation type="list" allowBlank="1" showErrorMessage="1" sqref="D3:D10975">
      <formula1>'tbl project'!$B$2:$B10975</formula1>
    </dataValidation>
    <dataValidation type="custom" allowBlank="1" showDropDown="1" showInputMessage="1" showErrorMessage="1" prompt="Masukkan tanggal yang valid" sqref="E3:E10975">
      <formula1>OR(NOT(ISERROR(DATEVALUE(E3))), AND(ISNUMBER(E3), LEFT(CELL("format", E3))="D"))</formula1>
    </dataValidation>
    <dataValidation type="list" allowBlank="1" showErrorMessage="1" sqref="B3:B10975">
      <formula1>'tbl driver 2'!$J$2:$J10975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hidden="1" min="2" max="2" width="25.63"/>
    <col customWidth="1" min="3" max="3" width="25.63"/>
    <col customWidth="1" min="4" max="4" width="80.5"/>
  </cols>
  <sheetData>
    <row r="1" ht="30.75" customHeight="1">
      <c r="A1" s="47" t="s">
        <v>3260</v>
      </c>
      <c r="B1" s="48" t="s">
        <v>3261</v>
      </c>
      <c r="C1" s="49" t="s">
        <v>3262</v>
      </c>
      <c r="D1" s="50" t="s">
        <v>10</v>
      </c>
    </row>
    <row r="2">
      <c r="A2" s="51" t="s">
        <v>3263</v>
      </c>
      <c r="B2" s="52">
        <f>IF(A2="","",0)</f>
        <v>0</v>
      </c>
      <c r="C2" s="53">
        <v>12345.0</v>
      </c>
      <c r="D2" s="54" t="s">
        <v>3264</v>
      </c>
    </row>
    <row r="3">
      <c r="A3" s="51" t="s">
        <v>3265</v>
      </c>
      <c r="B3" s="52">
        <f t="shared" ref="B3:B4" si="1">if(A3="","",B2+1)</f>
        <v>1</v>
      </c>
      <c r="C3" s="53">
        <v>1.2335678E7</v>
      </c>
      <c r="D3" s="54" t="s">
        <v>3266</v>
      </c>
    </row>
    <row r="4">
      <c r="A4" s="51" t="s">
        <v>3263</v>
      </c>
      <c r="B4" s="52">
        <f t="shared" si="1"/>
        <v>2</v>
      </c>
      <c r="C4" s="55"/>
      <c r="D4" s="54" t="s">
        <v>3267</v>
      </c>
    </row>
    <row r="5">
      <c r="A5" s="51" t="s">
        <v>3265</v>
      </c>
      <c r="B5" s="52"/>
      <c r="C5" s="53">
        <v>12345.0</v>
      </c>
      <c r="D5" s="54" t="s">
        <v>23</v>
      </c>
    </row>
    <row r="6">
      <c r="A6" s="51" t="s">
        <v>3265</v>
      </c>
      <c r="B6" s="52"/>
      <c r="C6" s="53">
        <v>123.0</v>
      </c>
      <c r="D6" s="54" t="s">
        <v>23</v>
      </c>
    </row>
    <row r="7">
      <c r="A7" s="51" t="s">
        <v>3265</v>
      </c>
      <c r="B7" s="55">
        <f t="shared" ref="B7:B207" si="2">if(A7="","",B6+1)</f>
        <v>1</v>
      </c>
      <c r="C7" s="53">
        <v>1234.0</v>
      </c>
      <c r="D7" s="54" t="s">
        <v>23</v>
      </c>
    </row>
    <row r="8">
      <c r="A8" s="53" t="s">
        <v>3265</v>
      </c>
      <c r="B8" s="55">
        <f t="shared" si="2"/>
        <v>2</v>
      </c>
      <c r="C8" s="53">
        <v>123.0</v>
      </c>
      <c r="D8" s="54" t="s">
        <v>23</v>
      </c>
    </row>
    <row r="9">
      <c r="A9" s="51" t="s">
        <v>3265</v>
      </c>
      <c r="B9" s="55">
        <f t="shared" si="2"/>
        <v>3</v>
      </c>
      <c r="C9" s="53">
        <v>12345.0</v>
      </c>
      <c r="D9" s="54" t="s">
        <v>3268</v>
      </c>
    </row>
    <row r="10">
      <c r="A10" s="55"/>
      <c r="B10" s="55" t="str">
        <f t="shared" si="2"/>
        <v/>
      </c>
      <c r="C10" s="55"/>
      <c r="D10" s="56"/>
    </row>
    <row r="11">
      <c r="A11" s="55"/>
      <c r="B11" s="55" t="str">
        <f t="shared" si="2"/>
        <v/>
      </c>
      <c r="C11" s="55"/>
      <c r="D11" s="56"/>
    </row>
    <row r="12">
      <c r="A12" s="55"/>
      <c r="B12" s="55" t="str">
        <f t="shared" si="2"/>
        <v/>
      </c>
      <c r="C12" s="55"/>
      <c r="D12" s="56"/>
    </row>
    <row r="13">
      <c r="A13" s="55"/>
      <c r="B13" s="55" t="str">
        <f t="shared" si="2"/>
        <v/>
      </c>
      <c r="C13" s="55"/>
      <c r="D13" s="56"/>
    </row>
    <row r="14">
      <c r="A14" s="55"/>
      <c r="B14" s="55" t="str">
        <f t="shared" si="2"/>
        <v/>
      </c>
      <c r="C14" s="55"/>
      <c r="D14" s="56"/>
    </row>
    <row r="15">
      <c r="A15" s="55"/>
      <c r="B15" s="55" t="str">
        <f t="shared" si="2"/>
        <v/>
      </c>
      <c r="C15" s="55"/>
      <c r="D15" s="56"/>
    </row>
    <row r="16">
      <c r="A16" s="55"/>
      <c r="B16" s="55" t="str">
        <f t="shared" si="2"/>
        <v/>
      </c>
      <c r="C16" s="55"/>
      <c r="D16" s="56"/>
    </row>
    <row r="17">
      <c r="A17" s="55"/>
      <c r="B17" s="55" t="str">
        <f t="shared" si="2"/>
        <v/>
      </c>
      <c r="C17" s="55"/>
      <c r="D17" s="56"/>
    </row>
    <row r="18">
      <c r="A18" s="55"/>
      <c r="B18" s="55" t="str">
        <f t="shared" si="2"/>
        <v/>
      </c>
      <c r="C18" s="55"/>
      <c r="D18" s="56"/>
    </row>
    <row r="19">
      <c r="A19" s="55"/>
      <c r="B19" s="55" t="str">
        <f t="shared" si="2"/>
        <v/>
      </c>
      <c r="C19" s="55"/>
      <c r="D19" s="56"/>
    </row>
    <row r="20">
      <c r="A20" s="55"/>
      <c r="B20" s="55" t="str">
        <f t="shared" si="2"/>
        <v/>
      </c>
      <c r="C20" s="55"/>
      <c r="D20" s="56"/>
    </row>
    <row r="21">
      <c r="A21" s="55"/>
      <c r="B21" s="55" t="str">
        <f t="shared" si="2"/>
        <v/>
      </c>
      <c r="C21" s="55"/>
      <c r="D21" s="56"/>
    </row>
    <row r="22">
      <c r="A22" s="55"/>
      <c r="B22" s="55" t="str">
        <f t="shared" si="2"/>
        <v/>
      </c>
      <c r="C22" s="55"/>
      <c r="D22" s="56"/>
    </row>
    <row r="23">
      <c r="A23" s="55"/>
      <c r="B23" s="55" t="str">
        <f t="shared" si="2"/>
        <v/>
      </c>
      <c r="C23" s="55"/>
      <c r="D23" s="56"/>
    </row>
    <row r="24">
      <c r="A24" s="55"/>
      <c r="B24" s="55" t="str">
        <f t="shared" si="2"/>
        <v/>
      </c>
      <c r="C24" s="55"/>
      <c r="D24" s="56"/>
    </row>
    <row r="25">
      <c r="A25" s="55"/>
      <c r="B25" s="55" t="str">
        <f t="shared" si="2"/>
        <v/>
      </c>
      <c r="C25" s="55"/>
      <c r="D25" s="56"/>
    </row>
    <row r="26">
      <c r="A26" s="55"/>
      <c r="B26" s="55" t="str">
        <f t="shared" si="2"/>
        <v/>
      </c>
      <c r="C26" s="55"/>
      <c r="D26" s="56"/>
    </row>
    <row r="27">
      <c r="A27" s="55"/>
      <c r="B27" s="55" t="str">
        <f t="shared" si="2"/>
        <v/>
      </c>
      <c r="C27" s="55"/>
      <c r="D27" s="56"/>
    </row>
    <row r="28">
      <c r="A28" s="55"/>
      <c r="B28" s="55" t="str">
        <f t="shared" si="2"/>
        <v/>
      </c>
      <c r="C28" s="55"/>
      <c r="D28" s="56"/>
    </row>
    <row r="29">
      <c r="A29" s="55"/>
      <c r="B29" s="55" t="str">
        <f t="shared" si="2"/>
        <v/>
      </c>
      <c r="C29" s="55"/>
      <c r="D29" s="56"/>
    </row>
    <row r="30">
      <c r="A30" s="55"/>
      <c r="B30" s="55" t="str">
        <f t="shared" si="2"/>
        <v/>
      </c>
      <c r="C30" s="55"/>
      <c r="D30" s="56"/>
    </row>
    <row r="31">
      <c r="A31" s="55"/>
      <c r="B31" s="55" t="str">
        <f t="shared" si="2"/>
        <v/>
      </c>
      <c r="C31" s="55"/>
      <c r="D31" s="56"/>
    </row>
    <row r="32">
      <c r="A32" s="55"/>
      <c r="B32" s="55" t="str">
        <f t="shared" si="2"/>
        <v/>
      </c>
      <c r="C32" s="55"/>
      <c r="D32" s="56"/>
    </row>
    <row r="33">
      <c r="A33" s="55"/>
      <c r="B33" s="55" t="str">
        <f t="shared" si="2"/>
        <v/>
      </c>
      <c r="C33" s="55"/>
      <c r="D33" s="56"/>
    </row>
    <row r="34">
      <c r="A34" s="55"/>
      <c r="B34" s="55" t="str">
        <f t="shared" si="2"/>
        <v/>
      </c>
      <c r="C34" s="55"/>
      <c r="D34" s="56"/>
    </row>
    <row r="35">
      <c r="A35" s="55"/>
      <c r="B35" s="55" t="str">
        <f t="shared" si="2"/>
        <v/>
      </c>
      <c r="C35" s="55"/>
      <c r="D35" s="56"/>
    </row>
    <row r="36">
      <c r="A36" s="55"/>
      <c r="B36" s="55" t="str">
        <f t="shared" si="2"/>
        <v/>
      </c>
      <c r="C36" s="55"/>
      <c r="D36" s="56"/>
    </row>
    <row r="37">
      <c r="A37" s="55"/>
      <c r="B37" s="55" t="str">
        <f t="shared" si="2"/>
        <v/>
      </c>
      <c r="C37" s="55"/>
      <c r="D37" s="56"/>
    </row>
    <row r="38">
      <c r="A38" s="55"/>
      <c r="B38" s="55" t="str">
        <f t="shared" si="2"/>
        <v/>
      </c>
      <c r="C38" s="55"/>
      <c r="D38" s="56"/>
    </row>
    <row r="39">
      <c r="A39" s="55"/>
      <c r="B39" s="55" t="str">
        <f t="shared" si="2"/>
        <v/>
      </c>
      <c r="C39" s="55"/>
      <c r="D39" s="56"/>
    </row>
    <row r="40">
      <c r="A40" s="55"/>
      <c r="B40" s="55" t="str">
        <f t="shared" si="2"/>
        <v/>
      </c>
      <c r="C40" s="55"/>
      <c r="D40" s="56"/>
    </row>
    <row r="41">
      <c r="A41" s="55"/>
      <c r="B41" s="55" t="str">
        <f t="shared" si="2"/>
        <v/>
      </c>
      <c r="C41" s="55"/>
      <c r="D41" s="56"/>
    </row>
    <row r="42">
      <c r="A42" s="55"/>
      <c r="B42" s="55" t="str">
        <f t="shared" si="2"/>
        <v/>
      </c>
      <c r="C42" s="55"/>
      <c r="D42" s="56"/>
    </row>
    <row r="43">
      <c r="A43" s="55"/>
      <c r="B43" s="55" t="str">
        <f t="shared" si="2"/>
        <v/>
      </c>
      <c r="C43" s="55"/>
      <c r="D43" s="56"/>
    </row>
    <row r="44">
      <c r="A44" s="55"/>
      <c r="B44" s="55" t="str">
        <f t="shared" si="2"/>
        <v/>
      </c>
      <c r="C44" s="55"/>
      <c r="D44" s="56"/>
    </row>
    <row r="45">
      <c r="A45" s="55"/>
      <c r="B45" s="55" t="str">
        <f t="shared" si="2"/>
        <v/>
      </c>
      <c r="C45" s="55"/>
      <c r="D45" s="56"/>
    </row>
    <row r="46">
      <c r="A46" s="55"/>
      <c r="B46" s="55" t="str">
        <f t="shared" si="2"/>
        <v/>
      </c>
      <c r="C46" s="55"/>
      <c r="D46" s="56"/>
    </row>
    <row r="47">
      <c r="A47" s="55"/>
      <c r="B47" s="55" t="str">
        <f t="shared" si="2"/>
        <v/>
      </c>
      <c r="C47" s="55"/>
      <c r="D47" s="56"/>
    </row>
    <row r="48">
      <c r="A48" s="55"/>
      <c r="B48" s="55" t="str">
        <f t="shared" si="2"/>
        <v/>
      </c>
      <c r="C48" s="55"/>
      <c r="D48" s="56"/>
    </row>
    <row r="49">
      <c r="A49" s="55"/>
      <c r="B49" s="55" t="str">
        <f t="shared" si="2"/>
        <v/>
      </c>
      <c r="C49" s="55"/>
      <c r="D49" s="56"/>
    </row>
    <row r="50">
      <c r="A50" s="55"/>
      <c r="B50" s="55" t="str">
        <f t="shared" si="2"/>
        <v/>
      </c>
      <c r="C50" s="55"/>
      <c r="D50" s="56"/>
    </row>
    <row r="51">
      <c r="A51" s="55"/>
      <c r="B51" s="55" t="str">
        <f t="shared" si="2"/>
        <v/>
      </c>
      <c r="C51" s="55"/>
      <c r="D51" s="56"/>
    </row>
    <row r="52">
      <c r="A52" s="55"/>
      <c r="B52" s="55" t="str">
        <f t="shared" si="2"/>
        <v/>
      </c>
      <c r="C52" s="55"/>
      <c r="D52" s="56"/>
    </row>
    <row r="53">
      <c r="A53" s="55"/>
      <c r="B53" s="55" t="str">
        <f t="shared" si="2"/>
        <v/>
      </c>
      <c r="C53" s="55"/>
      <c r="D53" s="56"/>
    </row>
    <row r="54">
      <c r="A54" s="55"/>
      <c r="B54" s="55" t="str">
        <f t="shared" si="2"/>
        <v/>
      </c>
      <c r="C54" s="55"/>
      <c r="D54" s="56"/>
    </row>
    <row r="55">
      <c r="A55" s="55"/>
      <c r="B55" s="55" t="str">
        <f t="shared" si="2"/>
        <v/>
      </c>
      <c r="C55" s="55"/>
      <c r="D55" s="56"/>
    </row>
    <row r="56">
      <c r="A56" s="55"/>
      <c r="B56" s="55" t="str">
        <f t="shared" si="2"/>
        <v/>
      </c>
      <c r="C56" s="55"/>
      <c r="D56" s="56"/>
    </row>
    <row r="57">
      <c r="A57" s="55"/>
      <c r="B57" s="55" t="str">
        <f t="shared" si="2"/>
        <v/>
      </c>
      <c r="C57" s="55"/>
      <c r="D57" s="56"/>
    </row>
    <row r="58">
      <c r="A58" s="55"/>
      <c r="B58" s="55" t="str">
        <f t="shared" si="2"/>
        <v/>
      </c>
      <c r="C58" s="55"/>
      <c r="D58" s="56"/>
    </row>
    <row r="59">
      <c r="A59" s="55"/>
      <c r="B59" s="55" t="str">
        <f t="shared" si="2"/>
        <v/>
      </c>
      <c r="C59" s="55"/>
      <c r="D59" s="56"/>
    </row>
    <row r="60">
      <c r="A60" s="55"/>
      <c r="B60" s="55" t="str">
        <f t="shared" si="2"/>
        <v/>
      </c>
      <c r="C60" s="55"/>
      <c r="D60" s="56"/>
    </row>
    <row r="61">
      <c r="A61" s="55"/>
      <c r="B61" s="55" t="str">
        <f t="shared" si="2"/>
        <v/>
      </c>
      <c r="C61" s="55"/>
      <c r="D61" s="56"/>
    </row>
    <row r="62">
      <c r="A62" s="55"/>
      <c r="B62" s="55" t="str">
        <f t="shared" si="2"/>
        <v/>
      </c>
      <c r="C62" s="55"/>
      <c r="D62" s="56"/>
    </row>
    <row r="63">
      <c r="A63" s="55"/>
      <c r="B63" s="55" t="str">
        <f t="shared" si="2"/>
        <v/>
      </c>
      <c r="C63" s="55"/>
      <c r="D63" s="56"/>
    </row>
    <row r="64">
      <c r="A64" s="55"/>
      <c r="B64" s="55" t="str">
        <f t="shared" si="2"/>
        <v/>
      </c>
      <c r="C64" s="55"/>
      <c r="D64" s="56"/>
    </row>
    <row r="65">
      <c r="A65" s="55"/>
      <c r="B65" s="55" t="str">
        <f t="shared" si="2"/>
        <v/>
      </c>
      <c r="C65" s="55"/>
      <c r="D65" s="56"/>
    </row>
    <row r="66">
      <c r="A66" s="55"/>
      <c r="B66" s="55" t="str">
        <f t="shared" si="2"/>
        <v/>
      </c>
      <c r="C66" s="55"/>
      <c r="D66" s="56"/>
    </row>
    <row r="67">
      <c r="A67" s="55"/>
      <c r="B67" s="55" t="str">
        <f t="shared" si="2"/>
        <v/>
      </c>
      <c r="C67" s="55"/>
      <c r="D67" s="56"/>
    </row>
    <row r="68">
      <c r="A68" s="55"/>
      <c r="B68" s="55" t="str">
        <f t="shared" si="2"/>
        <v/>
      </c>
      <c r="C68" s="55"/>
      <c r="D68" s="56"/>
    </row>
    <row r="69">
      <c r="A69" s="55"/>
      <c r="B69" s="55" t="str">
        <f t="shared" si="2"/>
        <v/>
      </c>
      <c r="C69" s="55"/>
      <c r="D69" s="56"/>
    </row>
    <row r="70">
      <c r="A70" s="55"/>
      <c r="B70" s="55" t="str">
        <f t="shared" si="2"/>
        <v/>
      </c>
      <c r="C70" s="55"/>
      <c r="D70" s="56"/>
    </row>
    <row r="71">
      <c r="A71" s="55"/>
      <c r="B71" s="55" t="str">
        <f t="shared" si="2"/>
        <v/>
      </c>
      <c r="C71" s="55"/>
      <c r="D71" s="56"/>
    </row>
    <row r="72">
      <c r="A72" s="55"/>
      <c r="B72" s="55" t="str">
        <f t="shared" si="2"/>
        <v/>
      </c>
      <c r="C72" s="55"/>
      <c r="D72" s="56"/>
    </row>
    <row r="73">
      <c r="A73" s="55"/>
      <c r="B73" s="55" t="str">
        <f t="shared" si="2"/>
        <v/>
      </c>
      <c r="C73" s="55"/>
      <c r="D73" s="56"/>
    </row>
    <row r="74">
      <c r="A74" s="55"/>
      <c r="B74" s="55" t="str">
        <f t="shared" si="2"/>
        <v/>
      </c>
      <c r="C74" s="55"/>
      <c r="D74" s="56"/>
    </row>
    <row r="75">
      <c r="A75" s="55"/>
      <c r="B75" s="55" t="str">
        <f t="shared" si="2"/>
        <v/>
      </c>
      <c r="C75" s="55"/>
      <c r="D75" s="56"/>
    </row>
    <row r="76">
      <c r="A76" s="55"/>
      <c r="B76" s="55" t="str">
        <f t="shared" si="2"/>
        <v/>
      </c>
      <c r="C76" s="55"/>
      <c r="D76" s="56"/>
    </row>
    <row r="77">
      <c r="A77" s="55"/>
      <c r="B77" s="55" t="str">
        <f t="shared" si="2"/>
        <v/>
      </c>
      <c r="C77" s="55"/>
      <c r="D77" s="56"/>
    </row>
    <row r="78">
      <c r="A78" s="55"/>
      <c r="B78" s="55" t="str">
        <f t="shared" si="2"/>
        <v/>
      </c>
      <c r="C78" s="55"/>
      <c r="D78" s="56"/>
    </row>
    <row r="79">
      <c r="A79" s="55"/>
      <c r="B79" s="55" t="str">
        <f t="shared" si="2"/>
        <v/>
      </c>
      <c r="C79" s="55"/>
      <c r="D79" s="56"/>
    </row>
    <row r="80">
      <c r="A80" s="55"/>
      <c r="B80" s="55" t="str">
        <f t="shared" si="2"/>
        <v/>
      </c>
      <c r="C80" s="55"/>
      <c r="D80" s="56"/>
    </row>
    <row r="81">
      <c r="A81" s="55"/>
      <c r="B81" s="55" t="str">
        <f t="shared" si="2"/>
        <v/>
      </c>
      <c r="C81" s="55"/>
      <c r="D81" s="56"/>
    </row>
    <row r="82">
      <c r="A82" s="55"/>
      <c r="B82" s="55" t="str">
        <f t="shared" si="2"/>
        <v/>
      </c>
      <c r="C82" s="55"/>
      <c r="D82" s="56"/>
    </row>
    <row r="83">
      <c r="A83" s="55"/>
      <c r="B83" s="55" t="str">
        <f t="shared" si="2"/>
        <v/>
      </c>
      <c r="C83" s="55"/>
      <c r="D83" s="56"/>
    </row>
    <row r="84">
      <c r="A84" s="55"/>
      <c r="B84" s="55" t="str">
        <f t="shared" si="2"/>
        <v/>
      </c>
      <c r="C84" s="55"/>
      <c r="D84" s="56"/>
    </row>
    <row r="85">
      <c r="A85" s="55"/>
      <c r="B85" s="55" t="str">
        <f t="shared" si="2"/>
        <v/>
      </c>
      <c r="C85" s="55"/>
      <c r="D85" s="56"/>
    </row>
    <row r="86">
      <c r="A86" s="55"/>
      <c r="B86" s="55" t="str">
        <f t="shared" si="2"/>
        <v/>
      </c>
      <c r="C86" s="55"/>
      <c r="D86" s="56"/>
    </row>
    <row r="87">
      <c r="A87" s="55"/>
      <c r="B87" s="55" t="str">
        <f t="shared" si="2"/>
        <v/>
      </c>
      <c r="C87" s="55"/>
      <c r="D87" s="56"/>
    </row>
    <row r="88">
      <c r="A88" s="55"/>
      <c r="B88" s="55" t="str">
        <f t="shared" si="2"/>
        <v/>
      </c>
      <c r="C88" s="55"/>
      <c r="D88" s="56"/>
    </row>
    <row r="89">
      <c r="A89" s="55"/>
      <c r="B89" s="55" t="str">
        <f t="shared" si="2"/>
        <v/>
      </c>
      <c r="C89" s="55"/>
      <c r="D89" s="56"/>
    </row>
    <row r="90">
      <c r="A90" s="55"/>
      <c r="B90" s="55" t="str">
        <f t="shared" si="2"/>
        <v/>
      </c>
      <c r="C90" s="55"/>
      <c r="D90" s="56"/>
    </row>
    <row r="91">
      <c r="A91" s="55"/>
      <c r="B91" s="55" t="str">
        <f t="shared" si="2"/>
        <v/>
      </c>
      <c r="C91" s="55"/>
      <c r="D91" s="56"/>
    </row>
    <row r="92">
      <c r="A92" s="55"/>
      <c r="B92" s="55" t="str">
        <f t="shared" si="2"/>
        <v/>
      </c>
      <c r="C92" s="55"/>
      <c r="D92" s="56"/>
    </row>
    <row r="93">
      <c r="A93" s="55"/>
      <c r="B93" s="55" t="str">
        <f t="shared" si="2"/>
        <v/>
      </c>
      <c r="C93" s="55"/>
      <c r="D93" s="56"/>
    </row>
    <row r="94">
      <c r="A94" s="55"/>
      <c r="B94" s="55" t="str">
        <f t="shared" si="2"/>
        <v/>
      </c>
      <c r="C94" s="55"/>
      <c r="D94" s="56"/>
    </row>
    <row r="95">
      <c r="A95" s="55"/>
      <c r="B95" s="55" t="str">
        <f t="shared" si="2"/>
        <v/>
      </c>
      <c r="C95" s="55"/>
      <c r="D95" s="56"/>
    </row>
    <row r="96">
      <c r="A96" s="55"/>
      <c r="B96" s="55" t="str">
        <f t="shared" si="2"/>
        <v/>
      </c>
      <c r="C96" s="55"/>
      <c r="D96" s="56"/>
    </row>
    <row r="97">
      <c r="A97" s="55"/>
      <c r="B97" s="55" t="str">
        <f t="shared" si="2"/>
        <v/>
      </c>
      <c r="C97" s="55"/>
      <c r="D97" s="56"/>
    </row>
    <row r="98">
      <c r="A98" s="55"/>
      <c r="B98" s="55" t="str">
        <f t="shared" si="2"/>
        <v/>
      </c>
      <c r="C98" s="55"/>
      <c r="D98" s="56"/>
    </row>
    <row r="99">
      <c r="A99" s="55"/>
      <c r="B99" s="55" t="str">
        <f t="shared" si="2"/>
        <v/>
      </c>
      <c r="C99" s="55"/>
      <c r="D99" s="56"/>
    </row>
    <row r="100">
      <c r="A100" s="55"/>
      <c r="B100" s="55" t="str">
        <f t="shared" si="2"/>
        <v/>
      </c>
      <c r="C100" s="55"/>
      <c r="D100" s="56"/>
    </row>
    <row r="101">
      <c r="A101" s="55"/>
      <c r="B101" s="55" t="str">
        <f t="shared" si="2"/>
        <v/>
      </c>
      <c r="C101" s="55"/>
      <c r="D101" s="56"/>
    </row>
    <row r="102">
      <c r="A102" s="55"/>
      <c r="B102" s="55" t="str">
        <f t="shared" si="2"/>
        <v/>
      </c>
      <c r="C102" s="55"/>
      <c r="D102" s="56"/>
    </row>
    <row r="103">
      <c r="A103" s="55"/>
      <c r="B103" s="55" t="str">
        <f t="shared" si="2"/>
        <v/>
      </c>
      <c r="C103" s="55"/>
      <c r="D103" s="56"/>
    </row>
    <row r="104">
      <c r="A104" s="55"/>
      <c r="B104" s="55" t="str">
        <f t="shared" si="2"/>
        <v/>
      </c>
      <c r="C104" s="55"/>
      <c r="D104" s="56"/>
    </row>
    <row r="105">
      <c r="A105" s="55"/>
      <c r="B105" s="55" t="str">
        <f t="shared" si="2"/>
        <v/>
      </c>
      <c r="C105" s="55"/>
      <c r="D105" s="56"/>
    </row>
    <row r="106">
      <c r="A106" s="55"/>
      <c r="B106" s="55" t="str">
        <f t="shared" si="2"/>
        <v/>
      </c>
      <c r="C106" s="55"/>
      <c r="D106" s="56"/>
    </row>
    <row r="107">
      <c r="A107" s="55"/>
      <c r="B107" s="55" t="str">
        <f t="shared" si="2"/>
        <v/>
      </c>
      <c r="C107" s="55"/>
      <c r="D107" s="56"/>
    </row>
    <row r="108">
      <c r="A108" s="55"/>
      <c r="B108" s="55" t="str">
        <f t="shared" si="2"/>
        <v/>
      </c>
      <c r="C108" s="55"/>
      <c r="D108" s="56"/>
    </row>
    <row r="109">
      <c r="A109" s="55"/>
      <c r="B109" s="55" t="str">
        <f t="shared" si="2"/>
        <v/>
      </c>
      <c r="C109" s="55"/>
      <c r="D109" s="56"/>
    </row>
    <row r="110">
      <c r="A110" s="55"/>
      <c r="B110" s="55" t="str">
        <f t="shared" si="2"/>
        <v/>
      </c>
      <c r="C110" s="55"/>
      <c r="D110" s="56"/>
    </row>
    <row r="111">
      <c r="A111" s="55"/>
      <c r="B111" s="55" t="str">
        <f t="shared" si="2"/>
        <v/>
      </c>
      <c r="C111" s="55"/>
      <c r="D111" s="56"/>
    </row>
    <row r="112">
      <c r="A112" s="55"/>
      <c r="B112" s="55" t="str">
        <f t="shared" si="2"/>
        <v/>
      </c>
      <c r="C112" s="55"/>
      <c r="D112" s="56"/>
    </row>
    <row r="113">
      <c r="A113" s="55"/>
      <c r="B113" s="55" t="str">
        <f t="shared" si="2"/>
        <v/>
      </c>
      <c r="C113" s="55"/>
      <c r="D113" s="56"/>
    </row>
    <row r="114">
      <c r="A114" s="55"/>
      <c r="B114" s="55" t="str">
        <f t="shared" si="2"/>
        <v/>
      </c>
      <c r="C114" s="55"/>
      <c r="D114" s="56"/>
    </row>
    <row r="115">
      <c r="A115" s="55"/>
      <c r="B115" s="55" t="str">
        <f t="shared" si="2"/>
        <v/>
      </c>
      <c r="C115" s="55"/>
      <c r="D115" s="56"/>
    </row>
    <row r="116">
      <c r="A116" s="55"/>
      <c r="B116" s="55" t="str">
        <f t="shared" si="2"/>
        <v/>
      </c>
      <c r="C116" s="55"/>
      <c r="D116" s="56"/>
    </row>
    <row r="117">
      <c r="A117" s="55"/>
      <c r="B117" s="55" t="str">
        <f t="shared" si="2"/>
        <v/>
      </c>
      <c r="C117" s="55"/>
      <c r="D117" s="56"/>
    </row>
    <row r="118">
      <c r="A118" s="55"/>
      <c r="B118" s="55" t="str">
        <f t="shared" si="2"/>
        <v/>
      </c>
      <c r="C118" s="55"/>
      <c r="D118" s="56"/>
    </row>
    <row r="119">
      <c r="A119" s="55"/>
      <c r="B119" s="55" t="str">
        <f t="shared" si="2"/>
        <v/>
      </c>
      <c r="C119" s="55"/>
      <c r="D119" s="56"/>
    </row>
    <row r="120">
      <c r="A120" s="55"/>
      <c r="B120" s="55" t="str">
        <f t="shared" si="2"/>
        <v/>
      </c>
      <c r="C120" s="55"/>
      <c r="D120" s="56"/>
    </row>
    <row r="121">
      <c r="A121" s="55"/>
      <c r="B121" s="55" t="str">
        <f t="shared" si="2"/>
        <v/>
      </c>
      <c r="C121" s="55"/>
      <c r="D121" s="56"/>
    </row>
    <row r="122">
      <c r="A122" s="55"/>
      <c r="B122" s="55" t="str">
        <f t="shared" si="2"/>
        <v/>
      </c>
      <c r="C122" s="55"/>
      <c r="D122" s="56"/>
    </row>
    <row r="123">
      <c r="A123" s="55"/>
      <c r="B123" s="55" t="str">
        <f t="shared" si="2"/>
        <v/>
      </c>
      <c r="C123" s="55"/>
      <c r="D123" s="56"/>
    </row>
    <row r="124">
      <c r="A124" s="55"/>
      <c r="B124" s="55" t="str">
        <f t="shared" si="2"/>
        <v/>
      </c>
      <c r="C124" s="55"/>
      <c r="D124" s="56"/>
    </row>
    <row r="125">
      <c r="A125" s="55"/>
      <c r="B125" s="55" t="str">
        <f t="shared" si="2"/>
        <v/>
      </c>
      <c r="C125" s="55"/>
      <c r="D125" s="56"/>
    </row>
    <row r="126">
      <c r="A126" s="55"/>
      <c r="B126" s="55" t="str">
        <f t="shared" si="2"/>
        <v/>
      </c>
      <c r="C126" s="55"/>
      <c r="D126" s="56"/>
    </row>
    <row r="127">
      <c r="A127" s="55"/>
      <c r="B127" s="55" t="str">
        <f t="shared" si="2"/>
        <v/>
      </c>
      <c r="C127" s="55"/>
      <c r="D127" s="56"/>
    </row>
    <row r="128">
      <c r="A128" s="55"/>
      <c r="B128" s="55" t="str">
        <f t="shared" si="2"/>
        <v/>
      </c>
      <c r="C128" s="55"/>
      <c r="D128" s="56"/>
    </row>
    <row r="129">
      <c r="A129" s="55"/>
      <c r="B129" s="55" t="str">
        <f t="shared" si="2"/>
        <v/>
      </c>
      <c r="C129" s="55"/>
      <c r="D129" s="56"/>
    </row>
    <row r="130">
      <c r="A130" s="55"/>
      <c r="B130" s="55" t="str">
        <f t="shared" si="2"/>
        <v/>
      </c>
      <c r="C130" s="55"/>
      <c r="D130" s="56"/>
    </row>
    <row r="131">
      <c r="A131" s="55"/>
      <c r="B131" s="55" t="str">
        <f t="shared" si="2"/>
        <v/>
      </c>
      <c r="C131" s="55"/>
      <c r="D131" s="56"/>
    </row>
    <row r="132">
      <c r="A132" s="55"/>
      <c r="B132" s="55" t="str">
        <f t="shared" si="2"/>
        <v/>
      </c>
      <c r="C132" s="55"/>
      <c r="D132" s="56"/>
    </row>
    <row r="133">
      <c r="A133" s="55"/>
      <c r="B133" s="55" t="str">
        <f t="shared" si="2"/>
        <v/>
      </c>
      <c r="C133" s="55"/>
      <c r="D133" s="56"/>
    </row>
    <row r="134">
      <c r="A134" s="55"/>
      <c r="B134" s="55" t="str">
        <f t="shared" si="2"/>
        <v/>
      </c>
      <c r="C134" s="55"/>
      <c r="D134" s="56"/>
    </row>
    <row r="135">
      <c r="A135" s="55"/>
      <c r="B135" s="55" t="str">
        <f t="shared" si="2"/>
        <v/>
      </c>
      <c r="C135" s="55"/>
      <c r="D135" s="56"/>
    </row>
    <row r="136">
      <c r="A136" s="55"/>
      <c r="B136" s="55" t="str">
        <f t="shared" si="2"/>
        <v/>
      </c>
      <c r="C136" s="55"/>
      <c r="D136" s="56"/>
    </row>
    <row r="137">
      <c r="A137" s="55"/>
      <c r="B137" s="55" t="str">
        <f t="shared" si="2"/>
        <v/>
      </c>
      <c r="C137" s="55"/>
      <c r="D137" s="56"/>
    </row>
    <row r="138">
      <c r="A138" s="55"/>
      <c r="B138" s="55" t="str">
        <f t="shared" si="2"/>
        <v/>
      </c>
      <c r="C138" s="55"/>
      <c r="D138" s="56"/>
    </row>
    <row r="139">
      <c r="A139" s="55"/>
      <c r="B139" s="55" t="str">
        <f t="shared" si="2"/>
        <v/>
      </c>
      <c r="C139" s="55"/>
      <c r="D139" s="56"/>
    </row>
    <row r="140">
      <c r="A140" s="55"/>
      <c r="B140" s="55" t="str">
        <f t="shared" si="2"/>
        <v/>
      </c>
      <c r="C140" s="55"/>
      <c r="D140" s="56"/>
    </row>
    <row r="141">
      <c r="A141" s="55"/>
      <c r="B141" s="55" t="str">
        <f t="shared" si="2"/>
        <v/>
      </c>
      <c r="C141" s="55"/>
      <c r="D141" s="56"/>
    </row>
    <row r="142">
      <c r="A142" s="55"/>
      <c r="B142" s="55" t="str">
        <f t="shared" si="2"/>
        <v/>
      </c>
      <c r="C142" s="55"/>
      <c r="D142" s="56"/>
    </row>
    <row r="143">
      <c r="A143" s="55"/>
      <c r="B143" s="55" t="str">
        <f t="shared" si="2"/>
        <v/>
      </c>
      <c r="C143" s="55"/>
      <c r="D143" s="56"/>
    </row>
    <row r="144">
      <c r="A144" s="55"/>
      <c r="B144" s="55" t="str">
        <f t="shared" si="2"/>
        <v/>
      </c>
      <c r="C144" s="55"/>
      <c r="D144" s="56"/>
    </row>
    <row r="145">
      <c r="A145" s="55"/>
      <c r="B145" s="55" t="str">
        <f t="shared" si="2"/>
        <v/>
      </c>
      <c r="C145" s="55"/>
      <c r="D145" s="56"/>
    </row>
    <row r="146">
      <c r="A146" s="55"/>
      <c r="B146" s="55" t="str">
        <f t="shared" si="2"/>
        <v/>
      </c>
      <c r="C146" s="55"/>
      <c r="D146" s="56"/>
    </row>
    <row r="147">
      <c r="A147" s="55"/>
      <c r="B147" s="55" t="str">
        <f t="shared" si="2"/>
        <v/>
      </c>
      <c r="C147" s="55"/>
      <c r="D147" s="56"/>
    </row>
    <row r="148">
      <c r="A148" s="55"/>
      <c r="B148" s="55" t="str">
        <f t="shared" si="2"/>
        <v/>
      </c>
      <c r="C148" s="55"/>
      <c r="D148" s="56"/>
    </row>
    <row r="149">
      <c r="A149" s="55"/>
      <c r="B149" s="55" t="str">
        <f t="shared" si="2"/>
        <v/>
      </c>
      <c r="C149" s="55"/>
      <c r="D149" s="56"/>
    </row>
    <row r="150">
      <c r="A150" s="55"/>
      <c r="B150" s="55" t="str">
        <f t="shared" si="2"/>
        <v/>
      </c>
      <c r="C150" s="55"/>
      <c r="D150" s="56"/>
    </row>
    <row r="151">
      <c r="A151" s="55"/>
      <c r="B151" s="55" t="str">
        <f t="shared" si="2"/>
        <v/>
      </c>
      <c r="C151" s="55"/>
      <c r="D151" s="56"/>
    </row>
    <row r="152">
      <c r="A152" s="55"/>
      <c r="B152" s="55" t="str">
        <f t="shared" si="2"/>
        <v/>
      </c>
      <c r="C152" s="55"/>
      <c r="D152" s="56"/>
    </row>
    <row r="153">
      <c r="A153" s="55"/>
      <c r="B153" s="55" t="str">
        <f t="shared" si="2"/>
        <v/>
      </c>
      <c r="C153" s="55"/>
      <c r="D153" s="56"/>
    </row>
    <row r="154">
      <c r="A154" s="55"/>
      <c r="B154" s="55" t="str">
        <f t="shared" si="2"/>
        <v/>
      </c>
      <c r="C154" s="55"/>
      <c r="D154" s="56"/>
    </row>
    <row r="155">
      <c r="A155" s="55"/>
      <c r="B155" s="55" t="str">
        <f t="shared" si="2"/>
        <v/>
      </c>
      <c r="C155" s="55"/>
      <c r="D155" s="56"/>
    </row>
    <row r="156">
      <c r="A156" s="55"/>
      <c r="B156" s="55" t="str">
        <f t="shared" si="2"/>
        <v/>
      </c>
      <c r="C156" s="55"/>
      <c r="D156" s="56"/>
    </row>
    <row r="157">
      <c r="A157" s="55"/>
      <c r="B157" s="55" t="str">
        <f t="shared" si="2"/>
        <v/>
      </c>
      <c r="C157" s="55"/>
      <c r="D157" s="56"/>
    </row>
    <row r="158">
      <c r="A158" s="55"/>
      <c r="B158" s="55" t="str">
        <f t="shared" si="2"/>
        <v/>
      </c>
      <c r="C158" s="55"/>
      <c r="D158" s="56"/>
    </row>
    <row r="159">
      <c r="A159" s="55"/>
      <c r="B159" s="55" t="str">
        <f t="shared" si="2"/>
        <v/>
      </c>
      <c r="C159" s="55"/>
      <c r="D159" s="56"/>
    </row>
    <row r="160">
      <c r="A160" s="55"/>
      <c r="B160" s="55" t="str">
        <f t="shared" si="2"/>
        <v/>
      </c>
      <c r="C160" s="55"/>
      <c r="D160" s="56"/>
    </row>
    <row r="161">
      <c r="A161" s="55"/>
      <c r="B161" s="55" t="str">
        <f t="shared" si="2"/>
        <v/>
      </c>
      <c r="C161" s="55"/>
      <c r="D161" s="56"/>
    </row>
    <row r="162">
      <c r="A162" s="55"/>
      <c r="B162" s="55" t="str">
        <f t="shared" si="2"/>
        <v/>
      </c>
      <c r="C162" s="55"/>
      <c r="D162" s="56"/>
    </row>
    <row r="163">
      <c r="A163" s="55"/>
      <c r="B163" s="55" t="str">
        <f t="shared" si="2"/>
        <v/>
      </c>
      <c r="C163" s="55"/>
      <c r="D163" s="56"/>
    </row>
    <row r="164">
      <c r="A164" s="55"/>
      <c r="B164" s="55" t="str">
        <f t="shared" si="2"/>
        <v/>
      </c>
      <c r="C164" s="55"/>
      <c r="D164" s="56"/>
    </row>
    <row r="165">
      <c r="A165" s="55"/>
      <c r="B165" s="55" t="str">
        <f t="shared" si="2"/>
        <v/>
      </c>
      <c r="C165" s="55"/>
      <c r="D165" s="56"/>
    </row>
    <row r="166">
      <c r="A166" s="55"/>
      <c r="B166" s="55" t="str">
        <f t="shared" si="2"/>
        <v/>
      </c>
      <c r="C166" s="55"/>
      <c r="D166" s="56"/>
    </row>
    <row r="167">
      <c r="A167" s="55"/>
      <c r="B167" s="55" t="str">
        <f t="shared" si="2"/>
        <v/>
      </c>
      <c r="C167" s="55"/>
      <c r="D167" s="56"/>
    </row>
    <row r="168">
      <c r="A168" s="55"/>
      <c r="B168" s="55" t="str">
        <f t="shared" si="2"/>
        <v/>
      </c>
      <c r="C168" s="55"/>
      <c r="D168" s="56"/>
    </row>
    <row r="169">
      <c r="A169" s="55"/>
      <c r="B169" s="55" t="str">
        <f t="shared" si="2"/>
        <v/>
      </c>
      <c r="C169" s="55"/>
      <c r="D169" s="56"/>
    </row>
    <row r="170">
      <c r="A170" s="55"/>
      <c r="B170" s="55" t="str">
        <f t="shared" si="2"/>
        <v/>
      </c>
      <c r="C170" s="55"/>
      <c r="D170" s="56"/>
    </row>
    <row r="171">
      <c r="A171" s="55"/>
      <c r="B171" s="55" t="str">
        <f t="shared" si="2"/>
        <v/>
      </c>
      <c r="C171" s="55"/>
      <c r="D171" s="56"/>
    </row>
    <row r="172">
      <c r="A172" s="55"/>
      <c r="B172" s="55" t="str">
        <f t="shared" si="2"/>
        <v/>
      </c>
      <c r="C172" s="55"/>
      <c r="D172" s="56"/>
    </row>
    <row r="173">
      <c r="A173" s="55"/>
      <c r="B173" s="55" t="str">
        <f t="shared" si="2"/>
        <v/>
      </c>
      <c r="C173" s="55"/>
      <c r="D173" s="56"/>
    </row>
    <row r="174">
      <c r="A174" s="55"/>
      <c r="B174" s="55" t="str">
        <f t="shared" si="2"/>
        <v/>
      </c>
      <c r="C174" s="55"/>
      <c r="D174" s="56"/>
    </row>
    <row r="175">
      <c r="A175" s="55"/>
      <c r="B175" s="55" t="str">
        <f t="shared" si="2"/>
        <v/>
      </c>
      <c r="C175" s="55"/>
      <c r="D175" s="56"/>
    </row>
    <row r="176">
      <c r="A176" s="55"/>
      <c r="B176" s="55" t="str">
        <f t="shared" si="2"/>
        <v/>
      </c>
      <c r="C176" s="55"/>
      <c r="D176" s="56"/>
    </row>
    <row r="177">
      <c r="A177" s="55"/>
      <c r="B177" s="55" t="str">
        <f t="shared" si="2"/>
        <v/>
      </c>
      <c r="C177" s="55"/>
      <c r="D177" s="56"/>
    </row>
    <row r="178">
      <c r="A178" s="55"/>
      <c r="B178" s="55" t="str">
        <f t="shared" si="2"/>
        <v/>
      </c>
      <c r="C178" s="55"/>
      <c r="D178" s="56"/>
    </row>
    <row r="179">
      <c r="A179" s="55"/>
      <c r="B179" s="55" t="str">
        <f t="shared" si="2"/>
        <v/>
      </c>
      <c r="C179" s="55"/>
      <c r="D179" s="56"/>
    </row>
    <row r="180">
      <c r="A180" s="55"/>
      <c r="B180" s="55" t="str">
        <f t="shared" si="2"/>
        <v/>
      </c>
      <c r="C180" s="55"/>
      <c r="D180" s="56"/>
    </row>
    <row r="181">
      <c r="A181" s="55"/>
      <c r="B181" s="55" t="str">
        <f t="shared" si="2"/>
        <v/>
      </c>
      <c r="C181" s="55"/>
      <c r="D181" s="56"/>
    </row>
    <row r="182">
      <c r="A182" s="55"/>
      <c r="B182" s="55" t="str">
        <f t="shared" si="2"/>
        <v/>
      </c>
      <c r="C182" s="55"/>
      <c r="D182" s="56"/>
    </row>
    <row r="183">
      <c r="A183" s="55"/>
      <c r="B183" s="55" t="str">
        <f t="shared" si="2"/>
        <v/>
      </c>
      <c r="C183" s="55"/>
      <c r="D183" s="56"/>
    </row>
    <row r="184">
      <c r="A184" s="55"/>
      <c r="B184" s="55" t="str">
        <f t="shared" si="2"/>
        <v/>
      </c>
      <c r="C184" s="55"/>
      <c r="D184" s="56"/>
    </row>
    <row r="185">
      <c r="A185" s="55"/>
      <c r="B185" s="55" t="str">
        <f t="shared" si="2"/>
        <v/>
      </c>
      <c r="C185" s="55"/>
      <c r="D185" s="56"/>
    </row>
    <row r="186">
      <c r="A186" s="55"/>
      <c r="B186" s="55" t="str">
        <f t="shared" si="2"/>
        <v/>
      </c>
      <c r="C186" s="55"/>
      <c r="D186" s="56"/>
    </row>
    <row r="187">
      <c r="A187" s="55"/>
      <c r="B187" s="55" t="str">
        <f t="shared" si="2"/>
        <v/>
      </c>
      <c r="C187" s="55"/>
      <c r="D187" s="56"/>
    </row>
    <row r="188">
      <c r="A188" s="55"/>
      <c r="B188" s="55" t="str">
        <f t="shared" si="2"/>
        <v/>
      </c>
      <c r="C188" s="55"/>
      <c r="D188" s="56"/>
    </row>
    <row r="189">
      <c r="A189" s="55"/>
      <c r="B189" s="55" t="str">
        <f t="shared" si="2"/>
        <v/>
      </c>
      <c r="C189" s="55"/>
      <c r="D189" s="56"/>
    </row>
    <row r="190">
      <c r="A190" s="55"/>
      <c r="B190" s="55" t="str">
        <f t="shared" si="2"/>
        <v/>
      </c>
      <c r="C190" s="55"/>
      <c r="D190" s="56"/>
    </row>
    <row r="191">
      <c r="A191" s="55"/>
      <c r="B191" s="55" t="str">
        <f t="shared" si="2"/>
        <v/>
      </c>
      <c r="C191" s="55"/>
      <c r="D191" s="56"/>
    </row>
    <row r="192">
      <c r="A192" s="55"/>
      <c r="B192" s="55" t="str">
        <f t="shared" si="2"/>
        <v/>
      </c>
      <c r="C192" s="55"/>
      <c r="D192" s="56"/>
    </row>
    <row r="193">
      <c r="A193" s="55"/>
      <c r="B193" s="55" t="str">
        <f t="shared" si="2"/>
        <v/>
      </c>
      <c r="C193" s="55"/>
      <c r="D193" s="56"/>
    </row>
    <row r="194">
      <c r="A194" s="55"/>
      <c r="B194" s="55" t="str">
        <f t="shared" si="2"/>
        <v/>
      </c>
      <c r="C194" s="55"/>
      <c r="D194" s="56"/>
    </row>
    <row r="195">
      <c r="A195" s="55"/>
      <c r="B195" s="55" t="str">
        <f t="shared" si="2"/>
        <v/>
      </c>
      <c r="C195" s="55"/>
      <c r="D195" s="56"/>
    </row>
    <row r="196">
      <c r="A196" s="55"/>
      <c r="B196" s="55" t="str">
        <f t="shared" si="2"/>
        <v/>
      </c>
      <c r="C196" s="55"/>
      <c r="D196" s="56"/>
    </row>
    <row r="197">
      <c r="A197" s="55"/>
      <c r="B197" s="55" t="str">
        <f t="shared" si="2"/>
        <v/>
      </c>
      <c r="C197" s="55"/>
      <c r="D197" s="56"/>
    </row>
    <row r="198">
      <c r="A198" s="55"/>
      <c r="B198" s="55" t="str">
        <f t="shared" si="2"/>
        <v/>
      </c>
      <c r="C198" s="55"/>
      <c r="D198" s="56"/>
    </row>
    <row r="199">
      <c r="A199" s="55"/>
      <c r="B199" s="55" t="str">
        <f t="shared" si="2"/>
        <v/>
      </c>
      <c r="C199" s="55"/>
      <c r="D199" s="56"/>
    </row>
    <row r="200">
      <c r="A200" s="55"/>
      <c r="B200" s="55" t="str">
        <f t="shared" si="2"/>
        <v/>
      </c>
      <c r="C200" s="55"/>
      <c r="D200" s="56"/>
    </row>
    <row r="201">
      <c r="A201" s="55"/>
      <c r="B201" s="55" t="str">
        <f t="shared" si="2"/>
        <v/>
      </c>
      <c r="C201" s="55"/>
      <c r="D201" s="56"/>
    </row>
    <row r="202">
      <c r="A202" s="55"/>
      <c r="B202" s="55" t="str">
        <f t="shared" si="2"/>
        <v/>
      </c>
      <c r="C202" s="55"/>
      <c r="D202" s="56"/>
    </row>
    <row r="203">
      <c r="A203" s="55"/>
      <c r="B203" s="55" t="str">
        <f t="shared" si="2"/>
        <v/>
      </c>
      <c r="C203" s="55"/>
      <c r="D203" s="56"/>
    </row>
    <row r="204">
      <c r="A204" s="55"/>
      <c r="B204" s="55" t="str">
        <f t="shared" si="2"/>
        <v/>
      </c>
      <c r="C204" s="55"/>
      <c r="D204" s="56"/>
    </row>
    <row r="205">
      <c r="A205" s="55"/>
      <c r="B205" s="55" t="str">
        <f t="shared" si="2"/>
        <v/>
      </c>
      <c r="C205" s="55"/>
      <c r="D205" s="56"/>
    </row>
    <row r="206">
      <c r="A206" s="55"/>
      <c r="B206" s="55" t="str">
        <f t="shared" si="2"/>
        <v/>
      </c>
      <c r="C206" s="55"/>
      <c r="D206" s="56"/>
    </row>
    <row r="207">
      <c r="A207" s="55"/>
      <c r="B207" s="55" t="str">
        <f t="shared" si="2"/>
        <v/>
      </c>
      <c r="C207" s="55"/>
      <c r="D207" s="56"/>
    </row>
    <row r="208">
      <c r="A208" s="55"/>
      <c r="B208" s="55"/>
      <c r="C208" s="55"/>
      <c r="D208" s="56"/>
    </row>
    <row r="209">
      <c r="A209" s="55"/>
      <c r="B209" s="55"/>
      <c r="C209" s="55"/>
      <c r="D209" s="56"/>
    </row>
    <row r="210">
      <c r="A210" s="55"/>
      <c r="B210" s="55"/>
      <c r="C210" s="55"/>
      <c r="D210" s="56"/>
    </row>
    <row r="211">
      <c r="A211" s="55"/>
      <c r="B211" s="55"/>
      <c r="C211" s="55"/>
      <c r="D211" s="56"/>
    </row>
    <row r="212">
      <c r="A212" s="55"/>
      <c r="B212" s="55"/>
      <c r="C212" s="55"/>
      <c r="D212" s="56"/>
    </row>
    <row r="213">
      <c r="A213" s="55"/>
      <c r="B213" s="55"/>
      <c r="C213" s="55"/>
      <c r="D213" s="56"/>
    </row>
    <row r="214">
      <c r="A214" s="55"/>
      <c r="B214" s="55"/>
      <c r="C214" s="55"/>
      <c r="D214" s="56"/>
    </row>
    <row r="215">
      <c r="A215" s="55"/>
      <c r="B215" s="55"/>
      <c r="C215" s="55"/>
      <c r="D215" s="56"/>
    </row>
    <row r="216">
      <c r="A216" s="55"/>
      <c r="B216" s="55"/>
      <c r="C216" s="55"/>
      <c r="D216" s="56"/>
    </row>
    <row r="217">
      <c r="A217" s="55"/>
      <c r="B217" s="55"/>
      <c r="C217" s="55"/>
      <c r="D217" s="56"/>
    </row>
    <row r="218">
      <c r="A218" s="55"/>
      <c r="B218" s="55"/>
      <c r="C218" s="55"/>
      <c r="D218" s="56"/>
    </row>
    <row r="219">
      <c r="A219" s="55"/>
      <c r="B219" s="55"/>
      <c r="C219" s="55"/>
      <c r="D219" s="56"/>
    </row>
    <row r="220">
      <c r="A220" s="55"/>
      <c r="B220" s="55"/>
      <c r="C220" s="55"/>
      <c r="D220" s="56"/>
    </row>
    <row r="221">
      <c r="A221" s="55"/>
      <c r="B221" s="55"/>
      <c r="C221" s="55"/>
      <c r="D221" s="56"/>
    </row>
    <row r="222">
      <c r="A222" s="55"/>
      <c r="B222" s="55"/>
      <c r="C222" s="55"/>
      <c r="D222" s="56"/>
    </row>
    <row r="223">
      <c r="A223" s="55"/>
      <c r="B223" s="55"/>
      <c r="C223" s="55"/>
      <c r="D223" s="56"/>
    </row>
    <row r="224">
      <c r="A224" s="55"/>
      <c r="B224" s="55"/>
      <c r="C224" s="55"/>
      <c r="D224" s="56"/>
    </row>
    <row r="225">
      <c r="A225" s="55"/>
      <c r="B225" s="55"/>
      <c r="C225" s="55"/>
      <c r="D225" s="56"/>
    </row>
    <row r="226">
      <c r="A226" s="55"/>
      <c r="B226" s="55"/>
      <c r="C226" s="55"/>
      <c r="D226" s="56"/>
    </row>
    <row r="227">
      <c r="A227" s="55"/>
      <c r="B227" s="55"/>
      <c r="C227" s="55"/>
      <c r="D227" s="56"/>
    </row>
    <row r="228">
      <c r="A228" s="55"/>
      <c r="B228" s="55"/>
      <c r="C228" s="55"/>
      <c r="D228" s="56"/>
    </row>
    <row r="229">
      <c r="A229" s="55"/>
      <c r="B229" s="55"/>
      <c r="C229" s="55"/>
      <c r="D229" s="56"/>
    </row>
    <row r="230">
      <c r="A230" s="55"/>
      <c r="B230" s="55"/>
      <c r="C230" s="55"/>
      <c r="D230" s="56"/>
    </row>
    <row r="231">
      <c r="A231" s="55"/>
      <c r="B231" s="55"/>
      <c r="C231" s="55"/>
      <c r="D231" s="56"/>
    </row>
    <row r="232">
      <c r="A232" s="55"/>
      <c r="B232" s="55"/>
      <c r="C232" s="55"/>
      <c r="D232" s="56"/>
    </row>
    <row r="233">
      <c r="A233" s="55"/>
      <c r="B233" s="55"/>
      <c r="C233" s="55"/>
      <c r="D233" s="56"/>
    </row>
    <row r="234">
      <c r="A234" s="55"/>
      <c r="B234" s="55"/>
      <c r="C234" s="55"/>
      <c r="D234" s="56"/>
    </row>
    <row r="235">
      <c r="A235" s="55"/>
      <c r="B235" s="55"/>
      <c r="C235" s="55"/>
      <c r="D235" s="56"/>
    </row>
    <row r="236">
      <c r="A236" s="55"/>
      <c r="B236" s="55"/>
      <c r="C236" s="55"/>
      <c r="D236" s="56"/>
    </row>
    <row r="237">
      <c r="A237" s="55"/>
      <c r="B237" s="55"/>
      <c r="C237" s="55"/>
      <c r="D237" s="56"/>
    </row>
    <row r="238">
      <c r="A238" s="55"/>
      <c r="B238" s="55"/>
      <c r="C238" s="55"/>
      <c r="D238" s="56"/>
    </row>
    <row r="239">
      <c r="A239" s="55"/>
      <c r="B239" s="55"/>
      <c r="C239" s="55"/>
      <c r="D239" s="56"/>
    </row>
    <row r="240">
      <c r="A240" s="55"/>
      <c r="B240" s="55"/>
      <c r="C240" s="55"/>
      <c r="D240" s="56"/>
    </row>
    <row r="241">
      <c r="A241" s="55"/>
      <c r="B241" s="55"/>
      <c r="C241" s="55"/>
      <c r="D241" s="56"/>
    </row>
    <row r="242">
      <c r="A242" s="55"/>
      <c r="B242" s="55"/>
      <c r="C242" s="55"/>
      <c r="D242" s="56"/>
    </row>
    <row r="243">
      <c r="A243" s="55"/>
      <c r="B243" s="55"/>
      <c r="C243" s="55"/>
      <c r="D243" s="56"/>
    </row>
    <row r="244">
      <c r="A244" s="55"/>
      <c r="B244" s="55"/>
      <c r="C244" s="55"/>
      <c r="D244" s="56"/>
    </row>
    <row r="245">
      <c r="A245" s="55"/>
      <c r="B245" s="55"/>
      <c r="C245" s="55"/>
      <c r="D245" s="56"/>
    </row>
    <row r="246">
      <c r="A246" s="55"/>
      <c r="B246" s="55"/>
      <c r="C246" s="55"/>
      <c r="D246" s="56"/>
    </row>
    <row r="247">
      <c r="A247" s="55"/>
      <c r="B247" s="55"/>
      <c r="C247" s="55"/>
      <c r="D247" s="56"/>
    </row>
    <row r="248">
      <c r="A248" s="55"/>
      <c r="B248" s="55"/>
      <c r="C248" s="55"/>
      <c r="D248" s="56"/>
    </row>
    <row r="249">
      <c r="A249" s="55"/>
      <c r="B249" s="55"/>
      <c r="C249" s="55"/>
      <c r="D249" s="56"/>
    </row>
    <row r="250">
      <c r="A250" s="55"/>
      <c r="B250" s="55"/>
      <c r="C250" s="55"/>
      <c r="D250" s="56"/>
    </row>
    <row r="251">
      <c r="A251" s="55"/>
      <c r="B251" s="55"/>
      <c r="C251" s="55"/>
      <c r="D251" s="56"/>
    </row>
    <row r="252">
      <c r="A252" s="55"/>
      <c r="B252" s="55"/>
      <c r="C252" s="55"/>
      <c r="D252" s="56"/>
    </row>
    <row r="253">
      <c r="A253" s="55"/>
      <c r="B253" s="55"/>
      <c r="C253" s="55"/>
      <c r="D253" s="56"/>
    </row>
    <row r="254">
      <c r="A254" s="55"/>
      <c r="B254" s="55"/>
      <c r="C254" s="55"/>
      <c r="D254" s="56"/>
    </row>
    <row r="255">
      <c r="A255" s="55"/>
      <c r="B255" s="55"/>
      <c r="C255" s="55"/>
      <c r="D255" s="56"/>
    </row>
    <row r="256">
      <c r="A256" s="55"/>
      <c r="B256" s="55"/>
      <c r="C256" s="55"/>
      <c r="D256" s="56"/>
    </row>
    <row r="257">
      <c r="A257" s="55"/>
      <c r="B257" s="55"/>
      <c r="C257" s="55"/>
      <c r="D257" s="56"/>
    </row>
    <row r="258">
      <c r="A258" s="55"/>
      <c r="B258" s="55"/>
      <c r="C258" s="55"/>
      <c r="D258" s="56"/>
    </row>
    <row r="259">
      <c r="A259" s="55"/>
      <c r="B259" s="55"/>
      <c r="C259" s="55"/>
      <c r="D259" s="56"/>
    </row>
    <row r="260">
      <c r="A260" s="55"/>
      <c r="B260" s="55"/>
      <c r="C260" s="55"/>
      <c r="D260" s="56"/>
    </row>
    <row r="261">
      <c r="A261" s="55"/>
      <c r="B261" s="55"/>
      <c r="C261" s="55"/>
      <c r="D261" s="56"/>
    </row>
    <row r="262">
      <c r="A262" s="55"/>
      <c r="B262" s="55"/>
      <c r="C262" s="55"/>
      <c r="D262" s="56"/>
    </row>
    <row r="263">
      <c r="A263" s="55"/>
      <c r="B263" s="55"/>
      <c r="C263" s="55"/>
      <c r="D263" s="56"/>
    </row>
    <row r="264">
      <c r="A264" s="55"/>
      <c r="B264" s="55"/>
      <c r="C264" s="55"/>
      <c r="D264" s="56"/>
    </row>
    <row r="265">
      <c r="A265" s="55"/>
      <c r="B265" s="55"/>
      <c r="C265" s="55"/>
      <c r="D265" s="56"/>
    </row>
    <row r="266">
      <c r="A266" s="55"/>
      <c r="B266" s="55"/>
      <c r="C266" s="55"/>
      <c r="D266" s="56"/>
    </row>
    <row r="267">
      <c r="A267" s="55"/>
      <c r="B267" s="55"/>
      <c r="C267" s="55"/>
      <c r="D267" s="56"/>
    </row>
    <row r="268">
      <c r="A268" s="55"/>
      <c r="B268" s="55"/>
      <c r="C268" s="55"/>
      <c r="D268" s="56"/>
    </row>
    <row r="269">
      <c r="A269" s="55"/>
      <c r="B269" s="55"/>
      <c r="C269" s="55"/>
      <c r="D269" s="56"/>
    </row>
    <row r="270">
      <c r="A270" s="55"/>
      <c r="B270" s="55"/>
      <c r="C270" s="55"/>
      <c r="D270" s="56"/>
    </row>
    <row r="271">
      <c r="A271" s="55"/>
      <c r="B271" s="55"/>
      <c r="C271" s="55"/>
      <c r="D271" s="56"/>
    </row>
    <row r="272">
      <c r="A272" s="55"/>
      <c r="B272" s="55"/>
      <c r="C272" s="55"/>
      <c r="D272" s="56"/>
    </row>
    <row r="273">
      <c r="A273" s="55"/>
      <c r="B273" s="55"/>
      <c r="C273" s="55"/>
      <c r="D273" s="56"/>
    </row>
    <row r="274">
      <c r="A274" s="55"/>
      <c r="B274" s="55"/>
      <c r="C274" s="55"/>
      <c r="D274" s="56"/>
    </row>
    <row r="275">
      <c r="A275" s="55"/>
      <c r="B275" s="55"/>
      <c r="C275" s="55"/>
      <c r="D275" s="56"/>
    </row>
    <row r="276">
      <c r="A276" s="55"/>
      <c r="B276" s="55"/>
      <c r="C276" s="55"/>
      <c r="D276" s="56"/>
    </row>
    <row r="277">
      <c r="A277" s="55"/>
      <c r="B277" s="55"/>
      <c r="C277" s="55"/>
      <c r="D277" s="56"/>
    </row>
    <row r="278">
      <c r="A278" s="55"/>
      <c r="B278" s="55"/>
      <c r="C278" s="55"/>
      <c r="D278" s="56"/>
    </row>
    <row r="279">
      <c r="A279" s="55"/>
      <c r="B279" s="55"/>
      <c r="C279" s="55"/>
      <c r="D279" s="56"/>
    </row>
    <row r="280">
      <c r="A280" s="55"/>
      <c r="B280" s="55"/>
      <c r="C280" s="55"/>
      <c r="D280" s="56"/>
    </row>
    <row r="281">
      <c r="A281" s="55"/>
      <c r="B281" s="55"/>
      <c r="C281" s="55"/>
      <c r="D281" s="56"/>
    </row>
    <row r="282">
      <c r="A282" s="55"/>
      <c r="B282" s="55"/>
      <c r="C282" s="55"/>
      <c r="D282" s="56"/>
    </row>
    <row r="283">
      <c r="A283" s="55"/>
      <c r="B283" s="55"/>
      <c r="C283" s="55"/>
      <c r="D283" s="56"/>
    </row>
    <row r="284">
      <c r="A284" s="55"/>
      <c r="B284" s="55"/>
      <c r="C284" s="55"/>
      <c r="D284" s="56"/>
    </row>
    <row r="285">
      <c r="A285" s="55"/>
      <c r="B285" s="55"/>
      <c r="C285" s="55"/>
      <c r="D285" s="56"/>
    </row>
    <row r="286">
      <c r="A286" s="55"/>
      <c r="B286" s="55"/>
      <c r="C286" s="55"/>
      <c r="D286" s="56"/>
    </row>
    <row r="287">
      <c r="A287" s="55"/>
      <c r="B287" s="55"/>
      <c r="C287" s="55"/>
      <c r="D287" s="56"/>
    </row>
    <row r="288">
      <c r="A288" s="55"/>
      <c r="B288" s="55"/>
      <c r="C288" s="55"/>
      <c r="D288" s="56"/>
    </row>
    <row r="289">
      <c r="A289" s="55"/>
      <c r="B289" s="55"/>
      <c r="C289" s="55"/>
      <c r="D289" s="56"/>
    </row>
    <row r="290">
      <c r="A290" s="55"/>
      <c r="B290" s="55"/>
      <c r="C290" s="55"/>
      <c r="D290" s="56"/>
    </row>
    <row r="291">
      <c r="A291" s="55"/>
      <c r="B291" s="55"/>
      <c r="C291" s="55"/>
      <c r="D291" s="56"/>
    </row>
    <row r="292">
      <c r="A292" s="55"/>
      <c r="B292" s="55"/>
      <c r="C292" s="55"/>
      <c r="D292" s="56"/>
    </row>
    <row r="293">
      <c r="A293" s="55"/>
      <c r="B293" s="55"/>
      <c r="C293" s="55"/>
      <c r="D293" s="56"/>
    </row>
    <row r="294">
      <c r="A294" s="55"/>
      <c r="B294" s="55"/>
      <c r="C294" s="55"/>
      <c r="D294" s="56"/>
    </row>
    <row r="295">
      <c r="A295" s="55"/>
      <c r="B295" s="55"/>
      <c r="C295" s="55"/>
      <c r="D295" s="56"/>
    </row>
    <row r="296">
      <c r="A296" s="55"/>
      <c r="B296" s="55"/>
      <c r="C296" s="55"/>
      <c r="D296" s="56"/>
    </row>
    <row r="297">
      <c r="A297" s="55"/>
      <c r="B297" s="55"/>
      <c r="C297" s="55"/>
      <c r="D297" s="56"/>
    </row>
    <row r="298">
      <c r="A298" s="55"/>
      <c r="B298" s="55"/>
      <c r="C298" s="55"/>
      <c r="D298" s="56"/>
    </row>
    <row r="299">
      <c r="A299" s="55"/>
      <c r="B299" s="55"/>
      <c r="C299" s="55"/>
      <c r="D299" s="56"/>
    </row>
    <row r="300">
      <c r="A300" s="55"/>
      <c r="B300" s="55"/>
      <c r="C300" s="55"/>
      <c r="D300" s="56"/>
    </row>
    <row r="301">
      <c r="A301" s="55"/>
      <c r="B301" s="55"/>
      <c r="C301" s="55"/>
      <c r="D301" s="56"/>
    </row>
    <row r="302">
      <c r="A302" s="55"/>
      <c r="B302" s="55"/>
      <c r="C302" s="55"/>
      <c r="D302" s="56"/>
    </row>
    <row r="303">
      <c r="A303" s="55"/>
      <c r="B303" s="55"/>
      <c r="C303" s="55"/>
      <c r="D303" s="56"/>
    </row>
    <row r="304">
      <c r="A304" s="55"/>
      <c r="B304" s="55"/>
      <c r="C304" s="55"/>
      <c r="D304" s="56"/>
    </row>
    <row r="305">
      <c r="A305" s="55"/>
      <c r="B305" s="55"/>
      <c r="C305" s="55"/>
      <c r="D305" s="56"/>
    </row>
    <row r="306">
      <c r="A306" s="55"/>
      <c r="B306" s="55"/>
      <c r="C306" s="55"/>
      <c r="D306" s="56"/>
    </row>
    <row r="307">
      <c r="A307" s="55"/>
      <c r="B307" s="55"/>
      <c r="C307" s="55"/>
      <c r="D307" s="56"/>
    </row>
    <row r="308">
      <c r="A308" s="55"/>
      <c r="B308" s="55"/>
      <c r="C308" s="55"/>
      <c r="D308" s="56"/>
    </row>
    <row r="309">
      <c r="A309" s="55"/>
      <c r="B309" s="55"/>
      <c r="C309" s="55"/>
      <c r="D309" s="56"/>
    </row>
    <row r="310">
      <c r="A310" s="55"/>
      <c r="B310" s="55"/>
      <c r="C310" s="55"/>
      <c r="D310" s="56"/>
    </row>
    <row r="311">
      <c r="A311" s="55"/>
      <c r="B311" s="55"/>
      <c r="C311" s="55"/>
      <c r="D311" s="56"/>
    </row>
    <row r="312">
      <c r="A312" s="55"/>
      <c r="B312" s="55"/>
      <c r="C312" s="55"/>
      <c r="D312" s="56"/>
    </row>
    <row r="313">
      <c r="A313" s="55"/>
      <c r="B313" s="55"/>
      <c r="C313" s="55"/>
      <c r="D313" s="56"/>
    </row>
    <row r="314">
      <c r="A314" s="55"/>
      <c r="B314" s="55"/>
      <c r="C314" s="55"/>
      <c r="D314" s="56"/>
    </row>
    <row r="315">
      <c r="A315" s="55"/>
      <c r="B315" s="55"/>
      <c r="C315" s="55"/>
      <c r="D315" s="56"/>
    </row>
    <row r="316">
      <c r="A316" s="55"/>
      <c r="B316" s="55"/>
      <c r="C316" s="55"/>
      <c r="D316" s="56"/>
    </row>
    <row r="317">
      <c r="A317" s="55"/>
      <c r="B317" s="55"/>
      <c r="C317" s="55"/>
      <c r="D317" s="56"/>
    </row>
    <row r="318">
      <c r="A318" s="55"/>
      <c r="B318" s="55"/>
      <c r="C318" s="55"/>
      <c r="D318" s="56"/>
    </row>
    <row r="319">
      <c r="A319" s="55"/>
      <c r="B319" s="55"/>
      <c r="C319" s="55"/>
      <c r="D319" s="56"/>
    </row>
    <row r="320">
      <c r="A320" s="55"/>
      <c r="B320" s="55"/>
      <c r="C320" s="55"/>
      <c r="D320" s="56"/>
    </row>
    <row r="321">
      <c r="A321" s="55"/>
      <c r="B321" s="55"/>
      <c r="C321" s="55"/>
      <c r="D321" s="56"/>
    </row>
    <row r="322">
      <c r="A322" s="55"/>
      <c r="B322" s="55"/>
      <c r="C322" s="55"/>
      <c r="D322" s="56"/>
    </row>
    <row r="323">
      <c r="A323" s="55"/>
      <c r="B323" s="55"/>
      <c r="C323" s="55"/>
      <c r="D323" s="56"/>
    </row>
    <row r="324">
      <c r="A324" s="55"/>
      <c r="B324" s="55"/>
      <c r="C324" s="55"/>
      <c r="D324" s="56"/>
    </row>
    <row r="325">
      <c r="A325" s="55"/>
      <c r="B325" s="55"/>
      <c r="C325" s="55"/>
      <c r="D325" s="56"/>
    </row>
    <row r="326">
      <c r="A326" s="55"/>
      <c r="B326" s="55"/>
      <c r="C326" s="55"/>
      <c r="D326" s="56"/>
    </row>
    <row r="327">
      <c r="A327" s="55"/>
      <c r="B327" s="55"/>
      <c r="C327" s="55"/>
      <c r="D327" s="56"/>
    </row>
    <row r="328">
      <c r="A328" s="55"/>
      <c r="B328" s="55"/>
      <c r="C328" s="55"/>
      <c r="D328" s="56"/>
    </row>
    <row r="329">
      <c r="A329" s="55"/>
      <c r="B329" s="55"/>
      <c r="C329" s="55"/>
      <c r="D329" s="56"/>
    </row>
    <row r="330">
      <c r="A330" s="55"/>
      <c r="B330" s="55"/>
      <c r="C330" s="55"/>
      <c r="D330" s="56"/>
    </row>
    <row r="331">
      <c r="A331" s="55"/>
      <c r="B331" s="55"/>
      <c r="C331" s="55"/>
      <c r="D331" s="56"/>
    </row>
    <row r="332">
      <c r="A332" s="55"/>
      <c r="B332" s="55"/>
      <c r="C332" s="55"/>
      <c r="D332" s="56"/>
    </row>
    <row r="333">
      <c r="A333" s="55"/>
      <c r="B333" s="55"/>
      <c r="C333" s="55"/>
      <c r="D333" s="56"/>
    </row>
    <row r="334">
      <c r="A334" s="55"/>
      <c r="B334" s="55"/>
      <c r="C334" s="55"/>
      <c r="D334" s="56"/>
    </row>
    <row r="335">
      <c r="A335" s="55"/>
      <c r="B335" s="55"/>
      <c r="C335" s="55"/>
      <c r="D335" s="56"/>
    </row>
    <row r="336">
      <c r="A336" s="55"/>
      <c r="B336" s="55"/>
      <c r="C336" s="55"/>
      <c r="D336" s="56"/>
    </row>
    <row r="337">
      <c r="A337" s="55"/>
      <c r="B337" s="55"/>
      <c r="C337" s="55"/>
      <c r="D337" s="56"/>
    </row>
    <row r="338">
      <c r="A338" s="55"/>
      <c r="B338" s="55"/>
      <c r="C338" s="55"/>
      <c r="D338" s="56"/>
    </row>
    <row r="339">
      <c r="A339" s="55"/>
      <c r="B339" s="55"/>
      <c r="C339" s="55"/>
      <c r="D339" s="56"/>
    </row>
    <row r="340">
      <c r="A340" s="55"/>
      <c r="B340" s="55"/>
      <c r="C340" s="55"/>
      <c r="D340" s="56"/>
    </row>
    <row r="341">
      <c r="A341" s="55"/>
      <c r="B341" s="55"/>
      <c r="C341" s="55"/>
      <c r="D341" s="56"/>
    </row>
    <row r="342">
      <c r="A342" s="55"/>
      <c r="B342" s="55"/>
      <c r="C342" s="55"/>
      <c r="D342" s="56"/>
    </row>
    <row r="343">
      <c r="A343" s="55"/>
      <c r="B343" s="55"/>
      <c r="C343" s="55"/>
      <c r="D343" s="56"/>
    </row>
    <row r="344">
      <c r="A344" s="55"/>
      <c r="B344" s="55"/>
      <c r="C344" s="55"/>
      <c r="D344" s="56"/>
    </row>
    <row r="345">
      <c r="A345" s="55"/>
      <c r="B345" s="55"/>
      <c r="C345" s="55"/>
      <c r="D345" s="56"/>
    </row>
    <row r="346">
      <c r="A346" s="55"/>
      <c r="B346" s="55"/>
      <c r="C346" s="55"/>
      <c r="D346" s="56"/>
    </row>
    <row r="347">
      <c r="A347" s="55"/>
      <c r="B347" s="55"/>
      <c r="C347" s="55"/>
      <c r="D347" s="56"/>
    </row>
    <row r="348">
      <c r="A348" s="55"/>
      <c r="B348" s="55"/>
      <c r="C348" s="55"/>
      <c r="D348" s="56"/>
    </row>
    <row r="349">
      <c r="A349" s="55"/>
      <c r="B349" s="55"/>
      <c r="C349" s="55"/>
      <c r="D349" s="56"/>
    </row>
    <row r="350">
      <c r="A350" s="55"/>
      <c r="B350" s="55"/>
      <c r="C350" s="55"/>
      <c r="D350" s="56"/>
    </row>
    <row r="351">
      <c r="A351" s="55"/>
      <c r="B351" s="55"/>
      <c r="C351" s="55"/>
      <c r="D351" s="56"/>
    </row>
    <row r="352">
      <c r="A352" s="55"/>
      <c r="B352" s="55"/>
      <c r="C352" s="55"/>
      <c r="D352" s="56"/>
    </row>
    <row r="353">
      <c r="A353" s="55"/>
      <c r="B353" s="55"/>
      <c r="C353" s="55"/>
      <c r="D353" s="56"/>
    </row>
    <row r="354">
      <c r="A354" s="55"/>
      <c r="B354" s="55"/>
      <c r="C354" s="55"/>
      <c r="D354" s="56"/>
    </row>
    <row r="355">
      <c r="A355" s="55"/>
      <c r="B355" s="55"/>
      <c r="C355" s="55"/>
      <c r="D355" s="56"/>
    </row>
    <row r="356">
      <c r="A356" s="55"/>
      <c r="B356" s="55"/>
      <c r="C356" s="55"/>
      <c r="D356" s="56"/>
    </row>
    <row r="357">
      <c r="A357" s="55"/>
      <c r="B357" s="55"/>
      <c r="C357" s="55"/>
      <c r="D357" s="56"/>
    </row>
    <row r="358">
      <c r="A358" s="55"/>
      <c r="B358" s="55"/>
      <c r="C358" s="55"/>
      <c r="D358" s="56"/>
    </row>
    <row r="359">
      <c r="A359" s="55"/>
      <c r="B359" s="55"/>
      <c r="C359" s="55"/>
      <c r="D359" s="56"/>
    </row>
    <row r="360">
      <c r="A360" s="55"/>
      <c r="B360" s="55"/>
      <c r="C360" s="55"/>
      <c r="D360" s="56"/>
    </row>
    <row r="361">
      <c r="A361" s="55"/>
      <c r="B361" s="55"/>
      <c r="C361" s="55"/>
      <c r="D361" s="56"/>
    </row>
    <row r="362">
      <c r="A362" s="55"/>
      <c r="B362" s="55"/>
      <c r="C362" s="55"/>
      <c r="D362" s="56"/>
    </row>
    <row r="363">
      <c r="A363" s="55"/>
      <c r="B363" s="55"/>
      <c r="C363" s="55"/>
      <c r="D363" s="56"/>
    </row>
    <row r="364">
      <c r="A364" s="55"/>
      <c r="B364" s="55"/>
      <c r="C364" s="55"/>
      <c r="D364" s="56"/>
    </row>
    <row r="365">
      <c r="A365" s="55"/>
      <c r="B365" s="55"/>
      <c r="C365" s="55"/>
      <c r="D365" s="56"/>
    </row>
    <row r="366">
      <c r="A366" s="55"/>
      <c r="B366" s="55"/>
      <c r="C366" s="55"/>
      <c r="D366" s="56"/>
    </row>
    <row r="367">
      <c r="A367" s="55"/>
      <c r="B367" s="55"/>
      <c r="C367" s="55"/>
      <c r="D367" s="56"/>
    </row>
    <row r="368">
      <c r="A368" s="55"/>
      <c r="B368" s="55"/>
      <c r="C368" s="55"/>
      <c r="D368" s="56"/>
    </row>
    <row r="369">
      <c r="A369" s="55"/>
      <c r="B369" s="55"/>
      <c r="C369" s="55"/>
      <c r="D369" s="56"/>
    </row>
    <row r="370">
      <c r="A370" s="55"/>
      <c r="B370" s="55"/>
      <c r="C370" s="55"/>
      <c r="D370" s="56"/>
    </row>
    <row r="371">
      <c r="A371" s="55"/>
      <c r="B371" s="55"/>
      <c r="C371" s="55"/>
      <c r="D371" s="56"/>
    </row>
    <row r="372">
      <c r="A372" s="55"/>
      <c r="B372" s="55"/>
      <c r="C372" s="55"/>
      <c r="D372" s="56"/>
    </row>
    <row r="373">
      <c r="A373" s="55"/>
      <c r="B373" s="55"/>
      <c r="C373" s="55"/>
      <c r="D373" s="56"/>
    </row>
    <row r="374">
      <c r="A374" s="55"/>
      <c r="B374" s="55"/>
      <c r="C374" s="55"/>
      <c r="D374" s="56"/>
    </row>
    <row r="375">
      <c r="A375" s="55"/>
      <c r="B375" s="55"/>
      <c r="C375" s="55"/>
      <c r="D375" s="56"/>
    </row>
    <row r="376">
      <c r="A376" s="55"/>
      <c r="B376" s="55"/>
      <c r="C376" s="55"/>
      <c r="D376" s="56"/>
    </row>
    <row r="377">
      <c r="A377" s="55"/>
      <c r="B377" s="55"/>
      <c r="C377" s="55"/>
      <c r="D377" s="56"/>
    </row>
    <row r="378">
      <c r="A378" s="55"/>
      <c r="B378" s="55"/>
      <c r="C378" s="55"/>
      <c r="D378" s="56"/>
    </row>
    <row r="379">
      <c r="A379" s="55"/>
      <c r="B379" s="55"/>
      <c r="C379" s="55"/>
      <c r="D379" s="56"/>
    </row>
    <row r="380">
      <c r="A380" s="55"/>
      <c r="B380" s="55"/>
      <c r="C380" s="55"/>
      <c r="D380" s="56"/>
    </row>
    <row r="381">
      <c r="A381" s="55"/>
      <c r="B381" s="55"/>
      <c r="C381" s="55"/>
      <c r="D381" s="56"/>
    </row>
    <row r="382">
      <c r="A382" s="55"/>
      <c r="B382" s="55"/>
      <c r="C382" s="55"/>
      <c r="D382" s="56"/>
    </row>
    <row r="383">
      <c r="A383" s="55"/>
      <c r="B383" s="55"/>
      <c r="C383" s="55"/>
      <c r="D383" s="56"/>
    </row>
    <row r="384">
      <c r="A384" s="55"/>
      <c r="B384" s="55"/>
      <c r="C384" s="55"/>
      <c r="D384" s="56"/>
    </row>
    <row r="385">
      <c r="A385" s="55"/>
      <c r="B385" s="55"/>
      <c r="C385" s="55"/>
      <c r="D385" s="56"/>
    </row>
    <row r="386">
      <c r="A386" s="55"/>
      <c r="B386" s="55"/>
      <c r="C386" s="55"/>
      <c r="D386" s="56"/>
    </row>
    <row r="387">
      <c r="A387" s="55"/>
      <c r="B387" s="55"/>
      <c r="C387" s="55"/>
      <c r="D387" s="56"/>
    </row>
    <row r="388">
      <c r="A388" s="55"/>
      <c r="B388" s="55"/>
      <c r="C388" s="55"/>
      <c r="D388" s="56"/>
    </row>
    <row r="389">
      <c r="A389" s="55"/>
      <c r="B389" s="55"/>
      <c r="C389" s="55"/>
      <c r="D389" s="56"/>
    </row>
    <row r="390">
      <c r="A390" s="55"/>
      <c r="B390" s="55"/>
      <c r="C390" s="55"/>
      <c r="D390" s="56"/>
    </row>
    <row r="391">
      <c r="A391" s="55"/>
      <c r="B391" s="55"/>
      <c r="C391" s="55"/>
      <c r="D391" s="56"/>
    </row>
    <row r="392">
      <c r="A392" s="55"/>
      <c r="B392" s="55"/>
      <c r="C392" s="55"/>
      <c r="D392" s="56"/>
    </row>
    <row r="393">
      <c r="A393" s="55"/>
      <c r="B393" s="55"/>
      <c r="C393" s="55"/>
      <c r="D393" s="56"/>
    </row>
    <row r="394">
      <c r="A394" s="55"/>
      <c r="B394" s="55"/>
      <c r="C394" s="55"/>
      <c r="D394" s="56"/>
    </row>
    <row r="395">
      <c r="A395" s="55"/>
      <c r="B395" s="55"/>
      <c r="C395" s="55"/>
      <c r="D395" s="56"/>
    </row>
    <row r="396">
      <c r="A396" s="55"/>
      <c r="B396" s="55"/>
      <c r="C396" s="55"/>
      <c r="D396" s="56"/>
    </row>
    <row r="397">
      <c r="A397" s="55"/>
      <c r="B397" s="55"/>
      <c r="C397" s="55"/>
      <c r="D397" s="56"/>
    </row>
    <row r="398">
      <c r="A398" s="55"/>
      <c r="B398" s="55"/>
      <c r="C398" s="55"/>
      <c r="D398" s="56"/>
    </row>
    <row r="399">
      <c r="A399" s="55"/>
      <c r="B399" s="55"/>
      <c r="C399" s="55"/>
      <c r="D399" s="56"/>
    </row>
    <row r="400">
      <c r="A400" s="55"/>
      <c r="B400" s="55"/>
      <c r="C400" s="55"/>
      <c r="D400" s="56"/>
    </row>
    <row r="401">
      <c r="A401" s="55"/>
      <c r="B401" s="55"/>
      <c r="C401" s="55"/>
      <c r="D401" s="56"/>
    </row>
    <row r="402">
      <c r="A402" s="55"/>
      <c r="B402" s="55"/>
      <c r="C402" s="55"/>
      <c r="D402" s="56"/>
    </row>
    <row r="403">
      <c r="A403" s="55"/>
      <c r="B403" s="55"/>
      <c r="C403" s="55"/>
      <c r="D403" s="56"/>
    </row>
    <row r="404">
      <c r="A404" s="55"/>
      <c r="B404" s="55"/>
      <c r="C404" s="55"/>
      <c r="D404" s="56"/>
    </row>
    <row r="405">
      <c r="A405" s="55"/>
      <c r="B405" s="55"/>
      <c r="C405" s="55"/>
      <c r="D405" s="56"/>
    </row>
    <row r="406">
      <c r="A406" s="55"/>
      <c r="B406" s="55"/>
      <c r="C406" s="55"/>
      <c r="D406" s="56"/>
    </row>
    <row r="407">
      <c r="A407" s="55"/>
      <c r="B407" s="55"/>
      <c r="C407" s="55"/>
      <c r="D407" s="56"/>
    </row>
    <row r="408">
      <c r="A408" s="55"/>
      <c r="B408" s="55"/>
      <c r="C408" s="55"/>
      <c r="D408" s="56"/>
    </row>
    <row r="409">
      <c r="A409" s="55"/>
      <c r="B409" s="55"/>
      <c r="C409" s="55"/>
      <c r="D409" s="56"/>
    </row>
    <row r="410">
      <c r="A410" s="55"/>
      <c r="B410" s="55"/>
      <c r="C410" s="55"/>
      <c r="D410" s="56"/>
    </row>
    <row r="411">
      <c r="A411" s="55"/>
      <c r="B411" s="55"/>
      <c r="C411" s="55"/>
      <c r="D411" s="56"/>
    </row>
    <row r="412">
      <c r="A412" s="55"/>
      <c r="B412" s="55"/>
      <c r="C412" s="55"/>
      <c r="D412" s="56"/>
    </row>
    <row r="413">
      <c r="A413" s="55"/>
      <c r="B413" s="55"/>
      <c r="C413" s="55"/>
      <c r="D413" s="56"/>
    </row>
    <row r="414">
      <c r="A414" s="55"/>
      <c r="B414" s="55"/>
      <c r="C414" s="55"/>
      <c r="D414" s="56"/>
    </row>
    <row r="415">
      <c r="A415" s="55"/>
      <c r="B415" s="55"/>
      <c r="C415" s="55"/>
      <c r="D415" s="56"/>
    </row>
    <row r="416">
      <c r="A416" s="55"/>
      <c r="B416" s="55"/>
      <c r="C416" s="55"/>
      <c r="D416" s="56"/>
    </row>
    <row r="417">
      <c r="A417" s="55"/>
      <c r="B417" s="55"/>
      <c r="C417" s="55"/>
      <c r="D417" s="56"/>
    </row>
    <row r="418">
      <c r="A418" s="55"/>
      <c r="B418" s="55"/>
      <c r="C418" s="55"/>
      <c r="D418" s="56"/>
    </row>
    <row r="419">
      <c r="A419" s="55"/>
      <c r="B419" s="55"/>
      <c r="C419" s="55"/>
      <c r="D419" s="56"/>
    </row>
    <row r="420">
      <c r="A420" s="55"/>
      <c r="B420" s="55"/>
      <c r="C420" s="55"/>
      <c r="D420" s="56"/>
    </row>
    <row r="421">
      <c r="A421" s="55"/>
      <c r="B421" s="55"/>
      <c r="C421" s="55"/>
      <c r="D421" s="56"/>
    </row>
    <row r="422">
      <c r="A422" s="55"/>
      <c r="B422" s="55"/>
      <c r="C422" s="55"/>
      <c r="D422" s="56"/>
    </row>
    <row r="423">
      <c r="A423" s="55"/>
      <c r="B423" s="55"/>
      <c r="C423" s="55"/>
      <c r="D423" s="56"/>
    </row>
    <row r="424">
      <c r="A424" s="55"/>
      <c r="B424" s="55"/>
      <c r="C424" s="55"/>
      <c r="D424" s="56"/>
    </row>
    <row r="425">
      <c r="A425" s="55"/>
      <c r="B425" s="55"/>
      <c r="C425" s="55"/>
      <c r="D425" s="56"/>
    </row>
    <row r="426">
      <c r="A426" s="55"/>
      <c r="B426" s="55"/>
      <c r="C426" s="55"/>
      <c r="D426" s="56"/>
    </row>
    <row r="427">
      <c r="A427" s="55"/>
      <c r="B427" s="55"/>
      <c r="C427" s="55"/>
      <c r="D427" s="56"/>
    </row>
    <row r="428">
      <c r="A428" s="55"/>
      <c r="B428" s="55"/>
      <c r="C428" s="55"/>
      <c r="D428" s="56"/>
    </row>
    <row r="429">
      <c r="A429" s="55"/>
      <c r="B429" s="55"/>
      <c r="C429" s="55"/>
      <c r="D429" s="56"/>
    </row>
    <row r="430">
      <c r="A430" s="55"/>
      <c r="B430" s="55"/>
      <c r="C430" s="55"/>
      <c r="D430" s="56"/>
    </row>
    <row r="431">
      <c r="A431" s="55"/>
      <c r="B431" s="55"/>
      <c r="C431" s="55"/>
      <c r="D431" s="56"/>
    </row>
    <row r="432">
      <c r="A432" s="55"/>
      <c r="B432" s="55"/>
      <c r="C432" s="55"/>
      <c r="D432" s="56"/>
    </row>
    <row r="433">
      <c r="A433" s="55"/>
      <c r="B433" s="55"/>
      <c r="C433" s="55"/>
      <c r="D433" s="56"/>
    </row>
    <row r="434">
      <c r="A434" s="55"/>
      <c r="B434" s="55"/>
      <c r="C434" s="55"/>
      <c r="D434" s="56"/>
    </row>
    <row r="435">
      <c r="A435" s="55"/>
      <c r="B435" s="55"/>
      <c r="C435" s="55"/>
      <c r="D435" s="56"/>
    </row>
    <row r="436">
      <c r="A436" s="55"/>
      <c r="B436" s="55"/>
      <c r="C436" s="55"/>
      <c r="D436" s="56"/>
    </row>
    <row r="437">
      <c r="A437" s="55"/>
      <c r="B437" s="55"/>
      <c r="C437" s="55"/>
      <c r="D437" s="56"/>
    </row>
    <row r="438">
      <c r="A438" s="55"/>
      <c r="B438" s="55"/>
      <c r="C438" s="55"/>
      <c r="D438" s="56"/>
    </row>
    <row r="439">
      <c r="A439" s="55"/>
      <c r="B439" s="55"/>
      <c r="C439" s="55"/>
      <c r="D439" s="56"/>
    </row>
    <row r="440">
      <c r="A440" s="55"/>
      <c r="B440" s="55"/>
      <c r="C440" s="55"/>
      <c r="D440" s="56"/>
    </row>
    <row r="441">
      <c r="A441" s="55"/>
      <c r="B441" s="55"/>
      <c r="C441" s="55"/>
      <c r="D441" s="56"/>
    </row>
    <row r="442">
      <c r="A442" s="55"/>
      <c r="B442" s="55"/>
      <c r="C442" s="55"/>
      <c r="D442" s="56"/>
    </row>
    <row r="443">
      <c r="A443" s="55"/>
      <c r="B443" s="55"/>
      <c r="C443" s="55"/>
      <c r="D443" s="56"/>
    </row>
    <row r="444">
      <c r="A444" s="55"/>
      <c r="B444" s="55"/>
      <c r="C444" s="55"/>
      <c r="D444" s="56"/>
    </row>
    <row r="445">
      <c r="A445" s="55"/>
      <c r="B445" s="55"/>
      <c r="C445" s="55"/>
      <c r="D445" s="56"/>
    </row>
    <row r="446">
      <c r="A446" s="55"/>
      <c r="B446" s="55"/>
      <c r="C446" s="55"/>
      <c r="D446" s="56"/>
    </row>
    <row r="447">
      <c r="A447" s="55"/>
      <c r="B447" s="55"/>
      <c r="C447" s="55"/>
      <c r="D447" s="56"/>
    </row>
    <row r="448">
      <c r="A448" s="55"/>
      <c r="B448" s="55"/>
      <c r="C448" s="55"/>
      <c r="D448" s="56"/>
    </row>
    <row r="449">
      <c r="A449" s="55"/>
      <c r="B449" s="55"/>
      <c r="C449" s="55"/>
      <c r="D449" s="56"/>
    </row>
    <row r="450">
      <c r="A450" s="55"/>
      <c r="B450" s="55"/>
      <c r="C450" s="55"/>
      <c r="D450" s="56"/>
    </row>
    <row r="451">
      <c r="A451" s="55"/>
      <c r="B451" s="55"/>
      <c r="C451" s="55"/>
      <c r="D451" s="56"/>
    </row>
    <row r="452">
      <c r="A452" s="55"/>
      <c r="B452" s="55"/>
      <c r="C452" s="55"/>
      <c r="D452" s="56"/>
    </row>
    <row r="453">
      <c r="A453" s="55"/>
      <c r="B453" s="55"/>
      <c r="C453" s="55"/>
      <c r="D453" s="56"/>
    </row>
    <row r="454">
      <c r="A454" s="55"/>
      <c r="B454" s="55"/>
      <c r="C454" s="55"/>
      <c r="D454" s="56"/>
    </row>
    <row r="455">
      <c r="A455" s="55"/>
      <c r="B455" s="55"/>
      <c r="C455" s="55"/>
      <c r="D455" s="56"/>
    </row>
    <row r="456">
      <c r="A456" s="55"/>
      <c r="B456" s="55"/>
      <c r="C456" s="55"/>
      <c r="D456" s="56"/>
    </row>
    <row r="457">
      <c r="A457" s="55"/>
      <c r="B457" s="55"/>
      <c r="C457" s="55"/>
      <c r="D457" s="56"/>
    </row>
    <row r="458">
      <c r="A458" s="55"/>
      <c r="B458" s="55"/>
      <c r="C458" s="55"/>
      <c r="D458" s="56"/>
    </row>
    <row r="459">
      <c r="A459" s="55"/>
      <c r="B459" s="55"/>
      <c r="C459" s="55"/>
      <c r="D459" s="56"/>
    </row>
    <row r="460">
      <c r="A460" s="55"/>
      <c r="B460" s="55"/>
      <c r="C460" s="55"/>
      <c r="D460" s="56"/>
    </row>
    <row r="461">
      <c r="A461" s="55"/>
      <c r="B461" s="55"/>
      <c r="C461" s="55"/>
      <c r="D461" s="56"/>
    </row>
    <row r="462">
      <c r="A462" s="55"/>
      <c r="B462" s="55"/>
      <c r="C462" s="55"/>
      <c r="D462" s="56"/>
    </row>
    <row r="463">
      <c r="A463" s="55"/>
      <c r="B463" s="55"/>
      <c r="C463" s="55"/>
      <c r="D463" s="56"/>
    </row>
    <row r="464">
      <c r="A464" s="55"/>
      <c r="B464" s="55"/>
      <c r="C464" s="55"/>
      <c r="D464" s="56"/>
    </row>
    <row r="465">
      <c r="A465" s="55"/>
      <c r="B465" s="55"/>
      <c r="C465" s="55"/>
      <c r="D465" s="56"/>
    </row>
    <row r="466">
      <c r="A466" s="55"/>
      <c r="B466" s="55"/>
      <c r="C466" s="55"/>
      <c r="D466" s="56"/>
    </row>
    <row r="467">
      <c r="A467" s="55"/>
      <c r="B467" s="55"/>
      <c r="C467" s="55"/>
      <c r="D467" s="56"/>
    </row>
    <row r="468">
      <c r="A468" s="55"/>
      <c r="B468" s="55"/>
      <c r="C468" s="55"/>
      <c r="D468" s="56"/>
    </row>
    <row r="469">
      <c r="A469" s="55"/>
      <c r="B469" s="55"/>
      <c r="C469" s="55"/>
      <c r="D469" s="56"/>
    </row>
    <row r="470">
      <c r="A470" s="55"/>
      <c r="B470" s="55"/>
      <c r="C470" s="55"/>
      <c r="D470" s="56"/>
    </row>
    <row r="471">
      <c r="A471" s="55"/>
      <c r="B471" s="55"/>
      <c r="C471" s="55"/>
      <c r="D471" s="56"/>
    </row>
    <row r="472">
      <c r="A472" s="55"/>
      <c r="B472" s="55"/>
      <c r="C472" s="55"/>
      <c r="D472" s="56"/>
    </row>
    <row r="473">
      <c r="A473" s="55"/>
      <c r="B473" s="55"/>
      <c r="C473" s="55"/>
      <c r="D473" s="56"/>
    </row>
    <row r="474">
      <c r="A474" s="55"/>
      <c r="B474" s="55"/>
      <c r="C474" s="55"/>
      <c r="D474" s="56"/>
    </row>
    <row r="475">
      <c r="A475" s="55"/>
      <c r="B475" s="55"/>
      <c r="C475" s="55"/>
      <c r="D475" s="56"/>
    </row>
    <row r="476">
      <c r="A476" s="55"/>
      <c r="B476" s="55"/>
      <c r="C476" s="55"/>
      <c r="D476" s="56"/>
    </row>
    <row r="477">
      <c r="A477" s="55"/>
      <c r="B477" s="55"/>
      <c r="C477" s="55"/>
      <c r="D477" s="56"/>
    </row>
    <row r="478">
      <c r="A478" s="55"/>
      <c r="B478" s="55"/>
      <c r="C478" s="55"/>
      <c r="D478" s="56"/>
    </row>
    <row r="479">
      <c r="A479" s="55"/>
      <c r="B479" s="55"/>
      <c r="C479" s="55"/>
      <c r="D479" s="56"/>
    </row>
    <row r="480">
      <c r="A480" s="55"/>
      <c r="B480" s="55"/>
      <c r="C480" s="55"/>
      <c r="D480" s="56"/>
    </row>
    <row r="481">
      <c r="A481" s="55"/>
      <c r="B481" s="55"/>
      <c r="C481" s="55"/>
      <c r="D481" s="56"/>
    </row>
    <row r="482">
      <c r="A482" s="55"/>
      <c r="B482" s="55"/>
      <c r="C482" s="55"/>
      <c r="D482" s="56"/>
    </row>
    <row r="483">
      <c r="A483" s="55"/>
      <c r="B483" s="55"/>
      <c r="C483" s="55"/>
      <c r="D483" s="56"/>
    </row>
    <row r="484">
      <c r="A484" s="55"/>
      <c r="B484" s="55"/>
      <c r="C484" s="55"/>
      <c r="D484" s="56"/>
    </row>
    <row r="485">
      <c r="A485" s="55"/>
      <c r="B485" s="55"/>
      <c r="C485" s="55"/>
      <c r="D485" s="56"/>
    </row>
    <row r="486">
      <c r="A486" s="55"/>
      <c r="B486" s="55"/>
      <c r="C486" s="55"/>
      <c r="D486" s="56"/>
    </row>
    <row r="487">
      <c r="A487" s="55"/>
      <c r="B487" s="55"/>
      <c r="C487" s="55"/>
      <c r="D487" s="56"/>
    </row>
    <row r="488">
      <c r="A488" s="55"/>
      <c r="B488" s="55"/>
      <c r="C488" s="55"/>
      <c r="D488" s="56"/>
    </row>
    <row r="489">
      <c r="A489" s="55"/>
      <c r="B489" s="55"/>
      <c r="C489" s="55"/>
      <c r="D489" s="56"/>
    </row>
    <row r="490">
      <c r="A490" s="55"/>
      <c r="B490" s="55"/>
      <c r="C490" s="55"/>
      <c r="D490" s="56"/>
    </row>
    <row r="491">
      <c r="A491" s="55"/>
      <c r="B491" s="55"/>
      <c r="C491" s="55"/>
      <c r="D491" s="56"/>
    </row>
    <row r="492">
      <c r="A492" s="55"/>
      <c r="B492" s="55"/>
      <c r="C492" s="55"/>
      <c r="D492" s="56"/>
    </row>
    <row r="493">
      <c r="A493" s="55"/>
      <c r="B493" s="55"/>
      <c r="C493" s="55"/>
      <c r="D493" s="56"/>
    </row>
    <row r="494">
      <c r="A494" s="55"/>
      <c r="B494" s="55"/>
      <c r="C494" s="55"/>
      <c r="D494" s="56"/>
    </row>
    <row r="495">
      <c r="A495" s="55"/>
      <c r="B495" s="55"/>
      <c r="C495" s="55"/>
      <c r="D495" s="56"/>
    </row>
    <row r="496">
      <c r="A496" s="55"/>
      <c r="B496" s="55"/>
      <c r="C496" s="55"/>
      <c r="D496" s="56"/>
    </row>
    <row r="497">
      <c r="A497" s="55"/>
      <c r="B497" s="55"/>
      <c r="C497" s="55"/>
      <c r="D497" s="56"/>
    </row>
    <row r="498">
      <c r="A498" s="55"/>
      <c r="B498" s="55"/>
      <c r="C498" s="55"/>
      <c r="D498" s="56"/>
    </row>
    <row r="499">
      <c r="A499" s="55"/>
      <c r="B499" s="55"/>
      <c r="C499" s="55"/>
      <c r="D499" s="56"/>
    </row>
    <row r="500">
      <c r="A500" s="55"/>
      <c r="B500" s="55"/>
      <c r="C500" s="55"/>
      <c r="D500" s="56"/>
    </row>
    <row r="501">
      <c r="A501" s="55"/>
      <c r="B501" s="55"/>
      <c r="C501" s="55"/>
      <c r="D501" s="56"/>
    </row>
    <row r="502">
      <c r="A502" s="55"/>
      <c r="B502" s="55"/>
      <c r="C502" s="55"/>
      <c r="D502" s="56"/>
    </row>
    <row r="503">
      <c r="A503" s="55"/>
      <c r="B503" s="55"/>
      <c r="C503" s="55"/>
      <c r="D503" s="56"/>
    </row>
    <row r="504">
      <c r="A504" s="55"/>
      <c r="B504" s="55"/>
      <c r="C504" s="55"/>
      <c r="D504" s="56"/>
    </row>
    <row r="505">
      <c r="A505" s="55"/>
      <c r="B505" s="55"/>
      <c r="C505" s="55"/>
      <c r="D505" s="56"/>
    </row>
    <row r="506">
      <c r="A506" s="55"/>
      <c r="B506" s="55"/>
      <c r="C506" s="55"/>
      <c r="D506" s="56"/>
    </row>
    <row r="507">
      <c r="A507" s="55"/>
      <c r="B507" s="55"/>
      <c r="C507" s="55"/>
      <c r="D507" s="56"/>
    </row>
    <row r="508">
      <c r="A508" s="55"/>
      <c r="B508" s="55"/>
      <c r="C508" s="55"/>
      <c r="D508" s="56"/>
    </row>
    <row r="509">
      <c r="A509" s="55"/>
      <c r="B509" s="55"/>
      <c r="C509" s="55"/>
      <c r="D509" s="56"/>
    </row>
    <row r="510">
      <c r="A510" s="55"/>
      <c r="B510" s="55"/>
      <c r="C510" s="55"/>
      <c r="D510" s="56"/>
    </row>
    <row r="511">
      <c r="A511" s="55"/>
      <c r="B511" s="55"/>
      <c r="C511" s="55"/>
      <c r="D511" s="56"/>
    </row>
    <row r="512">
      <c r="A512" s="55"/>
      <c r="B512" s="55"/>
      <c r="C512" s="55"/>
      <c r="D512" s="56"/>
    </row>
    <row r="513">
      <c r="A513" s="55"/>
      <c r="B513" s="55"/>
      <c r="C513" s="55"/>
      <c r="D513" s="56"/>
    </row>
    <row r="514">
      <c r="A514" s="55"/>
      <c r="B514" s="55"/>
      <c r="C514" s="55"/>
      <c r="D514" s="56"/>
    </row>
    <row r="515">
      <c r="A515" s="55"/>
      <c r="B515" s="55"/>
      <c r="C515" s="55"/>
      <c r="D515" s="56"/>
    </row>
    <row r="516">
      <c r="A516" s="55"/>
      <c r="B516" s="55"/>
      <c r="C516" s="55"/>
      <c r="D516" s="56"/>
    </row>
    <row r="517">
      <c r="A517" s="55"/>
      <c r="B517" s="55"/>
      <c r="C517" s="55"/>
      <c r="D517" s="56"/>
    </row>
    <row r="518">
      <c r="A518" s="55"/>
      <c r="B518" s="55"/>
      <c r="C518" s="55"/>
      <c r="D518" s="56"/>
    </row>
    <row r="519">
      <c r="A519" s="55"/>
      <c r="B519" s="55"/>
      <c r="C519" s="55"/>
      <c r="D519" s="56"/>
    </row>
    <row r="520">
      <c r="A520" s="55"/>
      <c r="B520" s="55"/>
      <c r="C520" s="55"/>
      <c r="D520" s="56"/>
    </row>
    <row r="521">
      <c r="A521" s="55"/>
      <c r="B521" s="55"/>
      <c r="C521" s="55"/>
      <c r="D521" s="56"/>
    </row>
    <row r="522">
      <c r="A522" s="55"/>
      <c r="B522" s="55"/>
      <c r="C522" s="55"/>
      <c r="D522" s="56"/>
    </row>
    <row r="523">
      <c r="A523" s="55"/>
      <c r="B523" s="55"/>
      <c r="C523" s="55"/>
      <c r="D523" s="56"/>
    </row>
    <row r="524">
      <c r="A524" s="55"/>
      <c r="B524" s="55"/>
      <c r="C524" s="55"/>
      <c r="D524" s="56"/>
    </row>
    <row r="525">
      <c r="A525" s="55"/>
      <c r="B525" s="55"/>
      <c r="C525" s="55"/>
      <c r="D525" s="56"/>
    </row>
    <row r="526">
      <c r="A526" s="55"/>
      <c r="B526" s="55"/>
      <c r="C526" s="55"/>
      <c r="D526" s="56"/>
    </row>
    <row r="527">
      <c r="A527" s="55"/>
      <c r="B527" s="55"/>
      <c r="C527" s="55"/>
      <c r="D527" s="56"/>
    </row>
    <row r="528">
      <c r="A528" s="55"/>
      <c r="B528" s="55"/>
      <c r="C528" s="55"/>
      <c r="D528" s="56"/>
    </row>
    <row r="529">
      <c r="A529" s="55"/>
      <c r="B529" s="55"/>
      <c r="C529" s="55"/>
      <c r="D529" s="56"/>
    </row>
    <row r="530">
      <c r="A530" s="55"/>
      <c r="B530" s="55"/>
      <c r="C530" s="55"/>
      <c r="D530" s="56"/>
    </row>
    <row r="531">
      <c r="A531" s="55"/>
      <c r="B531" s="55"/>
      <c r="C531" s="55"/>
      <c r="D531" s="56"/>
    </row>
    <row r="532">
      <c r="A532" s="55"/>
      <c r="B532" s="55"/>
      <c r="C532" s="55"/>
      <c r="D532" s="56"/>
    </row>
    <row r="533">
      <c r="A533" s="55"/>
      <c r="B533" s="55"/>
      <c r="C533" s="55"/>
      <c r="D533" s="56"/>
    </row>
    <row r="534">
      <c r="A534" s="55"/>
      <c r="B534" s="55"/>
      <c r="C534" s="55"/>
      <c r="D534" s="56"/>
    </row>
    <row r="535">
      <c r="A535" s="55"/>
      <c r="B535" s="55"/>
      <c r="C535" s="55"/>
      <c r="D535" s="56"/>
    </row>
    <row r="536">
      <c r="A536" s="55"/>
      <c r="B536" s="55"/>
      <c r="C536" s="55"/>
      <c r="D536" s="56"/>
    </row>
    <row r="537">
      <c r="A537" s="55"/>
      <c r="B537" s="55"/>
      <c r="C537" s="55"/>
      <c r="D537" s="56"/>
    </row>
    <row r="538">
      <c r="A538" s="55"/>
      <c r="B538" s="55"/>
      <c r="C538" s="55"/>
      <c r="D538" s="56"/>
    </row>
    <row r="539">
      <c r="A539" s="55"/>
      <c r="B539" s="55"/>
      <c r="C539" s="55"/>
      <c r="D539" s="56"/>
    </row>
    <row r="540">
      <c r="A540" s="55"/>
      <c r="B540" s="55"/>
      <c r="C540" s="55"/>
      <c r="D540" s="56"/>
    </row>
    <row r="541">
      <c r="A541" s="55"/>
      <c r="B541" s="55"/>
      <c r="C541" s="55"/>
      <c r="D541" s="56"/>
    </row>
    <row r="542">
      <c r="A542" s="55"/>
      <c r="B542" s="55"/>
      <c r="C542" s="55"/>
      <c r="D542" s="56"/>
    </row>
    <row r="543">
      <c r="A543" s="55"/>
      <c r="B543" s="55"/>
      <c r="C543" s="55"/>
      <c r="D543" s="56"/>
    </row>
    <row r="544">
      <c r="A544" s="55"/>
      <c r="B544" s="55"/>
      <c r="C544" s="55"/>
      <c r="D544" s="56"/>
    </row>
    <row r="545">
      <c r="A545" s="55"/>
      <c r="B545" s="55"/>
      <c r="C545" s="55"/>
      <c r="D545" s="56"/>
    </row>
    <row r="546">
      <c r="A546" s="55"/>
      <c r="B546" s="55"/>
      <c r="C546" s="55"/>
      <c r="D546" s="56"/>
    </row>
    <row r="547">
      <c r="A547" s="55"/>
      <c r="B547" s="55"/>
      <c r="C547" s="55"/>
      <c r="D547" s="56"/>
    </row>
    <row r="548">
      <c r="A548" s="55"/>
      <c r="B548" s="55"/>
      <c r="C548" s="55"/>
      <c r="D548" s="56"/>
    </row>
    <row r="549">
      <c r="A549" s="55"/>
      <c r="B549" s="55"/>
      <c r="C549" s="55"/>
      <c r="D549" s="56"/>
    </row>
    <row r="550">
      <c r="A550" s="55"/>
      <c r="B550" s="55"/>
      <c r="C550" s="55"/>
      <c r="D550" s="56"/>
    </row>
    <row r="551">
      <c r="A551" s="55"/>
      <c r="B551" s="55"/>
      <c r="C551" s="55"/>
      <c r="D551" s="56"/>
    </row>
    <row r="552">
      <c r="A552" s="55"/>
      <c r="B552" s="55"/>
      <c r="C552" s="55"/>
      <c r="D552" s="56"/>
    </row>
    <row r="553">
      <c r="A553" s="55"/>
      <c r="B553" s="55"/>
      <c r="C553" s="55"/>
      <c r="D553" s="56"/>
    </row>
    <row r="554">
      <c r="A554" s="55"/>
      <c r="B554" s="55"/>
      <c r="C554" s="55"/>
      <c r="D554" s="56"/>
    </row>
    <row r="555">
      <c r="A555" s="55"/>
      <c r="B555" s="55"/>
      <c r="C555" s="55"/>
      <c r="D555" s="56"/>
    </row>
    <row r="556">
      <c r="A556" s="55"/>
      <c r="B556" s="55"/>
      <c r="C556" s="55"/>
      <c r="D556" s="56"/>
    </row>
    <row r="557">
      <c r="A557" s="55"/>
      <c r="B557" s="55"/>
      <c r="C557" s="55"/>
      <c r="D557" s="56"/>
    </row>
    <row r="558">
      <c r="A558" s="55"/>
      <c r="B558" s="55"/>
      <c r="C558" s="55"/>
      <c r="D558" s="56"/>
    </row>
    <row r="559">
      <c r="A559" s="55"/>
      <c r="B559" s="55"/>
      <c r="C559" s="55"/>
      <c r="D559" s="56"/>
    </row>
    <row r="560">
      <c r="A560" s="55"/>
      <c r="B560" s="55"/>
      <c r="C560" s="55"/>
      <c r="D560" s="56"/>
    </row>
    <row r="561">
      <c r="A561" s="55"/>
      <c r="B561" s="55"/>
      <c r="C561" s="55"/>
      <c r="D561" s="56"/>
    </row>
    <row r="562">
      <c r="A562" s="55"/>
      <c r="B562" s="55"/>
      <c r="C562" s="55"/>
      <c r="D562" s="56"/>
    </row>
    <row r="563">
      <c r="A563" s="55"/>
      <c r="B563" s="55"/>
      <c r="C563" s="55"/>
      <c r="D563" s="56"/>
    </row>
    <row r="564">
      <c r="A564" s="55"/>
      <c r="B564" s="55"/>
      <c r="C564" s="55"/>
      <c r="D564" s="56"/>
    </row>
    <row r="565">
      <c r="A565" s="55"/>
      <c r="B565" s="55"/>
      <c r="C565" s="55"/>
      <c r="D565" s="56"/>
    </row>
    <row r="566">
      <c r="A566" s="55"/>
      <c r="B566" s="55"/>
      <c r="C566" s="55"/>
      <c r="D566" s="56"/>
    </row>
    <row r="567">
      <c r="A567" s="55"/>
      <c r="B567" s="55"/>
      <c r="C567" s="55"/>
      <c r="D567" s="56"/>
    </row>
    <row r="568">
      <c r="A568" s="55"/>
      <c r="B568" s="55"/>
      <c r="C568" s="55"/>
      <c r="D568" s="56"/>
    </row>
    <row r="569">
      <c r="A569" s="55"/>
      <c r="B569" s="55"/>
      <c r="C569" s="55"/>
      <c r="D569" s="56"/>
    </row>
    <row r="570">
      <c r="A570" s="55"/>
      <c r="B570" s="55"/>
      <c r="C570" s="55"/>
      <c r="D570" s="56"/>
    </row>
    <row r="571">
      <c r="A571" s="55"/>
      <c r="B571" s="55"/>
      <c r="C571" s="55"/>
      <c r="D571" s="56"/>
    </row>
    <row r="572">
      <c r="A572" s="55"/>
      <c r="B572" s="55"/>
      <c r="C572" s="55"/>
      <c r="D572" s="56"/>
    </row>
    <row r="573">
      <c r="A573" s="55"/>
      <c r="B573" s="55"/>
      <c r="C573" s="55"/>
      <c r="D573" s="56"/>
    </row>
    <row r="574">
      <c r="A574" s="55"/>
      <c r="B574" s="55"/>
      <c r="C574" s="55"/>
      <c r="D574" s="56"/>
    </row>
    <row r="575">
      <c r="A575" s="55"/>
      <c r="B575" s="55"/>
      <c r="C575" s="55"/>
      <c r="D575" s="56"/>
    </row>
    <row r="576">
      <c r="A576" s="55"/>
      <c r="B576" s="55"/>
      <c r="C576" s="55"/>
      <c r="D576" s="56"/>
    </row>
    <row r="577">
      <c r="A577" s="55"/>
      <c r="B577" s="55"/>
      <c r="C577" s="55"/>
      <c r="D577" s="56"/>
    </row>
    <row r="578">
      <c r="A578" s="55"/>
      <c r="B578" s="55"/>
      <c r="C578" s="55"/>
      <c r="D578" s="56"/>
    </row>
    <row r="579">
      <c r="A579" s="55"/>
      <c r="B579" s="55"/>
      <c r="C579" s="55"/>
      <c r="D579" s="56"/>
    </row>
    <row r="580">
      <c r="A580" s="55"/>
      <c r="B580" s="55"/>
      <c r="C580" s="55"/>
      <c r="D580" s="56"/>
    </row>
    <row r="581">
      <c r="A581" s="55"/>
      <c r="B581" s="55"/>
      <c r="C581" s="55"/>
      <c r="D581" s="56"/>
    </row>
    <row r="582">
      <c r="A582" s="55"/>
      <c r="B582" s="55"/>
      <c r="C582" s="55"/>
      <c r="D582" s="56"/>
    </row>
    <row r="583">
      <c r="A583" s="55"/>
      <c r="B583" s="55"/>
      <c r="C583" s="55"/>
      <c r="D583" s="56"/>
    </row>
    <row r="584">
      <c r="A584" s="55"/>
      <c r="B584" s="55"/>
      <c r="C584" s="55"/>
      <c r="D584" s="56"/>
    </row>
    <row r="585">
      <c r="A585" s="55"/>
      <c r="B585" s="55"/>
      <c r="C585" s="55"/>
      <c r="D585" s="56"/>
    </row>
    <row r="586">
      <c r="A586" s="55"/>
      <c r="B586" s="55"/>
      <c r="C586" s="55"/>
      <c r="D586" s="56"/>
    </row>
    <row r="587">
      <c r="A587" s="55"/>
      <c r="B587" s="55"/>
      <c r="C587" s="55"/>
      <c r="D587" s="56"/>
    </row>
    <row r="588">
      <c r="A588" s="55"/>
      <c r="B588" s="55"/>
      <c r="C588" s="55"/>
      <c r="D588" s="56"/>
    </row>
    <row r="589">
      <c r="A589" s="55"/>
      <c r="B589" s="55"/>
      <c r="C589" s="55"/>
      <c r="D589" s="56"/>
    </row>
    <row r="590">
      <c r="A590" s="55"/>
      <c r="B590" s="55"/>
      <c r="C590" s="55"/>
      <c r="D590" s="56"/>
    </row>
    <row r="591">
      <c r="A591" s="55"/>
      <c r="B591" s="55"/>
      <c r="C591" s="55"/>
      <c r="D591" s="56"/>
    </row>
    <row r="592">
      <c r="A592" s="55"/>
      <c r="B592" s="55"/>
      <c r="C592" s="55"/>
      <c r="D592" s="56"/>
    </row>
    <row r="593">
      <c r="A593" s="55"/>
      <c r="B593" s="55"/>
      <c r="C593" s="55"/>
      <c r="D593" s="56"/>
    </row>
    <row r="594">
      <c r="A594" s="55"/>
      <c r="B594" s="55"/>
      <c r="C594" s="55"/>
      <c r="D594" s="56"/>
    </row>
    <row r="595">
      <c r="A595" s="55"/>
      <c r="B595" s="55"/>
      <c r="C595" s="55"/>
      <c r="D595" s="56"/>
    </row>
    <row r="596">
      <c r="A596" s="55"/>
      <c r="B596" s="55"/>
      <c r="C596" s="55"/>
      <c r="D596" s="56"/>
    </row>
    <row r="597">
      <c r="A597" s="55"/>
      <c r="B597" s="55"/>
      <c r="C597" s="55"/>
      <c r="D597" s="56"/>
    </row>
    <row r="598">
      <c r="A598" s="55"/>
      <c r="B598" s="55"/>
      <c r="C598" s="55"/>
      <c r="D598" s="56"/>
    </row>
    <row r="599">
      <c r="A599" s="55"/>
      <c r="B599" s="55"/>
      <c r="C599" s="55"/>
      <c r="D599" s="56"/>
    </row>
    <row r="600">
      <c r="A600" s="55"/>
      <c r="B600" s="55"/>
      <c r="C600" s="55"/>
      <c r="D600" s="56"/>
    </row>
    <row r="601">
      <c r="A601" s="55"/>
      <c r="B601" s="55"/>
      <c r="C601" s="55"/>
      <c r="D601" s="56"/>
    </row>
    <row r="602">
      <c r="A602" s="55"/>
      <c r="B602" s="55"/>
      <c r="C602" s="55"/>
      <c r="D602" s="56"/>
    </row>
    <row r="603">
      <c r="A603" s="55"/>
      <c r="B603" s="55"/>
      <c r="C603" s="55"/>
      <c r="D603" s="56"/>
    </row>
    <row r="604">
      <c r="A604" s="55"/>
      <c r="B604" s="55"/>
      <c r="C604" s="55"/>
      <c r="D604" s="56"/>
    </row>
    <row r="605">
      <c r="A605" s="55"/>
      <c r="B605" s="55"/>
      <c r="C605" s="55"/>
      <c r="D605" s="56"/>
    </row>
    <row r="606">
      <c r="A606" s="55"/>
      <c r="B606" s="55"/>
      <c r="C606" s="55"/>
      <c r="D606" s="56"/>
    </row>
    <row r="607">
      <c r="A607" s="55"/>
      <c r="B607" s="55"/>
      <c r="C607" s="55"/>
      <c r="D607" s="56"/>
    </row>
    <row r="608">
      <c r="A608" s="55"/>
      <c r="B608" s="55"/>
      <c r="C608" s="55"/>
      <c r="D608" s="56"/>
    </row>
    <row r="609">
      <c r="A609" s="55"/>
      <c r="B609" s="55"/>
      <c r="C609" s="55"/>
      <c r="D609" s="56"/>
    </row>
    <row r="610">
      <c r="A610" s="55"/>
      <c r="B610" s="55"/>
      <c r="C610" s="55"/>
      <c r="D610" s="56"/>
    </row>
    <row r="611">
      <c r="A611" s="55"/>
      <c r="B611" s="55"/>
      <c r="C611" s="55"/>
      <c r="D611" s="56"/>
    </row>
    <row r="612">
      <c r="A612" s="55"/>
      <c r="B612" s="55"/>
      <c r="C612" s="55"/>
      <c r="D612" s="56"/>
    </row>
    <row r="613">
      <c r="A613" s="55"/>
      <c r="B613" s="55"/>
      <c r="C613" s="55"/>
      <c r="D613" s="56"/>
    </row>
    <row r="614">
      <c r="A614" s="55"/>
      <c r="B614" s="55"/>
      <c r="C614" s="55"/>
      <c r="D614" s="56"/>
    </row>
    <row r="615">
      <c r="A615" s="55"/>
      <c r="B615" s="55"/>
      <c r="C615" s="55"/>
      <c r="D615" s="56"/>
    </row>
    <row r="616">
      <c r="A616" s="55"/>
      <c r="B616" s="55"/>
      <c r="C616" s="55"/>
      <c r="D616" s="56"/>
    </row>
    <row r="617">
      <c r="A617" s="55"/>
      <c r="B617" s="55"/>
      <c r="C617" s="55"/>
      <c r="D617" s="56"/>
    </row>
    <row r="618">
      <c r="A618" s="55"/>
      <c r="B618" s="55"/>
      <c r="C618" s="55"/>
      <c r="D618" s="56"/>
    </row>
    <row r="619">
      <c r="A619" s="55"/>
      <c r="B619" s="55"/>
      <c r="C619" s="55"/>
      <c r="D619" s="56"/>
    </row>
    <row r="620">
      <c r="A620" s="55"/>
      <c r="B620" s="55"/>
      <c r="C620" s="55"/>
      <c r="D620" s="56"/>
    </row>
    <row r="621">
      <c r="A621" s="55"/>
      <c r="B621" s="55"/>
      <c r="C621" s="55"/>
      <c r="D621" s="56"/>
    </row>
    <row r="622">
      <c r="A622" s="55"/>
      <c r="B622" s="55"/>
      <c r="C622" s="55"/>
      <c r="D622" s="56"/>
    </row>
    <row r="623">
      <c r="A623" s="55"/>
      <c r="B623" s="55"/>
      <c r="C623" s="55"/>
      <c r="D623" s="56"/>
    </row>
    <row r="624">
      <c r="A624" s="55"/>
      <c r="B624" s="55"/>
      <c r="C624" s="55"/>
      <c r="D624" s="56"/>
    </row>
    <row r="625">
      <c r="A625" s="55"/>
      <c r="B625" s="55"/>
      <c r="C625" s="55"/>
      <c r="D625" s="56"/>
    </row>
    <row r="626">
      <c r="A626" s="55"/>
      <c r="B626" s="55"/>
      <c r="C626" s="55"/>
      <c r="D626" s="56"/>
    </row>
    <row r="627">
      <c r="A627" s="55"/>
      <c r="B627" s="55"/>
      <c r="C627" s="55"/>
      <c r="D627" s="56"/>
    </row>
    <row r="628">
      <c r="A628" s="55"/>
      <c r="B628" s="55"/>
      <c r="C628" s="55"/>
      <c r="D628" s="56"/>
    </row>
    <row r="629">
      <c r="A629" s="55"/>
      <c r="B629" s="55"/>
      <c r="C629" s="55"/>
      <c r="D629" s="56"/>
    </row>
    <row r="630">
      <c r="A630" s="55"/>
      <c r="B630" s="55"/>
      <c r="C630" s="55"/>
      <c r="D630" s="56"/>
    </row>
    <row r="631">
      <c r="A631" s="55"/>
      <c r="B631" s="55"/>
      <c r="C631" s="55"/>
      <c r="D631" s="56"/>
    </row>
    <row r="632">
      <c r="A632" s="55"/>
      <c r="B632" s="55"/>
      <c r="C632" s="55"/>
      <c r="D632" s="56"/>
    </row>
    <row r="633">
      <c r="A633" s="55"/>
      <c r="B633" s="55"/>
      <c r="C633" s="55"/>
      <c r="D633" s="56"/>
    </row>
    <row r="634">
      <c r="A634" s="55"/>
      <c r="B634" s="55"/>
      <c r="C634" s="55"/>
      <c r="D634" s="56"/>
    </row>
    <row r="635">
      <c r="A635" s="55"/>
      <c r="B635" s="55"/>
      <c r="C635" s="55"/>
      <c r="D635" s="56"/>
    </row>
    <row r="636">
      <c r="A636" s="55"/>
      <c r="B636" s="55"/>
      <c r="C636" s="55"/>
      <c r="D636" s="56"/>
    </row>
    <row r="637">
      <c r="A637" s="55"/>
      <c r="B637" s="55"/>
      <c r="C637" s="55"/>
      <c r="D637" s="56"/>
    </row>
    <row r="638">
      <c r="A638" s="55"/>
      <c r="B638" s="55"/>
      <c r="C638" s="55"/>
      <c r="D638" s="56"/>
    </row>
    <row r="639">
      <c r="A639" s="55"/>
      <c r="B639" s="55"/>
      <c r="C639" s="55"/>
      <c r="D639" s="56"/>
    </row>
    <row r="640">
      <c r="A640" s="55"/>
      <c r="B640" s="55"/>
      <c r="C640" s="55"/>
      <c r="D640" s="56"/>
    </row>
    <row r="641">
      <c r="A641" s="55"/>
      <c r="B641" s="55"/>
      <c r="C641" s="55"/>
      <c r="D641" s="56"/>
    </row>
    <row r="642">
      <c r="A642" s="55"/>
      <c r="B642" s="55"/>
      <c r="C642" s="55"/>
      <c r="D642" s="56"/>
    </row>
    <row r="643">
      <c r="A643" s="55"/>
      <c r="B643" s="55"/>
      <c r="C643" s="55"/>
      <c r="D643" s="56"/>
    </row>
    <row r="644">
      <c r="A644" s="55"/>
      <c r="B644" s="55"/>
      <c r="C644" s="55"/>
      <c r="D644" s="56"/>
    </row>
    <row r="645">
      <c r="A645" s="55"/>
      <c r="B645" s="55"/>
      <c r="C645" s="55"/>
      <c r="D645" s="56"/>
    </row>
    <row r="646">
      <c r="A646" s="55"/>
      <c r="B646" s="55"/>
      <c r="C646" s="55"/>
      <c r="D646" s="56"/>
    </row>
    <row r="647">
      <c r="A647" s="55"/>
      <c r="B647" s="55"/>
      <c r="C647" s="55"/>
      <c r="D647" s="56"/>
    </row>
    <row r="648">
      <c r="A648" s="55"/>
      <c r="B648" s="55"/>
      <c r="C648" s="55"/>
      <c r="D648" s="56"/>
    </row>
    <row r="649">
      <c r="A649" s="55"/>
      <c r="B649" s="55"/>
      <c r="C649" s="55"/>
      <c r="D649" s="56"/>
    </row>
    <row r="650">
      <c r="A650" s="55"/>
      <c r="B650" s="55"/>
      <c r="C650" s="55"/>
      <c r="D650" s="56"/>
    </row>
    <row r="651">
      <c r="A651" s="55"/>
      <c r="B651" s="55"/>
      <c r="C651" s="55"/>
      <c r="D651" s="56"/>
    </row>
    <row r="652">
      <c r="A652" s="55"/>
      <c r="B652" s="55"/>
      <c r="C652" s="55"/>
      <c r="D652" s="56"/>
    </row>
    <row r="653">
      <c r="A653" s="55"/>
      <c r="B653" s="55"/>
      <c r="C653" s="55"/>
      <c r="D653" s="56"/>
    </row>
    <row r="654">
      <c r="A654" s="55"/>
      <c r="B654" s="55"/>
      <c r="C654" s="55"/>
      <c r="D654" s="56"/>
    </row>
    <row r="655">
      <c r="A655" s="55"/>
      <c r="B655" s="55"/>
      <c r="C655" s="55"/>
      <c r="D655" s="56"/>
    </row>
    <row r="656">
      <c r="A656" s="55"/>
      <c r="B656" s="55"/>
      <c r="C656" s="55"/>
      <c r="D656" s="56"/>
    </row>
    <row r="657">
      <c r="A657" s="55"/>
      <c r="B657" s="55"/>
      <c r="C657" s="55"/>
      <c r="D657" s="56"/>
    </row>
    <row r="658">
      <c r="A658" s="55"/>
      <c r="B658" s="55"/>
      <c r="C658" s="55"/>
      <c r="D658" s="56"/>
    </row>
    <row r="659">
      <c r="A659" s="55"/>
      <c r="B659" s="55"/>
      <c r="C659" s="55"/>
      <c r="D659" s="56"/>
    </row>
    <row r="660">
      <c r="A660" s="55"/>
      <c r="B660" s="55"/>
      <c r="C660" s="55"/>
      <c r="D660" s="56"/>
    </row>
    <row r="661">
      <c r="A661" s="55"/>
      <c r="B661" s="55"/>
      <c r="C661" s="55"/>
      <c r="D661" s="56"/>
    </row>
    <row r="662">
      <c r="A662" s="55"/>
      <c r="B662" s="55"/>
      <c r="C662" s="55"/>
      <c r="D662" s="56"/>
    </row>
    <row r="663">
      <c r="A663" s="55"/>
      <c r="B663" s="55"/>
      <c r="C663" s="55"/>
      <c r="D663" s="56"/>
    </row>
    <row r="664">
      <c r="A664" s="55"/>
      <c r="B664" s="55"/>
      <c r="C664" s="55"/>
      <c r="D664" s="56"/>
    </row>
    <row r="665">
      <c r="A665" s="55"/>
      <c r="B665" s="55"/>
      <c r="C665" s="55"/>
      <c r="D665" s="56"/>
    </row>
    <row r="666">
      <c r="A666" s="55"/>
      <c r="B666" s="55"/>
      <c r="C666" s="55"/>
      <c r="D666" s="56"/>
    </row>
    <row r="667">
      <c r="A667" s="55"/>
      <c r="B667" s="55"/>
      <c r="C667" s="55"/>
      <c r="D667" s="56"/>
    </row>
    <row r="668">
      <c r="A668" s="55"/>
      <c r="B668" s="55"/>
      <c r="C668" s="55"/>
      <c r="D668" s="56"/>
    </row>
    <row r="669">
      <c r="A669" s="55"/>
      <c r="B669" s="55"/>
      <c r="C669" s="55"/>
      <c r="D669" s="56"/>
    </row>
    <row r="670">
      <c r="A670" s="55"/>
      <c r="B670" s="55"/>
      <c r="C670" s="55"/>
      <c r="D670" s="56"/>
    </row>
    <row r="671">
      <c r="A671" s="55"/>
      <c r="B671" s="55"/>
      <c r="C671" s="55"/>
      <c r="D671" s="56"/>
    </row>
    <row r="672">
      <c r="A672" s="55"/>
      <c r="B672" s="55"/>
      <c r="C672" s="55"/>
      <c r="D672" s="56"/>
    </row>
    <row r="673">
      <c r="A673" s="55"/>
      <c r="B673" s="55"/>
      <c r="C673" s="55"/>
      <c r="D673" s="56"/>
    </row>
    <row r="674">
      <c r="A674" s="55"/>
      <c r="B674" s="55"/>
      <c r="C674" s="55"/>
      <c r="D674" s="56"/>
    </row>
    <row r="675">
      <c r="A675" s="55"/>
      <c r="B675" s="55"/>
      <c r="C675" s="55"/>
      <c r="D675" s="56"/>
    </row>
    <row r="676">
      <c r="A676" s="55"/>
      <c r="B676" s="55"/>
      <c r="C676" s="55"/>
      <c r="D676" s="56"/>
    </row>
    <row r="677">
      <c r="A677" s="55"/>
      <c r="B677" s="55"/>
      <c r="C677" s="55"/>
      <c r="D677" s="56"/>
    </row>
    <row r="678">
      <c r="A678" s="55"/>
      <c r="B678" s="55"/>
      <c r="C678" s="55"/>
      <c r="D678" s="56"/>
    </row>
    <row r="679">
      <c r="A679" s="55"/>
      <c r="B679" s="55"/>
      <c r="C679" s="55"/>
      <c r="D679" s="56"/>
    </row>
    <row r="680">
      <c r="A680" s="55"/>
      <c r="B680" s="55"/>
      <c r="C680" s="55"/>
      <c r="D680" s="56"/>
    </row>
    <row r="681">
      <c r="A681" s="55"/>
      <c r="B681" s="55"/>
      <c r="C681" s="55"/>
      <c r="D681" s="56"/>
    </row>
    <row r="682">
      <c r="A682" s="55"/>
      <c r="B682" s="55"/>
      <c r="C682" s="55"/>
      <c r="D682" s="56"/>
    </row>
    <row r="683">
      <c r="A683" s="55"/>
      <c r="B683" s="55"/>
      <c r="C683" s="55"/>
      <c r="D683" s="56"/>
    </row>
    <row r="684">
      <c r="A684" s="55"/>
      <c r="B684" s="55"/>
      <c r="C684" s="55"/>
      <c r="D684" s="56"/>
    </row>
    <row r="685">
      <c r="A685" s="55"/>
      <c r="B685" s="55"/>
      <c r="C685" s="55"/>
      <c r="D685" s="56"/>
    </row>
    <row r="686">
      <c r="A686" s="55"/>
      <c r="B686" s="55"/>
      <c r="C686" s="55"/>
      <c r="D686" s="56"/>
    </row>
    <row r="687">
      <c r="A687" s="55"/>
      <c r="B687" s="55"/>
      <c r="C687" s="55"/>
      <c r="D687" s="56"/>
    </row>
    <row r="688">
      <c r="A688" s="55"/>
      <c r="B688" s="55"/>
      <c r="C688" s="55"/>
      <c r="D688" s="56"/>
    </row>
    <row r="689">
      <c r="A689" s="55"/>
      <c r="B689" s="55"/>
      <c r="C689" s="55"/>
      <c r="D689" s="56"/>
    </row>
    <row r="690">
      <c r="A690" s="55"/>
      <c r="B690" s="55"/>
      <c r="C690" s="55"/>
      <c r="D690" s="56"/>
    </row>
    <row r="691">
      <c r="A691" s="55"/>
      <c r="B691" s="55"/>
      <c r="C691" s="55"/>
      <c r="D691" s="56"/>
    </row>
    <row r="692">
      <c r="A692" s="55"/>
      <c r="B692" s="55"/>
      <c r="C692" s="55"/>
      <c r="D692" s="56"/>
    </row>
    <row r="693">
      <c r="A693" s="55"/>
      <c r="B693" s="55"/>
      <c r="C693" s="55"/>
      <c r="D693" s="56"/>
    </row>
    <row r="694">
      <c r="A694" s="55"/>
      <c r="B694" s="55"/>
      <c r="C694" s="55"/>
      <c r="D694" s="56"/>
    </row>
    <row r="695">
      <c r="A695" s="55"/>
      <c r="B695" s="55"/>
      <c r="C695" s="55"/>
      <c r="D695" s="56"/>
    </row>
    <row r="696">
      <c r="A696" s="55"/>
      <c r="B696" s="55"/>
      <c r="C696" s="55"/>
      <c r="D696" s="56"/>
    </row>
    <row r="697">
      <c r="A697" s="55"/>
      <c r="B697" s="55"/>
      <c r="C697" s="55"/>
      <c r="D697" s="56"/>
    </row>
    <row r="698">
      <c r="A698" s="55"/>
      <c r="B698" s="55"/>
      <c r="C698" s="55"/>
      <c r="D698" s="56"/>
    </row>
    <row r="699">
      <c r="A699" s="55"/>
      <c r="B699" s="55"/>
      <c r="C699" s="55"/>
      <c r="D699" s="56"/>
    </row>
    <row r="700">
      <c r="A700" s="55"/>
      <c r="B700" s="55"/>
      <c r="C700" s="55"/>
      <c r="D700" s="56"/>
    </row>
    <row r="701">
      <c r="A701" s="55"/>
      <c r="B701" s="55"/>
      <c r="C701" s="55"/>
      <c r="D701" s="56"/>
    </row>
    <row r="702">
      <c r="A702" s="55"/>
      <c r="B702" s="55"/>
      <c r="C702" s="55"/>
      <c r="D702" s="56"/>
    </row>
    <row r="703">
      <c r="A703" s="55"/>
      <c r="B703" s="55"/>
      <c r="C703" s="55"/>
      <c r="D703" s="56"/>
    </row>
    <row r="704">
      <c r="A704" s="55"/>
      <c r="B704" s="55"/>
      <c r="C704" s="55"/>
      <c r="D704" s="56"/>
    </row>
    <row r="705">
      <c r="A705" s="55"/>
      <c r="B705" s="55"/>
      <c r="C705" s="55"/>
      <c r="D705" s="56"/>
    </row>
    <row r="706">
      <c r="A706" s="55"/>
      <c r="B706" s="55"/>
      <c r="C706" s="55"/>
      <c r="D706" s="56"/>
    </row>
    <row r="707">
      <c r="A707" s="55"/>
      <c r="B707" s="55"/>
      <c r="C707" s="55"/>
      <c r="D707" s="56"/>
    </row>
    <row r="708">
      <c r="A708" s="55"/>
      <c r="B708" s="55"/>
      <c r="C708" s="55"/>
      <c r="D708" s="56"/>
    </row>
    <row r="709">
      <c r="A709" s="55"/>
      <c r="B709" s="55"/>
      <c r="C709" s="55"/>
      <c r="D709" s="56"/>
    </row>
    <row r="710">
      <c r="A710" s="55"/>
      <c r="B710" s="55"/>
      <c r="C710" s="55"/>
      <c r="D710" s="56"/>
    </row>
    <row r="711">
      <c r="A711" s="55"/>
      <c r="B711" s="55"/>
      <c r="C711" s="55"/>
      <c r="D711" s="56"/>
    </row>
    <row r="712">
      <c r="A712" s="55"/>
      <c r="B712" s="55"/>
      <c r="C712" s="55"/>
      <c r="D712" s="56"/>
    </row>
    <row r="713">
      <c r="A713" s="55"/>
      <c r="B713" s="55"/>
      <c r="C713" s="55"/>
      <c r="D713" s="56"/>
    </row>
    <row r="714">
      <c r="A714" s="55"/>
      <c r="B714" s="55"/>
      <c r="C714" s="55"/>
      <c r="D714" s="56"/>
    </row>
    <row r="715">
      <c r="A715" s="55"/>
      <c r="B715" s="55"/>
      <c r="C715" s="55"/>
      <c r="D715" s="56"/>
    </row>
    <row r="716">
      <c r="A716" s="55"/>
      <c r="B716" s="55"/>
      <c r="C716" s="55"/>
      <c r="D716" s="56"/>
    </row>
    <row r="717">
      <c r="A717" s="55"/>
      <c r="B717" s="55"/>
      <c r="C717" s="55"/>
      <c r="D717" s="56"/>
    </row>
    <row r="718">
      <c r="A718" s="55"/>
      <c r="B718" s="55"/>
      <c r="C718" s="55"/>
      <c r="D718" s="56"/>
    </row>
    <row r="719">
      <c r="A719" s="55"/>
      <c r="B719" s="55"/>
      <c r="C719" s="55"/>
      <c r="D719" s="56"/>
    </row>
    <row r="720">
      <c r="A720" s="55"/>
      <c r="B720" s="55"/>
      <c r="C720" s="55"/>
      <c r="D720" s="56"/>
    </row>
    <row r="721">
      <c r="A721" s="55"/>
      <c r="B721" s="55"/>
      <c r="C721" s="55"/>
      <c r="D721" s="56"/>
    </row>
    <row r="722">
      <c r="A722" s="55"/>
      <c r="B722" s="55"/>
      <c r="C722" s="55"/>
      <c r="D722" s="56"/>
    </row>
    <row r="723">
      <c r="A723" s="55"/>
      <c r="B723" s="55"/>
      <c r="C723" s="55"/>
      <c r="D723" s="56"/>
    </row>
    <row r="724">
      <c r="A724" s="55"/>
      <c r="B724" s="55"/>
      <c r="C724" s="55"/>
      <c r="D724" s="56"/>
    </row>
    <row r="725">
      <c r="A725" s="55"/>
      <c r="B725" s="55"/>
      <c r="C725" s="55"/>
      <c r="D725" s="56"/>
    </row>
    <row r="726">
      <c r="A726" s="55"/>
      <c r="B726" s="55"/>
      <c r="C726" s="55"/>
      <c r="D726" s="56"/>
    </row>
    <row r="727">
      <c r="A727" s="55"/>
      <c r="B727" s="55"/>
      <c r="C727" s="55"/>
      <c r="D727" s="56"/>
    </row>
    <row r="728">
      <c r="A728" s="55"/>
      <c r="B728" s="55"/>
      <c r="C728" s="55"/>
      <c r="D728" s="56"/>
    </row>
    <row r="729">
      <c r="A729" s="55"/>
      <c r="B729" s="55"/>
      <c r="C729" s="55"/>
      <c r="D729" s="56"/>
    </row>
    <row r="730">
      <c r="A730" s="55"/>
      <c r="B730" s="55"/>
      <c r="C730" s="55"/>
      <c r="D730" s="56"/>
    </row>
    <row r="731">
      <c r="A731" s="55"/>
      <c r="B731" s="55"/>
      <c r="C731" s="55"/>
      <c r="D731" s="56"/>
    </row>
    <row r="732">
      <c r="A732" s="55"/>
      <c r="B732" s="55"/>
      <c r="C732" s="55"/>
      <c r="D732" s="56"/>
    </row>
    <row r="733">
      <c r="A733" s="55"/>
      <c r="B733" s="55"/>
      <c r="C733" s="55"/>
      <c r="D733" s="56"/>
    </row>
    <row r="734">
      <c r="A734" s="55"/>
      <c r="B734" s="55"/>
      <c r="C734" s="55"/>
      <c r="D734" s="56"/>
    </row>
    <row r="735">
      <c r="A735" s="55"/>
      <c r="B735" s="55"/>
      <c r="C735" s="55"/>
      <c r="D735" s="56"/>
    </row>
    <row r="736">
      <c r="A736" s="55"/>
      <c r="B736" s="55"/>
      <c r="C736" s="55"/>
      <c r="D736" s="56"/>
    </row>
    <row r="737">
      <c r="A737" s="55"/>
      <c r="B737" s="55"/>
      <c r="C737" s="55"/>
      <c r="D737" s="56"/>
    </row>
    <row r="738">
      <c r="A738" s="55"/>
      <c r="B738" s="55"/>
      <c r="C738" s="55"/>
      <c r="D738" s="56"/>
    </row>
    <row r="739">
      <c r="A739" s="55"/>
      <c r="B739" s="55"/>
      <c r="C739" s="55"/>
      <c r="D739" s="56"/>
    </row>
    <row r="740">
      <c r="A740" s="55"/>
      <c r="B740" s="55"/>
      <c r="C740" s="55"/>
      <c r="D740" s="56"/>
    </row>
    <row r="741">
      <c r="A741" s="55"/>
      <c r="B741" s="55"/>
      <c r="C741" s="55"/>
      <c r="D741" s="56"/>
    </row>
    <row r="742">
      <c r="A742" s="55"/>
      <c r="B742" s="55"/>
      <c r="C742" s="55"/>
      <c r="D742" s="56"/>
    </row>
    <row r="743">
      <c r="A743" s="55"/>
      <c r="B743" s="55"/>
      <c r="C743" s="55"/>
      <c r="D743" s="56"/>
    </row>
    <row r="744">
      <c r="A744" s="55"/>
      <c r="B744" s="55"/>
      <c r="C744" s="55"/>
      <c r="D744" s="56"/>
    </row>
    <row r="745">
      <c r="A745" s="55"/>
      <c r="B745" s="55"/>
      <c r="C745" s="55"/>
      <c r="D745" s="56"/>
    </row>
    <row r="746">
      <c r="A746" s="55"/>
      <c r="B746" s="55"/>
      <c r="C746" s="55"/>
      <c r="D746" s="56"/>
    </row>
    <row r="747">
      <c r="A747" s="55"/>
      <c r="B747" s="55"/>
      <c r="C747" s="55"/>
      <c r="D747" s="56"/>
    </row>
    <row r="748">
      <c r="A748" s="55"/>
      <c r="B748" s="55"/>
      <c r="C748" s="55"/>
      <c r="D748" s="56"/>
    </row>
    <row r="749">
      <c r="A749" s="55"/>
      <c r="B749" s="55"/>
      <c r="C749" s="55"/>
      <c r="D749" s="56"/>
    </row>
    <row r="750">
      <c r="A750" s="55"/>
      <c r="B750" s="55"/>
      <c r="C750" s="55"/>
      <c r="D750" s="56"/>
    </row>
    <row r="751">
      <c r="A751" s="55"/>
      <c r="B751" s="55"/>
      <c r="C751" s="55"/>
      <c r="D751" s="56"/>
    </row>
    <row r="752">
      <c r="A752" s="55"/>
      <c r="B752" s="55"/>
      <c r="C752" s="55"/>
      <c r="D752" s="56"/>
    </row>
    <row r="753">
      <c r="A753" s="55"/>
      <c r="B753" s="55"/>
      <c r="C753" s="55"/>
      <c r="D753" s="56"/>
    </row>
    <row r="754">
      <c r="A754" s="55"/>
      <c r="B754" s="55"/>
      <c r="C754" s="55"/>
      <c r="D754" s="56"/>
    </row>
    <row r="755">
      <c r="A755" s="55"/>
      <c r="B755" s="55"/>
      <c r="C755" s="55"/>
      <c r="D755" s="56"/>
    </row>
    <row r="756">
      <c r="A756" s="55"/>
      <c r="B756" s="55"/>
      <c r="C756" s="55"/>
      <c r="D756" s="56"/>
    </row>
    <row r="757">
      <c r="A757" s="55"/>
      <c r="B757" s="55"/>
      <c r="C757" s="55"/>
      <c r="D757" s="56"/>
    </row>
    <row r="758">
      <c r="A758" s="55"/>
      <c r="B758" s="55"/>
      <c r="C758" s="55"/>
      <c r="D758" s="56"/>
    </row>
    <row r="759">
      <c r="A759" s="55"/>
      <c r="B759" s="55"/>
      <c r="C759" s="55"/>
      <c r="D759" s="56"/>
    </row>
    <row r="760">
      <c r="A760" s="55"/>
      <c r="B760" s="55"/>
      <c r="C760" s="55"/>
      <c r="D760" s="56"/>
    </row>
    <row r="761">
      <c r="A761" s="55"/>
      <c r="B761" s="55"/>
      <c r="C761" s="55"/>
      <c r="D761" s="56"/>
    </row>
    <row r="762">
      <c r="A762" s="55"/>
      <c r="B762" s="55"/>
      <c r="C762" s="55"/>
      <c r="D762" s="56"/>
    </row>
    <row r="763">
      <c r="A763" s="55"/>
      <c r="B763" s="55"/>
      <c r="C763" s="55"/>
      <c r="D763" s="56"/>
    </row>
    <row r="764">
      <c r="A764" s="55"/>
      <c r="B764" s="55"/>
      <c r="C764" s="55"/>
      <c r="D764" s="56"/>
    </row>
    <row r="765">
      <c r="A765" s="55"/>
      <c r="B765" s="55"/>
      <c r="C765" s="55"/>
      <c r="D765" s="56"/>
    </row>
    <row r="766">
      <c r="A766" s="55"/>
      <c r="B766" s="55"/>
      <c r="C766" s="55"/>
      <c r="D766" s="56"/>
    </row>
    <row r="767">
      <c r="A767" s="55"/>
      <c r="B767" s="55"/>
      <c r="C767" s="55"/>
      <c r="D767" s="56"/>
    </row>
    <row r="768">
      <c r="A768" s="55"/>
      <c r="B768" s="55"/>
      <c r="C768" s="55"/>
      <c r="D768" s="56"/>
    </row>
    <row r="769">
      <c r="A769" s="55"/>
      <c r="B769" s="55"/>
      <c r="C769" s="55"/>
      <c r="D769" s="56"/>
    </row>
    <row r="770">
      <c r="A770" s="55"/>
      <c r="B770" s="55"/>
      <c r="C770" s="55"/>
      <c r="D770" s="56"/>
    </row>
    <row r="771">
      <c r="A771" s="55"/>
      <c r="B771" s="55"/>
      <c r="C771" s="55"/>
      <c r="D771" s="56"/>
    </row>
    <row r="772">
      <c r="A772" s="55"/>
      <c r="B772" s="55"/>
      <c r="C772" s="55"/>
      <c r="D772" s="56"/>
    </row>
    <row r="773">
      <c r="A773" s="55"/>
      <c r="B773" s="55"/>
      <c r="C773" s="55"/>
      <c r="D773" s="56"/>
    </row>
    <row r="774">
      <c r="A774" s="55"/>
      <c r="B774" s="55"/>
      <c r="C774" s="55"/>
      <c r="D774" s="56"/>
    </row>
    <row r="775">
      <c r="A775" s="55"/>
      <c r="B775" s="55"/>
      <c r="C775" s="55"/>
      <c r="D775" s="56"/>
    </row>
    <row r="776">
      <c r="A776" s="55"/>
      <c r="B776" s="55"/>
      <c r="C776" s="55"/>
      <c r="D776" s="56"/>
    </row>
    <row r="777">
      <c r="A777" s="55"/>
      <c r="B777" s="55"/>
      <c r="C777" s="55"/>
      <c r="D777" s="56"/>
    </row>
    <row r="778">
      <c r="A778" s="55"/>
      <c r="B778" s="55"/>
      <c r="C778" s="55"/>
      <c r="D778" s="56"/>
    </row>
    <row r="779">
      <c r="A779" s="55"/>
      <c r="B779" s="55"/>
      <c r="C779" s="55"/>
      <c r="D779" s="56"/>
    </row>
    <row r="780">
      <c r="A780" s="55"/>
      <c r="B780" s="55"/>
      <c r="C780" s="55"/>
      <c r="D780" s="56"/>
    </row>
    <row r="781">
      <c r="A781" s="55"/>
      <c r="B781" s="55"/>
      <c r="C781" s="55"/>
      <c r="D781" s="56"/>
    </row>
    <row r="782">
      <c r="A782" s="55"/>
      <c r="B782" s="55"/>
      <c r="C782" s="55"/>
      <c r="D782" s="56"/>
    </row>
    <row r="783">
      <c r="A783" s="55"/>
      <c r="B783" s="55"/>
      <c r="C783" s="55"/>
      <c r="D783" s="56"/>
    </row>
    <row r="784">
      <c r="A784" s="55"/>
      <c r="B784" s="55"/>
      <c r="C784" s="55"/>
      <c r="D784" s="56"/>
    </row>
    <row r="785">
      <c r="A785" s="55"/>
      <c r="B785" s="55"/>
      <c r="C785" s="55"/>
      <c r="D785" s="56"/>
    </row>
    <row r="786">
      <c r="A786" s="55"/>
      <c r="B786" s="55"/>
      <c r="C786" s="55"/>
      <c r="D786" s="56"/>
    </row>
    <row r="787">
      <c r="A787" s="55"/>
      <c r="B787" s="55"/>
      <c r="C787" s="55"/>
      <c r="D787" s="56"/>
    </row>
    <row r="788">
      <c r="A788" s="55"/>
      <c r="B788" s="55"/>
      <c r="C788" s="55"/>
      <c r="D788" s="56"/>
    </row>
    <row r="789">
      <c r="A789" s="55"/>
      <c r="B789" s="55"/>
      <c r="C789" s="55"/>
      <c r="D789" s="56"/>
    </row>
    <row r="790">
      <c r="A790" s="55"/>
      <c r="B790" s="55"/>
      <c r="C790" s="55"/>
      <c r="D790" s="56"/>
    </row>
    <row r="791">
      <c r="A791" s="55"/>
      <c r="B791" s="55"/>
      <c r="C791" s="55"/>
      <c r="D791" s="56"/>
    </row>
    <row r="792">
      <c r="A792" s="55"/>
      <c r="B792" s="55"/>
      <c r="C792" s="55"/>
      <c r="D792" s="56"/>
    </row>
    <row r="793">
      <c r="A793" s="55"/>
      <c r="B793" s="55"/>
      <c r="C793" s="55"/>
      <c r="D793" s="56"/>
    </row>
    <row r="794">
      <c r="A794" s="55"/>
      <c r="B794" s="55"/>
      <c r="C794" s="55"/>
      <c r="D794" s="56"/>
    </row>
    <row r="795">
      <c r="A795" s="55"/>
      <c r="B795" s="55"/>
      <c r="C795" s="55"/>
      <c r="D795" s="56"/>
    </row>
    <row r="796">
      <c r="A796" s="55"/>
      <c r="B796" s="55"/>
      <c r="C796" s="55"/>
      <c r="D796" s="56"/>
    </row>
    <row r="797">
      <c r="A797" s="55"/>
      <c r="B797" s="55"/>
      <c r="C797" s="55"/>
      <c r="D797" s="56"/>
    </row>
    <row r="798">
      <c r="A798" s="55"/>
      <c r="B798" s="55"/>
      <c r="C798" s="55"/>
      <c r="D798" s="56"/>
    </row>
    <row r="799">
      <c r="A799" s="55"/>
      <c r="B799" s="55"/>
      <c r="C799" s="55"/>
      <c r="D799" s="56"/>
    </row>
    <row r="800">
      <c r="A800" s="55"/>
      <c r="B800" s="55"/>
      <c r="C800" s="55"/>
      <c r="D800" s="56"/>
    </row>
    <row r="801">
      <c r="A801" s="55"/>
      <c r="B801" s="55"/>
      <c r="C801" s="55"/>
      <c r="D801" s="56"/>
    </row>
    <row r="802">
      <c r="A802" s="55"/>
      <c r="B802" s="55"/>
      <c r="C802" s="55"/>
      <c r="D802" s="56"/>
    </row>
    <row r="803">
      <c r="A803" s="55"/>
      <c r="B803" s="55"/>
      <c r="C803" s="55"/>
      <c r="D803" s="56"/>
    </row>
    <row r="804">
      <c r="A804" s="55"/>
      <c r="B804" s="55"/>
      <c r="C804" s="55"/>
      <c r="D804" s="56"/>
    </row>
    <row r="805">
      <c r="A805" s="55"/>
      <c r="B805" s="55"/>
      <c r="C805" s="55"/>
      <c r="D805" s="56"/>
    </row>
    <row r="806">
      <c r="A806" s="55"/>
      <c r="B806" s="55"/>
      <c r="C806" s="55"/>
      <c r="D806" s="56"/>
    </row>
    <row r="807">
      <c r="A807" s="55"/>
      <c r="B807" s="55"/>
      <c r="C807" s="55"/>
      <c r="D807" s="56"/>
    </row>
    <row r="808">
      <c r="A808" s="55"/>
      <c r="B808" s="55"/>
      <c r="C808" s="55"/>
      <c r="D808" s="56"/>
    </row>
    <row r="809">
      <c r="A809" s="55"/>
      <c r="B809" s="55"/>
      <c r="C809" s="55"/>
      <c r="D809" s="56"/>
    </row>
    <row r="810">
      <c r="A810" s="55"/>
      <c r="B810" s="55"/>
      <c r="C810" s="55"/>
      <c r="D810" s="56"/>
    </row>
    <row r="811">
      <c r="A811" s="55"/>
      <c r="B811" s="55"/>
      <c r="C811" s="55"/>
      <c r="D811" s="56"/>
    </row>
    <row r="812">
      <c r="A812" s="55"/>
      <c r="B812" s="55"/>
      <c r="C812" s="55"/>
      <c r="D812" s="56"/>
    </row>
    <row r="813">
      <c r="A813" s="55"/>
      <c r="B813" s="55"/>
      <c r="C813" s="55"/>
      <c r="D813" s="56"/>
    </row>
    <row r="814">
      <c r="A814" s="55"/>
      <c r="B814" s="55"/>
      <c r="C814" s="55"/>
      <c r="D814" s="56"/>
    </row>
    <row r="815">
      <c r="A815" s="55"/>
      <c r="B815" s="55"/>
      <c r="C815" s="55"/>
      <c r="D815" s="56"/>
    </row>
    <row r="816">
      <c r="A816" s="55"/>
      <c r="B816" s="55"/>
      <c r="C816" s="55"/>
      <c r="D816" s="56"/>
    </row>
    <row r="817">
      <c r="A817" s="55"/>
      <c r="B817" s="55"/>
      <c r="C817" s="55"/>
      <c r="D817" s="56"/>
    </row>
    <row r="818">
      <c r="A818" s="55"/>
      <c r="B818" s="55"/>
      <c r="C818" s="55"/>
      <c r="D818" s="56"/>
    </row>
    <row r="819">
      <c r="A819" s="55"/>
      <c r="B819" s="55"/>
      <c r="C819" s="55"/>
      <c r="D819" s="56"/>
    </row>
    <row r="820">
      <c r="A820" s="55"/>
      <c r="B820" s="55"/>
      <c r="C820" s="55"/>
      <c r="D820" s="56"/>
    </row>
    <row r="821">
      <c r="A821" s="55"/>
      <c r="B821" s="55"/>
      <c r="C821" s="55"/>
      <c r="D821" s="56"/>
    </row>
    <row r="822">
      <c r="A822" s="55"/>
      <c r="B822" s="55"/>
      <c r="C822" s="55"/>
      <c r="D822" s="56"/>
    </row>
    <row r="823">
      <c r="A823" s="55"/>
      <c r="B823" s="55"/>
      <c r="C823" s="55"/>
      <c r="D823" s="56"/>
    </row>
    <row r="824">
      <c r="A824" s="55"/>
      <c r="B824" s="55"/>
      <c r="C824" s="55"/>
      <c r="D824" s="56"/>
    </row>
    <row r="825">
      <c r="A825" s="55"/>
      <c r="B825" s="55"/>
      <c r="C825" s="55"/>
      <c r="D825" s="56"/>
    </row>
    <row r="826">
      <c r="A826" s="55"/>
      <c r="B826" s="55"/>
      <c r="C826" s="55"/>
      <c r="D826" s="56"/>
    </row>
    <row r="827">
      <c r="A827" s="55"/>
      <c r="B827" s="55"/>
      <c r="C827" s="55"/>
      <c r="D827" s="56"/>
    </row>
    <row r="828">
      <c r="A828" s="55"/>
      <c r="B828" s="55"/>
      <c r="C828" s="55"/>
      <c r="D828" s="56"/>
    </row>
    <row r="829">
      <c r="A829" s="55"/>
      <c r="B829" s="55"/>
      <c r="C829" s="55"/>
      <c r="D829" s="56"/>
    </row>
    <row r="830">
      <c r="A830" s="55"/>
      <c r="B830" s="55"/>
      <c r="C830" s="55"/>
      <c r="D830" s="56"/>
    </row>
    <row r="831">
      <c r="A831" s="55"/>
      <c r="B831" s="55"/>
      <c r="C831" s="55"/>
      <c r="D831" s="56"/>
    </row>
    <row r="832">
      <c r="A832" s="55"/>
      <c r="B832" s="55"/>
      <c r="C832" s="55"/>
      <c r="D832" s="56"/>
    </row>
    <row r="833">
      <c r="A833" s="55"/>
      <c r="B833" s="55"/>
      <c r="C833" s="55"/>
      <c r="D833" s="56"/>
    </row>
    <row r="834">
      <c r="A834" s="55"/>
      <c r="B834" s="55"/>
      <c r="C834" s="55"/>
      <c r="D834" s="56"/>
    </row>
    <row r="835">
      <c r="A835" s="55"/>
      <c r="B835" s="55"/>
      <c r="C835" s="55"/>
      <c r="D835" s="56"/>
    </row>
    <row r="836">
      <c r="A836" s="55"/>
      <c r="B836" s="55"/>
      <c r="C836" s="55"/>
      <c r="D836" s="56"/>
    </row>
    <row r="837">
      <c r="A837" s="55"/>
      <c r="B837" s="55"/>
      <c r="C837" s="55"/>
      <c r="D837" s="56"/>
    </row>
    <row r="838">
      <c r="A838" s="55"/>
      <c r="B838" s="55"/>
      <c r="C838" s="55"/>
      <c r="D838" s="56"/>
    </row>
    <row r="839">
      <c r="A839" s="55"/>
      <c r="B839" s="55"/>
      <c r="C839" s="55"/>
      <c r="D839" s="56"/>
    </row>
    <row r="840">
      <c r="A840" s="55"/>
      <c r="B840" s="55"/>
      <c r="C840" s="55"/>
      <c r="D840" s="56"/>
    </row>
    <row r="841">
      <c r="A841" s="55"/>
      <c r="B841" s="55"/>
      <c r="C841" s="55"/>
      <c r="D841" s="56"/>
    </row>
    <row r="842">
      <c r="A842" s="55"/>
      <c r="B842" s="55"/>
      <c r="C842" s="55"/>
      <c r="D842" s="56"/>
    </row>
    <row r="843">
      <c r="A843" s="55"/>
      <c r="B843" s="55"/>
      <c r="C843" s="55"/>
      <c r="D843" s="56"/>
    </row>
    <row r="844">
      <c r="A844" s="55"/>
      <c r="B844" s="55"/>
      <c r="C844" s="55"/>
      <c r="D844" s="56"/>
    </row>
    <row r="845">
      <c r="A845" s="55"/>
      <c r="B845" s="55"/>
      <c r="C845" s="55"/>
      <c r="D845" s="56"/>
    </row>
    <row r="846">
      <c r="A846" s="55"/>
      <c r="B846" s="55"/>
      <c r="C846" s="55"/>
      <c r="D846" s="56"/>
    </row>
    <row r="847">
      <c r="A847" s="55"/>
      <c r="B847" s="55"/>
      <c r="C847" s="55"/>
      <c r="D847" s="56"/>
    </row>
    <row r="848">
      <c r="A848" s="55"/>
      <c r="B848" s="55"/>
      <c r="C848" s="55"/>
      <c r="D848" s="56"/>
    </row>
    <row r="849">
      <c r="A849" s="55"/>
      <c r="B849" s="55"/>
      <c r="C849" s="55"/>
      <c r="D849" s="56"/>
    </row>
    <row r="850">
      <c r="A850" s="55"/>
      <c r="B850" s="55"/>
      <c r="C850" s="55"/>
      <c r="D850" s="56"/>
    </row>
    <row r="851">
      <c r="A851" s="55"/>
      <c r="B851" s="55"/>
      <c r="C851" s="55"/>
      <c r="D851" s="56"/>
    </row>
    <row r="852">
      <c r="A852" s="55"/>
      <c r="B852" s="55"/>
      <c r="C852" s="55"/>
      <c r="D852" s="56"/>
    </row>
    <row r="853">
      <c r="A853" s="55"/>
      <c r="B853" s="55"/>
      <c r="C853" s="55"/>
      <c r="D853" s="56"/>
    </row>
    <row r="854">
      <c r="A854" s="55"/>
      <c r="B854" s="55"/>
      <c r="C854" s="55"/>
      <c r="D854" s="56"/>
    </row>
    <row r="855">
      <c r="A855" s="55"/>
      <c r="B855" s="55"/>
      <c r="C855" s="55"/>
      <c r="D855" s="56"/>
    </row>
    <row r="856">
      <c r="A856" s="55"/>
      <c r="B856" s="55"/>
      <c r="C856" s="55"/>
      <c r="D856" s="56"/>
    </row>
    <row r="857">
      <c r="A857" s="55"/>
      <c r="B857" s="55"/>
      <c r="C857" s="55"/>
      <c r="D857" s="56"/>
    </row>
    <row r="858">
      <c r="A858" s="55"/>
      <c r="B858" s="55"/>
      <c r="C858" s="55"/>
      <c r="D858" s="56"/>
    </row>
    <row r="859">
      <c r="A859" s="55"/>
      <c r="B859" s="55"/>
      <c r="C859" s="55"/>
      <c r="D859" s="56"/>
    </row>
    <row r="860">
      <c r="A860" s="55"/>
      <c r="B860" s="55"/>
      <c r="C860" s="55"/>
      <c r="D860" s="56"/>
    </row>
    <row r="861">
      <c r="A861" s="55"/>
      <c r="B861" s="55"/>
      <c r="C861" s="55"/>
      <c r="D861" s="56"/>
    </row>
    <row r="862">
      <c r="A862" s="55"/>
      <c r="B862" s="55"/>
      <c r="C862" s="55"/>
      <c r="D862" s="56"/>
    </row>
    <row r="863">
      <c r="A863" s="55"/>
      <c r="B863" s="55"/>
      <c r="C863" s="55"/>
      <c r="D863" s="56"/>
    </row>
    <row r="864">
      <c r="A864" s="55"/>
      <c r="B864" s="55"/>
      <c r="C864" s="55"/>
      <c r="D864" s="56"/>
    </row>
    <row r="865">
      <c r="A865" s="55"/>
      <c r="B865" s="55"/>
      <c r="C865" s="55"/>
      <c r="D865" s="56"/>
    </row>
    <row r="866">
      <c r="A866" s="55"/>
      <c r="B866" s="55"/>
      <c r="C866" s="55"/>
      <c r="D866" s="56"/>
    </row>
    <row r="867">
      <c r="A867" s="55"/>
      <c r="B867" s="55"/>
      <c r="C867" s="55"/>
      <c r="D867" s="56"/>
    </row>
    <row r="868">
      <c r="A868" s="55"/>
      <c r="B868" s="55"/>
      <c r="C868" s="55"/>
      <c r="D868" s="56"/>
    </row>
    <row r="869">
      <c r="A869" s="55"/>
      <c r="B869" s="55"/>
      <c r="C869" s="55"/>
      <c r="D869" s="56"/>
    </row>
    <row r="870">
      <c r="A870" s="55"/>
      <c r="B870" s="55"/>
      <c r="C870" s="55"/>
      <c r="D870" s="56"/>
    </row>
    <row r="871">
      <c r="A871" s="55"/>
      <c r="B871" s="55"/>
      <c r="C871" s="55"/>
      <c r="D871" s="56"/>
    </row>
    <row r="872">
      <c r="A872" s="55"/>
      <c r="B872" s="55"/>
      <c r="C872" s="55"/>
      <c r="D872" s="56"/>
    </row>
    <row r="873">
      <c r="A873" s="55"/>
      <c r="B873" s="55"/>
      <c r="C873" s="55"/>
      <c r="D873" s="56"/>
    </row>
    <row r="874">
      <c r="A874" s="55"/>
      <c r="B874" s="55"/>
      <c r="C874" s="55"/>
      <c r="D874" s="56"/>
    </row>
    <row r="875">
      <c r="A875" s="55"/>
      <c r="B875" s="55"/>
      <c r="C875" s="55"/>
      <c r="D875" s="56"/>
    </row>
    <row r="876">
      <c r="A876" s="55"/>
      <c r="B876" s="55"/>
      <c r="C876" s="55"/>
      <c r="D876" s="56"/>
    </row>
    <row r="877">
      <c r="A877" s="55"/>
      <c r="B877" s="55"/>
      <c r="C877" s="55"/>
      <c r="D877" s="56"/>
    </row>
    <row r="878">
      <c r="A878" s="55"/>
      <c r="B878" s="55"/>
      <c r="C878" s="55"/>
      <c r="D878" s="56"/>
    </row>
    <row r="879">
      <c r="A879" s="55"/>
      <c r="B879" s="55"/>
      <c r="C879" s="55"/>
      <c r="D879" s="56"/>
    </row>
    <row r="880">
      <c r="A880" s="55"/>
      <c r="B880" s="55"/>
      <c r="C880" s="55"/>
      <c r="D880" s="56"/>
    </row>
    <row r="881">
      <c r="A881" s="55"/>
      <c r="B881" s="55"/>
      <c r="C881" s="55"/>
      <c r="D881" s="56"/>
    </row>
    <row r="882">
      <c r="A882" s="55"/>
      <c r="B882" s="55"/>
      <c r="C882" s="55"/>
      <c r="D882" s="56"/>
    </row>
    <row r="883">
      <c r="A883" s="55"/>
      <c r="B883" s="55"/>
      <c r="C883" s="55"/>
      <c r="D883" s="56"/>
    </row>
    <row r="884">
      <c r="A884" s="55"/>
      <c r="B884" s="55"/>
      <c r="C884" s="55"/>
      <c r="D884" s="56"/>
    </row>
    <row r="885">
      <c r="A885" s="55"/>
      <c r="B885" s="55"/>
      <c r="C885" s="55"/>
      <c r="D885" s="56"/>
    </row>
    <row r="886">
      <c r="A886" s="55"/>
      <c r="B886" s="55"/>
      <c r="C886" s="55"/>
      <c r="D886" s="56"/>
    </row>
    <row r="887">
      <c r="A887" s="55"/>
      <c r="B887" s="55"/>
      <c r="C887" s="55"/>
      <c r="D887" s="56"/>
    </row>
    <row r="888">
      <c r="A888" s="55"/>
      <c r="B888" s="55"/>
      <c r="C888" s="55"/>
      <c r="D888" s="56"/>
    </row>
    <row r="889">
      <c r="A889" s="55"/>
      <c r="B889" s="55"/>
      <c r="C889" s="55"/>
      <c r="D889" s="56"/>
    </row>
    <row r="890">
      <c r="A890" s="55"/>
      <c r="B890" s="55"/>
      <c r="C890" s="55"/>
      <c r="D890" s="56"/>
    </row>
    <row r="891">
      <c r="A891" s="55"/>
      <c r="B891" s="55"/>
      <c r="C891" s="55"/>
      <c r="D891" s="56"/>
    </row>
    <row r="892">
      <c r="A892" s="55"/>
      <c r="B892" s="55"/>
      <c r="C892" s="55"/>
      <c r="D892" s="56"/>
    </row>
    <row r="893">
      <c r="A893" s="55"/>
      <c r="B893" s="55"/>
      <c r="C893" s="55"/>
      <c r="D893" s="56"/>
    </row>
    <row r="894">
      <c r="A894" s="55"/>
      <c r="B894" s="55"/>
      <c r="C894" s="55"/>
      <c r="D894" s="56"/>
    </row>
    <row r="895">
      <c r="A895" s="55"/>
      <c r="B895" s="55"/>
      <c r="C895" s="55"/>
      <c r="D895" s="56"/>
    </row>
    <row r="896">
      <c r="A896" s="55"/>
      <c r="B896" s="55"/>
      <c r="C896" s="55"/>
      <c r="D896" s="56"/>
    </row>
    <row r="897">
      <c r="A897" s="55"/>
      <c r="B897" s="55"/>
      <c r="C897" s="55"/>
      <c r="D897" s="56"/>
    </row>
    <row r="898">
      <c r="A898" s="55"/>
      <c r="B898" s="55"/>
      <c r="C898" s="55"/>
      <c r="D898" s="56"/>
    </row>
    <row r="899">
      <c r="A899" s="55"/>
      <c r="B899" s="55"/>
      <c r="C899" s="55"/>
      <c r="D899" s="56"/>
    </row>
    <row r="900">
      <c r="A900" s="55"/>
      <c r="B900" s="55"/>
      <c r="C900" s="55"/>
      <c r="D900" s="56"/>
    </row>
    <row r="901">
      <c r="A901" s="55"/>
      <c r="B901" s="55"/>
      <c r="C901" s="55"/>
      <c r="D901" s="56"/>
    </row>
    <row r="902">
      <c r="A902" s="55"/>
      <c r="B902" s="55"/>
      <c r="C902" s="55"/>
      <c r="D902" s="56"/>
    </row>
    <row r="903">
      <c r="A903" s="55"/>
      <c r="B903" s="55"/>
      <c r="C903" s="55"/>
      <c r="D903" s="56"/>
    </row>
    <row r="904">
      <c r="A904" s="55"/>
      <c r="B904" s="55"/>
      <c r="C904" s="55"/>
      <c r="D904" s="56"/>
    </row>
    <row r="905">
      <c r="A905" s="55"/>
      <c r="B905" s="55"/>
      <c r="C905" s="55"/>
      <c r="D905" s="56"/>
    </row>
    <row r="906">
      <c r="A906" s="55"/>
      <c r="B906" s="55"/>
      <c r="C906" s="55"/>
      <c r="D906" s="56"/>
    </row>
    <row r="907">
      <c r="A907" s="55"/>
      <c r="B907" s="55"/>
      <c r="C907" s="55"/>
      <c r="D907" s="56"/>
    </row>
    <row r="908">
      <c r="A908" s="55"/>
      <c r="B908" s="55"/>
      <c r="C908" s="55"/>
      <c r="D908" s="56"/>
    </row>
    <row r="909">
      <c r="A909" s="55"/>
      <c r="B909" s="55"/>
      <c r="C909" s="55"/>
      <c r="D909" s="56"/>
    </row>
    <row r="910">
      <c r="A910" s="55"/>
      <c r="B910" s="55"/>
      <c r="C910" s="55"/>
      <c r="D910" s="56"/>
    </row>
    <row r="911">
      <c r="A911" s="55"/>
      <c r="B911" s="55"/>
      <c r="C911" s="55"/>
      <c r="D911" s="56"/>
    </row>
    <row r="912">
      <c r="A912" s="55"/>
      <c r="B912" s="55"/>
      <c r="C912" s="55"/>
      <c r="D912" s="56"/>
    </row>
    <row r="913">
      <c r="A913" s="55"/>
      <c r="B913" s="55"/>
      <c r="C913" s="55"/>
      <c r="D913" s="56"/>
    </row>
    <row r="914">
      <c r="A914" s="55"/>
      <c r="B914" s="55"/>
      <c r="C914" s="55"/>
      <c r="D914" s="56"/>
    </row>
    <row r="915">
      <c r="A915" s="55"/>
      <c r="B915" s="55"/>
      <c r="C915" s="55"/>
      <c r="D915" s="56"/>
    </row>
    <row r="916">
      <c r="A916" s="55"/>
      <c r="B916" s="55"/>
      <c r="C916" s="55"/>
      <c r="D916" s="56"/>
    </row>
    <row r="917">
      <c r="A917" s="55"/>
      <c r="B917" s="55"/>
      <c r="C917" s="55"/>
      <c r="D917" s="56"/>
    </row>
    <row r="918">
      <c r="A918" s="55"/>
      <c r="B918" s="55"/>
      <c r="C918" s="55"/>
      <c r="D918" s="56"/>
    </row>
    <row r="919">
      <c r="A919" s="55"/>
      <c r="B919" s="55"/>
      <c r="C919" s="55"/>
      <c r="D919" s="56"/>
    </row>
    <row r="920">
      <c r="A920" s="55"/>
      <c r="B920" s="55"/>
      <c r="C920" s="55"/>
      <c r="D920" s="56"/>
    </row>
    <row r="921">
      <c r="A921" s="55"/>
      <c r="B921" s="55"/>
      <c r="C921" s="55"/>
      <c r="D921" s="56"/>
    </row>
    <row r="922">
      <c r="A922" s="55"/>
      <c r="B922" s="55"/>
      <c r="C922" s="55"/>
      <c r="D922" s="56"/>
    </row>
    <row r="923">
      <c r="A923" s="55"/>
      <c r="B923" s="55"/>
      <c r="C923" s="55"/>
      <c r="D923" s="56"/>
    </row>
    <row r="924">
      <c r="A924" s="55"/>
      <c r="B924" s="55"/>
      <c r="C924" s="55"/>
      <c r="D924" s="56"/>
    </row>
    <row r="925">
      <c r="A925" s="55"/>
      <c r="B925" s="55"/>
      <c r="C925" s="55"/>
      <c r="D925" s="56"/>
    </row>
    <row r="926">
      <c r="A926" s="55"/>
      <c r="B926" s="55"/>
      <c r="C926" s="55"/>
      <c r="D926" s="56"/>
    </row>
    <row r="927">
      <c r="A927" s="55"/>
      <c r="B927" s="55"/>
      <c r="C927" s="55"/>
      <c r="D927" s="56"/>
    </row>
    <row r="928">
      <c r="A928" s="55"/>
      <c r="B928" s="55"/>
      <c r="C928" s="55"/>
      <c r="D928" s="56"/>
    </row>
    <row r="929">
      <c r="A929" s="55"/>
      <c r="B929" s="55"/>
      <c r="C929" s="55"/>
      <c r="D929" s="56"/>
    </row>
    <row r="930">
      <c r="A930" s="55"/>
      <c r="B930" s="55"/>
      <c r="C930" s="55"/>
      <c r="D930" s="56"/>
    </row>
    <row r="931">
      <c r="A931" s="55"/>
      <c r="B931" s="55"/>
      <c r="C931" s="55"/>
      <c r="D931" s="56"/>
    </row>
    <row r="932">
      <c r="A932" s="55"/>
      <c r="B932" s="55"/>
      <c r="C932" s="55"/>
      <c r="D932" s="56"/>
    </row>
    <row r="933">
      <c r="A933" s="55"/>
      <c r="B933" s="55"/>
      <c r="C933" s="55"/>
      <c r="D933" s="56"/>
    </row>
    <row r="934">
      <c r="A934" s="55"/>
      <c r="B934" s="55"/>
      <c r="C934" s="55"/>
      <c r="D934" s="56"/>
    </row>
    <row r="935">
      <c r="A935" s="55"/>
      <c r="B935" s="55"/>
      <c r="C935" s="55"/>
      <c r="D935" s="56"/>
    </row>
    <row r="936">
      <c r="A936" s="55"/>
      <c r="B936" s="55"/>
      <c r="C936" s="55"/>
      <c r="D936" s="56"/>
    </row>
    <row r="937">
      <c r="A937" s="55"/>
      <c r="B937" s="55"/>
      <c r="C937" s="55"/>
      <c r="D937" s="56"/>
    </row>
    <row r="938">
      <c r="A938" s="55"/>
      <c r="B938" s="55"/>
      <c r="C938" s="55"/>
      <c r="D938" s="56"/>
    </row>
    <row r="939">
      <c r="A939" s="55"/>
      <c r="B939" s="55"/>
      <c r="C939" s="55"/>
      <c r="D939" s="56"/>
    </row>
    <row r="940">
      <c r="A940" s="55"/>
      <c r="B940" s="55"/>
      <c r="C940" s="55"/>
      <c r="D940" s="56"/>
    </row>
    <row r="941">
      <c r="A941" s="55"/>
      <c r="B941" s="55"/>
      <c r="C941" s="55"/>
      <c r="D941" s="56"/>
    </row>
    <row r="942">
      <c r="A942" s="55"/>
      <c r="B942" s="55"/>
      <c r="C942" s="55"/>
      <c r="D942" s="56"/>
    </row>
    <row r="943">
      <c r="A943" s="55"/>
      <c r="B943" s="55"/>
      <c r="C943" s="55"/>
      <c r="D943" s="56"/>
    </row>
    <row r="944">
      <c r="A944" s="55"/>
      <c r="B944" s="55"/>
      <c r="C944" s="55"/>
      <c r="D944" s="56"/>
    </row>
    <row r="945">
      <c r="A945" s="55"/>
      <c r="B945" s="55"/>
      <c r="C945" s="55"/>
      <c r="D945" s="56"/>
    </row>
    <row r="946">
      <c r="A946" s="55"/>
      <c r="B946" s="55"/>
      <c r="C946" s="55"/>
      <c r="D946" s="56"/>
    </row>
    <row r="947">
      <c r="A947" s="55"/>
      <c r="B947" s="55"/>
      <c r="C947" s="55"/>
      <c r="D947" s="56"/>
    </row>
    <row r="948">
      <c r="A948" s="55"/>
      <c r="B948" s="55"/>
      <c r="C948" s="55"/>
      <c r="D948" s="56"/>
    </row>
    <row r="949">
      <c r="A949" s="55"/>
      <c r="B949" s="55"/>
      <c r="C949" s="55"/>
      <c r="D949" s="56"/>
    </row>
    <row r="950">
      <c r="A950" s="55"/>
      <c r="B950" s="55"/>
      <c r="C950" s="55"/>
      <c r="D950" s="56"/>
    </row>
    <row r="951">
      <c r="A951" s="55"/>
      <c r="B951" s="55"/>
      <c r="C951" s="55"/>
      <c r="D951" s="56"/>
    </row>
    <row r="952">
      <c r="A952" s="55"/>
      <c r="B952" s="55"/>
      <c r="C952" s="55"/>
      <c r="D952" s="56"/>
    </row>
    <row r="953">
      <c r="A953" s="55"/>
      <c r="B953" s="55"/>
      <c r="C953" s="55"/>
      <c r="D953" s="56"/>
    </row>
    <row r="954">
      <c r="A954" s="55"/>
      <c r="B954" s="55"/>
      <c r="C954" s="55"/>
      <c r="D954" s="56"/>
    </row>
    <row r="955">
      <c r="A955" s="55"/>
      <c r="B955" s="55"/>
      <c r="C955" s="55"/>
      <c r="D955" s="56"/>
    </row>
    <row r="956">
      <c r="A956" s="55"/>
      <c r="B956" s="55"/>
      <c r="C956" s="55"/>
      <c r="D956" s="56"/>
    </row>
    <row r="957">
      <c r="A957" s="55"/>
      <c r="B957" s="55"/>
      <c r="C957" s="55"/>
      <c r="D957" s="56"/>
    </row>
    <row r="958">
      <c r="A958" s="55"/>
      <c r="B958" s="55"/>
      <c r="C958" s="55"/>
      <c r="D958" s="56"/>
    </row>
    <row r="959">
      <c r="A959" s="55"/>
      <c r="B959" s="55"/>
      <c r="C959" s="55"/>
      <c r="D959" s="56"/>
    </row>
    <row r="960">
      <c r="A960" s="55"/>
      <c r="B960" s="55"/>
      <c r="C960" s="55"/>
      <c r="D960" s="56"/>
    </row>
    <row r="961">
      <c r="A961" s="55"/>
      <c r="B961" s="55"/>
      <c r="C961" s="55"/>
      <c r="D961" s="56"/>
    </row>
    <row r="962">
      <c r="A962" s="55"/>
      <c r="B962" s="55"/>
      <c r="C962" s="55"/>
      <c r="D962" s="56"/>
    </row>
    <row r="963">
      <c r="A963" s="55"/>
      <c r="B963" s="55"/>
      <c r="C963" s="55"/>
      <c r="D963" s="56"/>
    </row>
    <row r="964">
      <c r="A964" s="55"/>
      <c r="B964" s="55"/>
      <c r="C964" s="55"/>
      <c r="D964" s="56"/>
    </row>
    <row r="965">
      <c r="A965" s="55"/>
      <c r="B965" s="55"/>
      <c r="C965" s="55"/>
      <c r="D965" s="56"/>
    </row>
    <row r="966">
      <c r="A966" s="55"/>
      <c r="B966" s="55"/>
      <c r="C966" s="55"/>
      <c r="D966" s="56"/>
    </row>
    <row r="967">
      <c r="A967" s="55"/>
      <c r="B967" s="55"/>
      <c r="C967" s="55"/>
      <c r="D967" s="56"/>
    </row>
    <row r="968">
      <c r="A968" s="55"/>
      <c r="B968" s="55"/>
      <c r="C968" s="55"/>
      <c r="D968" s="56"/>
    </row>
    <row r="969">
      <c r="A969" s="55"/>
      <c r="B969" s="55"/>
      <c r="C969" s="55"/>
      <c r="D969" s="56"/>
    </row>
    <row r="970">
      <c r="A970" s="55"/>
      <c r="B970" s="55"/>
      <c r="C970" s="55"/>
      <c r="D970" s="56"/>
    </row>
    <row r="971">
      <c r="A971" s="55"/>
      <c r="B971" s="55"/>
      <c r="C971" s="55"/>
      <c r="D971" s="56"/>
    </row>
    <row r="972">
      <c r="A972" s="55"/>
      <c r="B972" s="55"/>
      <c r="C972" s="55"/>
      <c r="D972" s="56"/>
    </row>
    <row r="973">
      <c r="A973" s="55"/>
      <c r="B973" s="55"/>
      <c r="C973" s="55"/>
      <c r="D973" s="56"/>
    </row>
    <row r="974">
      <c r="A974" s="55"/>
      <c r="B974" s="55"/>
      <c r="C974" s="55"/>
      <c r="D974" s="56"/>
    </row>
    <row r="975">
      <c r="A975" s="55"/>
      <c r="B975" s="55"/>
      <c r="C975" s="55"/>
      <c r="D975" s="56"/>
    </row>
    <row r="976">
      <c r="A976" s="55"/>
      <c r="B976" s="55"/>
      <c r="C976" s="55"/>
      <c r="D976" s="56"/>
    </row>
    <row r="977">
      <c r="A977" s="55"/>
      <c r="B977" s="55"/>
      <c r="C977" s="55"/>
      <c r="D977" s="56"/>
    </row>
    <row r="978">
      <c r="A978" s="55"/>
      <c r="B978" s="55"/>
      <c r="C978" s="55"/>
      <c r="D978" s="56"/>
    </row>
    <row r="979">
      <c r="A979" s="55"/>
      <c r="B979" s="55"/>
      <c r="C979" s="55"/>
      <c r="D979" s="56"/>
    </row>
    <row r="980">
      <c r="A980" s="55"/>
      <c r="B980" s="55"/>
      <c r="C980" s="55"/>
      <c r="D980" s="56"/>
    </row>
    <row r="981">
      <c r="A981" s="55"/>
      <c r="B981" s="55"/>
      <c r="C981" s="55"/>
      <c r="D981" s="56"/>
    </row>
    <row r="982">
      <c r="A982" s="55"/>
      <c r="B982" s="55"/>
      <c r="C982" s="55"/>
      <c r="D982" s="56"/>
    </row>
    <row r="983">
      <c r="A983" s="55"/>
      <c r="B983" s="55"/>
      <c r="C983" s="55"/>
      <c r="D983" s="56"/>
    </row>
    <row r="984">
      <c r="A984" s="55"/>
      <c r="B984" s="55"/>
      <c r="C984" s="55"/>
      <c r="D984" s="56"/>
    </row>
    <row r="985">
      <c r="A985" s="55"/>
      <c r="B985" s="55"/>
      <c r="C985" s="55"/>
      <c r="D985" s="56"/>
    </row>
    <row r="986">
      <c r="A986" s="55"/>
      <c r="B986" s="55"/>
      <c r="C986" s="55"/>
      <c r="D986" s="56"/>
    </row>
    <row r="987">
      <c r="A987" s="55"/>
      <c r="B987" s="55"/>
      <c r="C987" s="55"/>
      <c r="D987" s="56"/>
    </row>
    <row r="988">
      <c r="A988" s="55"/>
      <c r="B988" s="55"/>
      <c r="C988" s="55"/>
      <c r="D988" s="56"/>
    </row>
    <row r="989">
      <c r="A989" s="55"/>
      <c r="B989" s="55"/>
      <c r="C989" s="55"/>
      <c r="D989" s="56"/>
    </row>
    <row r="990">
      <c r="A990" s="55"/>
      <c r="B990" s="55"/>
      <c r="C990" s="55"/>
      <c r="D990" s="56"/>
    </row>
    <row r="991">
      <c r="A991" s="55"/>
      <c r="B991" s="55"/>
      <c r="C991" s="55"/>
      <c r="D991" s="56"/>
    </row>
    <row r="992">
      <c r="A992" s="55"/>
      <c r="B992" s="55"/>
      <c r="C992" s="55"/>
      <c r="D992" s="56"/>
    </row>
    <row r="993">
      <c r="A993" s="55"/>
      <c r="B993" s="55"/>
      <c r="C993" s="55"/>
      <c r="D993" s="56"/>
    </row>
    <row r="994">
      <c r="A994" s="55"/>
      <c r="B994" s="55"/>
      <c r="C994" s="55"/>
      <c r="D994" s="56"/>
    </row>
    <row r="995">
      <c r="A995" s="55"/>
      <c r="B995" s="55"/>
      <c r="C995" s="55"/>
      <c r="D995" s="56"/>
    </row>
    <row r="996">
      <c r="A996" s="55"/>
      <c r="B996" s="55"/>
      <c r="C996" s="55"/>
      <c r="D996" s="56"/>
    </row>
    <row r="997">
      <c r="A997" s="55"/>
      <c r="B997" s="55"/>
      <c r="C997" s="55"/>
      <c r="D997" s="56"/>
    </row>
    <row r="998">
      <c r="A998" s="55"/>
      <c r="B998" s="55"/>
      <c r="C998" s="55"/>
      <c r="D998" s="56"/>
    </row>
    <row r="999">
      <c r="A999" s="55"/>
      <c r="B999" s="55"/>
      <c r="C999" s="55"/>
      <c r="D999" s="5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2" t="s">
        <v>3269</v>
      </c>
      <c r="B1" s="52" t="s">
        <v>3270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>
      <c r="A2" s="52">
        <f>IF(B2="","",0)</f>
        <v>0</v>
      </c>
      <c r="B2" s="57" t="s">
        <v>32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>
      <c r="A3" s="52">
        <f t="shared" ref="A3:A88" si="1">IF(B3="","",A2+1)</f>
        <v>1</v>
      </c>
      <c r="B3" s="57" t="s">
        <v>112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>
      <c r="A4" s="52">
        <f t="shared" si="1"/>
        <v>2</v>
      </c>
      <c r="B4" s="57" t="s">
        <v>21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>
      <c r="A5" s="52">
        <f t="shared" si="1"/>
        <v>3</v>
      </c>
      <c r="B5" s="57" t="s">
        <v>3271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>
      <c r="A6" s="52">
        <f t="shared" si="1"/>
        <v>4</v>
      </c>
      <c r="B6" s="57" t="s">
        <v>3272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>
      <c r="A7" s="52">
        <f t="shared" si="1"/>
        <v>5</v>
      </c>
      <c r="B7" s="57" t="s">
        <v>58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>
      <c r="A8" s="52">
        <f t="shared" si="1"/>
        <v>6</v>
      </c>
      <c r="B8" s="57" t="s">
        <v>3273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>
      <c r="A9" s="52">
        <f t="shared" si="1"/>
        <v>7</v>
      </c>
      <c r="B9" s="57" t="s">
        <v>3274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>
      <c r="A10" s="52">
        <f t="shared" si="1"/>
        <v>8</v>
      </c>
      <c r="B10" s="57" t="s">
        <v>3275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>
      <c r="A11" s="52">
        <f t="shared" si="1"/>
        <v>9</v>
      </c>
      <c r="B11" s="57" t="s">
        <v>3276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>
      <c r="A12" s="52">
        <f t="shared" si="1"/>
        <v>10</v>
      </c>
      <c r="B12" s="57" t="s">
        <v>3277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>
      <c r="A13" s="52">
        <f t="shared" si="1"/>
        <v>11</v>
      </c>
      <c r="B13" s="57" t="s">
        <v>3278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>
      <c r="A14" s="55" t="str">
        <f t="shared" si="1"/>
        <v/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>
      <c r="A15" s="55" t="str">
        <f t="shared" si="1"/>
        <v/>
      </c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>
      <c r="A16" s="55" t="str">
        <f t="shared" si="1"/>
        <v/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>
      <c r="A17" s="55" t="str">
        <f t="shared" si="1"/>
        <v/>
      </c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>
      <c r="A18" s="55" t="str">
        <f t="shared" si="1"/>
        <v/>
      </c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>
      <c r="A19" s="55" t="str">
        <f t="shared" si="1"/>
        <v/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>
      <c r="A20" s="55" t="str">
        <f t="shared" si="1"/>
        <v/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>
      <c r="A21" s="55" t="str">
        <f t="shared" si="1"/>
        <v/>
      </c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>
      <c r="A22" s="55" t="str">
        <f t="shared" si="1"/>
        <v/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>
      <c r="A23" s="55" t="str">
        <f t="shared" si="1"/>
        <v/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>
      <c r="A24" s="55" t="str">
        <f t="shared" si="1"/>
        <v/>
      </c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>
      <c r="A25" s="55" t="str">
        <f t="shared" si="1"/>
        <v/>
      </c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>
      <c r="A26" s="55" t="str">
        <f t="shared" si="1"/>
        <v/>
      </c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>
      <c r="A27" s="55" t="str">
        <f t="shared" si="1"/>
        <v/>
      </c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>
      <c r="A28" s="55" t="str">
        <f t="shared" si="1"/>
        <v/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>
      <c r="A29" s="55" t="str">
        <f t="shared" si="1"/>
        <v/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>
      <c r="A30" s="55" t="str">
        <f t="shared" si="1"/>
        <v/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>
      <c r="A31" s="55" t="str">
        <f t="shared" si="1"/>
        <v/>
      </c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>
      <c r="A32" s="55" t="str">
        <f t="shared" si="1"/>
        <v/>
      </c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>
      <c r="A33" s="55" t="str">
        <f t="shared" si="1"/>
        <v/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>
      <c r="A34" s="55" t="str">
        <f t="shared" si="1"/>
        <v/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>
      <c r="A35" s="55" t="str">
        <f t="shared" si="1"/>
        <v/>
      </c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>
      <c r="A36" s="55" t="str">
        <f t="shared" si="1"/>
        <v/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>
      <c r="A37" s="55" t="str">
        <f t="shared" si="1"/>
        <v/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>
      <c r="A38" s="55" t="str">
        <f t="shared" si="1"/>
        <v/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>
      <c r="A39" s="55" t="str">
        <f t="shared" si="1"/>
        <v/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>
      <c r="A40" s="55" t="str">
        <f t="shared" si="1"/>
        <v/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>
      <c r="A41" s="55" t="str">
        <f t="shared" si="1"/>
        <v/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>
      <c r="A42" s="55" t="str">
        <f t="shared" si="1"/>
        <v/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>
      <c r="A43" s="55" t="str">
        <f t="shared" si="1"/>
        <v/>
      </c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>
      <c r="A44" s="55" t="str">
        <f t="shared" si="1"/>
        <v/>
      </c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>
      <c r="A45" s="55" t="str">
        <f t="shared" si="1"/>
        <v/>
      </c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>
      <c r="A46" s="55" t="str">
        <f t="shared" si="1"/>
        <v/>
      </c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>
      <c r="A47" s="55" t="str">
        <f t="shared" si="1"/>
        <v/>
      </c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>
      <c r="A48" s="55" t="str">
        <f t="shared" si="1"/>
        <v/>
      </c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>
      <c r="A49" s="55" t="str">
        <f t="shared" si="1"/>
        <v/>
      </c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>
      <c r="A50" s="55" t="str">
        <f t="shared" si="1"/>
        <v/>
      </c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>
      <c r="A51" s="55" t="str">
        <f t="shared" si="1"/>
        <v/>
      </c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>
      <c r="A52" s="55" t="str">
        <f t="shared" si="1"/>
        <v/>
      </c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>
      <c r="A53" s="55" t="str">
        <f t="shared" si="1"/>
        <v/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>
      <c r="A54" s="55" t="str">
        <f t="shared" si="1"/>
        <v/>
      </c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>
      <c r="A55" s="55" t="str">
        <f t="shared" si="1"/>
        <v/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>
      <c r="A56" s="55" t="str">
        <f t="shared" si="1"/>
        <v/>
      </c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>
      <c r="A57" s="55" t="str">
        <f t="shared" si="1"/>
        <v/>
      </c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>
      <c r="A58" s="55" t="str">
        <f t="shared" si="1"/>
        <v/>
      </c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>
      <c r="A59" s="55" t="str">
        <f t="shared" si="1"/>
        <v/>
      </c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>
      <c r="A60" s="55" t="str">
        <f t="shared" si="1"/>
        <v/>
      </c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>
      <c r="A61" s="55" t="str">
        <f t="shared" si="1"/>
        <v/>
      </c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>
      <c r="A62" s="55" t="str">
        <f t="shared" si="1"/>
        <v/>
      </c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>
      <c r="A63" s="55" t="str">
        <f t="shared" si="1"/>
        <v/>
      </c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>
      <c r="A64" s="55" t="str">
        <f t="shared" si="1"/>
        <v/>
      </c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>
      <c r="A65" s="55" t="str">
        <f t="shared" si="1"/>
        <v/>
      </c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>
      <c r="A66" s="55" t="str">
        <f t="shared" si="1"/>
        <v/>
      </c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>
      <c r="A67" s="55" t="str">
        <f t="shared" si="1"/>
        <v/>
      </c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>
      <c r="A68" s="55" t="str">
        <f t="shared" si="1"/>
        <v/>
      </c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>
      <c r="A69" s="55" t="str">
        <f t="shared" si="1"/>
        <v/>
      </c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>
      <c r="A70" s="55" t="str">
        <f t="shared" si="1"/>
        <v/>
      </c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>
      <c r="A71" s="55" t="str">
        <f t="shared" si="1"/>
        <v/>
      </c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>
      <c r="A72" s="55" t="str">
        <f t="shared" si="1"/>
        <v/>
      </c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>
      <c r="A73" s="55" t="str">
        <f t="shared" si="1"/>
        <v/>
      </c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>
      <c r="A74" s="55" t="str">
        <f t="shared" si="1"/>
        <v/>
      </c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>
      <c r="A75" s="55" t="str">
        <f t="shared" si="1"/>
        <v/>
      </c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>
      <c r="A76" s="55" t="str">
        <f t="shared" si="1"/>
        <v/>
      </c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>
      <c r="A77" s="55" t="str">
        <f t="shared" si="1"/>
        <v/>
      </c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>
      <c r="A78" s="55" t="str">
        <f t="shared" si="1"/>
        <v/>
      </c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>
      <c r="A79" s="55" t="str">
        <f t="shared" si="1"/>
        <v/>
      </c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>
      <c r="A80" s="55" t="str">
        <f t="shared" si="1"/>
        <v/>
      </c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>
      <c r="A81" s="55" t="str">
        <f t="shared" si="1"/>
        <v/>
      </c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>
      <c r="A82" s="55" t="str">
        <f t="shared" si="1"/>
        <v/>
      </c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>
      <c r="A83" s="55" t="str">
        <f t="shared" si="1"/>
        <v/>
      </c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>
      <c r="A84" s="55" t="str">
        <f t="shared" si="1"/>
        <v/>
      </c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>
      <c r="A85" s="55" t="str">
        <f t="shared" si="1"/>
        <v/>
      </c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>
      <c r="A86" s="55" t="str">
        <f t="shared" si="1"/>
        <v/>
      </c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>
      <c r="A87" s="55" t="str">
        <f t="shared" si="1"/>
        <v/>
      </c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>
      <c r="A88" s="55" t="str">
        <f t="shared" si="1"/>
        <v/>
      </c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</row>
    <row r="100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</row>
    <row r="101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</row>
    <row r="102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</row>
    <row r="103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</row>
    <row r="104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</row>
    <row r="105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</row>
    <row r="106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</row>
    <row r="107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</row>
    <row r="108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</row>
    <row r="109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</row>
    <row r="110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</row>
    <row r="111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</row>
    <row r="112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</row>
    <row r="113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</row>
    <row r="114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</row>
    <row r="115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</row>
    <row r="116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</row>
    <row r="117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</row>
    <row r="118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</row>
    <row r="119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</row>
    <row r="120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</row>
    <row r="121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</row>
    <row r="122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</row>
    <row r="123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</row>
    <row r="124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</row>
    <row r="125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</row>
    <row r="126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</row>
    <row r="127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</row>
    <row r="128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</row>
    <row r="129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</row>
    <row r="130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</row>
    <row r="131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</row>
    <row r="132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</row>
    <row r="133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</row>
    <row r="134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</row>
    <row r="135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</row>
    <row r="136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</row>
    <row r="137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</row>
    <row r="138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</row>
    <row r="139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</row>
    <row r="140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</row>
    <row r="141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</row>
    <row r="142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</row>
    <row r="143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</row>
    <row r="144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</row>
    <row r="145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</row>
    <row r="146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</row>
    <row r="147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</row>
    <row r="148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</row>
    <row r="149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</row>
    <row r="150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</row>
    <row r="151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</row>
    <row r="152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</row>
    <row r="153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</row>
    <row r="154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</row>
    <row r="155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</row>
    <row r="156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</row>
    <row r="157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</row>
    <row r="158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</row>
    <row r="159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</row>
    <row r="160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</row>
    <row r="161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</row>
    <row r="162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</row>
    <row r="163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</row>
    <row r="164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</row>
    <row r="165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</row>
    <row r="166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</row>
    <row r="167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</row>
    <row r="168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</row>
    <row r="169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</row>
    <row r="170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</row>
    <row r="171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</row>
    <row r="172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</row>
    <row r="173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</row>
    <row r="174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</row>
    <row r="175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</row>
    <row r="176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</row>
    <row r="177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</row>
    <row r="178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</row>
    <row r="179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</row>
    <row r="180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</row>
    <row r="181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</row>
    <row r="182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</row>
    <row r="183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</row>
    <row r="184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</row>
    <row r="185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</row>
    <row r="186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</row>
    <row r="187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</row>
    <row r="188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</row>
    <row r="189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</row>
    <row r="190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</row>
    <row r="191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</row>
    <row r="192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</row>
    <row r="193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</row>
    <row r="194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</row>
    <row r="195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</row>
    <row r="196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</row>
    <row r="197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</row>
    <row r="198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</row>
    <row r="199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</row>
    <row r="200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</row>
    <row r="201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</row>
    <row r="202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</row>
    <row r="203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</row>
    <row r="204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</row>
    <row r="205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</row>
    <row r="206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</row>
    <row r="207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</row>
    <row r="208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</row>
    <row r="209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</row>
    <row r="210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</row>
    <row r="211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</row>
    <row r="212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</row>
    <row r="213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</row>
    <row r="214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</row>
    <row r="215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</row>
    <row r="216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</row>
    <row r="217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</row>
    <row r="218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</row>
    <row r="219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</row>
    <row r="220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</row>
    <row r="221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</row>
    <row r="222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</row>
    <row r="223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</row>
    <row r="224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</row>
    <row r="225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</row>
    <row r="226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</row>
    <row r="227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</row>
    <row r="228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</row>
    <row r="229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</row>
    <row r="230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</row>
    <row r="231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</row>
    <row r="232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</row>
    <row r="233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</row>
    <row r="234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</row>
    <row r="235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</row>
    <row r="236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</row>
    <row r="237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</row>
    <row r="238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</row>
    <row r="239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</row>
    <row r="240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</row>
    <row r="241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</row>
    <row r="242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</row>
    <row r="243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</row>
    <row r="244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</row>
    <row r="245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</row>
    <row r="246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</row>
    <row r="247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</row>
    <row r="248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</row>
    <row r="249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</row>
    <row r="250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</row>
    <row r="251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</row>
    <row r="252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</row>
    <row r="253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</row>
    <row r="254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</row>
    <row r="255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</row>
    <row r="256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</row>
    <row r="257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</row>
    <row r="258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</row>
    <row r="259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</row>
    <row r="260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</row>
    <row r="261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</row>
    <row r="262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</row>
    <row r="263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</row>
    <row r="264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</row>
    <row r="265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</row>
    <row r="266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</row>
    <row r="267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</row>
    <row r="268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</row>
    <row r="269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</row>
    <row r="270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</row>
    <row r="271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</row>
    <row r="272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</row>
    <row r="273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</row>
    <row r="274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</row>
    <row r="275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</row>
    <row r="276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</row>
    <row r="277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</row>
    <row r="278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</row>
    <row r="279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</row>
    <row r="280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</row>
    <row r="281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</row>
    <row r="282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</row>
    <row r="283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</row>
    <row r="284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</row>
    <row r="285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</row>
    <row r="286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</row>
    <row r="287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</row>
    <row r="288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</row>
    <row r="289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</row>
    <row r="290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</row>
    <row r="291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</row>
    <row r="292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</row>
    <row r="293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</row>
    <row r="294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</row>
    <row r="295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</row>
    <row r="296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</row>
    <row r="297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</row>
    <row r="298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</row>
    <row r="299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</row>
    <row r="300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</row>
    <row r="301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</row>
    <row r="302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</row>
    <row r="303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</row>
    <row r="304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</row>
    <row r="305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</row>
    <row r="306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</row>
    <row r="307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</row>
    <row r="308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</row>
    <row r="309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</row>
    <row r="310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</row>
    <row r="311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</row>
    <row r="312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</row>
    <row r="313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</row>
    <row r="314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</row>
    <row r="315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</row>
    <row r="316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</row>
    <row r="317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</row>
    <row r="318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</row>
    <row r="319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</row>
    <row r="320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</row>
    <row r="321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</row>
    <row r="322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</row>
    <row r="323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</row>
    <row r="324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</row>
    <row r="325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</row>
    <row r="326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</row>
    <row r="327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</row>
    <row r="328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</row>
    <row r="329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</row>
    <row r="330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</row>
    <row r="331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</row>
    <row r="332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</row>
    <row r="333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</row>
    <row r="334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</row>
    <row r="335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</row>
    <row r="336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</row>
    <row r="337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</row>
    <row r="338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</row>
    <row r="339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</row>
    <row r="340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</row>
    <row r="341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</row>
    <row r="342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</row>
    <row r="343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</row>
    <row r="344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</row>
    <row r="345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</row>
    <row r="346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</row>
    <row r="347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</row>
    <row r="348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</row>
    <row r="349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</row>
    <row r="350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</row>
    <row r="351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</row>
    <row r="352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</row>
    <row r="353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</row>
    <row r="354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</row>
    <row r="355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</row>
    <row r="356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</row>
    <row r="357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</row>
    <row r="358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</row>
    <row r="359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</row>
    <row r="360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</row>
    <row r="361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</row>
    <row r="362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</row>
    <row r="363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</row>
    <row r="364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</row>
    <row r="365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</row>
    <row r="366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</row>
    <row r="367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</row>
    <row r="368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</row>
    <row r="369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</row>
    <row r="370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</row>
    <row r="371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</row>
    <row r="372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</row>
    <row r="373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</row>
    <row r="374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</row>
    <row r="375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</row>
    <row r="376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</row>
    <row r="377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</row>
    <row r="378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</row>
    <row r="379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</row>
    <row r="380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</row>
    <row r="381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</row>
    <row r="382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</row>
    <row r="383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</row>
    <row r="384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</row>
    <row r="385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</row>
    <row r="386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</row>
    <row r="387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</row>
    <row r="388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</row>
    <row r="389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</row>
    <row r="390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</row>
    <row r="391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</row>
    <row r="392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</row>
    <row r="393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</row>
    <row r="394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</row>
    <row r="395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</row>
    <row r="396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</row>
    <row r="397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</row>
    <row r="398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</row>
    <row r="399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</row>
    <row r="400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</row>
    <row r="401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</row>
    <row r="402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</row>
    <row r="403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</row>
    <row r="404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</row>
    <row r="405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</row>
    <row r="406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</row>
    <row r="407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</row>
    <row r="408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</row>
    <row r="409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</row>
    <row r="410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</row>
    <row r="411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</row>
    <row r="412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</row>
    <row r="413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</row>
    <row r="414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</row>
    <row r="415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</row>
    <row r="416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</row>
    <row r="417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</row>
    <row r="418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</row>
    <row r="419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</row>
    <row r="420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</row>
    <row r="42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</row>
    <row r="422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</row>
    <row r="423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</row>
    <row r="424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</row>
    <row r="425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</row>
    <row r="426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</row>
    <row r="427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</row>
    <row r="428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</row>
    <row r="429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</row>
    <row r="430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</row>
    <row r="43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</row>
    <row r="432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</row>
    <row r="433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</row>
    <row r="434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</row>
    <row r="435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</row>
    <row r="436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</row>
    <row r="437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</row>
    <row r="438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</row>
    <row r="439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</row>
    <row r="440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</row>
    <row r="441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</row>
    <row r="442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</row>
    <row r="443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</row>
    <row r="444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</row>
    <row r="445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</row>
    <row r="446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</row>
    <row r="447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</row>
    <row r="448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</row>
    <row r="449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</row>
    <row r="450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</row>
    <row r="451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</row>
    <row r="452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</row>
    <row r="453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</row>
    <row r="454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</row>
    <row r="455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</row>
    <row r="456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</row>
    <row r="457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</row>
    <row r="458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</row>
    <row r="459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</row>
    <row r="460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</row>
    <row r="461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</row>
    <row r="462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</row>
    <row r="463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</row>
    <row r="464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</row>
    <row r="465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</row>
    <row r="466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</row>
    <row r="467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</row>
    <row r="468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</row>
    <row r="469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</row>
    <row r="470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</row>
    <row r="471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</row>
    <row r="472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</row>
    <row r="473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</row>
    <row r="474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</row>
    <row r="475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</row>
    <row r="476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</row>
    <row r="477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</row>
    <row r="478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</row>
    <row r="479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</row>
    <row r="480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</row>
    <row r="481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</row>
    <row r="482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</row>
    <row r="483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</row>
    <row r="484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</row>
    <row r="485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</row>
    <row r="486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</row>
    <row r="487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</row>
    <row r="488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</row>
    <row r="489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</row>
    <row r="490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</row>
    <row r="491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</row>
    <row r="492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</row>
    <row r="493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</row>
    <row r="494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</row>
    <row r="495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</row>
    <row r="496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</row>
    <row r="497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</row>
    <row r="498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</row>
    <row r="499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</row>
    <row r="500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</row>
    <row r="501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</row>
    <row r="502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</row>
    <row r="503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</row>
    <row r="504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</row>
    <row r="505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</row>
    <row r="506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</row>
    <row r="507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</row>
    <row r="508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</row>
    <row r="509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</row>
    <row r="510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</row>
    <row r="511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</row>
    <row r="512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</row>
    <row r="513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</row>
    <row r="514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</row>
    <row r="515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</row>
    <row r="516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</row>
    <row r="517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</row>
    <row r="518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</row>
    <row r="519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</row>
    <row r="520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</row>
    <row r="521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</row>
    <row r="522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</row>
    <row r="523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</row>
    <row r="524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</row>
    <row r="525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</row>
    <row r="526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</row>
    <row r="527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</row>
    <row r="528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</row>
    <row r="529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</row>
    <row r="530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</row>
    <row r="53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</row>
    <row r="532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</row>
    <row r="533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</row>
    <row r="534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</row>
    <row r="535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</row>
    <row r="536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</row>
    <row r="537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</row>
    <row r="538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</row>
    <row r="539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</row>
    <row r="540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</row>
    <row r="54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</row>
    <row r="542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</row>
    <row r="543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</row>
    <row r="544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</row>
    <row r="545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</row>
    <row r="546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</row>
    <row r="547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</row>
    <row r="548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</row>
    <row r="549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</row>
    <row r="550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</row>
    <row r="551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</row>
    <row r="552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</row>
    <row r="553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</row>
    <row r="554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</row>
    <row r="555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</row>
    <row r="556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</row>
    <row r="557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</row>
    <row r="558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</row>
    <row r="559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</row>
    <row r="560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</row>
    <row r="56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</row>
    <row r="562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</row>
    <row r="563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</row>
    <row r="564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</row>
    <row r="565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</row>
    <row r="566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</row>
    <row r="567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</row>
    <row r="568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</row>
    <row r="569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</row>
    <row r="570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</row>
    <row r="571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</row>
    <row r="572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</row>
    <row r="573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</row>
    <row r="574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</row>
    <row r="575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</row>
    <row r="576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</row>
    <row r="577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</row>
    <row r="578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</row>
    <row r="579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</row>
    <row r="580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</row>
    <row r="581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</row>
    <row r="582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</row>
    <row r="583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</row>
    <row r="584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</row>
    <row r="585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</row>
    <row r="586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</row>
    <row r="587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</row>
    <row r="588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</row>
    <row r="589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</row>
    <row r="590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</row>
    <row r="591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</row>
    <row r="592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</row>
    <row r="593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</row>
    <row r="594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</row>
    <row r="595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</row>
    <row r="596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</row>
    <row r="597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</row>
    <row r="598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</row>
    <row r="599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</row>
    <row r="600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</row>
    <row r="601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</row>
    <row r="602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</row>
    <row r="603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</row>
    <row r="604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</row>
    <row r="605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</row>
    <row r="606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</row>
    <row r="607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</row>
    <row r="608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</row>
    <row r="609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</row>
    <row r="610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</row>
    <row r="611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</row>
    <row r="612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</row>
    <row r="613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</row>
    <row r="614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</row>
    <row r="615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</row>
    <row r="616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</row>
    <row r="617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</row>
    <row r="618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</row>
    <row r="619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</row>
    <row r="620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</row>
    <row r="621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</row>
    <row r="622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</row>
    <row r="623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</row>
    <row r="624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</row>
    <row r="625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</row>
    <row r="626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</row>
    <row r="627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</row>
    <row r="628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</row>
    <row r="629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</row>
    <row r="630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</row>
    <row r="631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</row>
    <row r="632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</row>
    <row r="633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</row>
    <row r="634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</row>
    <row r="635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</row>
    <row r="636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</row>
    <row r="637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</row>
    <row r="638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</row>
    <row r="639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</row>
    <row r="640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</row>
    <row r="641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</row>
    <row r="642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</row>
    <row r="643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</row>
    <row r="644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</row>
    <row r="645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</row>
    <row r="646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</row>
    <row r="647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</row>
    <row r="648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</row>
    <row r="649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</row>
    <row r="650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</row>
    <row r="651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</row>
    <row r="652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</row>
    <row r="653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</row>
    <row r="654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</row>
    <row r="655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</row>
    <row r="656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</row>
    <row r="657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</row>
    <row r="658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</row>
    <row r="659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</row>
    <row r="660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</row>
    <row r="661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</row>
    <row r="662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</row>
    <row r="663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</row>
    <row r="664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</row>
    <row r="665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</row>
    <row r="666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</row>
    <row r="667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</row>
    <row r="668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</row>
    <row r="669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</row>
    <row r="670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</row>
    <row r="671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</row>
    <row r="672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</row>
    <row r="673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</row>
    <row r="674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</row>
    <row r="675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</row>
    <row r="676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</row>
    <row r="677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</row>
    <row r="678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</row>
    <row r="679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</row>
    <row r="680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</row>
    <row r="681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</row>
    <row r="682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</row>
    <row r="683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</row>
    <row r="684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</row>
    <row r="685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</row>
    <row r="686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</row>
    <row r="687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</row>
    <row r="688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</row>
    <row r="689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</row>
    <row r="690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</row>
    <row r="691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</row>
    <row r="692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</row>
    <row r="693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</row>
    <row r="694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</row>
    <row r="695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</row>
    <row r="696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</row>
    <row r="697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</row>
    <row r="698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</row>
    <row r="699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</row>
    <row r="700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</row>
    <row r="701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</row>
    <row r="702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</row>
    <row r="703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</row>
    <row r="704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</row>
    <row r="705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</row>
    <row r="706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</row>
    <row r="707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</row>
    <row r="708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</row>
    <row r="709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</row>
    <row r="710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</row>
    <row r="711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</row>
    <row r="712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</row>
    <row r="713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</row>
    <row r="714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</row>
    <row r="715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</row>
    <row r="716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</row>
    <row r="717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</row>
    <row r="718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</row>
    <row r="719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</row>
    <row r="720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</row>
    <row r="721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</row>
    <row r="722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</row>
    <row r="723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</row>
    <row r="724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</row>
    <row r="725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</row>
    <row r="726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</row>
    <row r="727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</row>
    <row r="728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</row>
    <row r="729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</row>
    <row r="730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</row>
    <row r="731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</row>
    <row r="732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</row>
    <row r="733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</row>
    <row r="734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</row>
    <row r="735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</row>
    <row r="736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</row>
    <row r="737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</row>
    <row r="738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</row>
    <row r="739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</row>
    <row r="740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</row>
    <row r="741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</row>
    <row r="742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</row>
    <row r="743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</row>
    <row r="744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</row>
    <row r="745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</row>
    <row r="746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</row>
    <row r="747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</row>
    <row r="748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</row>
    <row r="749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</row>
    <row r="750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</row>
    <row r="751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</row>
    <row r="752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</row>
    <row r="753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</row>
    <row r="754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</row>
    <row r="755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</row>
    <row r="756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</row>
    <row r="757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</row>
    <row r="758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</row>
    <row r="759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</row>
    <row r="760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</row>
    <row r="761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</row>
    <row r="762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</row>
    <row r="763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</row>
    <row r="764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</row>
    <row r="765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</row>
    <row r="766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</row>
    <row r="767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</row>
    <row r="768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</row>
    <row r="769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</row>
    <row r="770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</row>
    <row r="771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</row>
    <row r="772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</row>
    <row r="773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</row>
    <row r="774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</row>
    <row r="775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</row>
    <row r="776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</row>
    <row r="777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</row>
    <row r="778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</row>
    <row r="779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</row>
    <row r="780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</row>
    <row r="781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</row>
    <row r="782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</row>
    <row r="783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</row>
    <row r="784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</row>
    <row r="785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</row>
    <row r="786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</row>
    <row r="787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</row>
    <row r="788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</row>
    <row r="789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</row>
    <row r="790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</row>
    <row r="791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</row>
    <row r="792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</row>
    <row r="793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</row>
    <row r="794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</row>
    <row r="795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</row>
    <row r="796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</row>
    <row r="797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</row>
    <row r="798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</row>
    <row r="799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</row>
    <row r="800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</row>
    <row r="801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</row>
    <row r="802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</row>
    <row r="803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</row>
    <row r="804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</row>
    <row r="805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</row>
    <row r="806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</row>
    <row r="807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</row>
    <row r="808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</row>
    <row r="809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</row>
    <row r="810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</row>
    <row r="811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</row>
    <row r="812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</row>
    <row r="813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</row>
    <row r="814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</row>
    <row r="815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</row>
    <row r="816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</row>
    <row r="817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</row>
    <row r="818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</row>
    <row r="819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</row>
    <row r="820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</row>
    <row r="821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</row>
    <row r="822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</row>
    <row r="823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</row>
    <row r="824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</row>
    <row r="825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</row>
    <row r="826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</row>
    <row r="827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</row>
    <row r="828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</row>
    <row r="829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</row>
    <row r="830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</row>
    <row r="831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</row>
    <row r="832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</row>
    <row r="833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</row>
    <row r="834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</row>
    <row r="835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</row>
    <row r="836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</row>
    <row r="837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</row>
    <row r="838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</row>
    <row r="839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</row>
    <row r="840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</row>
    <row r="841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</row>
    <row r="842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</row>
    <row r="843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</row>
    <row r="844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</row>
    <row r="845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</row>
    <row r="846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</row>
    <row r="847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</row>
    <row r="848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</row>
    <row r="849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</row>
    <row r="850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</row>
    <row r="851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</row>
    <row r="852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</row>
    <row r="853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</row>
    <row r="854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</row>
    <row r="855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</row>
    <row r="856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</row>
    <row r="857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</row>
    <row r="858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</row>
    <row r="859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</row>
    <row r="860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</row>
    <row r="861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</row>
    <row r="862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</row>
    <row r="863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</row>
    <row r="864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</row>
    <row r="865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</row>
    <row r="866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</row>
    <row r="867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</row>
    <row r="868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</row>
    <row r="869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</row>
    <row r="870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</row>
    <row r="871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</row>
    <row r="872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</row>
    <row r="873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</row>
    <row r="874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</row>
    <row r="875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</row>
    <row r="876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</row>
    <row r="877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</row>
    <row r="878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</row>
    <row r="879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</row>
    <row r="880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</row>
    <row r="881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</row>
    <row r="882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</row>
    <row r="883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</row>
    <row r="884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</row>
    <row r="885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</row>
    <row r="886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</row>
    <row r="887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</row>
    <row r="888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</row>
    <row r="889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</row>
    <row r="890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</row>
    <row r="891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</row>
    <row r="892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</row>
    <row r="893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</row>
    <row r="894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</row>
    <row r="895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</row>
    <row r="896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</row>
    <row r="897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</row>
    <row r="898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</row>
    <row r="899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</row>
    <row r="900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</row>
    <row r="901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</row>
    <row r="902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</row>
    <row r="903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</row>
    <row r="904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</row>
    <row r="905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</row>
    <row r="906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</row>
    <row r="907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</row>
    <row r="908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</row>
    <row r="909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</row>
    <row r="910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</row>
    <row r="911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</row>
    <row r="912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</row>
    <row r="913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</row>
    <row r="914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</row>
    <row r="915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</row>
    <row r="916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</row>
    <row r="917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</row>
    <row r="918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</row>
    <row r="919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</row>
    <row r="920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</row>
    <row r="921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</row>
    <row r="922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</row>
    <row r="923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</row>
    <row r="924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</row>
    <row r="925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</row>
    <row r="926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</row>
    <row r="927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</row>
    <row r="928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</row>
    <row r="929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</row>
    <row r="930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</row>
    <row r="931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</row>
    <row r="932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</row>
    <row r="933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</row>
    <row r="934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</row>
    <row r="935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</row>
    <row r="936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</row>
    <row r="937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</row>
    <row r="938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</row>
    <row r="939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</row>
    <row r="940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</row>
    <row r="941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</row>
    <row r="942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</row>
    <row r="943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</row>
    <row r="944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</row>
    <row r="945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</row>
    <row r="946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</row>
    <row r="947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</row>
    <row r="948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</row>
    <row r="949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</row>
    <row r="950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</row>
    <row r="951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</row>
    <row r="952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</row>
    <row r="953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</row>
    <row r="954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</row>
    <row r="955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</row>
    <row r="956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</row>
    <row r="957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</row>
    <row r="958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</row>
    <row r="959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</row>
    <row r="960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</row>
    <row r="961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</row>
    <row r="962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</row>
    <row r="963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</row>
    <row r="964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</row>
    <row r="965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</row>
    <row r="966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</row>
    <row r="967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</row>
    <row r="968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</row>
    <row r="969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</row>
    <row r="970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</row>
    <row r="971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</row>
    <row r="972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</row>
    <row r="973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</row>
    <row r="974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</row>
    <row r="975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</row>
    <row r="976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</row>
    <row r="977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</row>
    <row r="978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</row>
    <row r="979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</row>
    <row r="980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</row>
    <row r="981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</row>
    <row r="982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</row>
    <row r="983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</row>
    <row r="984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</row>
    <row r="985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</row>
    <row r="986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</row>
    <row r="987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</row>
    <row r="988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</row>
    <row r="989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</row>
    <row r="990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</row>
    <row r="991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</row>
    <row r="992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</row>
    <row r="993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</row>
    <row r="994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</row>
    <row r="995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</row>
    <row r="996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</row>
    <row r="997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</row>
    <row r="998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</row>
    <row r="999">
      <c r="A999" s="55"/>
      <c r="B999" s="55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</row>
    <row r="1000">
      <c r="A1000" s="55"/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31.5"/>
    <col customWidth="1" min="3" max="3" width="11.63"/>
  </cols>
  <sheetData>
    <row r="1">
      <c r="A1" s="58" t="s">
        <v>3279</v>
      </c>
      <c r="B1" s="58" t="s">
        <v>3280</v>
      </c>
      <c r="C1" s="58" t="s">
        <v>3281</v>
      </c>
    </row>
    <row r="2">
      <c r="A2" s="59" t="s">
        <v>3282</v>
      </c>
      <c r="B2" s="59" t="s">
        <v>3283</v>
      </c>
      <c r="C2" s="59" t="s">
        <v>3284</v>
      </c>
    </row>
    <row r="3">
      <c r="A3" s="59" t="s">
        <v>3282</v>
      </c>
      <c r="B3" s="59" t="s">
        <v>3283</v>
      </c>
      <c r="C3" s="59" t="s">
        <v>3285</v>
      </c>
    </row>
    <row r="4">
      <c r="A4" s="59" t="s">
        <v>3282</v>
      </c>
      <c r="B4" s="59" t="s">
        <v>3283</v>
      </c>
      <c r="C4" s="59" t="s">
        <v>3286</v>
      </c>
    </row>
    <row r="5">
      <c r="A5" s="59" t="s">
        <v>3282</v>
      </c>
      <c r="B5" s="59" t="s">
        <v>3287</v>
      </c>
      <c r="C5" s="59" t="s">
        <v>3288</v>
      </c>
    </row>
    <row r="6">
      <c r="A6" s="59" t="s">
        <v>3282</v>
      </c>
      <c r="B6" s="59" t="s">
        <v>3289</v>
      </c>
      <c r="C6" s="59" t="s">
        <v>3290</v>
      </c>
    </row>
    <row r="7">
      <c r="A7" s="59" t="s">
        <v>3282</v>
      </c>
      <c r="B7" s="59" t="s">
        <v>3287</v>
      </c>
      <c r="C7" s="59" t="s">
        <v>3291</v>
      </c>
    </row>
    <row r="8">
      <c r="A8" s="59" t="s">
        <v>3282</v>
      </c>
      <c r="B8" s="59" t="s">
        <v>3287</v>
      </c>
      <c r="C8" s="59" t="s">
        <v>3292</v>
      </c>
    </row>
    <row r="9">
      <c r="A9" s="59" t="s">
        <v>3282</v>
      </c>
      <c r="B9" s="59" t="s">
        <v>3287</v>
      </c>
      <c r="C9" s="59" t="s">
        <v>3293</v>
      </c>
    </row>
    <row r="10">
      <c r="A10" s="59" t="s">
        <v>3282</v>
      </c>
      <c r="B10" s="59" t="s">
        <v>3287</v>
      </c>
      <c r="C10" s="59" t="s">
        <v>3294</v>
      </c>
    </row>
    <row r="11">
      <c r="A11" s="59" t="s">
        <v>3282</v>
      </c>
      <c r="B11" s="59" t="s">
        <v>3287</v>
      </c>
      <c r="C11" s="59" t="s">
        <v>3295</v>
      </c>
    </row>
    <row r="12">
      <c r="A12" s="59" t="s">
        <v>3282</v>
      </c>
      <c r="B12" s="59" t="s">
        <v>3287</v>
      </c>
      <c r="C12" s="59" t="s">
        <v>3296</v>
      </c>
    </row>
    <row r="13">
      <c r="A13" s="59" t="s">
        <v>3282</v>
      </c>
      <c r="B13" s="59" t="s">
        <v>3289</v>
      </c>
      <c r="C13" s="59" t="s">
        <v>3297</v>
      </c>
    </row>
    <row r="14">
      <c r="A14" s="59" t="s">
        <v>3282</v>
      </c>
      <c r="B14" s="59" t="s">
        <v>3289</v>
      </c>
      <c r="C14" s="59" t="s">
        <v>3298</v>
      </c>
    </row>
    <row r="15">
      <c r="A15" s="59" t="s">
        <v>3282</v>
      </c>
      <c r="B15" s="59" t="s">
        <v>3289</v>
      </c>
      <c r="C15" s="59" t="s">
        <v>3299</v>
      </c>
    </row>
    <row r="16">
      <c r="A16" s="59" t="s">
        <v>3282</v>
      </c>
      <c r="B16" s="59" t="s">
        <v>3289</v>
      </c>
      <c r="C16" s="59" t="s">
        <v>3300</v>
      </c>
    </row>
    <row r="17">
      <c r="A17" s="59" t="s">
        <v>3282</v>
      </c>
      <c r="B17" s="59" t="s">
        <v>3289</v>
      </c>
      <c r="C17" s="59" t="s">
        <v>3301</v>
      </c>
    </row>
    <row r="18">
      <c r="A18" s="59" t="s">
        <v>3282</v>
      </c>
      <c r="B18" s="59" t="s">
        <v>3289</v>
      </c>
      <c r="C18" s="59" t="s">
        <v>3302</v>
      </c>
    </row>
    <row r="19">
      <c r="A19" s="59" t="s">
        <v>3282</v>
      </c>
      <c r="B19" s="59" t="s">
        <v>3289</v>
      </c>
      <c r="C19" s="59" t="s">
        <v>3303</v>
      </c>
    </row>
    <row r="20">
      <c r="A20" s="59" t="s">
        <v>3282</v>
      </c>
      <c r="B20" s="59" t="s">
        <v>3289</v>
      </c>
      <c r="C20" s="59" t="s">
        <v>3304</v>
      </c>
    </row>
    <row r="21">
      <c r="A21" s="59" t="s">
        <v>3282</v>
      </c>
      <c r="B21" s="59" t="s">
        <v>3289</v>
      </c>
      <c r="C21" s="59" t="s">
        <v>3305</v>
      </c>
    </row>
    <row r="22">
      <c r="A22" s="59" t="s">
        <v>3282</v>
      </c>
      <c r="B22" s="59" t="s">
        <v>3289</v>
      </c>
      <c r="C22" s="59" t="s">
        <v>3306</v>
      </c>
    </row>
    <row r="23">
      <c r="A23" s="59" t="s">
        <v>3282</v>
      </c>
      <c r="B23" s="59" t="s">
        <v>3289</v>
      </c>
      <c r="C23" s="59" t="s">
        <v>3307</v>
      </c>
    </row>
    <row r="24">
      <c r="A24" s="59" t="s">
        <v>3282</v>
      </c>
      <c r="B24" s="59" t="s">
        <v>3289</v>
      </c>
      <c r="C24" s="59" t="s">
        <v>3308</v>
      </c>
    </row>
    <row r="25">
      <c r="A25" s="59" t="s">
        <v>3282</v>
      </c>
      <c r="B25" s="59" t="s">
        <v>3289</v>
      </c>
      <c r="C25" s="59" t="s">
        <v>3309</v>
      </c>
    </row>
    <row r="26">
      <c r="A26" s="59" t="s">
        <v>3282</v>
      </c>
      <c r="B26" s="59" t="s">
        <v>3289</v>
      </c>
      <c r="C26" s="59" t="s">
        <v>3310</v>
      </c>
    </row>
    <row r="27">
      <c r="A27" s="59" t="s">
        <v>3282</v>
      </c>
      <c r="B27" s="59" t="s">
        <v>3289</v>
      </c>
      <c r="C27" s="59" t="s">
        <v>3311</v>
      </c>
    </row>
    <row r="28">
      <c r="A28" s="59" t="s">
        <v>3282</v>
      </c>
      <c r="B28" s="59" t="s">
        <v>3289</v>
      </c>
      <c r="C28" s="59" t="s">
        <v>3312</v>
      </c>
    </row>
    <row r="29">
      <c r="A29" s="59" t="s">
        <v>3282</v>
      </c>
      <c r="B29" s="59" t="s">
        <v>3283</v>
      </c>
      <c r="C29" s="59" t="s">
        <v>3313</v>
      </c>
    </row>
    <row r="30">
      <c r="A30" s="59" t="s">
        <v>3282</v>
      </c>
      <c r="B30" s="59" t="s">
        <v>3289</v>
      </c>
      <c r="C30" s="59" t="s">
        <v>3314</v>
      </c>
    </row>
    <row r="31">
      <c r="A31" s="59" t="s">
        <v>3282</v>
      </c>
      <c r="B31" s="59" t="s">
        <v>3283</v>
      </c>
      <c r="C31" s="59" t="s">
        <v>3315</v>
      </c>
    </row>
    <row r="32">
      <c r="A32" s="59" t="s">
        <v>3282</v>
      </c>
      <c r="B32" s="59" t="s">
        <v>3289</v>
      </c>
      <c r="C32" s="59" t="s">
        <v>3316</v>
      </c>
    </row>
    <row r="33">
      <c r="A33" s="59" t="s">
        <v>3282</v>
      </c>
      <c r="B33" s="59" t="s">
        <v>3289</v>
      </c>
      <c r="C33" s="59" t="s">
        <v>3317</v>
      </c>
    </row>
    <row r="34">
      <c r="A34" s="59" t="s">
        <v>3282</v>
      </c>
      <c r="B34" s="59" t="s">
        <v>3289</v>
      </c>
      <c r="C34" s="59" t="s">
        <v>3318</v>
      </c>
    </row>
    <row r="35">
      <c r="A35" s="59" t="s">
        <v>3282</v>
      </c>
      <c r="B35" s="59" t="s">
        <v>3289</v>
      </c>
      <c r="C35" s="59" t="s">
        <v>3319</v>
      </c>
    </row>
    <row r="36">
      <c r="A36" s="59" t="s">
        <v>3282</v>
      </c>
      <c r="B36" s="59" t="s">
        <v>3289</v>
      </c>
      <c r="C36" s="59" t="s">
        <v>3320</v>
      </c>
    </row>
    <row r="37">
      <c r="A37" s="59" t="s">
        <v>3282</v>
      </c>
      <c r="B37" s="59" t="s">
        <v>3289</v>
      </c>
      <c r="C37" s="59" t="s">
        <v>3321</v>
      </c>
    </row>
    <row r="38">
      <c r="A38" s="59" t="s">
        <v>3282</v>
      </c>
      <c r="B38" s="59" t="s">
        <v>3289</v>
      </c>
      <c r="C38" s="59" t="s">
        <v>3322</v>
      </c>
    </row>
    <row r="39">
      <c r="A39" s="59" t="s">
        <v>3282</v>
      </c>
      <c r="B39" s="59" t="s">
        <v>3289</v>
      </c>
      <c r="C39" s="59" t="s">
        <v>3323</v>
      </c>
    </row>
    <row r="40">
      <c r="A40" s="59" t="s">
        <v>3282</v>
      </c>
      <c r="B40" s="59" t="s">
        <v>3289</v>
      </c>
      <c r="C40" s="59" t="s">
        <v>3324</v>
      </c>
    </row>
    <row r="41">
      <c r="A41" s="59" t="s">
        <v>3282</v>
      </c>
      <c r="B41" s="59" t="s">
        <v>3283</v>
      </c>
      <c r="C41" s="59" t="s">
        <v>3325</v>
      </c>
    </row>
    <row r="42">
      <c r="A42" s="59" t="s">
        <v>3282</v>
      </c>
      <c r="B42" s="59" t="s">
        <v>3283</v>
      </c>
      <c r="C42" s="59" t="s">
        <v>3326</v>
      </c>
    </row>
    <row r="43">
      <c r="A43" s="59" t="s">
        <v>3282</v>
      </c>
      <c r="B43" s="59" t="s">
        <v>3283</v>
      </c>
      <c r="C43" s="59" t="s">
        <v>3327</v>
      </c>
    </row>
    <row r="44">
      <c r="A44" s="59" t="s">
        <v>3282</v>
      </c>
      <c r="B44" s="59" t="s">
        <v>3283</v>
      </c>
      <c r="C44" s="59" t="s">
        <v>3328</v>
      </c>
    </row>
    <row r="45">
      <c r="A45" s="59" t="s">
        <v>3282</v>
      </c>
      <c r="B45" s="59" t="s">
        <v>3283</v>
      </c>
      <c r="C45" s="59" t="s">
        <v>3329</v>
      </c>
    </row>
    <row r="46">
      <c r="A46" s="59" t="s">
        <v>3282</v>
      </c>
      <c r="B46" s="59" t="s">
        <v>3283</v>
      </c>
      <c r="C46" s="59" t="s">
        <v>3330</v>
      </c>
    </row>
    <row r="47">
      <c r="A47" s="59" t="s">
        <v>3282</v>
      </c>
      <c r="B47" s="59" t="s">
        <v>3283</v>
      </c>
      <c r="C47" s="59" t="s">
        <v>3331</v>
      </c>
    </row>
    <row r="48">
      <c r="A48" s="59" t="s">
        <v>3282</v>
      </c>
      <c r="B48" s="59" t="s">
        <v>3283</v>
      </c>
      <c r="C48" s="59" t="s">
        <v>3332</v>
      </c>
    </row>
    <row r="49">
      <c r="A49" s="59" t="s">
        <v>3282</v>
      </c>
      <c r="B49" s="59" t="s">
        <v>3283</v>
      </c>
      <c r="C49" s="59" t="s">
        <v>3333</v>
      </c>
    </row>
    <row r="50">
      <c r="A50" s="59" t="s">
        <v>3282</v>
      </c>
      <c r="B50" s="59" t="s">
        <v>3283</v>
      </c>
      <c r="C50" s="59" t="s">
        <v>3334</v>
      </c>
    </row>
    <row r="51">
      <c r="A51" s="59" t="s">
        <v>3282</v>
      </c>
      <c r="B51" s="59" t="s">
        <v>3283</v>
      </c>
      <c r="C51" s="59" t="s">
        <v>3335</v>
      </c>
    </row>
    <row r="52">
      <c r="A52" s="59" t="s">
        <v>3282</v>
      </c>
      <c r="B52" s="59" t="s">
        <v>3283</v>
      </c>
      <c r="C52" s="59" t="s">
        <v>3336</v>
      </c>
    </row>
    <row r="53">
      <c r="A53" s="59" t="s">
        <v>3282</v>
      </c>
      <c r="B53" s="59" t="s">
        <v>3283</v>
      </c>
      <c r="C53" s="59" t="s">
        <v>3337</v>
      </c>
    </row>
    <row r="54">
      <c r="A54" s="59" t="s">
        <v>3282</v>
      </c>
      <c r="B54" s="59" t="s">
        <v>3283</v>
      </c>
      <c r="C54" s="59" t="s">
        <v>3338</v>
      </c>
    </row>
    <row r="55">
      <c r="A55" s="59" t="s">
        <v>3282</v>
      </c>
      <c r="B55" s="59" t="s">
        <v>3283</v>
      </c>
      <c r="C55" s="59" t="s">
        <v>3339</v>
      </c>
    </row>
    <row r="56">
      <c r="A56" s="59" t="s">
        <v>3282</v>
      </c>
      <c r="B56" s="59" t="s">
        <v>3283</v>
      </c>
      <c r="C56" s="59" t="s">
        <v>3340</v>
      </c>
    </row>
    <row r="57">
      <c r="A57" s="59" t="s">
        <v>3282</v>
      </c>
      <c r="B57" s="59" t="s">
        <v>3283</v>
      </c>
      <c r="C57" s="59" t="s">
        <v>3341</v>
      </c>
    </row>
    <row r="58">
      <c r="A58" s="59" t="s">
        <v>3282</v>
      </c>
      <c r="B58" s="59" t="s">
        <v>3283</v>
      </c>
      <c r="C58" s="59" t="s">
        <v>3342</v>
      </c>
    </row>
    <row r="59">
      <c r="A59" s="59" t="s">
        <v>3282</v>
      </c>
      <c r="B59" s="59" t="s">
        <v>3283</v>
      </c>
      <c r="C59" s="59" t="s">
        <v>3343</v>
      </c>
    </row>
    <row r="60">
      <c r="A60" s="59" t="s">
        <v>3282</v>
      </c>
      <c r="B60" s="59" t="s">
        <v>3283</v>
      </c>
      <c r="C60" s="59" t="s">
        <v>3344</v>
      </c>
    </row>
    <row r="61">
      <c r="A61" s="59" t="s">
        <v>3282</v>
      </c>
      <c r="B61" s="59" t="s">
        <v>3283</v>
      </c>
      <c r="C61" s="59" t="s">
        <v>3345</v>
      </c>
    </row>
    <row r="62">
      <c r="A62" s="59" t="s">
        <v>3282</v>
      </c>
      <c r="B62" s="59" t="s">
        <v>3283</v>
      </c>
      <c r="C62" s="59" t="s">
        <v>3346</v>
      </c>
    </row>
    <row r="63">
      <c r="A63" s="59" t="s">
        <v>3282</v>
      </c>
      <c r="B63" s="59" t="s">
        <v>3283</v>
      </c>
      <c r="C63" s="59" t="s">
        <v>3347</v>
      </c>
    </row>
    <row r="64">
      <c r="A64" s="59" t="s">
        <v>3282</v>
      </c>
      <c r="B64" s="59" t="s">
        <v>3283</v>
      </c>
      <c r="C64" s="59" t="s">
        <v>3348</v>
      </c>
    </row>
    <row r="65">
      <c r="A65" s="59" t="s">
        <v>3282</v>
      </c>
      <c r="B65" s="59" t="s">
        <v>3283</v>
      </c>
      <c r="C65" s="59" t="s">
        <v>3349</v>
      </c>
    </row>
    <row r="66">
      <c r="A66" s="59" t="s">
        <v>3282</v>
      </c>
      <c r="B66" s="59" t="s">
        <v>3283</v>
      </c>
      <c r="C66" s="59" t="s">
        <v>3350</v>
      </c>
    </row>
    <row r="67">
      <c r="A67" s="59" t="s">
        <v>3282</v>
      </c>
      <c r="B67" s="59" t="s">
        <v>3283</v>
      </c>
      <c r="C67" s="59" t="s">
        <v>3351</v>
      </c>
    </row>
    <row r="68">
      <c r="A68" s="59" t="s">
        <v>3282</v>
      </c>
      <c r="B68" s="59" t="s">
        <v>3283</v>
      </c>
      <c r="C68" s="59" t="s">
        <v>3352</v>
      </c>
    </row>
    <row r="69">
      <c r="A69" s="59" t="s">
        <v>3282</v>
      </c>
      <c r="B69" s="59" t="s">
        <v>3283</v>
      </c>
      <c r="C69" s="59" t="s">
        <v>3353</v>
      </c>
    </row>
    <row r="70">
      <c r="A70" s="59" t="s">
        <v>3282</v>
      </c>
      <c r="B70" s="59" t="s">
        <v>3283</v>
      </c>
      <c r="C70" s="59" t="s">
        <v>3354</v>
      </c>
    </row>
    <row r="71">
      <c r="A71" s="59" t="s">
        <v>3282</v>
      </c>
      <c r="B71" s="59" t="s">
        <v>3283</v>
      </c>
      <c r="C71" s="59" t="s">
        <v>3355</v>
      </c>
    </row>
    <row r="72">
      <c r="A72" s="59" t="s">
        <v>3282</v>
      </c>
      <c r="B72" s="59" t="s">
        <v>3283</v>
      </c>
      <c r="C72" s="59" t="s">
        <v>3356</v>
      </c>
    </row>
    <row r="73">
      <c r="A73" s="59" t="s">
        <v>3282</v>
      </c>
      <c r="B73" s="59" t="s">
        <v>3283</v>
      </c>
      <c r="C73" s="59" t="s">
        <v>3357</v>
      </c>
    </row>
    <row r="74">
      <c r="A74" s="59" t="s">
        <v>3282</v>
      </c>
      <c r="B74" s="59" t="s">
        <v>3283</v>
      </c>
      <c r="C74" s="59" t="s">
        <v>3358</v>
      </c>
    </row>
    <row r="75">
      <c r="A75" s="59" t="s">
        <v>3282</v>
      </c>
      <c r="B75" s="59" t="s">
        <v>3283</v>
      </c>
      <c r="C75" s="59" t="s">
        <v>3359</v>
      </c>
    </row>
    <row r="76">
      <c r="A76" s="59" t="s">
        <v>3282</v>
      </c>
      <c r="B76" s="59" t="s">
        <v>3283</v>
      </c>
      <c r="C76" s="59" t="s">
        <v>3360</v>
      </c>
    </row>
    <row r="77">
      <c r="A77" s="59" t="s">
        <v>3282</v>
      </c>
      <c r="B77" s="59" t="s">
        <v>3283</v>
      </c>
      <c r="C77" s="59" t="s">
        <v>3361</v>
      </c>
    </row>
    <row r="78">
      <c r="A78" s="59" t="s">
        <v>3282</v>
      </c>
      <c r="B78" s="59" t="s">
        <v>3283</v>
      </c>
      <c r="C78" s="59" t="s">
        <v>3362</v>
      </c>
    </row>
    <row r="79">
      <c r="A79" s="59" t="s">
        <v>3282</v>
      </c>
      <c r="B79" s="59" t="s">
        <v>3283</v>
      </c>
      <c r="C79" s="59" t="s">
        <v>3363</v>
      </c>
    </row>
    <row r="80">
      <c r="A80" s="59" t="s">
        <v>3282</v>
      </c>
      <c r="B80" s="59" t="s">
        <v>3283</v>
      </c>
      <c r="C80" s="59" t="s">
        <v>3364</v>
      </c>
    </row>
    <row r="81">
      <c r="A81" s="59" t="s">
        <v>3282</v>
      </c>
      <c r="B81" s="59" t="s">
        <v>3283</v>
      </c>
      <c r="C81" s="59" t="s">
        <v>3365</v>
      </c>
    </row>
    <row r="82">
      <c r="A82" s="59" t="s">
        <v>3282</v>
      </c>
      <c r="B82" s="59" t="s">
        <v>3283</v>
      </c>
      <c r="C82" s="59" t="s">
        <v>3366</v>
      </c>
    </row>
    <row r="83">
      <c r="A83" s="59" t="s">
        <v>3282</v>
      </c>
      <c r="B83" s="59" t="s">
        <v>3283</v>
      </c>
      <c r="C83" s="59" t="s">
        <v>3367</v>
      </c>
    </row>
    <row r="84">
      <c r="A84" s="59" t="s">
        <v>3282</v>
      </c>
      <c r="B84" s="59" t="s">
        <v>3283</v>
      </c>
      <c r="C84" s="59" t="s">
        <v>3368</v>
      </c>
    </row>
    <row r="85">
      <c r="A85" s="59" t="s">
        <v>3282</v>
      </c>
      <c r="B85" s="59" t="s">
        <v>3283</v>
      </c>
      <c r="C85" s="59" t="s">
        <v>3369</v>
      </c>
    </row>
    <row r="86">
      <c r="A86" s="59" t="s">
        <v>3282</v>
      </c>
      <c r="B86" s="59" t="s">
        <v>3283</v>
      </c>
      <c r="C86" s="59" t="s">
        <v>3370</v>
      </c>
    </row>
    <row r="87">
      <c r="A87" s="59" t="s">
        <v>3282</v>
      </c>
      <c r="B87" s="59" t="s">
        <v>3283</v>
      </c>
      <c r="C87" s="59" t="s">
        <v>3371</v>
      </c>
    </row>
    <row r="88">
      <c r="A88" s="59" t="s">
        <v>3282</v>
      </c>
      <c r="B88" s="59" t="s">
        <v>3283</v>
      </c>
      <c r="C88" s="59" t="s">
        <v>3372</v>
      </c>
    </row>
    <row r="89">
      <c r="A89" s="59" t="s">
        <v>3282</v>
      </c>
      <c r="B89" s="59" t="s">
        <v>3283</v>
      </c>
      <c r="C89" s="59" t="s">
        <v>3373</v>
      </c>
    </row>
    <row r="90">
      <c r="A90" s="59" t="s">
        <v>3282</v>
      </c>
      <c r="B90" s="59" t="s">
        <v>3283</v>
      </c>
      <c r="C90" s="59" t="s">
        <v>3374</v>
      </c>
    </row>
    <row r="91">
      <c r="A91" s="59" t="s">
        <v>3282</v>
      </c>
      <c r="B91" s="59" t="s">
        <v>3283</v>
      </c>
      <c r="C91" s="59" t="s">
        <v>3375</v>
      </c>
    </row>
    <row r="92">
      <c r="A92" s="59" t="s">
        <v>3282</v>
      </c>
      <c r="B92" s="59" t="s">
        <v>3283</v>
      </c>
      <c r="C92" s="59" t="s">
        <v>3376</v>
      </c>
    </row>
    <row r="93">
      <c r="A93" s="59" t="s">
        <v>3282</v>
      </c>
      <c r="B93" s="59" t="s">
        <v>3283</v>
      </c>
      <c r="C93" s="59" t="s">
        <v>3377</v>
      </c>
    </row>
    <row r="94">
      <c r="A94" s="59" t="s">
        <v>3282</v>
      </c>
      <c r="B94" s="59" t="s">
        <v>3283</v>
      </c>
      <c r="C94" s="59" t="s">
        <v>3378</v>
      </c>
    </row>
    <row r="95">
      <c r="A95" s="59" t="s">
        <v>3282</v>
      </c>
      <c r="B95" s="59" t="s">
        <v>3283</v>
      </c>
      <c r="C95" s="59" t="s">
        <v>3379</v>
      </c>
    </row>
    <row r="96">
      <c r="A96" s="59" t="s">
        <v>3282</v>
      </c>
      <c r="B96" s="59" t="s">
        <v>3283</v>
      </c>
      <c r="C96" s="59" t="s">
        <v>3380</v>
      </c>
    </row>
    <row r="97">
      <c r="A97" s="59" t="s">
        <v>3282</v>
      </c>
      <c r="B97" s="59" t="s">
        <v>3283</v>
      </c>
      <c r="C97" s="59" t="s">
        <v>3381</v>
      </c>
    </row>
    <row r="98">
      <c r="A98" s="59" t="s">
        <v>3282</v>
      </c>
      <c r="B98" s="59" t="s">
        <v>3283</v>
      </c>
      <c r="C98" s="59" t="s">
        <v>3382</v>
      </c>
    </row>
    <row r="99">
      <c r="A99" s="59" t="s">
        <v>3282</v>
      </c>
      <c r="B99" s="59" t="s">
        <v>3283</v>
      </c>
      <c r="C99" s="59" t="s">
        <v>3383</v>
      </c>
    </row>
    <row r="100">
      <c r="A100" s="59" t="s">
        <v>3282</v>
      </c>
      <c r="B100" s="59" t="s">
        <v>3283</v>
      </c>
      <c r="C100" s="59" t="s">
        <v>3384</v>
      </c>
    </row>
    <row r="101">
      <c r="A101" s="59" t="s">
        <v>3282</v>
      </c>
      <c r="B101" s="59" t="s">
        <v>3283</v>
      </c>
      <c r="C101" s="59" t="s">
        <v>3385</v>
      </c>
    </row>
    <row r="102">
      <c r="A102" s="59" t="s">
        <v>3282</v>
      </c>
      <c r="B102" s="59" t="s">
        <v>3283</v>
      </c>
      <c r="C102" s="59" t="s">
        <v>3386</v>
      </c>
    </row>
    <row r="103">
      <c r="A103" s="59" t="s">
        <v>3282</v>
      </c>
      <c r="B103" s="59" t="s">
        <v>3283</v>
      </c>
      <c r="C103" s="59" t="s">
        <v>3387</v>
      </c>
    </row>
    <row r="104">
      <c r="A104" s="59" t="s">
        <v>3282</v>
      </c>
      <c r="B104" s="59" t="s">
        <v>3289</v>
      </c>
      <c r="C104" s="59" t="s">
        <v>3388</v>
      </c>
    </row>
    <row r="105">
      <c r="A105" s="59" t="s">
        <v>3282</v>
      </c>
      <c r="B105" s="59" t="s">
        <v>3283</v>
      </c>
      <c r="C105" s="59" t="s">
        <v>3389</v>
      </c>
    </row>
    <row r="106">
      <c r="A106" s="59" t="s">
        <v>3282</v>
      </c>
      <c r="B106" s="59" t="s">
        <v>3283</v>
      </c>
      <c r="C106" s="59" t="s">
        <v>3390</v>
      </c>
    </row>
    <row r="107">
      <c r="A107" s="59" t="s">
        <v>3282</v>
      </c>
      <c r="B107" s="59" t="s">
        <v>3283</v>
      </c>
      <c r="C107" s="59" t="s">
        <v>3391</v>
      </c>
    </row>
    <row r="108">
      <c r="A108" s="59" t="s">
        <v>3282</v>
      </c>
      <c r="B108" s="59" t="s">
        <v>3283</v>
      </c>
      <c r="C108" s="59" t="s">
        <v>3392</v>
      </c>
    </row>
    <row r="109">
      <c r="A109" s="59" t="s">
        <v>3282</v>
      </c>
      <c r="B109" s="59" t="s">
        <v>3283</v>
      </c>
      <c r="C109" s="59" t="s">
        <v>3393</v>
      </c>
    </row>
    <row r="110">
      <c r="A110" s="59" t="s">
        <v>3282</v>
      </c>
      <c r="B110" s="59" t="s">
        <v>3283</v>
      </c>
      <c r="C110" s="59" t="s">
        <v>3394</v>
      </c>
    </row>
    <row r="111">
      <c r="A111" s="59" t="s">
        <v>3282</v>
      </c>
      <c r="B111" s="59" t="s">
        <v>3283</v>
      </c>
      <c r="C111" s="59" t="s">
        <v>3395</v>
      </c>
    </row>
    <row r="112">
      <c r="A112" s="59" t="s">
        <v>3282</v>
      </c>
      <c r="B112" s="59" t="s">
        <v>3283</v>
      </c>
      <c r="C112" s="59" t="s">
        <v>3396</v>
      </c>
    </row>
    <row r="113">
      <c r="A113" s="59" t="s">
        <v>3282</v>
      </c>
      <c r="B113" s="59" t="s">
        <v>3283</v>
      </c>
      <c r="C113" s="59" t="s">
        <v>3397</v>
      </c>
    </row>
    <row r="114">
      <c r="A114" s="59" t="s">
        <v>3282</v>
      </c>
      <c r="B114" s="59" t="s">
        <v>3283</v>
      </c>
      <c r="C114" s="59" t="s">
        <v>3398</v>
      </c>
    </row>
    <row r="115">
      <c r="A115" s="59" t="s">
        <v>3282</v>
      </c>
      <c r="B115" s="59" t="s">
        <v>3283</v>
      </c>
      <c r="C115" s="59" t="s">
        <v>3399</v>
      </c>
    </row>
    <row r="116">
      <c r="A116" s="59" t="s">
        <v>3282</v>
      </c>
      <c r="B116" s="59" t="s">
        <v>3283</v>
      </c>
      <c r="C116" s="59" t="s">
        <v>3400</v>
      </c>
    </row>
    <row r="117">
      <c r="A117" s="59" t="s">
        <v>3282</v>
      </c>
      <c r="B117" s="59" t="s">
        <v>3283</v>
      </c>
      <c r="C117" s="59" t="s">
        <v>3401</v>
      </c>
    </row>
    <row r="118">
      <c r="A118" s="59" t="s">
        <v>3282</v>
      </c>
      <c r="B118" s="59" t="s">
        <v>3283</v>
      </c>
      <c r="C118" s="59" t="s">
        <v>3402</v>
      </c>
    </row>
    <row r="119">
      <c r="A119" s="59" t="s">
        <v>3282</v>
      </c>
      <c r="B119" s="59" t="s">
        <v>3283</v>
      </c>
      <c r="C119" s="59" t="s">
        <v>3403</v>
      </c>
    </row>
    <row r="120">
      <c r="A120" s="59" t="s">
        <v>3282</v>
      </c>
      <c r="B120" s="59" t="s">
        <v>3283</v>
      </c>
      <c r="C120" s="59" t="s">
        <v>3404</v>
      </c>
    </row>
    <row r="121">
      <c r="A121" s="59" t="s">
        <v>3282</v>
      </c>
      <c r="B121" s="59" t="s">
        <v>3283</v>
      </c>
      <c r="C121" s="59" t="s">
        <v>3405</v>
      </c>
    </row>
    <row r="122">
      <c r="A122" s="59" t="s">
        <v>3282</v>
      </c>
      <c r="B122" s="59" t="s">
        <v>3283</v>
      </c>
      <c r="C122" s="59" t="s">
        <v>3406</v>
      </c>
    </row>
    <row r="123">
      <c r="A123" s="59" t="s">
        <v>3282</v>
      </c>
      <c r="B123" s="59" t="s">
        <v>3283</v>
      </c>
      <c r="C123" s="59" t="s">
        <v>3407</v>
      </c>
    </row>
    <row r="124">
      <c r="A124" s="59" t="s">
        <v>3282</v>
      </c>
      <c r="B124" s="59" t="s">
        <v>3283</v>
      </c>
      <c r="C124" s="59" t="s">
        <v>3408</v>
      </c>
    </row>
    <row r="125">
      <c r="A125" s="59" t="s">
        <v>3282</v>
      </c>
      <c r="B125" s="59" t="s">
        <v>3283</v>
      </c>
      <c r="C125" s="59" t="s">
        <v>3409</v>
      </c>
    </row>
    <row r="126">
      <c r="A126" s="59" t="s">
        <v>3282</v>
      </c>
      <c r="B126" s="59" t="s">
        <v>3283</v>
      </c>
      <c r="C126" s="59" t="s">
        <v>3410</v>
      </c>
    </row>
    <row r="127">
      <c r="A127" s="59" t="s">
        <v>3282</v>
      </c>
      <c r="B127" s="59" t="s">
        <v>3283</v>
      </c>
      <c r="C127" s="59" t="s">
        <v>3411</v>
      </c>
    </row>
    <row r="128">
      <c r="A128" s="59" t="s">
        <v>3282</v>
      </c>
      <c r="B128" s="59" t="s">
        <v>3283</v>
      </c>
      <c r="C128" s="59" t="s">
        <v>3412</v>
      </c>
    </row>
    <row r="129">
      <c r="A129" s="59" t="s">
        <v>3282</v>
      </c>
      <c r="B129" s="59" t="s">
        <v>3283</v>
      </c>
      <c r="C129" s="59" t="s">
        <v>3413</v>
      </c>
    </row>
    <row r="130">
      <c r="A130" s="59" t="s">
        <v>3282</v>
      </c>
      <c r="B130" s="59" t="s">
        <v>3283</v>
      </c>
      <c r="C130" s="59" t="s">
        <v>3414</v>
      </c>
    </row>
    <row r="131">
      <c r="A131" s="59" t="s">
        <v>3282</v>
      </c>
      <c r="B131" s="59" t="s">
        <v>3283</v>
      </c>
      <c r="C131" s="59" t="s">
        <v>3415</v>
      </c>
    </row>
    <row r="132">
      <c r="A132" s="59" t="s">
        <v>3282</v>
      </c>
      <c r="B132" s="59" t="s">
        <v>3283</v>
      </c>
      <c r="C132" s="59" t="s">
        <v>3416</v>
      </c>
    </row>
    <row r="133">
      <c r="A133" s="59" t="s">
        <v>3282</v>
      </c>
      <c r="B133" s="59" t="s">
        <v>3283</v>
      </c>
      <c r="C133" s="59" t="s">
        <v>3417</v>
      </c>
    </row>
    <row r="134">
      <c r="A134" s="59" t="s">
        <v>3282</v>
      </c>
      <c r="B134" s="59" t="s">
        <v>3283</v>
      </c>
      <c r="C134" s="59" t="s">
        <v>3418</v>
      </c>
    </row>
    <row r="135">
      <c r="A135" s="59" t="s">
        <v>3282</v>
      </c>
      <c r="B135" s="59" t="s">
        <v>3283</v>
      </c>
      <c r="C135" s="59" t="s">
        <v>3419</v>
      </c>
    </row>
    <row r="136">
      <c r="A136" s="59" t="s">
        <v>3282</v>
      </c>
      <c r="B136" s="59" t="s">
        <v>3283</v>
      </c>
      <c r="C136" s="59" t="s">
        <v>3420</v>
      </c>
    </row>
    <row r="137">
      <c r="A137" s="59" t="s">
        <v>3282</v>
      </c>
      <c r="B137" s="59" t="s">
        <v>3283</v>
      </c>
      <c r="C137" s="59" t="s">
        <v>3421</v>
      </c>
    </row>
    <row r="138">
      <c r="A138" s="59" t="s">
        <v>3282</v>
      </c>
      <c r="B138" s="59" t="s">
        <v>3283</v>
      </c>
      <c r="C138" s="59" t="s">
        <v>3422</v>
      </c>
    </row>
    <row r="139">
      <c r="A139" s="59" t="s">
        <v>3282</v>
      </c>
      <c r="B139" s="59" t="s">
        <v>3283</v>
      </c>
      <c r="C139" s="59" t="s">
        <v>3423</v>
      </c>
    </row>
    <row r="140">
      <c r="A140" s="59" t="s">
        <v>3282</v>
      </c>
      <c r="B140" s="59" t="s">
        <v>3283</v>
      </c>
      <c r="C140" s="59" t="s">
        <v>3424</v>
      </c>
    </row>
    <row r="141">
      <c r="A141" s="59" t="s">
        <v>3282</v>
      </c>
      <c r="B141" s="59" t="s">
        <v>3283</v>
      </c>
      <c r="C141" s="59" t="s">
        <v>3425</v>
      </c>
    </row>
    <row r="142">
      <c r="A142" s="59" t="s">
        <v>3282</v>
      </c>
      <c r="B142" s="59" t="s">
        <v>3283</v>
      </c>
      <c r="C142" s="59" t="s">
        <v>3426</v>
      </c>
    </row>
    <row r="143">
      <c r="A143" s="59" t="s">
        <v>3282</v>
      </c>
      <c r="B143" s="59" t="s">
        <v>3283</v>
      </c>
      <c r="C143" s="59" t="s">
        <v>3427</v>
      </c>
    </row>
    <row r="144">
      <c r="A144" s="59" t="s">
        <v>3282</v>
      </c>
      <c r="B144" s="59" t="s">
        <v>3283</v>
      </c>
      <c r="C144" s="59" t="s">
        <v>3428</v>
      </c>
    </row>
    <row r="145">
      <c r="A145" s="59" t="s">
        <v>3282</v>
      </c>
      <c r="B145" s="59" t="s">
        <v>3283</v>
      </c>
      <c r="C145" s="59" t="s">
        <v>3429</v>
      </c>
    </row>
    <row r="146">
      <c r="A146" s="59" t="s">
        <v>3282</v>
      </c>
      <c r="B146" s="59" t="s">
        <v>3283</v>
      </c>
      <c r="C146" s="59" t="s">
        <v>3430</v>
      </c>
    </row>
    <row r="147">
      <c r="A147" s="59" t="s">
        <v>3282</v>
      </c>
      <c r="B147" s="59" t="s">
        <v>3283</v>
      </c>
      <c r="C147" s="59" t="s">
        <v>3431</v>
      </c>
    </row>
    <row r="148">
      <c r="A148" s="59" t="s">
        <v>3282</v>
      </c>
      <c r="B148" s="59" t="s">
        <v>3283</v>
      </c>
      <c r="C148" s="59" t="s">
        <v>3432</v>
      </c>
    </row>
    <row r="149">
      <c r="A149" s="59" t="s">
        <v>3282</v>
      </c>
      <c r="B149" s="59" t="s">
        <v>3283</v>
      </c>
      <c r="C149" s="59" t="s">
        <v>3433</v>
      </c>
    </row>
    <row r="150">
      <c r="A150" s="59" t="s">
        <v>3282</v>
      </c>
      <c r="B150" s="59" t="s">
        <v>3283</v>
      </c>
      <c r="C150" s="59" t="s">
        <v>3434</v>
      </c>
    </row>
    <row r="151">
      <c r="A151" s="59" t="s">
        <v>3282</v>
      </c>
      <c r="B151" s="59" t="s">
        <v>3283</v>
      </c>
      <c r="C151" s="59" t="s">
        <v>3435</v>
      </c>
    </row>
    <row r="152">
      <c r="A152" s="59" t="s">
        <v>3282</v>
      </c>
      <c r="B152" s="59" t="s">
        <v>3283</v>
      </c>
      <c r="C152" s="59" t="s">
        <v>3436</v>
      </c>
    </row>
    <row r="153">
      <c r="A153" s="59" t="s">
        <v>3282</v>
      </c>
      <c r="B153" s="59" t="s">
        <v>3283</v>
      </c>
      <c r="C153" s="59" t="s">
        <v>3437</v>
      </c>
    </row>
    <row r="154">
      <c r="A154" s="59" t="s">
        <v>3282</v>
      </c>
      <c r="B154" s="59" t="s">
        <v>3283</v>
      </c>
      <c r="C154" s="59" t="s">
        <v>3438</v>
      </c>
    </row>
    <row r="155">
      <c r="A155" s="59" t="s">
        <v>3282</v>
      </c>
      <c r="B155" s="59" t="s">
        <v>3439</v>
      </c>
      <c r="C155" s="59" t="s">
        <v>3440</v>
      </c>
    </row>
    <row r="156">
      <c r="A156" s="59" t="s">
        <v>3282</v>
      </c>
      <c r="B156" s="59" t="s">
        <v>3439</v>
      </c>
      <c r="C156" s="59" t="s">
        <v>3441</v>
      </c>
    </row>
    <row r="157">
      <c r="A157" s="59" t="s">
        <v>3282</v>
      </c>
      <c r="B157" s="59" t="s">
        <v>3439</v>
      </c>
      <c r="C157" s="59" t="s">
        <v>3442</v>
      </c>
    </row>
    <row r="158">
      <c r="A158" s="59" t="s">
        <v>3282</v>
      </c>
      <c r="B158" s="59" t="s">
        <v>3439</v>
      </c>
      <c r="C158" s="59" t="s">
        <v>3443</v>
      </c>
    </row>
    <row r="159">
      <c r="A159" s="59" t="s">
        <v>3282</v>
      </c>
      <c r="B159" s="59" t="s">
        <v>3439</v>
      </c>
      <c r="C159" s="59" t="s">
        <v>3444</v>
      </c>
    </row>
    <row r="160">
      <c r="A160" s="59" t="s">
        <v>3282</v>
      </c>
      <c r="B160" s="59" t="s">
        <v>3439</v>
      </c>
      <c r="C160" s="59" t="s">
        <v>3445</v>
      </c>
    </row>
    <row r="161">
      <c r="A161" s="59" t="s">
        <v>3282</v>
      </c>
      <c r="B161" s="59" t="s">
        <v>3439</v>
      </c>
      <c r="C161" s="59" t="s">
        <v>3446</v>
      </c>
    </row>
    <row r="162">
      <c r="A162" s="59" t="s">
        <v>3282</v>
      </c>
      <c r="B162" s="59" t="s">
        <v>3439</v>
      </c>
      <c r="C162" s="59" t="s">
        <v>3447</v>
      </c>
    </row>
    <row r="163">
      <c r="A163" s="59" t="s">
        <v>3282</v>
      </c>
      <c r="B163" s="59" t="s">
        <v>3439</v>
      </c>
      <c r="C163" s="59" t="s">
        <v>3448</v>
      </c>
    </row>
    <row r="164">
      <c r="A164" s="59" t="s">
        <v>3282</v>
      </c>
      <c r="B164" s="59" t="s">
        <v>3439</v>
      </c>
      <c r="C164" s="59" t="s">
        <v>3449</v>
      </c>
    </row>
    <row r="165">
      <c r="A165" s="59" t="s">
        <v>3282</v>
      </c>
      <c r="B165" s="59" t="s">
        <v>3439</v>
      </c>
      <c r="C165" s="59" t="s">
        <v>3450</v>
      </c>
    </row>
    <row r="166">
      <c r="A166" s="59" t="s">
        <v>3282</v>
      </c>
      <c r="B166" s="59" t="s">
        <v>3439</v>
      </c>
      <c r="C166" s="59" t="s">
        <v>3451</v>
      </c>
    </row>
    <row r="167">
      <c r="A167" s="59" t="s">
        <v>3282</v>
      </c>
      <c r="B167" s="59" t="s">
        <v>3439</v>
      </c>
      <c r="C167" s="59" t="s">
        <v>3452</v>
      </c>
    </row>
    <row r="168">
      <c r="A168" s="59" t="s">
        <v>3282</v>
      </c>
      <c r="B168" s="59" t="s">
        <v>3439</v>
      </c>
      <c r="C168" s="59" t="s">
        <v>3453</v>
      </c>
    </row>
    <row r="169">
      <c r="A169" s="59" t="s">
        <v>3282</v>
      </c>
      <c r="B169" s="59" t="s">
        <v>3439</v>
      </c>
      <c r="C169" s="59" t="s">
        <v>3454</v>
      </c>
    </row>
    <row r="170">
      <c r="A170" s="59" t="s">
        <v>3282</v>
      </c>
      <c r="B170" s="59" t="s">
        <v>3439</v>
      </c>
      <c r="C170" s="59" t="s">
        <v>3455</v>
      </c>
    </row>
    <row r="171">
      <c r="A171" s="59" t="s">
        <v>3282</v>
      </c>
      <c r="B171" s="59" t="s">
        <v>3439</v>
      </c>
      <c r="C171" s="59" t="s">
        <v>3456</v>
      </c>
    </row>
    <row r="172">
      <c r="A172" s="59" t="s">
        <v>3282</v>
      </c>
      <c r="B172" s="59" t="s">
        <v>3439</v>
      </c>
      <c r="C172" s="59" t="s">
        <v>3457</v>
      </c>
    </row>
    <row r="173">
      <c r="A173" s="59" t="s">
        <v>3282</v>
      </c>
      <c r="B173" s="59" t="s">
        <v>3439</v>
      </c>
      <c r="C173" s="59" t="s">
        <v>3458</v>
      </c>
    </row>
    <row r="174">
      <c r="A174" s="59" t="s">
        <v>3282</v>
      </c>
      <c r="B174" s="59" t="s">
        <v>3439</v>
      </c>
      <c r="C174" s="59" t="s">
        <v>3459</v>
      </c>
    </row>
    <row r="175">
      <c r="A175" s="59" t="s">
        <v>3282</v>
      </c>
      <c r="B175" s="59" t="s">
        <v>3439</v>
      </c>
      <c r="C175" s="59" t="s">
        <v>3460</v>
      </c>
    </row>
    <row r="176">
      <c r="A176" s="59" t="s">
        <v>3282</v>
      </c>
      <c r="B176" s="59" t="s">
        <v>3439</v>
      </c>
      <c r="C176" s="59" t="s">
        <v>3461</v>
      </c>
    </row>
    <row r="177">
      <c r="A177" s="59" t="s">
        <v>3282</v>
      </c>
      <c r="B177" s="59" t="s">
        <v>3439</v>
      </c>
      <c r="C177" s="59" t="s">
        <v>3462</v>
      </c>
    </row>
    <row r="178">
      <c r="A178" s="59" t="s">
        <v>3282</v>
      </c>
      <c r="B178" s="59" t="s">
        <v>3439</v>
      </c>
      <c r="C178" s="59" t="s">
        <v>3463</v>
      </c>
    </row>
    <row r="179">
      <c r="A179" s="59" t="s">
        <v>3282</v>
      </c>
      <c r="B179" s="59" t="s">
        <v>3439</v>
      </c>
      <c r="C179" s="59" t="s">
        <v>3464</v>
      </c>
    </row>
    <row r="180">
      <c r="A180" s="59" t="s">
        <v>3282</v>
      </c>
      <c r="B180" s="59" t="s">
        <v>3439</v>
      </c>
      <c r="C180" s="59" t="s">
        <v>3465</v>
      </c>
    </row>
    <row r="181">
      <c r="A181" s="59" t="s">
        <v>3282</v>
      </c>
      <c r="B181" s="59" t="s">
        <v>3439</v>
      </c>
      <c r="C181" s="59" t="s">
        <v>3466</v>
      </c>
    </row>
    <row r="182">
      <c r="A182" s="59" t="s">
        <v>3282</v>
      </c>
      <c r="B182" s="59" t="s">
        <v>3439</v>
      </c>
      <c r="C182" s="59" t="s">
        <v>3467</v>
      </c>
    </row>
    <row r="183">
      <c r="A183" s="59" t="s">
        <v>3282</v>
      </c>
      <c r="B183" s="59" t="s">
        <v>3439</v>
      </c>
      <c r="C183" s="59" t="s">
        <v>3468</v>
      </c>
    </row>
    <row r="184">
      <c r="A184" s="59" t="s">
        <v>3282</v>
      </c>
      <c r="B184" s="59" t="s">
        <v>3439</v>
      </c>
      <c r="C184" s="59" t="s">
        <v>3469</v>
      </c>
    </row>
    <row r="185">
      <c r="A185" s="59" t="s">
        <v>3282</v>
      </c>
      <c r="B185" s="59" t="s">
        <v>3439</v>
      </c>
      <c r="C185" s="59" t="s">
        <v>3470</v>
      </c>
    </row>
    <row r="186">
      <c r="A186" s="59" t="s">
        <v>3282</v>
      </c>
      <c r="B186" s="59" t="s">
        <v>3439</v>
      </c>
      <c r="C186" s="59" t="s">
        <v>3471</v>
      </c>
    </row>
    <row r="187">
      <c r="A187" s="59" t="s">
        <v>3282</v>
      </c>
      <c r="B187" s="59" t="s">
        <v>3439</v>
      </c>
      <c r="C187" s="59" t="s">
        <v>3472</v>
      </c>
    </row>
    <row r="188">
      <c r="A188" s="59" t="s">
        <v>3282</v>
      </c>
      <c r="B188" s="59" t="s">
        <v>3439</v>
      </c>
      <c r="C188" s="59" t="s">
        <v>3473</v>
      </c>
    </row>
    <row r="189">
      <c r="A189" s="59" t="s">
        <v>3282</v>
      </c>
      <c r="B189" s="59" t="s">
        <v>3439</v>
      </c>
      <c r="C189" s="59" t="s">
        <v>3474</v>
      </c>
    </row>
    <row r="190">
      <c r="A190" s="59" t="s">
        <v>3282</v>
      </c>
      <c r="B190" s="59" t="s">
        <v>3439</v>
      </c>
      <c r="C190" s="59" t="s">
        <v>3475</v>
      </c>
    </row>
    <row r="191">
      <c r="A191" s="59" t="s">
        <v>3282</v>
      </c>
      <c r="B191" s="59" t="s">
        <v>3439</v>
      </c>
      <c r="C191" s="59" t="s">
        <v>3476</v>
      </c>
    </row>
    <row r="192">
      <c r="A192" s="59" t="s">
        <v>3282</v>
      </c>
      <c r="B192" s="59" t="s">
        <v>3439</v>
      </c>
      <c r="C192" s="59" t="s">
        <v>3477</v>
      </c>
    </row>
    <row r="193">
      <c r="A193" s="59" t="s">
        <v>3282</v>
      </c>
      <c r="B193" s="59" t="s">
        <v>3439</v>
      </c>
      <c r="C193" s="59" t="s">
        <v>3478</v>
      </c>
    </row>
    <row r="194">
      <c r="A194" s="59" t="s">
        <v>3282</v>
      </c>
      <c r="B194" s="59" t="s">
        <v>3439</v>
      </c>
      <c r="C194" s="59" t="s">
        <v>3479</v>
      </c>
    </row>
    <row r="195">
      <c r="A195" s="59" t="s">
        <v>3282</v>
      </c>
      <c r="B195" s="59" t="s">
        <v>3439</v>
      </c>
      <c r="C195" s="59" t="s">
        <v>3480</v>
      </c>
    </row>
    <row r="196">
      <c r="A196" s="59" t="s">
        <v>3282</v>
      </c>
      <c r="B196" s="59" t="s">
        <v>3439</v>
      </c>
      <c r="C196" s="59" t="s">
        <v>3481</v>
      </c>
    </row>
    <row r="197">
      <c r="A197" s="59" t="s">
        <v>3282</v>
      </c>
      <c r="B197" s="59" t="s">
        <v>3439</v>
      </c>
      <c r="C197" s="59" t="s">
        <v>3482</v>
      </c>
    </row>
    <row r="198">
      <c r="A198" s="59" t="s">
        <v>3282</v>
      </c>
      <c r="B198" s="59" t="s">
        <v>3439</v>
      </c>
      <c r="C198" s="59" t="s">
        <v>3483</v>
      </c>
    </row>
    <row r="199">
      <c r="A199" s="59" t="s">
        <v>3282</v>
      </c>
      <c r="B199" s="59" t="s">
        <v>3439</v>
      </c>
      <c r="C199" s="59" t="s">
        <v>3484</v>
      </c>
    </row>
    <row r="200">
      <c r="A200" s="59" t="s">
        <v>3282</v>
      </c>
      <c r="B200" s="59" t="s">
        <v>3439</v>
      </c>
      <c r="C200" s="59" t="s">
        <v>3485</v>
      </c>
    </row>
    <row r="201">
      <c r="A201" s="59" t="s">
        <v>3282</v>
      </c>
      <c r="B201" s="59" t="s">
        <v>3439</v>
      </c>
      <c r="C201" s="59" t="s">
        <v>3486</v>
      </c>
    </row>
    <row r="202">
      <c r="A202" s="59" t="s">
        <v>3282</v>
      </c>
      <c r="B202" s="59" t="s">
        <v>3439</v>
      </c>
      <c r="C202" s="59" t="s">
        <v>3487</v>
      </c>
    </row>
    <row r="203">
      <c r="A203" s="59" t="s">
        <v>3282</v>
      </c>
      <c r="B203" s="59" t="s">
        <v>3439</v>
      </c>
      <c r="C203" s="59" t="s">
        <v>3488</v>
      </c>
    </row>
    <row r="204">
      <c r="A204" s="59" t="s">
        <v>3282</v>
      </c>
      <c r="B204" s="59" t="s">
        <v>3439</v>
      </c>
      <c r="C204" s="59" t="s">
        <v>3489</v>
      </c>
    </row>
    <row r="205">
      <c r="A205" s="59" t="s">
        <v>3282</v>
      </c>
      <c r="B205" s="59" t="s">
        <v>3490</v>
      </c>
      <c r="C205" s="59" t="s">
        <v>68</v>
      </c>
    </row>
    <row r="206">
      <c r="A206" s="59" t="s">
        <v>3282</v>
      </c>
      <c r="B206" s="59" t="s">
        <v>3490</v>
      </c>
      <c r="C206" s="59" t="s">
        <v>3491</v>
      </c>
    </row>
    <row r="207">
      <c r="A207" s="59" t="s">
        <v>3282</v>
      </c>
      <c r="B207" s="59" t="s">
        <v>3490</v>
      </c>
      <c r="C207" s="59" t="s">
        <v>3492</v>
      </c>
    </row>
    <row r="208">
      <c r="A208" s="59" t="s">
        <v>3282</v>
      </c>
      <c r="B208" s="59" t="s">
        <v>3490</v>
      </c>
      <c r="C208" s="59" t="s">
        <v>3493</v>
      </c>
    </row>
    <row r="209">
      <c r="A209" s="59" t="s">
        <v>3282</v>
      </c>
      <c r="B209" s="59" t="s">
        <v>3490</v>
      </c>
      <c r="C209" s="59" t="s">
        <v>3494</v>
      </c>
    </row>
    <row r="210">
      <c r="A210" s="59" t="s">
        <v>3282</v>
      </c>
      <c r="B210" s="59" t="s">
        <v>3490</v>
      </c>
      <c r="C210" s="59" t="s">
        <v>154</v>
      </c>
    </row>
    <row r="211">
      <c r="A211" s="59" t="s">
        <v>3282</v>
      </c>
      <c r="B211" s="59" t="s">
        <v>3490</v>
      </c>
      <c r="C211" s="59" t="s">
        <v>157</v>
      </c>
    </row>
    <row r="212">
      <c r="A212" s="59" t="s">
        <v>3282</v>
      </c>
      <c r="B212" s="59" t="s">
        <v>3490</v>
      </c>
      <c r="C212" s="59" t="s">
        <v>160</v>
      </c>
    </row>
    <row r="213">
      <c r="A213" s="59" t="s">
        <v>3282</v>
      </c>
      <c r="B213" s="59" t="s">
        <v>3490</v>
      </c>
      <c r="C213" s="59" t="s">
        <v>35</v>
      </c>
    </row>
    <row r="214">
      <c r="A214" s="59" t="s">
        <v>3282</v>
      </c>
      <c r="B214" s="59" t="s">
        <v>3490</v>
      </c>
      <c r="C214" s="59" t="s">
        <v>3495</v>
      </c>
    </row>
    <row r="215">
      <c r="A215" s="59" t="s">
        <v>3282</v>
      </c>
      <c r="B215" s="59" t="s">
        <v>3490</v>
      </c>
      <c r="C215" s="59" t="s">
        <v>3496</v>
      </c>
    </row>
    <row r="216">
      <c r="A216" s="59" t="s">
        <v>3282</v>
      </c>
      <c r="B216" s="59" t="s">
        <v>3490</v>
      </c>
      <c r="C216" s="59" t="s">
        <v>3497</v>
      </c>
    </row>
    <row r="217">
      <c r="A217" s="59" t="s">
        <v>3282</v>
      </c>
      <c r="B217" s="59" t="s">
        <v>3490</v>
      </c>
      <c r="C217" s="59" t="s">
        <v>3498</v>
      </c>
    </row>
    <row r="218">
      <c r="A218" s="59" t="s">
        <v>3282</v>
      </c>
      <c r="B218" s="59" t="s">
        <v>3490</v>
      </c>
      <c r="C218" s="59" t="s">
        <v>3499</v>
      </c>
    </row>
    <row r="219">
      <c r="A219" s="59" t="s">
        <v>3282</v>
      </c>
      <c r="B219" s="59" t="s">
        <v>3490</v>
      </c>
      <c r="C219" s="59" t="s">
        <v>239</v>
      </c>
    </row>
    <row r="220">
      <c r="A220" s="59" t="s">
        <v>3282</v>
      </c>
      <c r="B220" s="59" t="s">
        <v>3490</v>
      </c>
      <c r="C220" s="59" t="s">
        <v>3500</v>
      </c>
    </row>
    <row r="221">
      <c r="A221" s="59" t="s">
        <v>3282</v>
      </c>
      <c r="B221" s="59" t="s">
        <v>3490</v>
      </c>
      <c r="C221" s="59" t="s">
        <v>38</v>
      </c>
    </row>
    <row r="222">
      <c r="A222" s="59" t="s">
        <v>3282</v>
      </c>
      <c r="B222" s="59" t="s">
        <v>3490</v>
      </c>
      <c r="C222" s="59" t="s">
        <v>20</v>
      </c>
    </row>
    <row r="223">
      <c r="A223" s="59" t="s">
        <v>3282</v>
      </c>
      <c r="B223" s="59" t="s">
        <v>3490</v>
      </c>
      <c r="C223" s="59" t="s">
        <v>241</v>
      </c>
    </row>
    <row r="224">
      <c r="A224" s="59" t="s">
        <v>3282</v>
      </c>
      <c r="B224" s="59" t="s">
        <v>3490</v>
      </c>
      <c r="C224" s="59" t="s">
        <v>163</v>
      </c>
    </row>
    <row r="225">
      <c r="A225" s="59" t="s">
        <v>3282</v>
      </c>
      <c r="B225" s="59" t="s">
        <v>3490</v>
      </c>
      <c r="C225" s="59" t="s">
        <v>211</v>
      </c>
    </row>
    <row r="226">
      <c r="A226" s="59" t="s">
        <v>3282</v>
      </c>
      <c r="B226" s="59" t="s">
        <v>3490</v>
      </c>
      <c r="C226" s="59" t="s">
        <v>99</v>
      </c>
    </row>
    <row r="227">
      <c r="A227" s="59" t="s">
        <v>3282</v>
      </c>
      <c r="B227" s="59" t="s">
        <v>3490</v>
      </c>
      <c r="C227" s="59" t="s">
        <v>165</v>
      </c>
    </row>
    <row r="228">
      <c r="A228" s="59" t="s">
        <v>3282</v>
      </c>
      <c r="B228" s="59" t="s">
        <v>3490</v>
      </c>
      <c r="C228" s="59" t="s">
        <v>62</v>
      </c>
    </row>
    <row r="229">
      <c r="A229" s="59" t="s">
        <v>3282</v>
      </c>
      <c r="B229" s="59" t="s">
        <v>3490</v>
      </c>
      <c r="C229" s="59" t="s">
        <v>282</v>
      </c>
    </row>
    <row r="230">
      <c r="A230" s="59" t="s">
        <v>3282</v>
      </c>
      <c r="B230" s="59" t="s">
        <v>3490</v>
      </c>
      <c r="C230" s="59" t="s">
        <v>290</v>
      </c>
    </row>
    <row r="231">
      <c r="A231" s="59" t="s">
        <v>3282</v>
      </c>
      <c r="B231" s="59" t="s">
        <v>3490</v>
      </c>
      <c r="C231" s="59" t="s">
        <v>65</v>
      </c>
    </row>
    <row r="232">
      <c r="A232" s="59" t="s">
        <v>3282</v>
      </c>
      <c r="B232" s="59" t="s">
        <v>3490</v>
      </c>
      <c r="C232" s="59" t="s">
        <v>27</v>
      </c>
    </row>
    <row r="233">
      <c r="A233" s="59" t="s">
        <v>3282</v>
      </c>
      <c r="B233" s="59" t="s">
        <v>3490</v>
      </c>
      <c r="C233" s="59" t="s">
        <v>244</v>
      </c>
    </row>
    <row r="234">
      <c r="A234" s="59" t="s">
        <v>3282</v>
      </c>
      <c r="B234" s="59" t="s">
        <v>3490</v>
      </c>
      <c r="C234" s="59" t="s">
        <v>285</v>
      </c>
    </row>
    <row r="235">
      <c r="A235" s="59" t="s">
        <v>3282</v>
      </c>
      <c r="B235" s="59" t="s">
        <v>3490</v>
      </c>
      <c r="C235" s="59" t="s">
        <v>247</v>
      </c>
    </row>
    <row r="236">
      <c r="A236" s="59" t="s">
        <v>3282</v>
      </c>
      <c r="B236" s="59" t="s">
        <v>3490</v>
      </c>
      <c r="C236" s="59" t="s">
        <v>3501</v>
      </c>
    </row>
    <row r="237">
      <c r="A237" s="59" t="s">
        <v>3282</v>
      </c>
      <c r="B237" s="59" t="s">
        <v>3490</v>
      </c>
      <c r="C237" s="59" t="s">
        <v>25</v>
      </c>
    </row>
    <row r="238">
      <c r="A238" s="59" t="s">
        <v>3282</v>
      </c>
      <c r="B238" s="59" t="s">
        <v>3490</v>
      </c>
      <c r="C238" s="59" t="s">
        <v>251</v>
      </c>
    </row>
    <row r="239">
      <c r="A239" s="59" t="s">
        <v>3282</v>
      </c>
      <c r="B239" s="59" t="s">
        <v>3490</v>
      </c>
      <c r="C239" s="59" t="s">
        <v>44</v>
      </c>
    </row>
    <row r="240">
      <c r="A240" s="59" t="s">
        <v>3282</v>
      </c>
      <c r="B240" s="59" t="s">
        <v>3490</v>
      </c>
      <c r="C240" s="59" t="s">
        <v>3502</v>
      </c>
    </row>
    <row r="241">
      <c r="A241" s="59" t="s">
        <v>3282</v>
      </c>
      <c r="B241" s="59" t="s">
        <v>3490</v>
      </c>
      <c r="C241" s="59" t="s">
        <v>232</v>
      </c>
    </row>
    <row r="242">
      <c r="A242" s="59" t="s">
        <v>3282</v>
      </c>
      <c r="B242" s="59" t="s">
        <v>3490</v>
      </c>
      <c r="C242" s="59" t="s">
        <v>168</v>
      </c>
    </row>
    <row r="243">
      <c r="A243" s="59" t="s">
        <v>3282</v>
      </c>
      <c r="B243" s="59" t="s">
        <v>3490</v>
      </c>
      <c r="C243" s="59" t="s">
        <v>102</v>
      </c>
    </row>
    <row r="244">
      <c r="A244" s="59" t="s">
        <v>3282</v>
      </c>
      <c r="B244" s="59" t="s">
        <v>3490</v>
      </c>
      <c r="C244" s="59" t="s">
        <v>234</v>
      </c>
    </row>
    <row r="245">
      <c r="A245" s="59" t="s">
        <v>3282</v>
      </c>
      <c r="B245" s="59" t="s">
        <v>3490</v>
      </c>
      <c r="C245" s="59" t="s">
        <v>3503</v>
      </c>
    </row>
    <row r="246">
      <c r="A246" s="59" t="s">
        <v>3282</v>
      </c>
      <c r="B246" s="59" t="s">
        <v>3490</v>
      </c>
      <c r="C246" s="59" t="s">
        <v>3504</v>
      </c>
    </row>
    <row r="247">
      <c r="A247" s="59" t="s">
        <v>3282</v>
      </c>
      <c r="B247" s="59" t="s">
        <v>3490</v>
      </c>
      <c r="C247" s="59" t="s">
        <v>306</v>
      </c>
    </row>
    <row r="248">
      <c r="A248" s="59" t="s">
        <v>3282</v>
      </c>
      <c r="B248" s="59" t="s">
        <v>3490</v>
      </c>
      <c r="C248" s="59" t="s">
        <v>256</v>
      </c>
    </row>
    <row r="249">
      <c r="A249" s="59" t="s">
        <v>3282</v>
      </c>
      <c r="B249" s="59" t="s">
        <v>3490</v>
      </c>
      <c r="C249" s="59" t="s">
        <v>236</v>
      </c>
    </row>
    <row r="250">
      <c r="A250" s="59" t="s">
        <v>3282</v>
      </c>
      <c r="B250" s="59" t="s">
        <v>3490</v>
      </c>
      <c r="C250" s="59" t="s">
        <v>287</v>
      </c>
    </row>
    <row r="251">
      <c r="A251" s="59" t="s">
        <v>3282</v>
      </c>
      <c r="B251" s="59" t="s">
        <v>3490</v>
      </c>
      <c r="C251" s="59" t="s">
        <v>3505</v>
      </c>
    </row>
    <row r="252">
      <c r="A252" s="59" t="s">
        <v>3282</v>
      </c>
      <c r="B252" s="59" t="s">
        <v>3490</v>
      </c>
      <c r="C252" s="59" t="s">
        <v>339</v>
      </c>
    </row>
    <row r="253">
      <c r="A253" s="59" t="s">
        <v>3282</v>
      </c>
      <c r="B253" s="59" t="s">
        <v>3490</v>
      </c>
      <c r="C253" s="59" t="s">
        <v>332</v>
      </c>
    </row>
    <row r="254">
      <c r="A254" s="59" t="s">
        <v>3282</v>
      </c>
      <c r="B254" s="59" t="s">
        <v>3490</v>
      </c>
      <c r="C254" s="59" t="s">
        <v>334</v>
      </c>
    </row>
    <row r="255">
      <c r="A255" s="59" t="s">
        <v>3282</v>
      </c>
      <c r="B255" s="59" t="s">
        <v>3490</v>
      </c>
      <c r="C255" s="59" t="s">
        <v>259</v>
      </c>
    </row>
    <row r="256">
      <c r="A256" s="59" t="s">
        <v>3282</v>
      </c>
      <c r="B256" s="59" t="s">
        <v>3490</v>
      </c>
      <c r="C256" s="59" t="s">
        <v>336</v>
      </c>
    </row>
    <row r="257">
      <c r="A257" s="59" t="s">
        <v>3282</v>
      </c>
      <c r="B257" s="59" t="s">
        <v>3490</v>
      </c>
      <c r="C257" s="59" t="s">
        <v>316</v>
      </c>
    </row>
    <row r="258">
      <c r="A258" s="59" t="s">
        <v>3282</v>
      </c>
      <c r="B258" s="59" t="s">
        <v>3490</v>
      </c>
      <c r="C258" s="59" t="s">
        <v>340</v>
      </c>
    </row>
    <row r="259">
      <c r="A259" s="59" t="s">
        <v>3282</v>
      </c>
      <c r="B259" s="59" t="s">
        <v>3490</v>
      </c>
      <c r="C259" s="59" t="s">
        <v>3506</v>
      </c>
    </row>
    <row r="260">
      <c r="A260" s="59" t="s">
        <v>3507</v>
      </c>
      <c r="B260" s="59" t="s">
        <v>3508</v>
      </c>
      <c r="C260" s="59" t="s">
        <v>3509</v>
      </c>
    </row>
    <row r="261">
      <c r="A261" s="59" t="s">
        <v>3507</v>
      </c>
      <c r="B261" s="59" t="s">
        <v>3510</v>
      </c>
      <c r="C261" s="59" t="s">
        <v>3511</v>
      </c>
    </row>
    <row r="262">
      <c r="A262" s="59" t="s">
        <v>3507</v>
      </c>
      <c r="B262" s="59" t="s">
        <v>3512</v>
      </c>
      <c r="C262" s="59" t="s">
        <v>3513</v>
      </c>
    </row>
    <row r="263">
      <c r="A263" s="59" t="s">
        <v>3507</v>
      </c>
      <c r="B263" s="59" t="s">
        <v>3514</v>
      </c>
      <c r="C263" s="59" t="s">
        <v>3515</v>
      </c>
    </row>
    <row r="264">
      <c r="A264" s="59" t="s">
        <v>3507</v>
      </c>
      <c r="B264" s="59" t="s">
        <v>3510</v>
      </c>
      <c r="C264" s="59" t="s">
        <v>3516</v>
      </c>
    </row>
    <row r="265">
      <c r="A265" s="59" t="s">
        <v>3507</v>
      </c>
      <c r="B265" s="59" t="s">
        <v>3517</v>
      </c>
      <c r="C265" s="59" t="s">
        <v>3518</v>
      </c>
    </row>
    <row r="266">
      <c r="A266" s="59" t="s">
        <v>3507</v>
      </c>
      <c r="B266" s="59" t="s">
        <v>3519</v>
      </c>
      <c r="C266" s="59" t="s">
        <v>3520</v>
      </c>
    </row>
    <row r="267">
      <c r="A267" s="59" t="s">
        <v>3507</v>
      </c>
      <c r="B267" s="59" t="s">
        <v>3519</v>
      </c>
      <c r="C267" s="59" t="s">
        <v>3521</v>
      </c>
    </row>
    <row r="268">
      <c r="A268" s="59" t="s">
        <v>3507</v>
      </c>
      <c r="B268" s="59" t="s">
        <v>3519</v>
      </c>
      <c r="C268" s="59" t="s">
        <v>3515</v>
      </c>
    </row>
    <row r="269">
      <c r="A269" s="59" t="s">
        <v>3507</v>
      </c>
      <c r="B269" s="59" t="s">
        <v>3519</v>
      </c>
      <c r="C269" s="59" t="s">
        <v>3522</v>
      </c>
    </row>
    <row r="270">
      <c r="A270" s="59" t="s">
        <v>3507</v>
      </c>
      <c r="B270" s="59" t="s">
        <v>3523</v>
      </c>
      <c r="C270" s="59" t="s">
        <v>3524</v>
      </c>
    </row>
    <row r="271">
      <c r="A271" s="59" t="s">
        <v>3507</v>
      </c>
      <c r="B271" s="59" t="s">
        <v>3525</v>
      </c>
      <c r="C271" s="59" t="s">
        <v>3526</v>
      </c>
    </row>
    <row r="272">
      <c r="A272" s="59" t="s">
        <v>3507</v>
      </c>
      <c r="B272" s="59" t="s">
        <v>3527</v>
      </c>
      <c r="C272" s="59" t="s">
        <v>3528</v>
      </c>
    </row>
    <row r="273">
      <c r="A273" s="59" t="s">
        <v>3507</v>
      </c>
      <c r="B273" s="59" t="s">
        <v>3527</v>
      </c>
      <c r="C273" s="59" t="s">
        <v>3529</v>
      </c>
    </row>
    <row r="274">
      <c r="A274" s="59" t="s">
        <v>3507</v>
      </c>
      <c r="B274" s="59" t="s">
        <v>3530</v>
      </c>
      <c r="C274" s="59" t="s">
        <v>3531</v>
      </c>
    </row>
    <row r="275">
      <c r="A275" s="59" t="s">
        <v>3507</v>
      </c>
      <c r="B275" s="59" t="s">
        <v>3532</v>
      </c>
      <c r="C275" s="59" t="s">
        <v>3533</v>
      </c>
    </row>
    <row r="276">
      <c r="A276" s="59" t="s">
        <v>3507</v>
      </c>
      <c r="B276" s="59" t="s">
        <v>3534</v>
      </c>
      <c r="C276" s="59" t="s">
        <v>3535</v>
      </c>
    </row>
    <row r="277">
      <c r="A277" s="59" t="s">
        <v>3507</v>
      </c>
      <c r="B277" s="59" t="s">
        <v>3512</v>
      </c>
      <c r="C277" s="59" t="s">
        <v>3536</v>
      </c>
    </row>
    <row r="278">
      <c r="A278" s="59" t="s">
        <v>3507</v>
      </c>
      <c r="B278" s="59" t="s">
        <v>3512</v>
      </c>
      <c r="C278" s="59" t="s">
        <v>3537</v>
      </c>
    </row>
    <row r="279">
      <c r="A279" s="59" t="s">
        <v>3507</v>
      </c>
      <c r="B279" s="59" t="s">
        <v>3512</v>
      </c>
      <c r="C279" s="59" t="s">
        <v>3538</v>
      </c>
    </row>
    <row r="280">
      <c r="A280" s="59" t="s">
        <v>3507</v>
      </c>
      <c r="B280" s="59" t="s">
        <v>3512</v>
      </c>
      <c r="C280" s="59" t="s">
        <v>3539</v>
      </c>
    </row>
    <row r="281">
      <c r="A281" s="59" t="s">
        <v>3507</v>
      </c>
      <c r="B281" s="59" t="s">
        <v>3540</v>
      </c>
      <c r="C281" s="59" t="s">
        <v>3541</v>
      </c>
    </row>
    <row r="282">
      <c r="A282" s="59" t="s">
        <v>3507</v>
      </c>
      <c r="B282" s="59" t="s">
        <v>3283</v>
      </c>
      <c r="C282" s="59" t="s">
        <v>3542</v>
      </c>
    </row>
    <row r="283">
      <c r="A283" s="59" t="s">
        <v>3507</v>
      </c>
      <c r="B283" s="59" t="s">
        <v>3283</v>
      </c>
      <c r="C283" s="59" t="s">
        <v>3543</v>
      </c>
    </row>
    <row r="284">
      <c r="A284" s="59" t="s">
        <v>3507</v>
      </c>
      <c r="B284" s="59" t="s">
        <v>3283</v>
      </c>
      <c r="C284" s="59" t="s">
        <v>3544</v>
      </c>
    </row>
    <row r="285">
      <c r="A285" s="59" t="s">
        <v>3507</v>
      </c>
      <c r="B285" s="59" t="s">
        <v>3289</v>
      </c>
      <c r="C285" s="59" t="s">
        <v>3545</v>
      </c>
    </row>
    <row r="286">
      <c r="A286" s="59" t="s">
        <v>3507</v>
      </c>
      <c r="B286" s="59" t="s">
        <v>3289</v>
      </c>
      <c r="C286" s="59" t="s">
        <v>3546</v>
      </c>
    </row>
    <row r="287">
      <c r="A287" s="59" t="s">
        <v>3507</v>
      </c>
      <c r="B287" s="59" t="s">
        <v>3289</v>
      </c>
      <c r="C287" s="59" t="s">
        <v>3547</v>
      </c>
    </row>
    <row r="288">
      <c r="A288" s="59" t="s">
        <v>3507</v>
      </c>
      <c r="B288" s="59" t="s">
        <v>3548</v>
      </c>
      <c r="C288" s="59" t="s">
        <v>3549</v>
      </c>
    </row>
    <row r="289">
      <c r="A289" s="59" t="s">
        <v>3507</v>
      </c>
      <c r="B289" s="59" t="s">
        <v>3550</v>
      </c>
      <c r="C289" s="59" t="s">
        <v>3551</v>
      </c>
    </row>
    <row r="290">
      <c r="A290" s="59" t="s">
        <v>3507</v>
      </c>
      <c r="B290" s="59" t="s">
        <v>3550</v>
      </c>
      <c r="C290" s="59" t="s">
        <v>3551</v>
      </c>
    </row>
    <row r="291">
      <c r="A291" s="59" t="s">
        <v>3507</v>
      </c>
      <c r="B291" s="59" t="s">
        <v>3552</v>
      </c>
      <c r="C291" s="59" t="s">
        <v>3553</v>
      </c>
    </row>
    <row r="292">
      <c r="A292" s="59" t="s">
        <v>3507</v>
      </c>
      <c r="B292" s="59" t="s">
        <v>3554</v>
      </c>
      <c r="C292" s="59" t="s">
        <v>3555</v>
      </c>
    </row>
    <row r="293">
      <c r="A293" s="59" t="s">
        <v>3507</v>
      </c>
      <c r="B293" s="59" t="s">
        <v>3556</v>
      </c>
      <c r="C293" s="59" t="s">
        <v>3557</v>
      </c>
    </row>
    <row r="294">
      <c r="A294" s="59" t="s">
        <v>3507</v>
      </c>
      <c r="B294" s="59" t="s">
        <v>3558</v>
      </c>
      <c r="C294" s="59" t="s">
        <v>3559</v>
      </c>
    </row>
    <row r="295">
      <c r="A295" s="59" t="s">
        <v>3507</v>
      </c>
      <c r="B295" s="59" t="s">
        <v>3554</v>
      </c>
      <c r="C295" s="59" t="s">
        <v>3560</v>
      </c>
    </row>
    <row r="296">
      <c r="A296" s="59" t="s">
        <v>3507</v>
      </c>
      <c r="B296" s="59" t="s">
        <v>3554</v>
      </c>
      <c r="C296" s="59" t="s">
        <v>3561</v>
      </c>
    </row>
    <row r="297">
      <c r="A297" s="59" t="s">
        <v>3507</v>
      </c>
      <c r="B297" s="59" t="s">
        <v>3554</v>
      </c>
      <c r="C297" s="59" t="s">
        <v>3562</v>
      </c>
    </row>
    <row r="298">
      <c r="A298" s="59" t="s">
        <v>3507</v>
      </c>
      <c r="B298" s="59" t="s">
        <v>3563</v>
      </c>
      <c r="C298" s="59" t="s">
        <v>3564</v>
      </c>
    </row>
    <row r="299">
      <c r="A299" s="59" t="s">
        <v>3507</v>
      </c>
      <c r="B299" s="59" t="s">
        <v>3565</v>
      </c>
      <c r="C299" s="59" t="s">
        <v>3566</v>
      </c>
    </row>
    <row r="300">
      <c r="A300" s="59" t="s">
        <v>3507</v>
      </c>
      <c r="B300" s="59" t="s">
        <v>3510</v>
      </c>
      <c r="C300" s="59" t="s">
        <v>3567</v>
      </c>
    </row>
    <row r="301">
      <c r="A301" s="59" t="s">
        <v>3507</v>
      </c>
      <c r="B301" s="59" t="s">
        <v>3568</v>
      </c>
      <c r="C301" s="59" t="s">
        <v>3569</v>
      </c>
    </row>
    <row r="302">
      <c r="A302" s="59" t="s">
        <v>3507</v>
      </c>
      <c r="B302" s="59" t="s">
        <v>3570</v>
      </c>
      <c r="C302" s="59" t="s">
        <v>3524</v>
      </c>
    </row>
    <row r="303">
      <c r="A303" s="59" t="s">
        <v>3507</v>
      </c>
      <c r="B303" s="59" t="s">
        <v>3570</v>
      </c>
      <c r="C303" s="59" t="s">
        <v>3571</v>
      </c>
    </row>
    <row r="304">
      <c r="A304" s="59" t="s">
        <v>3507</v>
      </c>
      <c r="B304" s="59" t="s">
        <v>3570</v>
      </c>
      <c r="C304" s="59" t="s">
        <v>3572</v>
      </c>
    </row>
    <row r="305">
      <c r="A305" s="59" t="s">
        <v>3507</v>
      </c>
      <c r="B305" s="59" t="s">
        <v>3570</v>
      </c>
      <c r="C305" s="59" t="s">
        <v>3529</v>
      </c>
    </row>
    <row r="306">
      <c r="A306" s="59" t="s">
        <v>3507</v>
      </c>
      <c r="B306" s="59" t="s">
        <v>3570</v>
      </c>
      <c r="C306" s="59" t="s">
        <v>3573</v>
      </c>
    </row>
    <row r="307">
      <c r="A307" s="59" t="s">
        <v>3507</v>
      </c>
      <c r="B307" s="59" t="s">
        <v>3570</v>
      </c>
      <c r="C307" s="59" t="s">
        <v>3574</v>
      </c>
    </row>
    <row r="308">
      <c r="A308" s="59" t="s">
        <v>3507</v>
      </c>
      <c r="B308" s="59" t="s">
        <v>3548</v>
      </c>
      <c r="C308" s="59" t="s">
        <v>3575</v>
      </c>
    </row>
    <row r="309">
      <c r="A309" s="59" t="s">
        <v>3507</v>
      </c>
      <c r="B309" s="59" t="s">
        <v>3548</v>
      </c>
      <c r="C309" s="59" t="s">
        <v>3576</v>
      </c>
    </row>
    <row r="310">
      <c r="A310" s="59" t="s">
        <v>3507</v>
      </c>
      <c r="B310" s="59" t="s">
        <v>3577</v>
      </c>
      <c r="C310" s="59" t="s">
        <v>3578</v>
      </c>
    </row>
    <row r="311">
      <c r="A311" s="59" t="s">
        <v>3579</v>
      </c>
      <c r="B311" s="59" t="s">
        <v>3580</v>
      </c>
      <c r="C311" s="59" t="s">
        <v>3581</v>
      </c>
    </row>
    <row r="312">
      <c r="A312" s="59" t="s">
        <v>3579</v>
      </c>
      <c r="B312" s="59" t="s">
        <v>3582</v>
      </c>
      <c r="C312" s="59" t="s">
        <v>3583</v>
      </c>
    </row>
    <row r="313">
      <c r="A313" s="59" t="s">
        <v>3579</v>
      </c>
      <c r="B313" s="59" t="s">
        <v>3584</v>
      </c>
      <c r="C313" s="59" t="s">
        <v>3585</v>
      </c>
    </row>
    <row r="314">
      <c r="A314" s="59" t="s">
        <v>3579</v>
      </c>
      <c r="B314" s="59" t="s">
        <v>3586</v>
      </c>
      <c r="C314" s="59" t="s">
        <v>3587</v>
      </c>
    </row>
    <row r="315">
      <c r="A315" s="59" t="s">
        <v>3579</v>
      </c>
      <c r="B315" s="59" t="s">
        <v>3586</v>
      </c>
      <c r="C315" s="59" t="s">
        <v>3588</v>
      </c>
    </row>
    <row r="316">
      <c r="A316" s="59" t="s">
        <v>3579</v>
      </c>
      <c r="B316" s="59" t="s">
        <v>3586</v>
      </c>
      <c r="C316" s="59" t="s">
        <v>3589</v>
      </c>
    </row>
    <row r="317">
      <c r="A317" s="59" t="s">
        <v>3579</v>
      </c>
      <c r="B317" s="59" t="s">
        <v>3586</v>
      </c>
      <c r="C317" s="59" t="s">
        <v>3590</v>
      </c>
    </row>
    <row r="318">
      <c r="A318" s="59" t="s">
        <v>3579</v>
      </c>
      <c r="B318" s="59" t="s">
        <v>3586</v>
      </c>
      <c r="C318" s="59" t="s">
        <v>3591</v>
      </c>
    </row>
    <row r="319">
      <c r="A319" s="59" t="s">
        <v>3579</v>
      </c>
      <c r="B319" s="59" t="s">
        <v>3592</v>
      </c>
      <c r="C319" s="59" t="s">
        <v>3593</v>
      </c>
    </row>
    <row r="320">
      <c r="A320" s="59" t="s">
        <v>3579</v>
      </c>
      <c r="B320" s="59" t="s">
        <v>3592</v>
      </c>
      <c r="C320" s="59" t="s">
        <v>3594</v>
      </c>
    </row>
    <row r="321">
      <c r="A321" s="59" t="s">
        <v>3579</v>
      </c>
      <c r="B321" s="59" t="s">
        <v>3592</v>
      </c>
      <c r="C321" s="59" t="s">
        <v>3595</v>
      </c>
    </row>
    <row r="322">
      <c r="A322" s="59" t="s">
        <v>3579</v>
      </c>
      <c r="B322" s="59" t="s">
        <v>3592</v>
      </c>
      <c r="C322" s="59" t="s">
        <v>3596</v>
      </c>
    </row>
    <row r="323">
      <c r="A323" s="59" t="s">
        <v>3579</v>
      </c>
      <c r="B323" s="59" t="s">
        <v>3592</v>
      </c>
      <c r="C323" s="59" t="s">
        <v>3597</v>
      </c>
    </row>
    <row r="324">
      <c r="A324" s="59" t="s">
        <v>3579</v>
      </c>
      <c r="B324" s="59" t="s">
        <v>3592</v>
      </c>
      <c r="C324" s="59" t="s">
        <v>3598</v>
      </c>
    </row>
    <row r="325">
      <c r="A325" s="59" t="s">
        <v>3579</v>
      </c>
      <c r="B325" s="59" t="s">
        <v>3599</v>
      </c>
      <c r="C325" s="59" t="s">
        <v>3600</v>
      </c>
    </row>
    <row r="326">
      <c r="A326" s="59" t="s">
        <v>3579</v>
      </c>
      <c r="B326" s="59" t="s">
        <v>3601</v>
      </c>
      <c r="C326" s="59" t="s">
        <v>3602</v>
      </c>
    </row>
    <row r="327">
      <c r="A327" s="59" t="s">
        <v>3579</v>
      </c>
      <c r="B327" s="59" t="s">
        <v>3601</v>
      </c>
      <c r="C327" s="59" t="s">
        <v>3603</v>
      </c>
    </row>
    <row r="328">
      <c r="A328" s="59" t="s">
        <v>3579</v>
      </c>
      <c r="B328" s="59" t="s">
        <v>3601</v>
      </c>
      <c r="C328" s="59" t="s">
        <v>3604</v>
      </c>
    </row>
    <row r="329">
      <c r="A329" s="59" t="s">
        <v>3579</v>
      </c>
      <c r="B329" s="59" t="s">
        <v>3601</v>
      </c>
      <c r="C329" s="59" t="s">
        <v>3605</v>
      </c>
    </row>
    <row r="330">
      <c r="A330" s="59" t="s">
        <v>3579</v>
      </c>
      <c r="B330" s="59" t="s">
        <v>3606</v>
      </c>
      <c r="C330" s="59" t="s">
        <v>3607</v>
      </c>
    </row>
    <row r="331">
      <c r="A331" s="59" t="s">
        <v>3579</v>
      </c>
      <c r="B331" s="59" t="s">
        <v>3606</v>
      </c>
      <c r="C331" s="59" t="s">
        <v>3608</v>
      </c>
    </row>
    <row r="332">
      <c r="A332" s="59" t="s">
        <v>3579</v>
      </c>
      <c r="B332" s="59" t="s">
        <v>3609</v>
      </c>
      <c r="C332" s="59" t="s">
        <v>3610</v>
      </c>
    </row>
    <row r="333">
      <c r="A333" s="59" t="s">
        <v>3579</v>
      </c>
      <c r="B333" s="59" t="s">
        <v>3611</v>
      </c>
      <c r="C333" s="59" t="s">
        <v>3612</v>
      </c>
    </row>
    <row r="334">
      <c r="A334" s="59" t="s">
        <v>3579</v>
      </c>
      <c r="B334" s="59" t="s">
        <v>3611</v>
      </c>
      <c r="C334" s="59" t="s">
        <v>3613</v>
      </c>
    </row>
    <row r="335">
      <c r="A335" s="59" t="s">
        <v>3579</v>
      </c>
      <c r="B335" s="59" t="s">
        <v>3611</v>
      </c>
      <c r="C335" s="59" t="s">
        <v>3614</v>
      </c>
    </row>
    <row r="336">
      <c r="A336" s="59" t="s">
        <v>3579</v>
      </c>
      <c r="B336" s="59" t="s">
        <v>3611</v>
      </c>
      <c r="C336" s="59" t="s">
        <v>3615</v>
      </c>
    </row>
    <row r="337">
      <c r="A337" s="59" t="s">
        <v>3579</v>
      </c>
      <c r="B337" s="59" t="s">
        <v>3611</v>
      </c>
      <c r="C337" s="59" t="s">
        <v>3616</v>
      </c>
    </row>
    <row r="338">
      <c r="A338" s="59" t="s">
        <v>3579</v>
      </c>
      <c r="B338" s="59" t="s">
        <v>3617</v>
      </c>
      <c r="C338" s="59" t="s">
        <v>3618</v>
      </c>
    </row>
    <row r="339">
      <c r="A339" s="59" t="s">
        <v>3579</v>
      </c>
      <c r="B339" s="59" t="s">
        <v>3617</v>
      </c>
      <c r="C339" s="59" t="s">
        <v>3619</v>
      </c>
    </row>
    <row r="340">
      <c r="A340" s="59" t="s">
        <v>3579</v>
      </c>
      <c r="B340" s="59" t="s">
        <v>3617</v>
      </c>
      <c r="C340" s="59" t="s">
        <v>3620</v>
      </c>
    </row>
    <row r="341">
      <c r="A341" s="59" t="s">
        <v>3579</v>
      </c>
      <c r="B341" s="59" t="s">
        <v>3617</v>
      </c>
      <c r="C341" s="59" t="s">
        <v>3621</v>
      </c>
    </row>
    <row r="342">
      <c r="A342" s="59" t="s">
        <v>3579</v>
      </c>
      <c r="B342" s="59" t="s">
        <v>3617</v>
      </c>
      <c r="C342" s="59" t="s">
        <v>3622</v>
      </c>
    </row>
    <row r="343">
      <c r="A343" s="59" t="s">
        <v>3579</v>
      </c>
      <c r="B343" s="59" t="s">
        <v>3623</v>
      </c>
      <c r="C343" s="59" t="s">
        <v>3624</v>
      </c>
    </row>
    <row r="344">
      <c r="A344" s="59" t="s">
        <v>3579</v>
      </c>
      <c r="B344" s="59" t="s">
        <v>3623</v>
      </c>
      <c r="C344" s="59" t="s">
        <v>3625</v>
      </c>
    </row>
    <row r="345">
      <c r="A345" s="59" t="s">
        <v>3579</v>
      </c>
      <c r="B345" s="59" t="s">
        <v>3626</v>
      </c>
      <c r="C345" s="59" t="s">
        <v>3627</v>
      </c>
    </row>
    <row r="346">
      <c r="A346" s="59" t="s">
        <v>3579</v>
      </c>
      <c r="B346" s="59" t="s">
        <v>3626</v>
      </c>
      <c r="C346" s="59" t="s">
        <v>3628</v>
      </c>
    </row>
    <row r="347">
      <c r="A347" s="59" t="s">
        <v>3579</v>
      </c>
      <c r="B347" s="59" t="s">
        <v>3626</v>
      </c>
      <c r="C347" s="59" t="s">
        <v>3629</v>
      </c>
    </row>
    <row r="348">
      <c r="A348" s="59" t="s">
        <v>3579</v>
      </c>
      <c r="B348" s="59" t="s">
        <v>3626</v>
      </c>
      <c r="C348" s="59" t="s">
        <v>3630</v>
      </c>
    </row>
    <row r="349">
      <c r="A349" s="59" t="s">
        <v>3579</v>
      </c>
      <c r="B349" s="59" t="s">
        <v>3626</v>
      </c>
      <c r="C349" s="59" t="s">
        <v>3631</v>
      </c>
    </row>
    <row r="350">
      <c r="A350" s="59" t="s">
        <v>3579</v>
      </c>
      <c r="B350" s="59" t="s">
        <v>3626</v>
      </c>
      <c r="C350" s="59" t="s">
        <v>3632</v>
      </c>
    </row>
    <row r="351">
      <c r="A351" s="59" t="s">
        <v>3579</v>
      </c>
      <c r="B351" s="59" t="s">
        <v>3626</v>
      </c>
      <c r="C351" s="59" t="s">
        <v>3633</v>
      </c>
    </row>
    <row r="352">
      <c r="A352" s="59" t="s">
        <v>3579</v>
      </c>
      <c r="B352" s="59" t="s">
        <v>3634</v>
      </c>
      <c r="C352" s="59" t="s">
        <v>3635</v>
      </c>
    </row>
    <row r="353">
      <c r="A353" s="59" t="s">
        <v>3579</v>
      </c>
      <c r="B353" s="59" t="s">
        <v>3636</v>
      </c>
      <c r="C353" s="59" t="s">
        <v>3637</v>
      </c>
    </row>
    <row r="354">
      <c r="A354" s="59" t="s">
        <v>3579</v>
      </c>
      <c r="B354" s="59" t="s">
        <v>3636</v>
      </c>
      <c r="C354" s="59" t="s">
        <v>3638</v>
      </c>
    </row>
    <row r="355">
      <c r="A355" s="59" t="s">
        <v>3579</v>
      </c>
      <c r="B355" s="59" t="s">
        <v>3636</v>
      </c>
      <c r="C355" s="59" t="s">
        <v>3639</v>
      </c>
    </row>
    <row r="356">
      <c r="A356" s="59" t="s">
        <v>3579</v>
      </c>
      <c r="B356" s="59" t="s">
        <v>3636</v>
      </c>
      <c r="C356" s="59" t="s">
        <v>3640</v>
      </c>
    </row>
    <row r="357">
      <c r="A357" s="59" t="s">
        <v>3579</v>
      </c>
      <c r="B357" s="59" t="s">
        <v>3636</v>
      </c>
      <c r="C357" s="59" t="s">
        <v>3641</v>
      </c>
    </row>
    <row r="358">
      <c r="A358" s="59" t="s">
        <v>3579</v>
      </c>
      <c r="B358" s="59" t="s">
        <v>3636</v>
      </c>
      <c r="C358" s="59" t="s">
        <v>3642</v>
      </c>
    </row>
    <row r="359">
      <c r="A359" s="59" t="s">
        <v>3579</v>
      </c>
      <c r="B359" s="59" t="s">
        <v>3636</v>
      </c>
      <c r="C359" s="59" t="s">
        <v>3643</v>
      </c>
    </row>
    <row r="360">
      <c r="A360" s="59" t="s">
        <v>3579</v>
      </c>
      <c r="B360" s="59" t="s">
        <v>3636</v>
      </c>
      <c r="C360" s="59" t="s">
        <v>3644</v>
      </c>
    </row>
    <row r="361">
      <c r="A361" s="59" t="s">
        <v>3579</v>
      </c>
      <c r="B361" s="59" t="s">
        <v>3636</v>
      </c>
      <c r="C361" s="59" t="s">
        <v>3645</v>
      </c>
    </row>
    <row r="362">
      <c r="A362" s="59" t="s">
        <v>3579</v>
      </c>
      <c r="B362" s="59" t="s">
        <v>3636</v>
      </c>
      <c r="C362" s="59" t="s">
        <v>3646</v>
      </c>
    </row>
    <row r="363">
      <c r="A363" s="59" t="s">
        <v>3579</v>
      </c>
      <c r="B363" s="59" t="s">
        <v>3636</v>
      </c>
      <c r="C363" s="59" t="s">
        <v>3647</v>
      </c>
    </row>
    <row r="364">
      <c r="A364" s="59" t="s">
        <v>3579</v>
      </c>
      <c r="B364" s="59" t="s">
        <v>3636</v>
      </c>
      <c r="C364" s="59" t="s">
        <v>3648</v>
      </c>
    </row>
    <row r="365">
      <c r="A365" s="59" t="s">
        <v>3579</v>
      </c>
      <c r="B365" s="59" t="s">
        <v>3636</v>
      </c>
      <c r="C365" s="59" t="s">
        <v>3649</v>
      </c>
    </row>
    <row r="366">
      <c r="A366" s="59" t="s">
        <v>3579</v>
      </c>
      <c r="B366" s="59" t="s">
        <v>3650</v>
      </c>
      <c r="C366" s="59" t="s">
        <v>3651</v>
      </c>
    </row>
    <row r="367">
      <c r="A367" s="59" t="s">
        <v>3579</v>
      </c>
      <c r="B367" s="59" t="s">
        <v>3650</v>
      </c>
      <c r="C367" s="59" t="s">
        <v>3652</v>
      </c>
    </row>
    <row r="368">
      <c r="A368" s="59" t="s">
        <v>3579</v>
      </c>
      <c r="B368" s="59" t="s">
        <v>3650</v>
      </c>
      <c r="C368" s="59" t="s">
        <v>3653</v>
      </c>
    </row>
    <row r="369">
      <c r="A369" s="59" t="s">
        <v>3579</v>
      </c>
      <c r="B369" s="59" t="s">
        <v>3650</v>
      </c>
      <c r="C369" s="59" t="s">
        <v>3654</v>
      </c>
    </row>
    <row r="370">
      <c r="A370" s="59" t="s">
        <v>3579</v>
      </c>
      <c r="B370" s="59" t="s">
        <v>3650</v>
      </c>
      <c r="C370" s="59" t="s">
        <v>3655</v>
      </c>
    </row>
    <row r="371">
      <c r="A371" s="59" t="s">
        <v>3579</v>
      </c>
      <c r="B371" s="59" t="s">
        <v>3650</v>
      </c>
      <c r="C371" s="59" t="s">
        <v>3656</v>
      </c>
    </row>
    <row r="372">
      <c r="A372" s="59" t="s">
        <v>3579</v>
      </c>
      <c r="B372" s="59" t="s">
        <v>3657</v>
      </c>
      <c r="C372" s="59" t="s">
        <v>3658</v>
      </c>
    </row>
    <row r="373">
      <c r="A373" s="59" t="s">
        <v>3579</v>
      </c>
      <c r="B373" s="59" t="s">
        <v>3657</v>
      </c>
      <c r="C373" s="59" t="s">
        <v>3659</v>
      </c>
    </row>
    <row r="374">
      <c r="A374" s="59" t="s">
        <v>3579</v>
      </c>
      <c r="B374" s="59" t="s">
        <v>3660</v>
      </c>
      <c r="C374" s="59" t="s">
        <v>3661</v>
      </c>
    </row>
    <row r="375">
      <c r="A375" s="59" t="s">
        <v>3579</v>
      </c>
      <c r="B375" s="59" t="s">
        <v>3660</v>
      </c>
      <c r="C375" s="59" t="s">
        <v>3662</v>
      </c>
    </row>
    <row r="376">
      <c r="A376" s="59" t="s">
        <v>3579</v>
      </c>
      <c r="B376" s="59" t="s">
        <v>3660</v>
      </c>
      <c r="C376" s="59" t="s">
        <v>3663</v>
      </c>
    </row>
    <row r="377">
      <c r="A377" s="59" t="s">
        <v>3579</v>
      </c>
      <c r="B377" s="59" t="s">
        <v>3660</v>
      </c>
      <c r="C377" s="59" t="s">
        <v>3664</v>
      </c>
    </row>
    <row r="378">
      <c r="A378" s="59" t="s">
        <v>3579</v>
      </c>
      <c r="B378" s="59" t="s">
        <v>3665</v>
      </c>
      <c r="C378" s="59" t="s">
        <v>3666</v>
      </c>
    </row>
    <row r="379">
      <c r="A379" s="59" t="s">
        <v>3579</v>
      </c>
      <c r="B379" s="59" t="s">
        <v>3665</v>
      </c>
      <c r="C379" s="59" t="s">
        <v>3667</v>
      </c>
    </row>
    <row r="380">
      <c r="A380" s="59" t="s">
        <v>3579</v>
      </c>
      <c r="B380" s="59" t="s">
        <v>3665</v>
      </c>
      <c r="C380" s="59" t="s">
        <v>3668</v>
      </c>
    </row>
    <row r="381">
      <c r="A381" s="59" t="s">
        <v>3579</v>
      </c>
      <c r="B381" s="59" t="s">
        <v>3669</v>
      </c>
      <c r="C381" s="59" t="s">
        <v>3670</v>
      </c>
    </row>
    <row r="382">
      <c r="A382" s="59" t="s">
        <v>3579</v>
      </c>
      <c r="B382" s="59" t="s">
        <v>3669</v>
      </c>
      <c r="C382" s="59" t="s">
        <v>3671</v>
      </c>
    </row>
    <row r="383">
      <c r="A383" s="59" t="s">
        <v>3579</v>
      </c>
      <c r="B383" s="59" t="s">
        <v>3586</v>
      </c>
      <c r="C383" s="59" t="s">
        <v>3672</v>
      </c>
    </row>
    <row r="384">
      <c r="A384" s="59" t="s">
        <v>3579</v>
      </c>
      <c r="B384" s="59" t="s">
        <v>3586</v>
      </c>
      <c r="C384" s="59" t="s">
        <v>3673</v>
      </c>
    </row>
    <row r="385">
      <c r="A385" s="59" t="s">
        <v>3579</v>
      </c>
      <c r="B385" s="59" t="s">
        <v>3586</v>
      </c>
      <c r="C385" s="59" t="s">
        <v>3674</v>
      </c>
    </row>
    <row r="386">
      <c r="A386" s="59" t="s">
        <v>3579</v>
      </c>
      <c r="B386" s="59" t="s">
        <v>3586</v>
      </c>
      <c r="C386" s="59" t="s">
        <v>3675</v>
      </c>
    </row>
    <row r="387">
      <c r="A387" s="59" t="s">
        <v>3579</v>
      </c>
      <c r="B387" s="59" t="s">
        <v>3586</v>
      </c>
      <c r="C387" s="59" t="s">
        <v>3676</v>
      </c>
    </row>
    <row r="388">
      <c r="A388" s="59" t="s">
        <v>3579</v>
      </c>
      <c r="B388" s="59" t="s">
        <v>3586</v>
      </c>
      <c r="C388" s="59" t="s">
        <v>3677</v>
      </c>
    </row>
    <row r="389">
      <c r="A389" s="59" t="s">
        <v>3579</v>
      </c>
      <c r="B389" s="59" t="s">
        <v>3586</v>
      </c>
      <c r="C389" s="59" t="s">
        <v>3678</v>
      </c>
    </row>
    <row r="390">
      <c r="A390" s="59" t="s">
        <v>3579</v>
      </c>
      <c r="B390" s="59" t="s">
        <v>3586</v>
      </c>
      <c r="C390" s="59" t="s">
        <v>3679</v>
      </c>
    </row>
    <row r="391">
      <c r="A391" s="59" t="s">
        <v>3579</v>
      </c>
      <c r="B391" s="59" t="s">
        <v>3586</v>
      </c>
      <c r="C391" s="59" t="s">
        <v>3680</v>
      </c>
    </row>
    <row r="392">
      <c r="A392" s="59" t="s">
        <v>3579</v>
      </c>
      <c r="B392" s="59" t="s">
        <v>3592</v>
      </c>
      <c r="C392" s="59" t="s">
        <v>3681</v>
      </c>
    </row>
    <row r="393">
      <c r="A393" s="59" t="s">
        <v>3579</v>
      </c>
      <c r="B393" s="59" t="s">
        <v>3592</v>
      </c>
      <c r="C393" s="59" t="s">
        <v>3682</v>
      </c>
    </row>
    <row r="394">
      <c r="A394" s="59" t="s">
        <v>3579</v>
      </c>
      <c r="B394" s="59" t="s">
        <v>3592</v>
      </c>
      <c r="C394" s="59" t="s">
        <v>3683</v>
      </c>
    </row>
    <row r="395">
      <c r="A395" s="59" t="s">
        <v>3579</v>
      </c>
      <c r="B395" s="59" t="s">
        <v>3592</v>
      </c>
      <c r="C395" s="59" t="s">
        <v>3684</v>
      </c>
    </row>
    <row r="396">
      <c r="A396" s="59" t="s">
        <v>3579</v>
      </c>
      <c r="B396" s="59" t="s">
        <v>3592</v>
      </c>
      <c r="C396" s="59" t="s">
        <v>3685</v>
      </c>
    </row>
    <row r="397">
      <c r="A397" s="59" t="s">
        <v>3579</v>
      </c>
      <c r="B397" s="59" t="s">
        <v>3592</v>
      </c>
      <c r="C397" s="59" t="s">
        <v>3686</v>
      </c>
    </row>
    <row r="398">
      <c r="A398" s="59" t="s">
        <v>3579</v>
      </c>
      <c r="B398" s="59" t="s">
        <v>3592</v>
      </c>
      <c r="C398" s="59" t="s">
        <v>3687</v>
      </c>
    </row>
    <row r="399">
      <c r="A399" s="59" t="s">
        <v>3579</v>
      </c>
      <c r="B399" s="59" t="s">
        <v>3592</v>
      </c>
      <c r="C399" s="59" t="s">
        <v>3688</v>
      </c>
    </row>
    <row r="400">
      <c r="A400" s="59" t="s">
        <v>3579</v>
      </c>
      <c r="B400" s="59" t="s">
        <v>3592</v>
      </c>
      <c r="C400" s="59" t="s">
        <v>3689</v>
      </c>
    </row>
    <row r="401">
      <c r="A401" s="59" t="s">
        <v>3579</v>
      </c>
      <c r="B401" s="59" t="s">
        <v>3690</v>
      </c>
      <c r="C401" s="59" t="s">
        <v>3691</v>
      </c>
    </row>
    <row r="402">
      <c r="A402" s="59" t="s">
        <v>3579</v>
      </c>
      <c r="B402" s="59" t="s">
        <v>3690</v>
      </c>
      <c r="C402" s="59" t="s">
        <v>3692</v>
      </c>
    </row>
    <row r="403">
      <c r="A403" s="59" t="s">
        <v>3579</v>
      </c>
      <c r="B403" s="59" t="s">
        <v>3690</v>
      </c>
      <c r="C403" s="59" t="s">
        <v>3693</v>
      </c>
    </row>
    <row r="404">
      <c r="A404" s="59" t="s">
        <v>3579</v>
      </c>
      <c r="B404" s="59" t="s">
        <v>3690</v>
      </c>
      <c r="C404" s="59" t="s">
        <v>3694</v>
      </c>
    </row>
    <row r="405">
      <c r="A405" s="59" t="s">
        <v>3579</v>
      </c>
      <c r="B405" s="59" t="s">
        <v>3690</v>
      </c>
      <c r="C405" s="59" t="s">
        <v>3695</v>
      </c>
    </row>
    <row r="406">
      <c r="A406" s="59" t="s">
        <v>3579</v>
      </c>
      <c r="B406" s="59" t="s">
        <v>3690</v>
      </c>
      <c r="C406" s="59" t="s">
        <v>3696</v>
      </c>
    </row>
    <row r="407">
      <c r="A407" s="59" t="s">
        <v>3579</v>
      </c>
      <c r="B407" s="59" t="s">
        <v>3690</v>
      </c>
      <c r="C407" s="59" t="s">
        <v>3697</v>
      </c>
    </row>
    <row r="408">
      <c r="A408" s="59" t="s">
        <v>3579</v>
      </c>
      <c r="B408" s="59" t="s">
        <v>3690</v>
      </c>
      <c r="C408" s="59" t="s">
        <v>3698</v>
      </c>
    </row>
    <row r="409">
      <c r="A409" s="59" t="s">
        <v>3579</v>
      </c>
      <c r="B409" s="59" t="s">
        <v>3690</v>
      </c>
      <c r="C409" s="59" t="s">
        <v>3699</v>
      </c>
    </row>
    <row r="410">
      <c r="A410" s="59" t="s">
        <v>3579</v>
      </c>
      <c r="B410" s="59" t="s">
        <v>3690</v>
      </c>
      <c r="C410" s="59" t="s">
        <v>3700</v>
      </c>
    </row>
    <row r="411">
      <c r="A411" s="59" t="s">
        <v>3579</v>
      </c>
      <c r="B411" s="59" t="s">
        <v>3690</v>
      </c>
      <c r="C411" s="59" t="s">
        <v>3701</v>
      </c>
    </row>
    <row r="412">
      <c r="A412" s="59" t="s">
        <v>3579</v>
      </c>
      <c r="B412" s="59" t="s">
        <v>3702</v>
      </c>
      <c r="C412" s="59" t="s">
        <v>3703</v>
      </c>
    </row>
    <row r="413">
      <c r="A413" s="59" t="s">
        <v>3579</v>
      </c>
      <c r="B413" s="59" t="s">
        <v>3702</v>
      </c>
      <c r="C413" s="59" t="s">
        <v>3704</v>
      </c>
    </row>
    <row r="414">
      <c r="A414" s="59" t="s">
        <v>3579</v>
      </c>
      <c r="B414" s="59" t="s">
        <v>3702</v>
      </c>
      <c r="C414" s="59" t="s">
        <v>3705</v>
      </c>
    </row>
    <row r="415">
      <c r="A415" s="59" t="s">
        <v>3579</v>
      </c>
      <c r="B415" s="59" t="s">
        <v>3606</v>
      </c>
      <c r="C415" s="59" t="s">
        <v>3706</v>
      </c>
    </row>
    <row r="416">
      <c r="A416" s="59" t="s">
        <v>3579</v>
      </c>
      <c r="B416" s="59" t="s">
        <v>3609</v>
      </c>
      <c r="C416" s="59" t="s">
        <v>3707</v>
      </c>
    </row>
    <row r="417">
      <c r="A417" s="59" t="s">
        <v>3579</v>
      </c>
      <c r="B417" s="59" t="s">
        <v>3609</v>
      </c>
      <c r="C417" s="59" t="s">
        <v>3708</v>
      </c>
    </row>
    <row r="418">
      <c r="A418" s="59" t="s">
        <v>3579</v>
      </c>
      <c r="B418" s="59" t="s">
        <v>3611</v>
      </c>
      <c r="C418" s="59" t="s">
        <v>3709</v>
      </c>
    </row>
    <row r="419">
      <c r="A419" s="59" t="s">
        <v>3579</v>
      </c>
      <c r="B419" s="59" t="s">
        <v>3611</v>
      </c>
      <c r="C419" s="59" t="s">
        <v>3710</v>
      </c>
    </row>
    <row r="420">
      <c r="A420" s="59" t="s">
        <v>3579</v>
      </c>
      <c r="B420" s="59" t="s">
        <v>3611</v>
      </c>
      <c r="C420" s="59" t="s">
        <v>3711</v>
      </c>
    </row>
    <row r="421">
      <c r="A421" s="59" t="s">
        <v>3579</v>
      </c>
      <c r="B421" s="59" t="s">
        <v>3611</v>
      </c>
      <c r="C421" s="59" t="s">
        <v>3712</v>
      </c>
    </row>
    <row r="422">
      <c r="A422" s="59" t="s">
        <v>3579</v>
      </c>
      <c r="B422" s="59" t="s">
        <v>3611</v>
      </c>
      <c r="C422" s="59" t="s">
        <v>3713</v>
      </c>
    </row>
    <row r="423">
      <c r="A423" s="59" t="s">
        <v>3579</v>
      </c>
      <c r="B423" s="59" t="s">
        <v>3611</v>
      </c>
      <c r="C423" s="59" t="s">
        <v>3714</v>
      </c>
    </row>
    <row r="424">
      <c r="A424" s="59" t="s">
        <v>3579</v>
      </c>
      <c r="B424" s="59" t="s">
        <v>3611</v>
      </c>
      <c r="C424" s="59" t="s">
        <v>3715</v>
      </c>
    </row>
    <row r="425">
      <c r="A425" s="59" t="s">
        <v>3579</v>
      </c>
      <c r="B425" s="59" t="s">
        <v>3611</v>
      </c>
      <c r="C425" s="59" t="s">
        <v>3716</v>
      </c>
    </row>
    <row r="426">
      <c r="A426" s="59" t="s">
        <v>3579</v>
      </c>
      <c r="B426" s="59" t="s">
        <v>3611</v>
      </c>
      <c r="C426" s="59" t="s">
        <v>3717</v>
      </c>
    </row>
    <row r="427">
      <c r="A427" s="59" t="s">
        <v>3579</v>
      </c>
      <c r="B427" s="59" t="s">
        <v>3611</v>
      </c>
      <c r="C427" s="59" t="s">
        <v>3718</v>
      </c>
    </row>
    <row r="428">
      <c r="A428" s="59" t="s">
        <v>3579</v>
      </c>
      <c r="B428" s="59" t="s">
        <v>3611</v>
      </c>
      <c r="C428" s="59" t="s">
        <v>3719</v>
      </c>
    </row>
    <row r="429">
      <c r="A429" s="59" t="s">
        <v>3579</v>
      </c>
      <c r="B429" s="59" t="s">
        <v>3611</v>
      </c>
      <c r="C429" s="59" t="s">
        <v>3720</v>
      </c>
    </row>
    <row r="430">
      <c r="A430" s="59" t="s">
        <v>3579</v>
      </c>
      <c r="B430" s="59" t="s">
        <v>3617</v>
      </c>
      <c r="C430" s="59" t="s">
        <v>3721</v>
      </c>
    </row>
    <row r="431">
      <c r="A431" s="59" t="s">
        <v>3579</v>
      </c>
      <c r="B431" s="59" t="s">
        <v>3617</v>
      </c>
      <c r="C431" s="59" t="s">
        <v>3722</v>
      </c>
    </row>
    <row r="432">
      <c r="A432" s="59" t="s">
        <v>3579</v>
      </c>
      <c r="B432" s="59" t="s">
        <v>3617</v>
      </c>
      <c r="C432" s="59" t="s">
        <v>3723</v>
      </c>
    </row>
    <row r="433">
      <c r="A433" s="59" t="s">
        <v>3579</v>
      </c>
      <c r="B433" s="59" t="s">
        <v>3724</v>
      </c>
      <c r="C433" s="59" t="s">
        <v>3725</v>
      </c>
    </row>
    <row r="434">
      <c r="A434" s="59" t="s">
        <v>3579</v>
      </c>
      <c r="B434" s="59" t="s">
        <v>3726</v>
      </c>
      <c r="C434" s="59" t="s">
        <v>3727</v>
      </c>
    </row>
    <row r="435">
      <c r="A435" s="59" t="s">
        <v>3579</v>
      </c>
      <c r="B435" s="59" t="s">
        <v>3657</v>
      </c>
      <c r="C435" s="59" t="s">
        <v>3728</v>
      </c>
    </row>
    <row r="436">
      <c r="A436" s="59" t="s">
        <v>3579</v>
      </c>
      <c r="B436" s="59" t="s">
        <v>3657</v>
      </c>
      <c r="C436" s="59" t="s">
        <v>3729</v>
      </c>
    </row>
    <row r="437">
      <c r="A437" s="59" t="s">
        <v>3579</v>
      </c>
      <c r="B437" s="59" t="s">
        <v>3657</v>
      </c>
      <c r="C437" s="59" t="s">
        <v>3730</v>
      </c>
    </row>
    <row r="438">
      <c r="A438" s="59" t="s">
        <v>3579</v>
      </c>
      <c r="B438" s="59" t="s">
        <v>3660</v>
      </c>
      <c r="C438" s="59" t="s">
        <v>3731</v>
      </c>
    </row>
    <row r="439">
      <c r="A439" s="59" t="s">
        <v>3579</v>
      </c>
      <c r="B439" s="59" t="s">
        <v>3660</v>
      </c>
      <c r="C439" s="59" t="s">
        <v>3732</v>
      </c>
    </row>
    <row r="440">
      <c r="A440" s="59" t="s">
        <v>3579</v>
      </c>
      <c r="B440" s="59" t="s">
        <v>3660</v>
      </c>
      <c r="C440" s="59" t="s">
        <v>3733</v>
      </c>
    </row>
    <row r="441">
      <c r="A441" s="59" t="s">
        <v>3579</v>
      </c>
      <c r="B441" s="59" t="s">
        <v>3665</v>
      </c>
      <c r="C441" s="59" t="s">
        <v>3734</v>
      </c>
    </row>
    <row r="442">
      <c r="A442" s="59" t="s">
        <v>3579</v>
      </c>
      <c r="B442" s="59" t="s">
        <v>3669</v>
      </c>
      <c r="C442" s="59" t="s">
        <v>3735</v>
      </c>
    </row>
    <row r="443">
      <c r="A443" s="59" t="s">
        <v>3579</v>
      </c>
      <c r="B443" s="59" t="s">
        <v>3736</v>
      </c>
      <c r="C443" s="59" t="s">
        <v>3737</v>
      </c>
    </row>
    <row r="444">
      <c r="A444" s="59" t="s">
        <v>3579</v>
      </c>
      <c r="B444" s="59" t="s">
        <v>3586</v>
      </c>
      <c r="C444" s="59" t="s">
        <v>3738</v>
      </c>
    </row>
    <row r="445">
      <c r="A445" s="59" t="s">
        <v>3579</v>
      </c>
      <c r="B445" s="59" t="s">
        <v>3586</v>
      </c>
      <c r="C445" s="59" t="s">
        <v>3739</v>
      </c>
    </row>
    <row r="446">
      <c r="A446" s="59" t="s">
        <v>3579</v>
      </c>
      <c r="B446" s="59" t="s">
        <v>3601</v>
      </c>
      <c r="C446" s="59" t="s">
        <v>3740</v>
      </c>
    </row>
    <row r="447">
      <c r="A447" s="59" t="s">
        <v>3579</v>
      </c>
      <c r="B447" s="59" t="s">
        <v>3601</v>
      </c>
      <c r="C447" s="59" t="s">
        <v>3741</v>
      </c>
    </row>
    <row r="448">
      <c r="A448" s="59" t="s">
        <v>3579</v>
      </c>
      <c r="B448" s="59" t="s">
        <v>3742</v>
      </c>
      <c r="C448" s="59" t="s">
        <v>3743</v>
      </c>
    </row>
    <row r="449">
      <c r="A449" s="59" t="s">
        <v>3579</v>
      </c>
      <c r="B449" s="59" t="s">
        <v>3744</v>
      </c>
      <c r="C449" s="59" t="s">
        <v>3745</v>
      </c>
    </row>
    <row r="450">
      <c r="A450" s="59" t="s">
        <v>3579</v>
      </c>
      <c r="B450" s="59" t="s">
        <v>3669</v>
      </c>
      <c r="C450" s="59" t="s">
        <v>3746</v>
      </c>
    </row>
    <row r="451">
      <c r="A451" s="59" t="s">
        <v>3579</v>
      </c>
      <c r="B451" s="59" t="s">
        <v>3669</v>
      </c>
      <c r="C451" s="59" t="s">
        <v>3747</v>
      </c>
    </row>
    <row r="452">
      <c r="A452" s="59" t="s">
        <v>3579</v>
      </c>
      <c r="B452" s="59" t="s">
        <v>3669</v>
      </c>
      <c r="C452" s="59" t="s">
        <v>3748</v>
      </c>
    </row>
    <row r="453">
      <c r="A453" s="59" t="s">
        <v>3579</v>
      </c>
      <c r="B453" s="59" t="s">
        <v>3669</v>
      </c>
      <c r="C453" s="59" t="s">
        <v>3749</v>
      </c>
    </row>
    <row r="454">
      <c r="A454" s="59" t="s">
        <v>3579</v>
      </c>
      <c r="B454" s="59" t="s">
        <v>3669</v>
      </c>
      <c r="C454" s="59" t="s">
        <v>3750</v>
      </c>
    </row>
    <row r="455">
      <c r="A455" s="59" t="s">
        <v>3282</v>
      </c>
      <c r="B455" s="59" t="s">
        <v>3490</v>
      </c>
      <c r="C455" s="59" t="s">
        <v>54</v>
      </c>
    </row>
    <row r="456">
      <c r="A456" s="59" t="s">
        <v>3282</v>
      </c>
      <c r="B456" s="59" t="s">
        <v>3490</v>
      </c>
      <c r="C456" s="59" t="s">
        <v>3751</v>
      </c>
    </row>
    <row r="457">
      <c r="A457" s="59" t="s">
        <v>3282</v>
      </c>
      <c r="B457" s="59" t="s">
        <v>3490</v>
      </c>
      <c r="C457" s="59" t="s">
        <v>170</v>
      </c>
    </row>
    <row r="458">
      <c r="A458" s="59" t="s">
        <v>3282</v>
      </c>
      <c r="B458" s="59" t="s">
        <v>3490</v>
      </c>
      <c r="C458" s="59" t="s">
        <v>3752</v>
      </c>
    </row>
    <row r="459">
      <c r="A459" s="59" t="s">
        <v>3282</v>
      </c>
      <c r="B459" s="59" t="s">
        <v>3490</v>
      </c>
      <c r="C459" s="59" t="s">
        <v>329</v>
      </c>
    </row>
    <row r="460">
      <c r="A460" s="59" t="s">
        <v>3282</v>
      </c>
      <c r="B460" s="59" t="s">
        <v>3490</v>
      </c>
      <c r="C460" s="59" t="s">
        <v>88</v>
      </c>
    </row>
    <row r="461">
      <c r="A461" s="59" t="s">
        <v>3282</v>
      </c>
      <c r="B461" s="59" t="s">
        <v>3490</v>
      </c>
      <c r="C461" s="59" t="s">
        <v>320</v>
      </c>
    </row>
    <row r="462">
      <c r="A462" s="59" t="s">
        <v>3282</v>
      </c>
      <c r="B462" s="59" t="s">
        <v>3490</v>
      </c>
      <c r="C462" s="59" t="s">
        <v>326</v>
      </c>
    </row>
    <row r="463">
      <c r="A463" s="59" t="s">
        <v>3507</v>
      </c>
      <c r="B463" s="59" t="s">
        <v>3570</v>
      </c>
      <c r="C463" s="59" t="s">
        <v>3753</v>
      </c>
    </row>
    <row r="464">
      <c r="A464" s="59" t="s">
        <v>3507</v>
      </c>
      <c r="B464" s="59" t="s">
        <v>3570</v>
      </c>
      <c r="C464" s="59" t="s">
        <v>3531</v>
      </c>
    </row>
    <row r="465">
      <c r="A465" s="59" t="s">
        <v>3507</v>
      </c>
      <c r="B465" s="59" t="s">
        <v>3548</v>
      </c>
      <c r="C465" s="59" t="s">
        <v>3754</v>
      </c>
    </row>
    <row r="466">
      <c r="A466" s="59" t="s">
        <v>3507</v>
      </c>
      <c r="B466" s="59" t="s">
        <v>3548</v>
      </c>
      <c r="C466" s="59" t="s">
        <v>3755</v>
      </c>
    </row>
    <row r="467">
      <c r="A467" s="59" t="s">
        <v>3282</v>
      </c>
      <c r="B467" s="59" t="s">
        <v>3490</v>
      </c>
      <c r="C467" s="59" t="s">
        <v>3756</v>
      </c>
    </row>
    <row r="468">
      <c r="A468" s="59" t="s">
        <v>3282</v>
      </c>
      <c r="B468" s="59" t="s">
        <v>3490</v>
      </c>
      <c r="C468" s="59" t="s">
        <v>330</v>
      </c>
    </row>
    <row r="469">
      <c r="A469" s="59" t="s">
        <v>3282</v>
      </c>
      <c r="B469" s="59" t="s">
        <v>3490</v>
      </c>
      <c r="C469" s="59" t="s">
        <v>338</v>
      </c>
    </row>
    <row r="470">
      <c r="A470" s="59" t="s">
        <v>3282</v>
      </c>
      <c r="B470" s="59" t="s">
        <v>3490</v>
      </c>
      <c r="C470" s="59" t="s">
        <v>323</v>
      </c>
    </row>
    <row r="471">
      <c r="A471" s="59" t="s">
        <v>3282</v>
      </c>
      <c r="B471" s="59" t="s">
        <v>3490</v>
      </c>
      <c r="C471" s="59" t="s">
        <v>261</v>
      </c>
    </row>
    <row r="472">
      <c r="A472" s="59" t="s">
        <v>3282</v>
      </c>
      <c r="B472" s="59" t="s">
        <v>3490</v>
      </c>
      <c r="C472" s="59" t="s">
        <v>3757</v>
      </c>
    </row>
    <row r="473">
      <c r="A473" s="59" t="s">
        <v>3282</v>
      </c>
      <c r="B473" s="59" t="s">
        <v>3490</v>
      </c>
      <c r="C473" s="59" t="s">
        <v>93</v>
      </c>
    </row>
    <row r="474">
      <c r="A474" s="59" t="s">
        <v>3282</v>
      </c>
      <c r="B474" s="59" t="s">
        <v>3490</v>
      </c>
      <c r="C474" s="59" t="s">
        <v>173</v>
      </c>
    </row>
    <row r="475">
      <c r="A475" s="59" t="s">
        <v>3282</v>
      </c>
      <c r="B475" s="59" t="s">
        <v>3490</v>
      </c>
      <c r="C475" s="59" t="s">
        <v>1556</v>
      </c>
    </row>
    <row r="476">
      <c r="A476" s="59" t="s">
        <v>3282</v>
      </c>
      <c r="B476" s="59" t="s">
        <v>3490</v>
      </c>
      <c r="C476" s="59" t="s">
        <v>3758</v>
      </c>
    </row>
    <row r="477">
      <c r="A477" s="59" t="s">
        <v>3282</v>
      </c>
      <c r="B477" s="59" t="s">
        <v>3490</v>
      </c>
      <c r="C477" s="59" t="s">
        <v>176</v>
      </c>
    </row>
    <row r="478">
      <c r="A478" s="59" t="s">
        <v>3282</v>
      </c>
      <c r="B478" s="59" t="s">
        <v>3490</v>
      </c>
      <c r="C478" s="59" t="s">
        <v>3759</v>
      </c>
    </row>
    <row r="479">
      <c r="A479" s="59" t="s">
        <v>3282</v>
      </c>
      <c r="B479" s="59" t="s">
        <v>3490</v>
      </c>
      <c r="C479" s="59" t="s">
        <v>57</v>
      </c>
    </row>
    <row r="480">
      <c r="A480" s="59" t="s">
        <v>3507</v>
      </c>
      <c r="B480" s="59" t="s">
        <v>3570</v>
      </c>
      <c r="C480" s="59" t="s">
        <v>3760</v>
      </c>
    </row>
    <row r="481">
      <c r="A481" s="59" t="s">
        <v>3507</v>
      </c>
      <c r="B481" s="59" t="s">
        <v>3761</v>
      </c>
      <c r="C481" s="59" t="s">
        <v>3762</v>
      </c>
    </row>
    <row r="482">
      <c r="A482" s="59" t="s">
        <v>3507</v>
      </c>
      <c r="B482" s="59" t="s">
        <v>3548</v>
      </c>
      <c r="C482" s="59" t="s">
        <v>3763</v>
      </c>
    </row>
    <row r="483">
      <c r="A483" s="59" t="s">
        <v>3507</v>
      </c>
      <c r="B483" s="59" t="s">
        <v>3568</v>
      </c>
      <c r="C483" s="59" t="s">
        <v>3764</v>
      </c>
    </row>
    <row r="484">
      <c r="A484" s="59" t="s">
        <v>3507</v>
      </c>
      <c r="B484" s="59" t="s">
        <v>3765</v>
      </c>
      <c r="C484" s="59" t="s">
        <v>3766</v>
      </c>
    </row>
    <row r="485">
      <c r="A485" s="59" t="s">
        <v>3507</v>
      </c>
      <c r="B485" s="59" t="s">
        <v>3767</v>
      </c>
      <c r="C485" s="59" t="s">
        <v>3768</v>
      </c>
    </row>
    <row r="486">
      <c r="A486" s="59" t="s">
        <v>3507</v>
      </c>
      <c r="B486" s="59" t="s">
        <v>3769</v>
      </c>
      <c r="C486" s="59" t="s">
        <v>3770</v>
      </c>
    </row>
    <row r="487">
      <c r="A487" s="59" t="s">
        <v>3282</v>
      </c>
      <c r="B487" s="59" t="s">
        <v>3771</v>
      </c>
      <c r="C487" s="59" t="s">
        <v>82</v>
      </c>
    </row>
    <row r="488">
      <c r="A488" s="59" t="s">
        <v>3282</v>
      </c>
      <c r="B488" s="59" t="s">
        <v>3771</v>
      </c>
      <c r="C488" s="59" t="s">
        <v>181</v>
      </c>
    </row>
    <row r="489">
      <c r="A489" s="59" t="s">
        <v>3282</v>
      </c>
      <c r="B489" s="59" t="s">
        <v>3771</v>
      </c>
      <c r="C489" s="59" t="s">
        <v>183</v>
      </c>
    </row>
    <row r="490">
      <c r="A490" s="59" t="s">
        <v>3282</v>
      </c>
      <c r="B490" s="59" t="s">
        <v>3771</v>
      </c>
      <c r="C490" s="59" t="s">
        <v>185</v>
      </c>
    </row>
    <row r="491">
      <c r="A491" s="59" t="s">
        <v>3282</v>
      </c>
      <c r="B491" s="59" t="s">
        <v>3771</v>
      </c>
      <c r="C491" s="59" t="s">
        <v>188</v>
      </c>
    </row>
    <row r="492">
      <c r="A492" s="59" t="s">
        <v>3282</v>
      </c>
      <c r="B492" s="59" t="s">
        <v>3771</v>
      </c>
      <c r="C492" s="59" t="s">
        <v>190</v>
      </c>
    </row>
    <row r="493">
      <c r="A493" s="59" t="s">
        <v>3282</v>
      </c>
      <c r="B493" s="59" t="s">
        <v>3771</v>
      </c>
      <c r="C493" s="59" t="s">
        <v>192</v>
      </c>
    </row>
    <row r="494">
      <c r="A494" s="59" t="s">
        <v>3282</v>
      </c>
      <c r="B494" s="59" t="s">
        <v>3771</v>
      </c>
      <c r="C494" s="59" t="s">
        <v>195</v>
      </c>
    </row>
    <row r="495">
      <c r="A495" s="59" t="s">
        <v>3282</v>
      </c>
      <c r="B495" s="59" t="s">
        <v>3771</v>
      </c>
      <c r="C495" s="59" t="s">
        <v>198</v>
      </c>
    </row>
    <row r="496">
      <c r="A496" s="59" t="s">
        <v>3282</v>
      </c>
      <c r="B496" s="59" t="s">
        <v>3771</v>
      </c>
      <c r="C496" s="59" t="s">
        <v>201</v>
      </c>
    </row>
    <row r="497">
      <c r="A497" s="59" t="s">
        <v>3507</v>
      </c>
      <c r="B497" s="59" t="s">
        <v>3772</v>
      </c>
      <c r="C497" s="59" t="s">
        <v>3773</v>
      </c>
    </row>
    <row r="498">
      <c r="A498" s="59" t="s">
        <v>3507</v>
      </c>
      <c r="B498" s="59" t="s">
        <v>3774</v>
      </c>
      <c r="C498" s="59" t="s">
        <v>3775</v>
      </c>
    </row>
    <row r="499">
      <c r="A499" s="59" t="s">
        <v>3507</v>
      </c>
      <c r="B499" s="59" t="s">
        <v>3776</v>
      </c>
      <c r="C499" s="59" t="s">
        <v>3777</v>
      </c>
    </row>
    <row r="500">
      <c r="A500" s="59" t="s">
        <v>3507</v>
      </c>
      <c r="B500" s="59" t="s">
        <v>3778</v>
      </c>
      <c r="C500" s="59" t="s">
        <v>3779</v>
      </c>
    </row>
    <row r="501">
      <c r="A501" s="59" t="s">
        <v>3507</v>
      </c>
      <c r="B501" s="59" t="s">
        <v>3780</v>
      </c>
      <c r="C501" s="59" t="s">
        <v>3781</v>
      </c>
    </row>
    <row r="502">
      <c r="A502" s="59" t="s">
        <v>3507</v>
      </c>
      <c r="B502" s="59" t="s">
        <v>3782</v>
      </c>
      <c r="C502" s="59" t="s">
        <v>3783</v>
      </c>
    </row>
    <row r="503">
      <c r="A503" s="59" t="s">
        <v>3507</v>
      </c>
      <c r="B503" s="59" t="s">
        <v>3782</v>
      </c>
      <c r="C503" s="59" t="s">
        <v>3784</v>
      </c>
    </row>
    <row r="504">
      <c r="A504" s="59" t="s">
        <v>3282</v>
      </c>
      <c r="B504" s="59" t="s">
        <v>3785</v>
      </c>
      <c r="C504" s="59" t="s">
        <v>413</v>
      </c>
    </row>
    <row r="505">
      <c r="A505" s="59" t="s">
        <v>3282</v>
      </c>
      <c r="B505" s="59" t="s">
        <v>3785</v>
      </c>
      <c r="C505" s="59" t="s">
        <v>315</v>
      </c>
    </row>
    <row r="506">
      <c r="A506" s="59" t="s">
        <v>3282</v>
      </c>
      <c r="B506" s="59" t="s">
        <v>3785</v>
      </c>
      <c r="C506" s="59" t="s">
        <v>111</v>
      </c>
    </row>
    <row r="507">
      <c r="A507" s="59" t="s">
        <v>3282</v>
      </c>
      <c r="B507" s="59" t="s">
        <v>3785</v>
      </c>
      <c r="C507" s="59" t="s">
        <v>114</v>
      </c>
    </row>
    <row r="508">
      <c r="A508" s="59" t="s">
        <v>3282</v>
      </c>
      <c r="B508" s="59" t="s">
        <v>3785</v>
      </c>
      <c r="C508" s="59" t="s">
        <v>116</v>
      </c>
    </row>
    <row r="509">
      <c r="A509" s="59" t="s">
        <v>3282</v>
      </c>
      <c r="B509" s="59" t="s">
        <v>3785</v>
      </c>
      <c r="C509" s="59" t="s">
        <v>47</v>
      </c>
    </row>
    <row r="510">
      <c r="A510" s="59" t="s">
        <v>3282</v>
      </c>
      <c r="B510" s="59" t="s">
        <v>3785</v>
      </c>
      <c r="C510" s="59" t="s">
        <v>119</v>
      </c>
    </row>
    <row r="511">
      <c r="A511" s="59" t="s">
        <v>3282</v>
      </c>
      <c r="B511" s="59" t="s">
        <v>3785</v>
      </c>
      <c r="C511" s="59" t="s">
        <v>121</v>
      </c>
    </row>
    <row r="512">
      <c r="A512" s="59" t="s">
        <v>3282</v>
      </c>
      <c r="B512" s="59" t="s">
        <v>3785</v>
      </c>
      <c r="C512" s="59" t="s">
        <v>264</v>
      </c>
    </row>
    <row r="513">
      <c r="A513" s="59" t="s">
        <v>3282</v>
      </c>
      <c r="B513" s="59" t="s">
        <v>3785</v>
      </c>
      <c r="C513" s="59" t="s">
        <v>76</v>
      </c>
    </row>
    <row r="514">
      <c r="A514" s="59" t="s">
        <v>3282</v>
      </c>
      <c r="B514" s="59" t="s">
        <v>3785</v>
      </c>
      <c r="C514" s="59" t="s">
        <v>124</v>
      </c>
    </row>
    <row r="515">
      <c r="A515" s="59" t="s">
        <v>3282</v>
      </c>
      <c r="B515" s="59" t="s">
        <v>3785</v>
      </c>
      <c r="C515" s="59" t="s">
        <v>126</v>
      </c>
    </row>
    <row r="516">
      <c r="A516" s="59" t="s">
        <v>3282</v>
      </c>
      <c r="B516" s="59" t="s">
        <v>3785</v>
      </c>
      <c r="C516" s="59" t="s">
        <v>128</v>
      </c>
    </row>
    <row r="517">
      <c r="A517" s="59" t="s">
        <v>3282</v>
      </c>
      <c r="B517" s="59" t="s">
        <v>3785</v>
      </c>
      <c r="C517" s="59" t="s">
        <v>90</v>
      </c>
    </row>
    <row r="518">
      <c r="A518" s="59" t="s">
        <v>3282</v>
      </c>
      <c r="B518" s="59" t="s">
        <v>3785</v>
      </c>
      <c r="C518" s="59" t="s">
        <v>73</v>
      </c>
    </row>
    <row r="519">
      <c r="A519" s="59" t="s">
        <v>3282</v>
      </c>
      <c r="B519" s="59" t="s">
        <v>3785</v>
      </c>
      <c r="C519" s="59" t="s">
        <v>105</v>
      </c>
    </row>
    <row r="520">
      <c r="A520" s="59" t="s">
        <v>3282</v>
      </c>
      <c r="B520" s="59" t="s">
        <v>3785</v>
      </c>
      <c r="C520" s="59" t="s">
        <v>203</v>
      </c>
    </row>
    <row r="521">
      <c r="A521" s="59" t="s">
        <v>3282</v>
      </c>
      <c r="B521" s="59" t="s">
        <v>3785</v>
      </c>
      <c r="C521" s="59" t="s">
        <v>348</v>
      </c>
    </row>
    <row r="522">
      <c r="A522" s="59" t="s">
        <v>3282</v>
      </c>
      <c r="B522" s="59" t="s">
        <v>3785</v>
      </c>
      <c r="C522" s="59" t="s">
        <v>206</v>
      </c>
    </row>
    <row r="523">
      <c r="A523" s="59" t="s">
        <v>3282</v>
      </c>
      <c r="B523" s="59" t="s">
        <v>3785</v>
      </c>
      <c r="C523" s="59" t="s">
        <v>208</v>
      </c>
    </row>
    <row r="524">
      <c r="A524" s="59" t="s">
        <v>3282</v>
      </c>
      <c r="B524" s="59" t="s">
        <v>3786</v>
      </c>
      <c r="C524" s="59" t="s">
        <v>3787</v>
      </c>
    </row>
    <row r="525">
      <c r="A525" s="59" t="s">
        <v>3507</v>
      </c>
      <c r="B525" s="59" t="s">
        <v>3788</v>
      </c>
      <c r="C525" s="59" t="s">
        <v>3789</v>
      </c>
    </row>
    <row r="526">
      <c r="A526" s="59" t="s">
        <v>3282</v>
      </c>
      <c r="B526" s="59" t="s">
        <v>3785</v>
      </c>
      <c r="C526" s="59" t="s">
        <v>85</v>
      </c>
    </row>
    <row r="527">
      <c r="A527" s="59" t="s">
        <v>3282</v>
      </c>
      <c r="B527" s="59" t="s">
        <v>3785</v>
      </c>
      <c r="C527" s="59" t="s">
        <v>132</v>
      </c>
    </row>
    <row r="528">
      <c r="A528" s="59" t="s">
        <v>3282</v>
      </c>
      <c r="B528" s="59" t="s">
        <v>3785</v>
      </c>
      <c r="C528" s="59" t="s">
        <v>134</v>
      </c>
    </row>
    <row r="529">
      <c r="A529" s="59" t="s">
        <v>3282</v>
      </c>
      <c r="B529" s="59" t="s">
        <v>3785</v>
      </c>
      <c r="C529" s="59" t="s">
        <v>136</v>
      </c>
    </row>
    <row r="530">
      <c r="A530" s="59" t="s">
        <v>3282</v>
      </c>
      <c r="B530" s="59" t="s">
        <v>3785</v>
      </c>
      <c r="C530" s="59" t="s">
        <v>31</v>
      </c>
    </row>
    <row r="531">
      <c r="A531" s="59" t="s">
        <v>3282</v>
      </c>
      <c r="B531" s="59" t="s">
        <v>3785</v>
      </c>
      <c r="C531" s="59" t="s">
        <v>41</v>
      </c>
    </row>
    <row r="532">
      <c r="A532" s="59" t="s">
        <v>3282</v>
      </c>
      <c r="B532" s="59" t="s">
        <v>3785</v>
      </c>
      <c r="C532" s="59" t="s">
        <v>138</v>
      </c>
    </row>
    <row r="533">
      <c r="A533" s="59" t="s">
        <v>3282</v>
      </c>
      <c r="B533" s="59" t="s">
        <v>3785</v>
      </c>
      <c r="C533" s="59" t="s">
        <v>96</v>
      </c>
    </row>
    <row r="534">
      <c r="A534" s="59" t="s">
        <v>3282</v>
      </c>
      <c r="B534" s="59" t="s">
        <v>3785</v>
      </c>
      <c r="C534" s="59" t="s">
        <v>268</v>
      </c>
    </row>
    <row r="535">
      <c r="A535" s="59" t="s">
        <v>3282</v>
      </c>
      <c r="B535" s="59" t="s">
        <v>3785</v>
      </c>
      <c r="C535" s="59" t="s">
        <v>270</v>
      </c>
    </row>
    <row r="536">
      <c r="A536" s="59" t="s">
        <v>3282</v>
      </c>
      <c r="B536" s="59" t="s">
        <v>3785</v>
      </c>
      <c r="C536" s="59" t="s">
        <v>278</v>
      </c>
    </row>
    <row r="537">
      <c r="A537" s="59" t="s">
        <v>3282</v>
      </c>
      <c r="B537" s="59" t="s">
        <v>3785</v>
      </c>
      <c r="C537" s="59" t="s">
        <v>313</v>
      </c>
    </row>
    <row r="538">
      <c r="A538" s="59" t="s">
        <v>3282</v>
      </c>
      <c r="B538" s="59" t="s">
        <v>3785</v>
      </c>
      <c r="C538" s="59" t="s">
        <v>280</v>
      </c>
    </row>
    <row r="539">
      <c r="A539" s="59" t="s">
        <v>3282</v>
      </c>
      <c r="B539" s="59" t="s">
        <v>3785</v>
      </c>
      <c r="C539" s="59" t="s">
        <v>142</v>
      </c>
    </row>
    <row r="540">
      <c r="A540" s="59" t="s">
        <v>3282</v>
      </c>
      <c r="B540" s="59" t="s">
        <v>3785</v>
      </c>
      <c r="C540" s="59" t="s">
        <v>79</v>
      </c>
    </row>
    <row r="541">
      <c r="A541" s="59" t="s">
        <v>3282</v>
      </c>
      <c r="B541" s="59" t="s">
        <v>3785</v>
      </c>
      <c r="C541" s="59" t="s">
        <v>145</v>
      </c>
    </row>
    <row r="542">
      <c r="A542" s="59" t="s">
        <v>3282</v>
      </c>
      <c r="B542" s="59" t="s">
        <v>3785</v>
      </c>
      <c r="C542" s="59" t="s">
        <v>147</v>
      </c>
    </row>
    <row r="543">
      <c r="A543" s="59" t="s">
        <v>3282</v>
      </c>
      <c r="B543" s="59" t="s">
        <v>3785</v>
      </c>
      <c r="C543" s="59" t="s">
        <v>150</v>
      </c>
    </row>
    <row r="544">
      <c r="A544" s="59" t="s">
        <v>3282</v>
      </c>
      <c r="B544" s="59" t="s">
        <v>3785</v>
      </c>
      <c r="C544" s="59" t="s">
        <v>275</v>
      </c>
    </row>
    <row r="545">
      <c r="A545" s="59" t="s">
        <v>3282</v>
      </c>
      <c r="B545" s="59" t="s">
        <v>3785</v>
      </c>
      <c r="C545" s="59" t="s">
        <v>152</v>
      </c>
    </row>
    <row r="546">
      <c r="A546" s="59" t="s">
        <v>3507</v>
      </c>
      <c r="B546" s="59" t="s">
        <v>3570</v>
      </c>
      <c r="C546" s="59" t="s">
        <v>3790</v>
      </c>
    </row>
    <row r="547">
      <c r="A547" s="59" t="s">
        <v>3507</v>
      </c>
      <c r="B547" s="59" t="s">
        <v>3570</v>
      </c>
      <c r="C547" s="59" t="s">
        <v>3791</v>
      </c>
    </row>
    <row r="548">
      <c r="A548" s="59" t="s">
        <v>3507</v>
      </c>
      <c r="B548" s="59" t="s">
        <v>3570</v>
      </c>
      <c r="C548" s="59" t="s">
        <v>3792</v>
      </c>
    </row>
    <row r="549">
      <c r="A549" s="59" t="s">
        <v>3282</v>
      </c>
      <c r="B549" s="59" t="s">
        <v>3439</v>
      </c>
      <c r="C549" s="59" t="s">
        <v>3793</v>
      </c>
    </row>
    <row r="550">
      <c r="A550" s="59" t="s">
        <v>3282</v>
      </c>
      <c r="B550" s="59" t="s">
        <v>3439</v>
      </c>
      <c r="C550" s="59" t="s">
        <v>3794</v>
      </c>
    </row>
    <row r="551">
      <c r="A551" s="59" t="s">
        <v>3579</v>
      </c>
      <c r="B551" s="59" t="s">
        <v>3795</v>
      </c>
      <c r="C551" s="59" t="s">
        <v>3796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48.0"/>
    <col customWidth="1" min="3" max="3" width="3.88"/>
    <col customWidth="1" min="4" max="4" width="13.75"/>
    <col customWidth="1" min="5" max="5" width="17.5"/>
    <col customWidth="1" min="6" max="6" width="27.13"/>
    <col customWidth="1" min="7" max="7" width="23.75"/>
    <col customWidth="1" min="8" max="8" width="37.0"/>
    <col customWidth="1" min="9" max="9" width="14.0"/>
    <col customWidth="1" min="10" max="10" width="22.38"/>
  </cols>
  <sheetData>
    <row r="1">
      <c r="A1" s="58" t="s">
        <v>3797</v>
      </c>
      <c r="B1" s="58" t="s">
        <v>3798</v>
      </c>
      <c r="C1" s="58" t="s">
        <v>3799</v>
      </c>
      <c r="D1" s="58" t="s">
        <v>3800</v>
      </c>
      <c r="E1" s="58" t="s">
        <v>3801</v>
      </c>
      <c r="F1" s="58" t="s">
        <v>3802</v>
      </c>
      <c r="G1" s="58" t="s">
        <v>3803</v>
      </c>
      <c r="H1" s="58" t="s">
        <v>3804</v>
      </c>
      <c r="I1" s="58" t="s">
        <v>3805</v>
      </c>
    </row>
    <row r="2">
      <c r="A2" s="59">
        <v>1.07231813E8</v>
      </c>
      <c r="B2" s="59" t="s">
        <v>3806</v>
      </c>
      <c r="C2" s="60">
        <v>24.0</v>
      </c>
      <c r="D2" s="59" t="s">
        <v>3807</v>
      </c>
      <c r="E2" s="59" t="s">
        <v>3808</v>
      </c>
      <c r="F2" s="59" t="s">
        <v>3809</v>
      </c>
      <c r="G2" s="59" t="s">
        <v>3810</v>
      </c>
      <c r="H2" s="59" t="s">
        <v>3811</v>
      </c>
      <c r="I2" s="61"/>
    </row>
    <row r="3">
      <c r="A3" s="59">
        <v>1.07201164E8</v>
      </c>
      <c r="B3" s="59" t="s">
        <v>3812</v>
      </c>
      <c r="C3" s="60">
        <v>46.0</v>
      </c>
      <c r="D3" s="59" t="s">
        <v>3813</v>
      </c>
      <c r="E3" s="59" t="s">
        <v>3808</v>
      </c>
      <c r="F3" s="59" t="s">
        <v>3814</v>
      </c>
      <c r="G3" s="59" t="s">
        <v>3815</v>
      </c>
      <c r="H3" s="59" t="s">
        <v>3811</v>
      </c>
      <c r="I3" s="62">
        <v>28339.0</v>
      </c>
    </row>
    <row r="4">
      <c r="A4" s="59">
        <v>2.032419E8</v>
      </c>
      <c r="B4" s="59" t="s">
        <v>3816</v>
      </c>
      <c r="C4" s="60">
        <v>0.0</v>
      </c>
      <c r="D4" s="61"/>
      <c r="E4" s="59" t="s">
        <v>3817</v>
      </c>
      <c r="F4" s="59" t="s">
        <v>3818</v>
      </c>
      <c r="G4" s="59" t="s">
        <v>3819</v>
      </c>
      <c r="H4" s="59" t="s">
        <v>3820</v>
      </c>
      <c r="I4" s="61"/>
    </row>
    <row r="5">
      <c r="A5" s="59">
        <v>2.04241906E8</v>
      </c>
      <c r="B5" s="59" t="s">
        <v>3821</v>
      </c>
      <c r="C5" s="60">
        <v>21.0</v>
      </c>
      <c r="D5" s="59" t="s">
        <v>3807</v>
      </c>
      <c r="E5" s="59" t="s">
        <v>3817</v>
      </c>
      <c r="F5" s="59" t="s">
        <v>3822</v>
      </c>
      <c r="G5" s="59" t="s">
        <v>3823</v>
      </c>
      <c r="H5" s="59" t="s">
        <v>3824</v>
      </c>
      <c r="I5" s="61"/>
    </row>
    <row r="6">
      <c r="A6" s="59">
        <v>1.05211389E8</v>
      </c>
      <c r="B6" s="59" t="s">
        <v>3825</v>
      </c>
      <c r="C6" s="60">
        <v>30.0</v>
      </c>
      <c r="D6" s="59" t="s">
        <v>3807</v>
      </c>
      <c r="E6" s="59" t="s">
        <v>3808</v>
      </c>
      <c r="F6" s="59" t="s">
        <v>3826</v>
      </c>
      <c r="G6" s="59" t="s">
        <v>3823</v>
      </c>
      <c r="H6" s="59" t="s">
        <v>3824</v>
      </c>
      <c r="I6" s="62">
        <v>36412.0</v>
      </c>
    </row>
    <row r="7">
      <c r="A7" s="59">
        <v>2.02201128E8</v>
      </c>
      <c r="B7" s="59" t="s">
        <v>3827</v>
      </c>
      <c r="C7" s="60">
        <v>54.0</v>
      </c>
      <c r="D7" s="59" t="s">
        <v>3807</v>
      </c>
      <c r="E7" s="59" t="s">
        <v>3817</v>
      </c>
      <c r="F7" s="59" t="s">
        <v>3828</v>
      </c>
      <c r="G7" s="59" t="s">
        <v>3829</v>
      </c>
      <c r="H7" s="59" t="s">
        <v>3830</v>
      </c>
      <c r="I7" s="62">
        <v>26160.0</v>
      </c>
    </row>
    <row r="8">
      <c r="A8" s="59">
        <v>1.09201236E8</v>
      </c>
      <c r="B8" s="59" t="s">
        <v>3831</v>
      </c>
      <c r="C8" s="60">
        <v>44.0</v>
      </c>
      <c r="D8" s="59" t="s">
        <v>3807</v>
      </c>
      <c r="E8" s="59" t="s">
        <v>3808</v>
      </c>
      <c r="F8" s="59" t="s">
        <v>3832</v>
      </c>
      <c r="G8" s="59" t="s">
        <v>3819</v>
      </c>
      <c r="H8" s="59" t="s">
        <v>3820</v>
      </c>
      <c r="I8" s="62">
        <v>31567.0</v>
      </c>
    </row>
    <row r="9">
      <c r="A9" s="59">
        <v>3.04210058E8</v>
      </c>
      <c r="B9" s="59" t="s">
        <v>3833</v>
      </c>
      <c r="C9" s="60">
        <v>28.0</v>
      </c>
      <c r="D9" s="59" t="s">
        <v>3807</v>
      </c>
      <c r="E9" s="59" t="s">
        <v>3834</v>
      </c>
      <c r="F9" s="59" t="s">
        <v>3835</v>
      </c>
      <c r="G9" s="59" t="s">
        <v>3836</v>
      </c>
      <c r="H9" s="59" t="s">
        <v>3837</v>
      </c>
      <c r="I9" s="62">
        <v>35150.0</v>
      </c>
    </row>
    <row r="10">
      <c r="A10" s="59">
        <v>1.1221156E8</v>
      </c>
      <c r="B10" s="59" t="s">
        <v>3838</v>
      </c>
      <c r="C10" s="60">
        <v>24.0</v>
      </c>
      <c r="D10" s="59" t="s">
        <v>3807</v>
      </c>
      <c r="E10" s="59" t="s">
        <v>3808</v>
      </c>
      <c r="F10" s="59" t="s">
        <v>3839</v>
      </c>
      <c r="G10" s="59" t="s">
        <v>3829</v>
      </c>
      <c r="H10" s="59" t="s">
        <v>3830</v>
      </c>
      <c r="I10" s="61"/>
    </row>
    <row r="11">
      <c r="A11" s="59">
        <v>1.09201217E8</v>
      </c>
      <c r="B11" s="59" t="s">
        <v>3840</v>
      </c>
      <c r="C11" s="60">
        <v>40.0</v>
      </c>
      <c r="D11" s="59" t="s">
        <v>3841</v>
      </c>
      <c r="E11" s="59" t="s">
        <v>3808</v>
      </c>
      <c r="F11" s="59" t="s">
        <v>3842</v>
      </c>
      <c r="G11" s="59" t="s">
        <v>3829</v>
      </c>
      <c r="H11" s="59" t="s">
        <v>3830</v>
      </c>
      <c r="I11" s="62">
        <v>32708.0</v>
      </c>
    </row>
    <row r="12">
      <c r="A12" s="59">
        <v>2.10201258E8</v>
      </c>
      <c r="B12" s="59" t="s">
        <v>3843</v>
      </c>
      <c r="C12" s="60">
        <v>29.0</v>
      </c>
      <c r="D12" s="59" t="s">
        <v>3844</v>
      </c>
      <c r="E12" s="59" t="s">
        <v>3817</v>
      </c>
      <c r="F12" s="59" t="s">
        <v>3828</v>
      </c>
      <c r="G12" s="59" t="s">
        <v>3829</v>
      </c>
      <c r="H12" s="59" t="s">
        <v>3830</v>
      </c>
      <c r="I12" s="61"/>
    </row>
    <row r="13">
      <c r="A13" s="59">
        <v>2.10231841E8</v>
      </c>
      <c r="B13" s="59" t="s">
        <v>3845</v>
      </c>
      <c r="C13" s="60">
        <v>51.0</v>
      </c>
      <c r="D13" s="59" t="s">
        <v>3841</v>
      </c>
      <c r="E13" s="59" t="s">
        <v>3817</v>
      </c>
      <c r="F13" s="59" t="s">
        <v>3846</v>
      </c>
      <c r="G13" s="59" t="s">
        <v>3823</v>
      </c>
      <c r="H13" s="59" t="s">
        <v>3824</v>
      </c>
      <c r="I13" s="62">
        <v>29567.0</v>
      </c>
    </row>
    <row r="14">
      <c r="A14" s="59">
        <v>2.11221703E8</v>
      </c>
      <c r="B14" s="59" t="s">
        <v>3847</v>
      </c>
      <c r="C14" s="60">
        <v>21.0</v>
      </c>
      <c r="D14" s="59" t="s">
        <v>3807</v>
      </c>
      <c r="E14" s="59" t="s">
        <v>3817</v>
      </c>
      <c r="F14" s="59" t="s">
        <v>3848</v>
      </c>
      <c r="G14" s="59" t="s">
        <v>3823</v>
      </c>
      <c r="H14" s="59" t="s">
        <v>3824</v>
      </c>
      <c r="I14" s="61"/>
    </row>
    <row r="15">
      <c r="A15" s="61"/>
      <c r="B15" s="59" t="s">
        <v>3849</v>
      </c>
      <c r="C15" s="60"/>
      <c r="D15" s="61"/>
      <c r="E15" s="59" t="s">
        <v>3808</v>
      </c>
      <c r="F15" s="63"/>
      <c r="G15" s="63"/>
      <c r="H15" s="63"/>
      <c r="I15" s="61"/>
    </row>
    <row r="16">
      <c r="A16" s="59">
        <v>1.10211515E8</v>
      </c>
      <c r="B16" s="59" t="s">
        <v>3850</v>
      </c>
      <c r="C16" s="60">
        <v>34.0</v>
      </c>
      <c r="D16" s="59" t="s">
        <v>3841</v>
      </c>
      <c r="E16" s="59" t="s">
        <v>3808</v>
      </c>
      <c r="F16" s="59" t="s">
        <v>3851</v>
      </c>
      <c r="G16" s="59" t="s">
        <v>3819</v>
      </c>
      <c r="H16" s="59" t="s">
        <v>3820</v>
      </c>
      <c r="I16" s="61"/>
    </row>
    <row r="17">
      <c r="A17" s="59">
        <v>1.11211534E8</v>
      </c>
      <c r="B17" s="59" t="s">
        <v>3852</v>
      </c>
      <c r="C17" s="60">
        <v>24.0</v>
      </c>
      <c r="D17" s="59" t="s">
        <v>3807</v>
      </c>
      <c r="E17" s="59" t="s">
        <v>3808</v>
      </c>
      <c r="F17" s="59" t="s">
        <v>3853</v>
      </c>
      <c r="G17" s="59" t="s">
        <v>3823</v>
      </c>
      <c r="H17" s="59" t="s">
        <v>3854</v>
      </c>
      <c r="I17" s="61"/>
    </row>
    <row r="18">
      <c r="A18" s="59">
        <v>1.09211475E8</v>
      </c>
      <c r="B18" s="59" t="s">
        <v>3855</v>
      </c>
      <c r="C18" s="60">
        <v>22.0</v>
      </c>
      <c r="D18" s="59" t="s">
        <v>3807</v>
      </c>
      <c r="E18" s="59" t="s">
        <v>3808</v>
      </c>
      <c r="F18" s="59" t="s">
        <v>3853</v>
      </c>
      <c r="G18" s="59" t="s">
        <v>3823</v>
      </c>
      <c r="H18" s="59" t="s">
        <v>3824</v>
      </c>
      <c r="I18" s="61"/>
    </row>
    <row r="19">
      <c r="A19" s="59">
        <v>1.04211384E8</v>
      </c>
      <c r="B19" s="59" t="s">
        <v>3856</v>
      </c>
      <c r="C19" s="60">
        <v>27.0</v>
      </c>
      <c r="D19" s="59" t="s">
        <v>3807</v>
      </c>
      <c r="E19" s="59" t="s">
        <v>3808</v>
      </c>
      <c r="F19" s="59" t="s">
        <v>3857</v>
      </c>
      <c r="G19" s="59" t="s">
        <v>3858</v>
      </c>
      <c r="H19" s="59" t="s">
        <v>3859</v>
      </c>
      <c r="I19" s="61"/>
    </row>
    <row r="20">
      <c r="A20" s="59">
        <v>2.04150633E8</v>
      </c>
      <c r="B20" s="59" t="s">
        <v>3860</v>
      </c>
      <c r="C20" s="60">
        <v>52.0</v>
      </c>
      <c r="D20" s="59" t="s">
        <v>3807</v>
      </c>
      <c r="E20" s="59" t="s">
        <v>3817</v>
      </c>
      <c r="F20" s="59" t="s">
        <v>3861</v>
      </c>
      <c r="G20" s="59" t="s">
        <v>3829</v>
      </c>
      <c r="H20" s="59" t="s">
        <v>3830</v>
      </c>
      <c r="I20" s="61"/>
    </row>
    <row r="21">
      <c r="A21" s="59">
        <v>1.02190759E8</v>
      </c>
      <c r="B21" s="59" t="s">
        <v>3862</v>
      </c>
      <c r="C21" s="60">
        <v>31.0</v>
      </c>
      <c r="D21" s="59" t="s">
        <v>3807</v>
      </c>
      <c r="E21" s="59" t="s">
        <v>3808</v>
      </c>
      <c r="F21" s="59" t="s">
        <v>3863</v>
      </c>
      <c r="G21" s="59" t="s">
        <v>3819</v>
      </c>
      <c r="H21" s="59" t="s">
        <v>3820</v>
      </c>
      <c r="I21" s="62">
        <v>34858.0</v>
      </c>
    </row>
    <row r="22">
      <c r="A22" s="59">
        <v>2.04241907E8</v>
      </c>
      <c r="B22" s="59" t="s">
        <v>3864</v>
      </c>
      <c r="C22" s="60">
        <v>0.0</v>
      </c>
      <c r="D22" s="59" t="s">
        <v>3807</v>
      </c>
      <c r="E22" s="59" t="s">
        <v>3817</v>
      </c>
      <c r="F22" s="59" t="s">
        <v>3822</v>
      </c>
      <c r="G22" s="59" t="s">
        <v>3823</v>
      </c>
      <c r="H22" s="59" t="s">
        <v>3824</v>
      </c>
      <c r="I22" s="61"/>
    </row>
    <row r="23">
      <c r="A23" s="59">
        <v>2.02190768E8</v>
      </c>
      <c r="B23" s="59" t="s">
        <v>3865</v>
      </c>
      <c r="C23" s="60">
        <v>24.0</v>
      </c>
      <c r="D23" s="59" t="s">
        <v>3813</v>
      </c>
      <c r="E23" s="59" t="s">
        <v>3817</v>
      </c>
      <c r="F23" s="59" t="s">
        <v>3866</v>
      </c>
      <c r="G23" s="59" t="s">
        <v>3829</v>
      </c>
      <c r="H23" s="59" t="s">
        <v>3830</v>
      </c>
      <c r="I23" s="61"/>
    </row>
    <row r="24">
      <c r="A24" s="59">
        <v>1.04211363E8</v>
      </c>
      <c r="B24" s="59" t="s">
        <v>3867</v>
      </c>
      <c r="C24" s="60">
        <v>51.0</v>
      </c>
      <c r="D24" s="59" t="s">
        <v>3807</v>
      </c>
      <c r="E24" s="59" t="s">
        <v>3808</v>
      </c>
      <c r="F24" s="59" t="s">
        <v>3868</v>
      </c>
      <c r="G24" s="59" t="s">
        <v>3823</v>
      </c>
      <c r="H24" s="59" t="s">
        <v>3869</v>
      </c>
      <c r="I24" s="62">
        <v>30272.0</v>
      </c>
    </row>
    <row r="25">
      <c r="A25" s="59">
        <v>2.11211538E8</v>
      </c>
      <c r="B25" s="59" t="s">
        <v>3870</v>
      </c>
      <c r="C25" s="60">
        <v>29.0</v>
      </c>
      <c r="D25" s="59" t="s">
        <v>3807</v>
      </c>
      <c r="E25" s="59" t="s">
        <v>3817</v>
      </c>
      <c r="F25" s="59" t="s">
        <v>3822</v>
      </c>
      <c r="G25" s="59" t="s">
        <v>3823</v>
      </c>
      <c r="H25" s="59" t="s">
        <v>3824</v>
      </c>
      <c r="I25" s="61"/>
    </row>
    <row r="26">
      <c r="A26" s="59">
        <v>2.06241946E8</v>
      </c>
      <c r="B26" s="59" t="s">
        <v>3871</v>
      </c>
      <c r="C26" s="60">
        <v>24.0</v>
      </c>
      <c r="D26" s="59" t="s">
        <v>3807</v>
      </c>
      <c r="E26" s="59" t="s">
        <v>3817</v>
      </c>
      <c r="F26" s="59" t="s">
        <v>3818</v>
      </c>
      <c r="G26" s="59" t="s">
        <v>3819</v>
      </c>
      <c r="H26" s="59" t="s">
        <v>3820</v>
      </c>
      <c r="I26" s="61"/>
    </row>
    <row r="27">
      <c r="A27" s="59">
        <v>2.06241981E8</v>
      </c>
      <c r="B27" s="59" t="s">
        <v>3872</v>
      </c>
      <c r="C27" s="60">
        <v>0.0</v>
      </c>
      <c r="D27" s="61"/>
      <c r="E27" s="59" t="s">
        <v>3817</v>
      </c>
      <c r="F27" s="63" t="b">
        <v>0</v>
      </c>
      <c r="G27" s="59" t="s">
        <v>3819</v>
      </c>
      <c r="H27" s="63" t="b">
        <v>0</v>
      </c>
      <c r="I27" s="61"/>
    </row>
    <row r="28">
      <c r="A28" s="59">
        <v>1.02150022E8</v>
      </c>
      <c r="B28" s="59" t="s">
        <v>3873</v>
      </c>
      <c r="C28" s="60">
        <v>36.0</v>
      </c>
      <c r="D28" s="59" t="s">
        <v>3807</v>
      </c>
      <c r="E28" s="59" t="s">
        <v>3808</v>
      </c>
      <c r="F28" s="59" t="s">
        <v>3866</v>
      </c>
      <c r="G28" s="59" t="s">
        <v>3829</v>
      </c>
      <c r="H28" s="59" t="s">
        <v>3830</v>
      </c>
      <c r="I28" s="62">
        <v>34060.0</v>
      </c>
    </row>
    <row r="29">
      <c r="A29" s="59">
        <v>2.11211542E8</v>
      </c>
      <c r="B29" s="59" t="s">
        <v>3874</v>
      </c>
      <c r="C29" s="60">
        <v>41.0</v>
      </c>
      <c r="D29" s="59" t="s">
        <v>3807</v>
      </c>
      <c r="E29" s="59" t="s">
        <v>3817</v>
      </c>
      <c r="F29" s="59" t="s">
        <v>3832</v>
      </c>
      <c r="G29" s="59" t="s">
        <v>3819</v>
      </c>
      <c r="H29" s="59" t="s">
        <v>3820</v>
      </c>
      <c r="I29" s="62">
        <v>30380.0</v>
      </c>
    </row>
    <row r="30">
      <c r="A30" s="59">
        <v>1.101911E8</v>
      </c>
      <c r="B30" s="59" t="s">
        <v>3875</v>
      </c>
      <c r="C30" s="60">
        <v>41.0</v>
      </c>
      <c r="D30" s="59" t="s">
        <v>3807</v>
      </c>
      <c r="E30" s="59" t="s">
        <v>3808</v>
      </c>
      <c r="F30" s="59" t="s">
        <v>3832</v>
      </c>
      <c r="G30" s="59" t="s">
        <v>3819</v>
      </c>
      <c r="H30" s="59" t="s">
        <v>3820</v>
      </c>
      <c r="I30" s="62">
        <v>30744.0</v>
      </c>
    </row>
    <row r="31">
      <c r="A31" s="59">
        <v>2.05241933E8</v>
      </c>
      <c r="B31" s="59" t="s">
        <v>3876</v>
      </c>
      <c r="C31" s="60">
        <v>0.0</v>
      </c>
      <c r="D31" s="61"/>
      <c r="E31" s="59" t="s">
        <v>3817</v>
      </c>
      <c r="F31" s="59" t="s">
        <v>3851</v>
      </c>
      <c r="G31" s="59" t="s">
        <v>3819</v>
      </c>
      <c r="H31" s="59" t="s">
        <v>3820</v>
      </c>
      <c r="I31" s="61"/>
    </row>
    <row r="32">
      <c r="A32" s="59">
        <v>1.12231862E8</v>
      </c>
      <c r="B32" s="59" t="s">
        <v>3877</v>
      </c>
      <c r="C32" s="60">
        <v>0.0</v>
      </c>
      <c r="D32" s="61"/>
      <c r="E32" s="59" t="s">
        <v>3808</v>
      </c>
      <c r="F32" s="59" t="s">
        <v>3878</v>
      </c>
      <c r="G32" s="59" t="s">
        <v>3819</v>
      </c>
      <c r="H32" s="59" t="s">
        <v>3820</v>
      </c>
      <c r="I32" s="61"/>
    </row>
    <row r="33">
      <c r="A33" s="59">
        <v>2.03221605E8</v>
      </c>
      <c r="B33" s="59" t="s">
        <v>3879</v>
      </c>
      <c r="C33" s="60">
        <v>46.0</v>
      </c>
      <c r="D33" s="59" t="s">
        <v>3813</v>
      </c>
      <c r="E33" s="59" t="s">
        <v>3817</v>
      </c>
      <c r="F33" s="59" t="s">
        <v>3832</v>
      </c>
      <c r="G33" s="59" t="s">
        <v>3819</v>
      </c>
      <c r="H33" s="59" t="s">
        <v>3820</v>
      </c>
      <c r="I33" s="62">
        <v>29983.0</v>
      </c>
    </row>
    <row r="34">
      <c r="A34" s="61"/>
      <c r="B34" s="59" t="s">
        <v>3880</v>
      </c>
      <c r="C34" s="60">
        <v>0.0</v>
      </c>
      <c r="D34" s="61"/>
      <c r="E34" s="59" t="s">
        <v>3817</v>
      </c>
      <c r="F34" s="63" t="b">
        <v>0</v>
      </c>
      <c r="G34" s="59" t="s">
        <v>3881</v>
      </c>
      <c r="H34" s="63" t="b">
        <v>0</v>
      </c>
      <c r="I34" s="61"/>
    </row>
    <row r="35">
      <c r="A35" s="59">
        <v>2.03241894E8</v>
      </c>
      <c r="B35" s="59" t="s">
        <v>3882</v>
      </c>
      <c r="C35" s="60">
        <v>0.0</v>
      </c>
      <c r="D35" s="61"/>
      <c r="E35" s="59" t="s">
        <v>3817</v>
      </c>
      <c r="F35" s="59" t="s">
        <v>3883</v>
      </c>
      <c r="G35" s="59" t="s">
        <v>3810</v>
      </c>
      <c r="H35" s="59" t="s">
        <v>3811</v>
      </c>
      <c r="I35" s="61"/>
    </row>
    <row r="36">
      <c r="A36" s="59">
        <v>2.02221583E8</v>
      </c>
      <c r="B36" s="59" t="s">
        <v>3884</v>
      </c>
      <c r="C36" s="60">
        <v>22.0</v>
      </c>
      <c r="D36" s="59" t="s">
        <v>3807</v>
      </c>
      <c r="E36" s="59" t="s">
        <v>3817</v>
      </c>
      <c r="F36" s="59" t="s">
        <v>3885</v>
      </c>
      <c r="G36" s="59" t="s">
        <v>3858</v>
      </c>
      <c r="H36" s="59" t="s">
        <v>3886</v>
      </c>
      <c r="I36" s="61"/>
    </row>
    <row r="37">
      <c r="A37" s="59">
        <v>2.07211444E8</v>
      </c>
      <c r="B37" s="59" t="s">
        <v>3887</v>
      </c>
      <c r="C37" s="60">
        <v>24.0</v>
      </c>
      <c r="D37" s="59" t="s">
        <v>3841</v>
      </c>
      <c r="E37" s="59" t="s">
        <v>3817</v>
      </c>
      <c r="F37" s="59" t="s">
        <v>3888</v>
      </c>
      <c r="G37" s="59" t="s">
        <v>3823</v>
      </c>
      <c r="H37" s="59" t="s">
        <v>3824</v>
      </c>
      <c r="I37" s="61"/>
    </row>
    <row r="38">
      <c r="A38" s="59">
        <v>2.06189004E8</v>
      </c>
      <c r="B38" s="59" t="s">
        <v>3889</v>
      </c>
      <c r="C38" s="60">
        <v>0.0</v>
      </c>
      <c r="D38" s="61"/>
      <c r="E38" s="59" t="s">
        <v>3817</v>
      </c>
      <c r="F38" s="63" t="b">
        <v>0</v>
      </c>
      <c r="G38" s="59" t="s">
        <v>3881</v>
      </c>
      <c r="H38" s="59" t="s">
        <v>3890</v>
      </c>
      <c r="I38" s="61"/>
    </row>
    <row r="39">
      <c r="A39" s="59">
        <v>1.03180405E8</v>
      </c>
      <c r="B39" s="59" t="s">
        <v>3891</v>
      </c>
      <c r="C39" s="60">
        <v>48.0</v>
      </c>
      <c r="D39" s="59" t="s">
        <v>3841</v>
      </c>
      <c r="E39" s="59" t="s">
        <v>3808</v>
      </c>
      <c r="F39" s="59" t="s">
        <v>3892</v>
      </c>
      <c r="G39" s="59" t="s">
        <v>3819</v>
      </c>
      <c r="H39" s="59" t="s">
        <v>3820</v>
      </c>
      <c r="I39" s="62">
        <v>27424.0</v>
      </c>
    </row>
    <row r="40">
      <c r="A40" s="59">
        <v>2.02211339E8</v>
      </c>
      <c r="B40" s="59" t="s">
        <v>3893</v>
      </c>
      <c r="C40" s="60">
        <v>27.0</v>
      </c>
      <c r="D40" s="59" t="s">
        <v>3813</v>
      </c>
      <c r="E40" s="59" t="s">
        <v>3817</v>
      </c>
      <c r="F40" s="59" t="s">
        <v>3866</v>
      </c>
      <c r="G40" s="59" t="s">
        <v>3829</v>
      </c>
      <c r="H40" s="59" t="s">
        <v>3830</v>
      </c>
      <c r="I40" s="61"/>
    </row>
    <row r="41">
      <c r="A41" s="59">
        <v>2.03190787E8</v>
      </c>
      <c r="B41" s="59" t="s">
        <v>3894</v>
      </c>
      <c r="C41" s="60">
        <v>43.0</v>
      </c>
      <c r="D41" s="59" t="s">
        <v>3807</v>
      </c>
      <c r="E41" s="59" t="s">
        <v>3817</v>
      </c>
      <c r="F41" s="59" t="s">
        <v>3832</v>
      </c>
      <c r="G41" s="59" t="s">
        <v>3819</v>
      </c>
      <c r="H41" s="59" t="s">
        <v>3820</v>
      </c>
      <c r="I41" s="61"/>
    </row>
    <row r="42">
      <c r="A42" s="59">
        <v>2.0122157E8</v>
      </c>
      <c r="B42" s="59" t="s">
        <v>3895</v>
      </c>
      <c r="C42" s="60">
        <v>28.0</v>
      </c>
      <c r="D42" s="59" t="s">
        <v>3807</v>
      </c>
      <c r="E42" s="59" t="s">
        <v>3817</v>
      </c>
      <c r="F42" s="59" t="s">
        <v>3832</v>
      </c>
      <c r="G42" s="59" t="s">
        <v>3819</v>
      </c>
      <c r="H42" s="59" t="s">
        <v>3820</v>
      </c>
      <c r="I42" s="61"/>
    </row>
    <row r="43">
      <c r="A43" s="59">
        <v>2.11180653E8</v>
      </c>
      <c r="B43" s="59" t="s">
        <v>3896</v>
      </c>
      <c r="C43" s="60">
        <v>52.0</v>
      </c>
      <c r="D43" s="59" t="s">
        <v>3807</v>
      </c>
      <c r="E43" s="59" t="s">
        <v>3817</v>
      </c>
      <c r="F43" s="59" t="s">
        <v>3866</v>
      </c>
      <c r="G43" s="59" t="s">
        <v>3829</v>
      </c>
      <c r="H43" s="59" t="s">
        <v>3830</v>
      </c>
      <c r="I43" s="62">
        <v>31031.0</v>
      </c>
    </row>
    <row r="44">
      <c r="A44" s="59">
        <v>2.05231763E8</v>
      </c>
      <c r="B44" s="59" t="s">
        <v>3897</v>
      </c>
      <c r="C44" s="60">
        <v>0.0</v>
      </c>
      <c r="D44" s="61"/>
      <c r="E44" s="59" t="s">
        <v>3817</v>
      </c>
      <c r="F44" s="59" t="s">
        <v>3898</v>
      </c>
      <c r="G44" s="59" t="s">
        <v>3819</v>
      </c>
      <c r="H44" s="59" t="s">
        <v>3820</v>
      </c>
      <c r="I44" s="61"/>
    </row>
    <row r="45">
      <c r="A45" s="59">
        <v>3.08210087E8</v>
      </c>
      <c r="B45" s="59" t="s">
        <v>3899</v>
      </c>
      <c r="C45" s="60">
        <v>47.0</v>
      </c>
      <c r="D45" s="59" t="s">
        <v>3807</v>
      </c>
      <c r="E45" s="59" t="s">
        <v>3834</v>
      </c>
      <c r="F45" s="59" t="s">
        <v>3866</v>
      </c>
      <c r="G45" s="59" t="s">
        <v>3829</v>
      </c>
      <c r="H45" s="59" t="s">
        <v>3900</v>
      </c>
      <c r="I45" s="62">
        <v>29476.0</v>
      </c>
    </row>
    <row r="46">
      <c r="A46" s="59">
        <v>2.04190824E8</v>
      </c>
      <c r="B46" s="59" t="s">
        <v>3901</v>
      </c>
      <c r="C46" s="60">
        <v>43.0</v>
      </c>
      <c r="D46" s="59" t="s">
        <v>3807</v>
      </c>
      <c r="E46" s="59" t="s">
        <v>3817</v>
      </c>
      <c r="F46" s="59" t="s">
        <v>3832</v>
      </c>
      <c r="G46" s="59" t="s">
        <v>3819</v>
      </c>
      <c r="H46" s="59" t="s">
        <v>3820</v>
      </c>
      <c r="I46" s="62">
        <v>30682.0</v>
      </c>
    </row>
    <row r="47">
      <c r="A47" s="59" t="s">
        <v>3902</v>
      </c>
      <c r="B47" s="59" t="s">
        <v>3903</v>
      </c>
      <c r="C47" s="60">
        <v>0.0</v>
      </c>
      <c r="D47" s="61"/>
      <c r="E47" s="59" t="s">
        <v>3808</v>
      </c>
      <c r="F47" s="63" t="b">
        <v>0</v>
      </c>
      <c r="G47" s="59" t="s">
        <v>3881</v>
      </c>
      <c r="H47" s="59" t="s">
        <v>3904</v>
      </c>
      <c r="I47" s="61"/>
    </row>
    <row r="48">
      <c r="A48" s="59">
        <v>2.04241905E8</v>
      </c>
      <c r="B48" s="59" t="s">
        <v>3905</v>
      </c>
      <c r="C48" s="60">
        <v>29.0</v>
      </c>
      <c r="D48" s="59" t="s">
        <v>3807</v>
      </c>
      <c r="E48" s="59" t="s">
        <v>3817</v>
      </c>
      <c r="F48" s="59" t="s">
        <v>3883</v>
      </c>
      <c r="G48" s="59" t="s">
        <v>3810</v>
      </c>
      <c r="H48" s="59" t="s">
        <v>3811</v>
      </c>
      <c r="I48" s="61"/>
    </row>
    <row r="49">
      <c r="A49" s="59">
        <v>2.07221661E8</v>
      </c>
      <c r="B49" s="59" t="s">
        <v>3906</v>
      </c>
      <c r="C49" s="60">
        <v>65.0</v>
      </c>
      <c r="D49" s="59" t="s">
        <v>3807</v>
      </c>
      <c r="E49" s="59" t="s">
        <v>3808</v>
      </c>
      <c r="F49" s="59" t="s">
        <v>3832</v>
      </c>
      <c r="G49" s="59" t="s">
        <v>3819</v>
      </c>
      <c r="H49" s="59" t="s">
        <v>3820</v>
      </c>
      <c r="I49" s="62">
        <v>26481.0</v>
      </c>
    </row>
    <row r="50">
      <c r="A50" s="59">
        <v>1.07221659E8</v>
      </c>
      <c r="B50" s="59" t="s">
        <v>3907</v>
      </c>
      <c r="C50" s="60">
        <v>47.0</v>
      </c>
      <c r="D50" s="59" t="s">
        <v>3807</v>
      </c>
      <c r="E50" s="59" t="s">
        <v>3808</v>
      </c>
      <c r="F50" s="59" t="s">
        <v>3832</v>
      </c>
      <c r="G50" s="59" t="s">
        <v>3819</v>
      </c>
      <c r="H50" s="59" t="s">
        <v>3820</v>
      </c>
      <c r="I50" s="62">
        <v>32690.0</v>
      </c>
    </row>
    <row r="51">
      <c r="A51" s="59">
        <v>2.09120697E8</v>
      </c>
      <c r="B51" s="59" t="s">
        <v>3908</v>
      </c>
      <c r="C51" s="60">
        <v>47.0</v>
      </c>
      <c r="D51" s="59" t="s">
        <v>3807</v>
      </c>
      <c r="E51" s="59" t="s">
        <v>3817</v>
      </c>
      <c r="F51" s="59" t="s">
        <v>3832</v>
      </c>
      <c r="G51" s="59" t="s">
        <v>3819</v>
      </c>
      <c r="H51" s="59" t="s">
        <v>3820</v>
      </c>
      <c r="I51" s="61"/>
    </row>
    <row r="52">
      <c r="A52" s="59">
        <v>1.07201159E8</v>
      </c>
      <c r="B52" s="59" t="s">
        <v>3909</v>
      </c>
      <c r="C52" s="60">
        <v>38.0</v>
      </c>
      <c r="D52" s="59" t="s">
        <v>3807</v>
      </c>
      <c r="E52" s="59" t="s">
        <v>3808</v>
      </c>
      <c r="F52" s="59" t="s">
        <v>3826</v>
      </c>
      <c r="G52" s="59" t="s">
        <v>3823</v>
      </c>
      <c r="H52" s="59" t="s">
        <v>3824</v>
      </c>
      <c r="I52" s="61"/>
    </row>
    <row r="53">
      <c r="A53" s="59">
        <v>1.08201201E8</v>
      </c>
      <c r="B53" s="59" t="s">
        <v>3910</v>
      </c>
      <c r="C53" s="60">
        <v>27.0</v>
      </c>
      <c r="D53" s="59" t="s">
        <v>3807</v>
      </c>
      <c r="E53" s="59" t="s">
        <v>3808</v>
      </c>
      <c r="F53" s="59" t="s">
        <v>3911</v>
      </c>
      <c r="G53" s="59" t="s">
        <v>3829</v>
      </c>
      <c r="H53" s="59" t="s">
        <v>3830</v>
      </c>
      <c r="I53" s="61"/>
    </row>
    <row r="54">
      <c r="A54" s="59">
        <v>2.05231759E8</v>
      </c>
      <c r="B54" s="59" t="s">
        <v>3912</v>
      </c>
      <c r="C54" s="60">
        <v>27.0</v>
      </c>
      <c r="D54" s="59" t="s">
        <v>3841</v>
      </c>
      <c r="E54" s="59" t="s">
        <v>3817</v>
      </c>
      <c r="F54" s="59" t="s">
        <v>3913</v>
      </c>
      <c r="G54" s="59" t="s">
        <v>3819</v>
      </c>
      <c r="H54" s="59" t="s">
        <v>3820</v>
      </c>
      <c r="I54" s="61"/>
    </row>
    <row r="55">
      <c r="A55" s="59">
        <v>2.06231787E8</v>
      </c>
      <c r="B55" s="59" t="s">
        <v>3914</v>
      </c>
      <c r="C55" s="60">
        <v>20.0</v>
      </c>
      <c r="D55" s="59" t="s">
        <v>3841</v>
      </c>
      <c r="E55" s="59" t="s">
        <v>3817</v>
      </c>
      <c r="F55" s="59" t="s">
        <v>3915</v>
      </c>
      <c r="G55" s="59" t="s">
        <v>3810</v>
      </c>
      <c r="H55" s="59" t="s">
        <v>3811</v>
      </c>
      <c r="I55" s="61"/>
    </row>
    <row r="56">
      <c r="A56" s="59">
        <v>1.11180596E8</v>
      </c>
      <c r="B56" s="59" t="s">
        <v>3916</v>
      </c>
      <c r="C56" s="60">
        <v>28.0</v>
      </c>
      <c r="D56" s="59" t="s">
        <v>3807</v>
      </c>
      <c r="E56" s="59" t="s">
        <v>3808</v>
      </c>
      <c r="F56" s="59" t="s">
        <v>3911</v>
      </c>
      <c r="G56" s="59" t="s">
        <v>3829</v>
      </c>
      <c r="H56" s="59" t="s">
        <v>3830</v>
      </c>
      <c r="I56" s="61"/>
    </row>
    <row r="57">
      <c r="A57" s="59">
        <v>2.09231831E8</v>
      </c>
      <c r="B57" s="59" t="s">
        <v>3917</v>
      </c>
      <c r="C57" s="60">
        <v>0.0</v>
      </c>
      <c r="D57" s="61"/>
      <c r="E57" s="59" t="s">
        <v>3817</v>
      </c>
      <c r="F57" s="59" t="s">
        <v>3878</v>
      </c>
      <c r="G57" s="59" t="s">
        <v>3819</v>
      </c>
      <c r="H57" s="59" t="s">
        <v>3820</v>
      </c>
      <c r="I57" s="61"/>
    </row>
    <row r="58">
      <c r="A58" s="59">
        <v>1.09211492E8</v>
      </c>
      <c r="B58" s="59" t="s">
        <v>3918</v>
      </c>
      <c r="C58" s="60">
        <v>43.0</v>
      </c>
      <c r="D58" s="59" t="s">
        <v>3807</v>
      </c>
      <c r="E58" s="59" t="s">
        <v>3808</v>
      </c>
      <c r="F58" s="59" t="s">
        <v>3919</v>
      </c>
      <c r="G58" s="59" t="s">
        <v>3858</v>
      </c>
      <c r="H58" s="59" t="s">
        <v>3886</v>
      </c>
      <c r="I58" s="62">
        <v>34304.0</v>
      </c>
    </row>
    <row r="59">
      <c r="A59" s="59">
        <v>2.01241876E8</v>
      </c>
      <c r="B59" s="59" t="s">
        <v>3920</v>
      </c>
      <c r="C59" s="60">
        <v>1.0</v>
      </c>
      <c r="D59" s="59" t="s">
        <v>3807</v>
      </c>
      <c r="E59" s="59" t="s">
        <v>3817</v>
      </c>
      <c r="F59" s="59" t="s">
        <v>3921</v>
      </c>
      <c r="G59" s="59" t="s">
        <v>3858</v>
      </c>
      <c r="H59" s="59" t="s">
        <v>3859</v>
      </c>
      <c r="I59" s="61"/>
    </row>
    <row r="60">
      <c r="A60" s="59">
        <v>2.01221577E8</v>
      </c>
      <c r="B60" s="59" t="s">
        <v>3922</v>
      </c>
      <c r="C60" s="60">
        <v>30.0</v>
      </c>
      <c r="D60" s="59" t="s">
        <v>3841</v>
      </c>
      <c r="E60" s="59" t="s">
        <v>3817</v>
      </c>
      <c r="F60" s="59" t="s">
        <v>3923</v>
      </c>
      <c r="G60" s="59" t="s">
        <v>3810</v>
      </c>
      <c r="H60" s="59" t="s">
        <v>3811</v>
      </c>
      <c r="I60" s="62">
        <v>33335.0</v>
      </c>
    </row>
    <row r="61">
      <c r="A61" s="59">
        <v>1.07201158E8</v>
      </c>
      <c r="B61" s="59" t="s">
        <v>3924</v>
      </c>
      <c r="C61" s="60">
        <v>55.0</v>
      </c>
      <c r="D61" s="59" t="s">
        <v>3807</v>
      </c>
      <c r="E61" s="59" t="s">
        <v>3808</v>
      </c>
      <c r="F61" s="59" t="s">
        <v>3832</v>
      </c>
      <c r="G61" s="59" t="s">
        <v>3819</v>
      </c>
      <c r="H61" s="59" t="s">
        <v>3820</v>
      </c>
      <c r="I61" s="61"/>
    </row>
    <row r="62">
      <c r="A62" s="59">
        <v>2.06211414E8</v>
      </c>
      <c r="B62" s="59" t="s">
        <v>3925</v>
      </c>
      <c r="C62" s="60">
        <v>38.0</v>
      </c>
      <c r="D62" s="59" t="s">
        <v>3841</v>
      </c>
      <c r="E62" s="59" t="s">
        <v>3817</v>
      </c>
      <c r="F62" s="59" t="s">
        <v>3828</v>
      </c>
      <c r="G62" s="59" t="s">
        <v>3829</v>
      </c>
      <c r="H62" s="59" t="s">
        <v>3830</v>
      </c>
      <c r="I62" s="61"/>
    </row>
    <row r="63">
      <c r="A63" s="59">
        <v>2.03211348E8</v>
      </c>
      <c r="B63" s="59" t="s">
        <v>3926</v>
      </c>
      <c r="C63" s="60">
        <v>30.0</v>
      </c>
      <c r="D63" s="59" t="s">
        <v>3813</v>
      </c>
      <c r="E63" s="59" t="s">
        <v>3817</v>
      </c>
      <c r="F63" s="59" t="s">
        <v>3866</v>
      </c>
      <c r="G63" s="59" t="s">
        <v>3829</v>
      </c>
      <c r="H63" s="59" t="s">
        <v>3830</v>
      </c>
      <c r="I63" s="62">
        <v>33488.0</v>
      </c>
    </row>
    <row r="64">
      <c r="A64" s="59">
        <v>1.0720116E8</v>
      </c>
      <c r="B64" s="59" t="s">
        <v>3927</v>
      </c>
      <c r="C64" s="60">
        <v>39.0</v>
      </c>
      <c r="D64" s="59" t="s">
        <v>3807</v>
      </c>
      <c r="E64" s="59" t="s">
        <v>3808</v>
      </c>
      <c r="F64" s="59" t="s">
        <v>3866</v>
      </c>
      <c r="G64" s="59" t="s">
        <v>3829</v>
      </c>
      <c r="H64" s="59" t="s">
        <v>3830</v>
      </c>
      <c r="I64" s="61"/>
    </row>
    <row r="65">
      <c r="A65" s="59">
        <v>2.04231744E8</v>
      </c>
      <c r="B65" s="59" t="s">
        <v>3928</v>
      </c>
      <c r="C65" s="60">
        <v>22.0</v>
      </c>
      <c r="D65" s="59" t="s">
        <v>3807</v>
      </c>
      <c r="E65" s="59" t="s">
        <v>3817</v>
      </c>
      <c r="F65" s="59" t="s">
        <v>3921</v>
      </c>
      <c r="G65" s="59" t="s">
        <v>3858</v>
      </c>
      <c r="H65" s="63" t="b">
        <v>0</v>
      </c>
      <c r="I65" s="62">
        <v>37325.0</v>
      </c>
    </row>
    <row r="66">
      <c r="A66" s="59">
        <v>1.08201187E8</v>
      </c>
      <c r="B66" s="59" t="s">
        <v>3929</v>
      </c>
      <c r="C66" s="60">
        <v>27.0</v>
      </c>
      <c r="D66" s="59" t="s">
        <v>3807</v>
      </c>
      <c r="E66" s="59" t="s">
        <v>3808</v>
      </c>
      <c r="F66" s="59" t="s">
        <v>3898</v>
      </c>
      <c r="G66" s="59" t="s">
        <v>3819</v>
      </c>
      <c r="H66" s="59" t="s">
        <v>3820</v>
      </c>
      <c r="I66" s="61"/>
    </row>
    <row r="67">
      <c r="A67" s="59">
        <v>2.03241898E8</v>
      </c>
      <c r="B67" s="59" t="s">
        <v>3930</v>
      </c>
      <c r="C67" s="60">
        <v>0.0</v>
      </c>
      <c r="D67" s="61"/>
      <c r="E67" s="59" t="s">
        <v>3817</v>
      </c>
      <c r="F67" s="59" t="s">
        <v>3883</v>
      </c>
      <c r="G67" s="59" t="s">
        <v>3810</v>
      </c>
      <c r="H67" s="59" t="s">
        <v>3811</v>
      </c>
      <c r="I67" s="61"/>
    </row>
    <row r="68">
      <c r="A68" s="59">
        <v>2.03221614E8</v>
      </c>
      <c r="B68" s="59" t="s">
        <v>3931</v>
      </c>
      <c r="C68" s="60">
        <v>24.0</v>
      </c>
      <c r="D68" s="59" t="s">
        <v>3807</v>
      </c>
      <c r="E68" s="59" t="s">
        <v>3817</v>
      </c>
      <c r="F68" s="59" t="s">
        <v>3866</v>
      </c>
      <c r="G68" s="59" t="s">
        <v>3829</v>
      </c>
      <c r="H68" s="59" t="s">
        <v>3830</v>
      </c>
      <c r="I68" s="61"/>
    </row>
    <row r="69">
      <c r="A69" s="59">
        <v>2.05241921E8</v>
      </c>
      <c r="B69" s="59" t="s">
        <v>3932</v>
      </c>
      <c r="C69" s="60">
        <v>0.0</v>
      </c>
      <c r="D69" s="61"/>
      <c r="E69" s="59" t="s">
        <v>3817</v>
      </c>
      <c r="F69" s="59" t="s">
        <v>3933</v>
      </c>
      <c r="G69" s="59" t="s">
        <v>3823</v>
      </c>
      <c r="H69" s="59" t="s">
        <v>3824</v>
      </c>
      <c r="I69" s="61"/>
    </row>
    <row r="70">
      <c r="A70" s="59">
        <v>2.04241911E8</v>
      </c>
      <c r="B70" s="59" t="s">
        <v>3934</v>
      </c>
      <c r="C70" s="60">
        <v>0.0</v>
      </c>
      <c r="D70" s="61"/>
      <c r="E70" s="59" t="s">
        <v>3817</v>
      </c>
      <c r="F70" s="59" t="s">
        <v>3935</v>
      </c>
      <c r="G70" s="59" t="s">
        <v>3823</v>
      </c>
      <c r="H70" s="59" t="s">
        <v>3824</v>
      </c>
      <c r="I70" s="61"/>
    </row>
    <row r="71">
      <c r="A71" s="59">
        <v>2.01241879E8</v>
      </c>
      <c r="B71" s="59" t="s">
        <v>3936</v>
      </c>
      <c r="C71" s="60">
        <v>0.0</v>
      </c>
      <c r="D71" s="61"/>
      <c r="E71" s="59" t="s">
        <v>3817</v>
      </c>
      <c r="F71" s="59" t="s">
        <v>3915</v>
      </c>
      <c r="G71" s="59" t="s">
        <v>3810</v>
      </c>
      <c r="H71" s="59" t="s">
        <v>3811</v>
      </c>
      <c r="I71" s="61"/>
    </row>
    <row r="72">
      <c r="A72" s="61"/>
      <c r="B72" s="59" t="s">
        <v>3937</v>
      </c>
      <c r="C72" s="60">
        <v>0.0</v>
      </c>
      <c r="D72" s="61"/>
      <c r="E72" s="59" t="s">
        <v>3817</v>
      </c>
      <c r="F72" s="63" t="b">
        <v>0</v>
      </c>
      <c r="G72" s="63" t="b">
        <v>0</v>
      </c>
      <c r="H72" s="63" t="b">
        <v>0</v>
      </c>
      <c r="I72" s="61"/>
    </row>
    <row r="73">
      <c r="A73" s="59">
        <v>2.12231868E8</v>
      </c>
      <c r="B73" s="59" t="s">
        <v>3938</v>
      </c>
      <c r="C73" s="60">
        <v>0.0</v>
      </c>
      <c r="D73" s="61"/>
      <c r="E73" s="59" t="s">
        <v>3817</v>
      </c>
      <c r="F73" s="59" t="s">
        <v>3878</v>
      </c>
      <c r="G73" s="59" t="s">
        <v>3819</v>
      </c>
      <c r="H73" s="59" t="s">
        <v>3820</v>
      </c>
      <c r="I73" s="61"/>
    </row>
    <row r="74">
      <c r="A74" s="59">
        <v>2.12180734E8</v>
      </c>
      <c r="B74" s="59" t="s">
        <v>3939</v>
      </c>
      <c r="C74" s="60">
        <v>31.0</v>
      </c>
      <c r="D74" s="59" t="s">
        <v>3807</v>
      </c>
      <c r="E74" s="59" t="s">
        <v>3817</v>
      </c>
      <c r="F74" s="59" t="s">
        <v>3866</v>
      </c>
      <c r="G74" s="59" t="s">
        <v>3829</v>
      </c>
      <c r="H74" s="59" t="s">
        <v>3830</v>
      </c>
      <c r="I74" s="62">
        <v>35057.0</v>
      </c>
    </row>
    <row r="75">
      <c r="A75" s="59">
        <v>2.1223187E8</v>
      </c>
      <c r="B75" s="59" t="s">
        <v>3940</v>
      </c>
      <c r="C75" s="60">
        <v>0.0</v>
      </c>
      <c r="D75" s="61"/>
      <c r="E75" s="59" t="s">
        <v>3817</v>
      </c>
      <c r="F75" s="59" t="s">
        <v>3878</v>
      </c>
      <c r="G75" s="59" t="s">
        <v>3819</v>
      </c>
      <c r="H75" s="59" t="s">
        <v>3820</v>
      </c>
      <c r="I75" s="61"/>
    </row>
    <row r="76">
      <c r="A76" s="59">
        <v>2.02221582E8</v>
      </c>
      <c r="B76" s="59" t="s">
        <v>3941</v>
      </c>
      <c r="C76" s="60">
        <v>21.0</v>
      </c>
      <c r="D76" s="59" t="s">
        <v>3813</v>
      </c>
      <c r="E76" s="59" t="s">
        <v>3817</v>
      </c>
      <c r="F76" s="59" t="s">
        <v>3942</v>
      </c>
      <c r="G76" s="59" t="s">
        <v>3815</v>
      </c>
      <c r="H76" s="59" t="s">
        <v>3943</v>
      </c>
      <c r="I76" s="61"/>
    </row>
    <row r="77">
      <c r="A77" s="59">
        <v>2.09221672E8</v>
      </c>
      <c r="B77" s="59" t="s">
        <v>3944</v>
      </c>
      <c r="C77" s="60">
        <v>33.0</v>
      </c>
      <c r="D77" s="59" t="s">
        <v>3807</v>
      </c>
      <c r="E77" s="59" t="s">
        <v>3817</v>
      </c>
      <c r="F77" s="59" t="s">
        <v>3851</v>
      </c>
      <c r="G77" s="59" t="s">
        <v>3819</v>
      </c>
      <c r="H77" s="59" t="s">
        <v>3820</v>
      </c>
      <c r="I77" s="62">
        <v>29386.0</v>
      </c>
    </row>
    <row r="78">
      <c r="A78" s="59">
        <v>2.03221612E8</v>
      </c>
      <c r="B78" s="59" t="s">
        <v>3945</v>
      </c>
      <c r="C78" s="60">
        <v>42.0</v>
      </c>
      <c r="D78" s="59" t="s">
        <v>3807</v>
      </c>
      <c r="E78" s="59" t="s">
        <v>3817</v>
      </c>
      <c r="F78" s="59" t="s">
        <v>3866</v>
      </c>
      <c r="G78" s="59" t="s">
        <v>3829</v>
      </c>
      <c r="H78" s="59" t="s">
        <v>3830</v>
      </c>
      <c r="I78" s="62">
        <v>30839.0</v>
      </c>
    </row>
    <row r="79">
      <c r="A79" s="61"/>
      <c r="B79" s="59" t="s">
        <v>3946</v>
      </c>
      <c r="C79" s="60">
        <v>0.0</v>
      </c>
      <c r="D79" s="61"/>
      <c r="E79" s="59" t="s">
        <v>3817</v>
      </c>
      <c r="F79" s="63" t="b">
        <v>0</v>
      </c>
      <c r="G79" s="63" t="b">
        <v>0</v>
      </c>
      <c r="H79" s="63" t="b">
        <v>0</v>
      </c>
      <c r="I79" s="61"/>
    </row>
    <row r="80">
      <c r="A80" s="59">
        <v>2.08201189E8</v>
      </c>
      <c r="B80" s="59" t="s">
        <v>3947</v>
      </c>
      <c r="C80" s="60">
        <v>32.0</v>
      </c>
      <c r="D80" s="59" t="s">
        <v>3807</v>
      </c>
      <c r="E80" s="59" t="s">
        <v>3817</v>
      </c>
      <c r="F80" s="59" t="s">
        <v>3866</v>
      </c>
      <c r="G80" s="59" t="s">
        <v>3829</v>
      </c>
      <c r="H80" s="59" t="s">
        <v>3830</v>
      </c>
      <c r="I80" s="62">
        <v>30628.0</v>
      </c>
    </row>
    <row r="81">
      <c r="A81" s="59">
        <v>2.12221712E8</v>
      </c>
      <c r="B81" s="59" t="s">
        <v>3948</v>
      </c>
      <c r="C81" s="60">
        <v>30.0</v>
      </c>
      <c r="D81" s="59" t="s">
        <v>3807</v>
      </c>
      <c r="E81" s="59" t="s">
        <v>3817</v>
      </c>
      <c r="F81" s="59" t="s">
        <v>3898</v>
      </c>
      <c r="G81" s="59" t="s">
        <v>3819</v>
      </c>
      <c r="H81" s="59" t="s">
        <v>3820</v>
      </c>
      <c r="I81" s="62">
        <v>36828.0</v>
      </c>
    </row>
    <row r="82">
      <c r="A82" s="59">
        <v>1.12180619E8</v>
      </c>
      <c r="B82" s="59" t="s">
        <v>3949</v>
      </c>
      <c r="C82" s="60">
        <v>44.0</v>
      </c>
      <c r="D82" s="59" t="s">
        <v>3807</v>
      </c>
      <c r="E82" s="59" t="s">
        <v>3808</v>
      </c>
      <c r="F82" s="59" t="s">
        <v>3861</v>
      </c>
      <c r="G82" s="59" t="s">
        <v>3829</v>
      </c>
      <c r="H82" s="59" t="s">
        <v>3830</v>
      </c>
      <c r="I82" s="61"/>
    </row>
    <row r="83">
      <c r="A83" s="59">
        <v>2.02211342E8</v>
      </c>
      <c r="B83" s="59" t="s">
        <v>3950</v>
      </c>
      <c r="C83" s="60">
        <v>33.0</v>
      </c>
      <c r="D83" s="59" t="s">
        <v>3807</v>
      </c>
      <c r="E83" s="59" t="s">
        <v>3817</v>
      </c>
      <c r="F83" s="59" t="s">
        <v>3866</v>
      </c>
      <c r="G83" s="59" t="s">
        <v>3829</v>
      </c>
      <c r="H83" s="59" t="s">
        <v>3830</v>
      </c>
      <c r="I83" s="62">
        <v>31738.0</v>
      </c>
    </row>
    <row r="84">
      <c r="A84" s="59">
        <v>1.09201214E8</v>
      </c>
      <c r="B84" s="59" t="s">
        <v>3951</v>
      </c>
      <c r="C84" s="60">
        <v>28.0</v>
      </c>
      <c r="D84" s="59" t="s">
        <v>3807</v>
      </c>
      <c r="E84" s="59" t="s">
        <v>3808</v>
      </c>
      <c r="F84" s="59" t="s">
        <v>3866</v>
      </c>
      <c r="G84" s="59" t="s">
        <v>3829</v>
      </c>
      <c r="H84" s="59" t="s">
        <v>3830</v>
      </c>
      <c r="I84" s="62">
        <v>34990.0</v>
      </c>
    </row>
    <row r="85">
      <c r="A85" s="59">
        <v>2.12211551E8</v>
      </c>
      <c r="B85" s="59" t="s">
        <v>3952</v>
      </c>
      <c r="C85" s="60">
        <v>42.0</v>
      </c>
      <c r="D85" s="59" t="s">
        <v>3807</v>
      </c>
      <c r="E85" s="59" t="s">
        <v>3817</v>
      </c>
      <c r="F85" s="59" t="s">
        <v>3832</v>
      </c>
      <c r="G85" s="59" t="s">
        <v>3819</v>
      </c>
      <c r="H85" s="59" t="s">
        <v>3820</v>
      </c>
      <c r="I85" s="62">
        <v>31575.0</v>
      </c>
    </row>
    <row r="86">
      <c r="A86" s="59">
        <v>1.12201311E8</v>
      </c>
      <c r="B86" s="59" t="s">
        <v>3953</v>
      </c>
      <c r="C86" s="60">
        <v>26.0</v>
      </c>
      <c r="D86" s="59" t="s">
        <v>3807</v>
      </c>
      <c r="E86" s="59" t="s">
        <v>3808</v>
      </c>
      <c r="F86" s="59" t="s">
        <v>3954</v>
      </c>
      <c r="G86" s="59" t="s">
        <v>3881</v>
      </c>
      <c r="H86" s="59" t="s">
        <v>3904</v>
      </c>
      <c r="I86" s="61"/>
    </row>
    <row r="87">
      <c r="A87" s="59">
        <v>1.04211367E8</v>
      </c>
      <c r="B87" s="59" t="s">
        <v>3955</v>
      </c>
      <c r="C87" s="60">
        <v>28.0</v>
      </c>
      <c r="D87" s="59" t="s">
        <v>3807</v>
      </c>
      <c r="E87" s="59" t="s">
        <v>3808</v>
      </c>
      <c r="F87" s="59" t="s">
        <v>3832</v>
      </c>
      <c r="G87" s="59" t="s">
        <v>3819</v>
      </c>
      <c r="H87" s="59" t="s">
        <v>3820</v>
      </c>
      <c r="I87" s="61"/>
    </row>
    <row r="88">
      <c r="A88" s="59">
        <v>1.072318E8</v>
      </c>
      <c r="B88" s="59" t="s">
        <v>3956</v>
      </c>
      <c r="C88" s="60">
        <v>47.0</v>
      </c>
      <c r="D88" s="59" t="s">
        <v>3807</v>
      </c>
      <c r="E88" s="59" t="s">
        <v>3808</v>
      </c>
      <c r="F88" s="59" t="s">
        <v>3957</v>
      </c>
      <c r="G88" s="59" t="s">
        <v>3858</v>
      </c>
      <c r="H88" s="59" t="s">
        <v>3958</v>
      </c>
      <c r="I88" s="61"/>
    </row>
    <row r="89">
      <c r="A89" s="59">
        <v>2.05241936E8</v>
      </c>
      <c r="B89" s="59" t="s">
        <v>3959</v>
      </c>
      <c r="C89" s="60">
        <v>18.0</v>
      </c>
      <c r="D89" s="59" t="s">
        <v>3807</v>
      </c>
      <c r="E89" s="59" t="s">
        <v>3817</v>
      </c>
      <c r="F89" s="59" t="s">
        <v>3921</v>
      </c>
      <c r="G89" s="59" t="s">
        <v>3858</v>
      </c>
      <c r="H89" s="59" t="s">
        <v>3859</v>
      </c>
      <c r="I89" s="61"/>
    </row>
    <row r="90">
      <c r="A90" s="61"/>
      <c r="B90" s="59" t="s">
        <v>3960</v>
      </c>
      <c r="C90" s="60">
        <v>0.0</v>
      </c>
      <c r="D90" s="61"/>
      <c r="E90" s="59" t="s">
        <v>3808</v>
      </c>
      <c r="F90" s="63" t="b">
        <v>0</v>
      </c>
      <c r="G90" s="63" t="b">
        <v>0</v>
      </c>
      <c r="H90" s="63" t="b">
        <v>0</v>
      </c>
      <c r="I90" s="61"/>
    </row>
    <row r="91">
      <c r="A91" s="59">
        <v>2.08201204E8</v>
      </c>
      <c r="B91" s="59" t="s">
        <v>3961</v>
      </c>
      <c r="C91" s="60">
        <v>46.0</v>
      </c>
      <c r="D91" s="59" t="s">
        <v>3807</v>
      </c>
      <c r="E91" s="59" t="s">
        <v>3817</v>
      </c>
      <c r="F91" s="59" t="s">
        <v>3832</v>
      </c>
      <c r="G91" s="59" t="s">
        <v>3819</v>
      </c>
      <c r="H91" s="59" t="s">
        <v>3820</v>
      </c>
      <c r="I91" s="62">
        <v>28668.0</v>
      </c>
    </row>
    <row r="92">
      <c r="A92" s="59">
        <v>2.02221585E8</v>
      </c>
      <c r="B92" s="59" t="s">
        <v>3961</v>
      </c>
      <c r="C92" s="60">
        <v>30.0</v>
      </c>
      <c r="D92" s="59" t="s">
        <v>3807</v>
      </c>
      <c r="E92" s="59" t="s">
        <v>3817</v>
      </c>
      <c r="F92" s="59" t="s">
        <v>3942</v>
      </c>
      <c r="G92" s="59" t="s">
        <v>3815</v>
      </c>
      <c r="H92" s="59" t="s">
        <v>3943</v>
      </c>
      <c r="I92" s="62">
        <v>34447.0</v>
      </c>
    </row>
    <row r="93">
      <c r="A93" s="59">
        <v>1.04211366E8</v>
      </c>
      <c r="B93" s="59" t="s">
        <v>3962</v>
      </c>
      <c r="C93" s="60">
        <v>63.0</v>
      </c>
      <c r="D93" s="59" t="s">
        <v>3807</v>
      </c>
      <c r="E93" s="59" t="s">
        <v>3808</v>
      </c>
      <c r="F93" s="59" t="s">
        <v>3913</v>
      </c>
      <c r="G93" s="59" t="s">
        <v>3819</v>
      </c>
      <c r="H93" s="59" t="s">
        <v>3820</v>
      </c>
      <c r="I93" s="62">
        <v>26455.0</v>
      </c>
    </row>
    <row r="94">
      <c r="A94" s="59">
        <v>2.08231826E8</v>
      </c>
      <c r="B94" s="59" t="s">
        <v>3963</v>
      </c>
      <c r="C94" s="60">
        <v>31.0</v>
      </c>
      <c r="D94" s="59" t="s">
        <v>3807</v>
      </c>
      <c r="E94" s="59" t="s">
        <v>3817</v>
      </c>
      <c r="F94" s="59" t="s">
        <v>3878</v>
      </c>
      <c r="G94" s="59" t="s">
        <v>3819</v>
      </c>
      <c r="H94" s="59" t="s">
        <v>3820</v>
      </c>
      <c r="I94" s="62">
        <v>31361.0</v>
      </c>
    </row>
    <row r="95">
      <c r="A95" s="59">
        <v>2.03231734E8</v>
      </c>
      <c r="B95" s="59" t="s">
        <v>3964</v>
      </c>
      <c r="C95" s="60">
        <v>27.0</v>
      </c>
      <c r="D95" s="59" t="s">
        <v>3807</v>
      </c>
      <c r="E95" s="59" t="s">
        <v>3817</v>
      </c>
      <c r="F95" s="59" t="s">
        <v>3898</v>
      </c>
      <c r="G95" s="59" t="s">
        <v>3819</v>
      </c>
      <c r="H95" s="59" t="s">
        <v>3820</v>
      </c>
      <c r="I95" s="62">
        <v>35795.0</v>
      </c>
    </row>
    <row r="96">
      <c r="A96" s="59">
        <v>3.01210042E8</v>
      </c>
      <c r="B96" s="59" t="s">
        <v>3965</v>
      </c>
      <c r="C96" s="60">
        <v>45.0</v>
      </c>
      <c r="D96" s="59" t="s">
        <v>3807</v>
      </c>
      <c r="E96" s="59" t="s">
        <v>3834</v>
      </c>
      <c r="F96" s="59" t="s">
        <v>3866</v>
      </c>
      <c r="G96" s="59" t="s">
        <v>3829</v>
      </c>
      <c r="H96" s="59" t="s">
        <v>3830</v>
      </c>
      <c r="I96" s="62">
        <v>32486.0</v>
      </c>
    </row>
    <row r="97">
      <c r="A97" s="59">
        <v>2.11201297E8</v>
      </c>
      <c r="B97" s="59" t="s">
        <v>3966</v>
      </c>
      <c r="C97" s="60">
        <v>39.0</v>
      </c>
      <c r="D97" s="59" t="s">
        <v>3813</v>
      </c>
      <c r="E97" s="59" t="s">
        <v>3817</v>
      </c>
      <c r="F97" s="59" t="s">
        <v>3832</v>
      </c>
      <c r="G97" s="59" t="s">
        <v>3819</v>
      </c>
      <c r="H97" s="59" t="s">
        <v>3820</v>
      </c>
      <c r="I97" s="61"/>
    </row>
    <row r="98">
      <c r="A98" s="59">
        <v>2.08231814E8</v>
      </c>
      <c r="B98" s="59" t="s">
        <v>3967</v>
      </c>
      <c r="C98" s="60">
        <v>32.0</v>
      </c>
      <c r="D98" s="59" t="s">
        <v>3813</v>
      </c>
      <c r="E98" s="59" t="s">
        <v>3817</v>
      </c>
      <c r="F98" s="59" t="s">
        <v>3866</v>
      </c>
      <c r="G98" s="59" t="s">
        <v>3829</v>
      </c>
      <c r="H98" s="59" t="s">
        <v>3830</v>
      </c>
      <c r="I98" s="61"/>
    </row>
    <row r="99">
      <c r="A99" s="59">
        <v>2.03231739E8</v>
      </c>
      <c r="B99" s="59" t="s">
        <v>3968</v>
      </c>
      <c r="C99" s="60">
        <v>50.0</v>
      </c>
      <c r="D99" s="59" t="s">
        <v>3841</v>
      </c>
      <c r="E99" s="59" t="s">
        <v>3817</v>
      </c>
      <c r="F99" s="59" t="s">
        <v>3846</v>
      </c>
      <c r="G99" s="59" t="s">
        <v>3823</v>
      </c>
      <c r="H99" s="59" t="s">
        <v>3824</v>
      </c>
      <c r="I99" s="62">
        <v>28843.0</v>
      </c>
    </row>
    <row r="100">
      <c r="A100" s="59">
        <v>1.08211459E8</v>
      </c>
      <c r="B100" s="59" t="s">
        <v>3969</v>
      </c>
      <c r="C100" s="60">
        <v>53.0</v>
      </c>
      <c r="D100" s="59" t="s">
        <v>3841</v>
      </c>
      <c r="E100" s="59" t="s">
        <v>3808</v>
      </c>
      <c r="F100" s="59" t="s">
        <v>3832</v>
      </c>
      <c r="G100" s="59" t="s">
        <v>3819</v>
      </c>
      <c r="H100" s="59" t="s">
        <v>3820</v>
      </c>
      <c r="I100" s="62">
        <v>26435.0</v>
      </c>
    </row>
    <row r="101">
      <c r="A101" s="59">
        <v>1.05130051E8</v>
      </c>
      <c r="B101" s="59" t="s">
        <v>3970</v>
      </c>
      <c r="C101" s="60">
        <v>42.0</v>
      </c>
      <c r="D101" s="59" t="s">
        <v>3841</v>
      </c>
      <c r="E101" s="59" t="s">
        <v>3808</v>
      </c>
      <c r="F101" s="59" t="s">
        <v>3971</v>
      </c>
      <c r="G101" s="59" t="s">
        <v>3823</v>
      </c>
      <c r="H101" s="59" t="s">
        <v>3824</v>
      </c>
      <c r="I101" s="61"/>
    </row>
    <row r="102">
      <c r="A102" s="59">
        <v>2.01221569E8</v>
      </c>
      <c r="B102" s="59" t="s">
        <v>3972</v>
      </c>
      <c r="C102" s="60">
        <v>45.0</v>
      </c>
      <c r="D102" s="59" t="s">
        <v>3807</v>
      </c>
      <c r="E102" s="59" t="s">
        <v>3817</v>
      </c>
      <c r="F102" s="59" t="s">
        <v>3832</v>
      </c>
      <c r="G102" s="59" t="s">
        <v>3819</v>
      </c>
      <c r="H102" s="59" t="s">
        <v>3820</v>
      </c>
      <c r="I102" s="62">
        <v>31763.0</v>
      </c>
    </row>
    <row r="103">
      <c r="A103" s="59">
        <v>1.12191115E8</v>
      </c>
      <c r="B103" s="59" t="s">
        <v>3973</v>
      </c>
      <c r="C103" s="60">
        <v>49.0</v>
      </c>
      <c r="D103" s="59" t="s">
        <v>3807</v>
      </c>
      <c r="E103" s="59" t="s">
        <v>3808</v>
      </c>
      <c r="F103" s="59" t="s">
        <v>3832</v>
      </c>
      <c r="G103" s="59" t="s">
        <v>3819</v>
      </c>
      <c r="H103" s="59" t="s">
        <v>3820</v>
      </c>
      <c r="I103" s="61"/>
    </row>
    <row r="104">
      <c r="A104" s="59">
        <v>2.09150698E8</v>
      </c>
      <c r="B104" s="59" t="s">
        <v>3974</v>
      </c>
      <c r="C104" s="60">
        <v>46.0</v>
      </c>
      <c r="D104" s="59" t="s">
        <v>3807</v>
      </c>
      <c r="E104" s="59" t="s">
        <v>3817</v>
      </c>
      <c r="F104" s="59" t="s">
        <v>3832</v>
      </c>
      <c r="G104" s="59" t="s">
        <v>3819</v>
      </c>
      <c r="H104" s="59" t="s">
        <v>3820</v>
      </c>
      <c r="I104" s="62">
        <v>29512.0</v>
      </c>
    </row>
    <row r="105">
      <c r="A105" s="59">
        <v>2.07231812E8</v>
      </c>
      <c r="B105" s="59" t="s">
        <v>3975</v>
      </c>
      <c r="C105" s="60">
        <v>33.0</v>
      </c>
      <c r="D105" s="59" t="s">
        <v>3841</v>
      </c>
      <c r="E105" s="59" t="s">
        <v>3817</v>
      </c>
      <c r="F105" s="59" t="s">
        <v>3851</v>
      </c>
      <c r="G105" s="59" t="s">
        <v>3819</v>
      </c>
      <c r="H105" s="59" t="s">
        <v>3820</v>
      </c>
      <c r="I105" s="61"/>
    </row>
    <row r="106">
      <c r="A106" s="59">
        <v>2.05241925E8</v>
      </c>
      <c r="B106" s="59" t="s">
        <v>3976</v>
      </c>
      <c r="C106" s="60">
        <v>37.0</v>
      </c>
      <c r="D106" s="59" t="s">
        <v>3841</v>
      </c>
      <c r="E106" s="59" t="s">
        <v>3817</v>
      </c>
      <c r="F106" s="59" t="s">
        <v>3878</v>
      </c>
      <c r="G106" s="59" t="s">
        <v>3819</v>
      </c>
      <c r="H106" s="59" t="s">
        <v>3820</v>
      </c>
      <c r="I106" s="61"/>
    </row>
    <row r="107">
      <c r="A107" s="59">
        <v>2.07231802E8</v>
      </c>
      <c r="B107" s="59" t="s">
        <v>3977</v>
      </c>
      <c r="C107" s="60">
        <v>22.0</v>
      </c>
      <c r="D107" s="59" t="s">
        <v>3841</v>
      </c>
      <c r="E107" s="59" t="s">
        <v>3817</v>
      </c>
      <c r="F107" s="59" t="s">
        <v>3885</v>
      </c>
      <c r="G107" s="59" t="s">
        <v>3858</v>
      </c>
      <c r="H107" s="59" t="s">
        <v>3859</v>
      </c>
      <c r="I107" s="61"/>
    </row>
    <row r="108">
      <c r="A108" s="59">
        <v>1.10211509E8</v>
      </c>
      <c r="B108" s="59" t="s">
        <v>3978</v>
      </c>
      <c r="C108" s="60">
        <v>46.0</v>
      </c>
      <c r="D108" s="59" t="s">
        <v>3807</v>
      </c>
      <c r="E108" s="59" t="s">
        <v>3808</v>
      </c>
      <c r="F108" s="59" t="s">
        <v>3832</v>
      </c>
      <c r="G108" s="59" t="s">
        <v>3819</v>
      </c>
      <c r="H108" s="59" t="s">
        <v>3820</v>
      </c>
      <c r="I108" s="62">
        <v>29428.0</v>
      </c>
    </row>
    <row r="109">
      <c r="A109" s="59">
        <v>2.08231816E8</v>
      </c>
      <c r="B109" s="59" t="s">
        <v>3979</v>
      </c>
      <c r="C109" s="60">
        <v>22.0</v>
      </c>
      <c r="D109" s="59" t="s">
        <v>3807</v>
      </c>
      <c r="E109" s="59" t="s">
        <v>3817</v>
      </c>
      <c r="F109" s="59" t="s">
        <v>3980</v>
      </c>
      <c r="G109" s="59" t="s">
        <v>3823</v>
      </c>
      <c r="H109" s="59" t="s">
        <v>3824</v>
      </c>
      <c r="I109" s="61"/>
    </row>
    <row r="110">
      <c r="A110" s="59">
        <v>3.11200015E8</v>
      </c>
      <c r="B110" s="59" t="s">
        <v>3981</v>
      </c>
      <c r="C110" s="60">
        <v>51.0</v>
      </c>
      <c r="D110" s="59" t="s">
        <v>3841</v>
      </c>
      <c r="E110" s="59" t="s">
        <v>3834</v>
      </c>
      <c r="F110" s="59" t="s">
        <v>3913</v>
      </c>
      <c r="G110" s="59" t="s">
        <v>3819</v>
      </c>
      <c r="H110" s="59" t="s">
        <v>3820</v>
      </c>
      <c r="I110" s="61"/>
    </row>
    <row r="111">
      <c r="A111" s="59">
        <v>3.01210044E8</v>
      </c>
      <c r="B111" s="59" t="s">
        <v>3982</v>
      </c>
      <c r="C111" s="60">
        <v>50.0</v>
      </c>
      <c r="D111" s="59" t="s">
        <v>3841</v>
      </c>
      <c r="E111" s="59" t="s">
        <v>3834</v>
      </c>
      <c r="F111" s="59" t="s">
        <v>3866</v>
      </c>
      <c r="G111" s="59" t="s">
        <v>3829</v>
      </c>
      <c r="H111" s="63" t="b">
        <v>0</v>
      </c>
      <c r="I111" s="62">
        <v>30108.0</v>
      </c>
    </row>
    <row r="112">
      <c r="A112" s="59">
        <v>3.03210054E8</v>
      </c>
      <c r="B112" s="59" t="s">
        <v>3983</v>
      </c>
      <c r="C112" s="60">
        <v>34.0</v>
      </c>
      <c r="D112" s="59" t="s">
        <v>3841</v>
      </c>
      <c r="E112" s="59" t="s">
        <v>3834</v>
      </c>
      <c r="F112" s="59" t="s">
        <v>3913</v>
      </c>
      <c r="G112" s="59" t="s">
        <v>3819</v>
      </c>
      <c r="H112" s="59" t="s">
        <v>3820</v>
      </c>
      <c r="I112" s="61"/>
    </row>
    <row r="113">
      <c r="A113" s="59">
        <v>2.03231733E8</v>
      </c>
      <c r="B113" s="59" t="s">
        <v>3984</v>
      </c>
      <c r="C113" s="60">
        <v>0.0</v>
      </c>
      <c r="D113" s="61"/>
      <c r="E113" s="59" t="s">
        <v>3817</v>
      </c>
      <c r="F113" s="59" t="s">
        <v>3898</v>
      </c>
      <c r="G113" s="59" t="s">
        <v>3819</v>
      </c>
      <c r="H113" s="59" t="s">
        <v>3820</v>
      </c>
      <c r="I113" s="61"/>
    </row>
    <row r="114">
      <c r="A114" s="59">
        <v>2.08231829E8</v>
      </c>
      <c r="B114" s="59" t="s">
        <v>3985</v>
      </c>
      <c r="C114" s="60">
        <v>21.0</v>
      </c>
      <c r="D114" s="59" t="s">
        <v>3841</v>
      </c>
      <c r="E114" s="59" t="s">
        <v>3817</v>
      </c>
      <c r="F114" s="59" t="s">
        <v>3839</v>
      </c>
      <c r="G114" s="59" t="s">
        <v>3829</v>
      </c>
      <c r="H114" s="59" t="s">
        <v>3830</v>
      </c>
      <c r="I114" s="61"/>
    </row>
    <row r="115">
      <c r="A115" s="59">
        <v>2.06231778E8</v>
      </c>
      <c r="B115" s="59" t="s">
        <v>3986</v>
      </c>
      <c r="C115" s="60">
        <v>23.0</v>
      </c>
      <c r="D115" s="59" t="s">
        <v>3841</v>
      </c>
      <c r="E115" s="59" t="s">
        <v>3817</v>
      </c>
      <c r="F115" s="59" t="s">
        <v>3868</v>
      </c>
      <c r="G115" s="59" t="s">
        <v>3823</v>
      </c>
      <c r="H115" s="59" t="s">
        <v>3824</v>
      </c>
      <c r="I115" s="61"/>
    </row>
    <row r="116">
      <c r="A116" s="59">
        <v>1.09201221E8</v>
      </c>
      <c r="B116" s="59" t="s">
        <v>3987</v>
      </c>
      <c r="C116" s="60">
        <v>32.0</v>
      </c>
      <c r="D116" s="59" t="s">
        <v>3841</v>
      </c>
      <c r="E116" s="59" t="s">
        <v>3808</v>
      </c>
      <c r="F116" s="59" t="s">
        <v>3988</v>
      </c>
      <c r="G116" s="59" t="s">
        <v>3823</v>
      </c>
      <c r="H116" s="59" t="s">
        <v>3989</v>
      </c>
      <c r="I116" s="61"/>
    </row>
    <row r="117">
      <c r="A117" s="59">
        <v>2.02241881E8</v>
      </c>
      <c r="B117" s="59" t="s">
        <v>3990</v>
      </c>
      <c r="C117" s="60">
        <v>0.0</v>
      </c>
      <c r="D117" s="61"/>
      <c r="E117" s="59" t="s">
        <v>3817</v>
      </c>
      <c r="F117" s="59" t="s">
        <v>3853</v>
      </c>
      <c r="G117" s="59" t="s">
        <v>3823</v>
      </c>
      <c r="H117" s="59" t="s">
        <v>3824</v>
      </c>
      <c r="I117" s="61"/>
    </row>
    <row r="118">
      <c r="A118" s="59">
        <v>1.04211373E8</v>
      </c>
      <c r="B118" s="59" t="s">
        <v>3991</v>
      </c>
      <c r="C118" s="60">
        <v>44.0</v>
      </c>
      <c r="D118" s="59" t="s">
        <v>3841</v>
      </c>
      <c r="E118" s="59" t="s">
        <v>3808</v>
      </c>
      <c r="F118" s="59" t="s">
        <v>3911</v>
      </c>
      <c r="G118" s="59" t="s">
        <v>3829</v>
      </c>
      <c r="H118" s="63" t="b">
        <v>0</v>
      </c>
      <c r="I118" s="62">
        <v>38528.0</v>
      </c>
    </row>
    <row r="119">
      <c r="A119" s="59">
        <v>2.07231801E8</v>
      </c>
      <c r="B119" s="59" t="s">
        <v>3992</v>
      </c>
      <c r="C119" s="60">
        <v>38.0</v>
      </c>
      <c r="D119" s="59" t="s">
        <v>3841</v>
      </c>
      <c r="E119" s="59" t="s">
        <v>3817</v>
      </c>
      <c r="F119" s="59" t="s">
        <v>3863</v>
      </c>
      <c r="G119" s="59" t="s">
        <v>3819</v>
      </c>
      <c r="H119" s="59" t="s">
        <v>3820</v>
      </c>
      <c r="I119" s="62">
        <v>29790.0</v>
      </c>
    </row>
    <row r="120">
      <c r="A120" s="59">
        <v>3.12200028E8</v>
      </c>
      <c r="B120" s="59" t="s">
        <v>3993</v>
      </c>
      <c r="C120" s="60">
        <v>50.0</v>
      </c>
      <c r="D120" s="59" t="s">
        <v>3841</v>
      </c>
      <c r="E120" s="59" t="s">
        <v>3834</v>
      </c>
      <c r="F120" s="59" t="s">
        <v>3913</v>
      </c>
      <c r="G120" s="59" t="s">
        <v>3819</v>
      </c>
      <c r="H120" s="59" t="s">
        <v>3820</v>
      </c>
      <c r="I120" s="62">
        <v>28393.0</v>
      </c>
    </row>
    <row r="121">
      <c r="A121" s="59">
        <v>1.03211354E8</v>
      </c>
      <c r="B121" s="59" t="s">
        <v>3994</v>
      </c>
      <c r="C121" s="60">
        <v>31.0</v>
      </c>
      <c r="D121" s="59" t="s">
        <v>3841</v>
      </c>
      <c r="E121" s="59" t="s">
        <v>3808</v>
      </c>
      <c r="F121" s="59" t="s">
        <v>3995</v>
      </c>
      <c r="G121" s="59" t="s">
        <v>3823</v>
      </c>
      <c r="H121" s="63" t="b">
        <v>0</v>
      </c>
      <c r="I121" s="61"/>
    </row>
    <row r="122">
      <c r="A122" s="59">
        <v>2.04241913E8</v>
      </c>
      <c r="B122" s="59" t="s">
        <v>3996</v>
      </c>
      <c r="C122" s="60">
        <v>0.0</v>
      </c>
      <c r="D122" s="61"/>
      <c r="E122" s="59" t="s">
        <v>3817</v>
      </c>
      <c r="F122" s="59" t="s">
        <v>3957</v>
      </c>
      <c r="G122" s="59" t="s">
        <v>3858</v>
      </c>
      <c r="H122" s="59" t="s">
        <v>3859</v>
      </c>
      <c r="I122" s="61"/>
    </row>
    <row r="123">
      <c r="A123" s="59">
        <v>1.08221664E8</v>
      </c>
      <c r="B123" s="59" t="s">
        <v>3997</v>
      </c>
      <c r="C123" s="60">
        <v>45.0</v>
      </c>
      <c r="D123" s="59" t="s">
        <v>3807</v>
      </c>
      <c r="E123" s="59" t="s">
        <v>3808</v>
      </c>
      <c r="F123" s="59" t="s">
        <v>3998</v>
      </c>
      <c r="G123" s="59" t="s">
        <v>3858</v>
      </c>
      <c r="H123" s="59" t="s">
        <v>3859</v>
      </c>
      <c r="I123" s="62">
        <v>29549.0</v>
      </c>
    </row>
    <row r="124">
      <c r="A124" s="59">
        <v>2.06241945E8</v>
      </c>
      <c r="B124" s="59" t="s">
        <v>3999</v>
      </c>
      <c r="C124" s="60">
        <v>23.0</v>
      </c>
      <c r="D124" s="59" t="s">
        <v>3844</v>
      </c>
      <c r="E124" s="59" t="s">
        <v>3817</v>
      </c>
      <c r="F124" s="59" t="s">
        <v>3957</v>
      </c>
      <c r="G124" s="59" t="s">
        <v>3858</v>
      </c>
      <c r="H124" s="59" t="s">
        <v>3859</v>
      </c>
      <c r="I124" s="61"/>
    </row>
    <row r="125">
      <c r="A125" s="59">
        <v>2.05231757E8</v>
      </c>
      <c r="B125" s="59" t="s">
        <v>4000</v>
      </c>
      <c r="C125" s="60">
        <v>20.0</v>
      </c>
      <c r="D125" s="59" t="s">
        <v>3841</v>
      </c>
      <c r="E125" s="59" t="s">
        <v>3817</v>
      </c>
      <c r="F125" s="59" t="s">
        <v>3839</v>
      </c>
      <c r="G125" s="59" t="s">
        <v>3829</v>
      </c>
      <c r="H125" s="59" t="s">
        <v>3830</v>
      </c>
      <c r="I125" s="61"/>
    </row>
    <row r="126">
      <c r="A126" s="59">
        <v>2.08211463E8</v>
      </c>
      <c r="B126" s="59" t="s">
        <v>4001</v>
      </c>
      <c r="C126" s="60">
        <v>44.0</v>
      </c>
      <c r="D126" s="59" t="s">
        <v>3841</v>
      </c>
      <c r="E126" s="59" t="s">
        <v>3817</v>
      </c>
      <c r="F126" s="59" t="s">
        <v>3866</v>
      </c>
      <c r="G126" s="59" t="s">
        <v>3829</v>
      </c>
      <c r="H126" s="63" t="b">
        <v>0</v>
      </c>
      <c r="I126" s="61"/>
    </row>
    <row r="127">
      <c r="A127" s="59">
        <v>2.04211376E8</v>
      </c>
      <c r="B127" s="59" t="s">
        <v>4002</v>
      </c>
      <c r="C127" s="60">
        <v>56.0</v>
      </c>
      <c r="D127" s="59" t="s">
        <v>3841</v>
      </c>
      <c r="E127" s="59" t="s">
        <v>3817</v>
      </c>
      <c r="F127" s="59" t="s">
        <v>3866</v>
      </c>
      <c r="G127" s="59" t="s">
        <v>3829</v>
      </c>
      <c r="H127" s="63" t="b">
        <v>0</v>
      </c>
      <c r="I127" s="61"/>
    </row>
    <row r="128">
      <c r="A128" s="59">
        <v>1.03110065E8</v>
      </c>
      <c r="B128" s="59" t="s">
        <v>4003</v>
      </c>
      <c r="C128" s="60">
        <v>58.0</v>
      </c>
      <c r="D128" s="59" t="s">
        <v>3841</v>
      </c>
      <c r="E128" s="59" t="s">
        <v>3808</v>
      </c>
      <c r="F128" s="59" t="s">
        <v>4004</v>
      </c>
      <c r="G128" s="59" t="s">
        <v>3810</v>
      </c>
      <c r="H128" s="59" t="s">
        <v>3811</v>
      </c>
      <c r="I128" s="61"/>
    </row>
    <row r="129">
      <c r="A129" s="59">
        <v>1.12120067E8</v>
      </c>
      <c r="B129" s="59" t="s">
        <v>4005</v>
      </c>
      <c r="C129" s="60">
        <v>44.0</v>
      </c>
      <c r="D129" s="59" t="s">
        <v>3807</v>
      </c>
      <c r="E129" s="59" t="s">
        <v>3808</v>
      </c>
      <c r="F129" s="59" t="s">
        <v>3832</v>
      </c>
      <c r="G129" s="59" t="s">
        <v>3819</v>
      </c>
      <c r="H129" s="59" t="s">
        <v>3820</v>
      </c>
      <c r="I129" s="62">
        <v>35297.0</v>
      </c>
    </row>
    <row r="130">
      <c r="A130" s="59">
        <v>2.03241899E8</v>
      </c>
      <c r="B130" s="59" t="s">
        <v>4006</v>
      </c>
      <c r="C130" s="60">
        <v>25.0</v>
      </c>
      <c r="D130" s="59" t="s">
        <v>3841</v>
      </c>
      <c r="E130" s="59" t="s">
        <v>3817</v>
      </c>
      <c r="F130" s="59" t="s">
        <v>4007</v>
      </c>
      <c r="G130" s="59" t="s">
        <v>3858</v>
      </c>
      <c r="H130" s="59" t="s">
        <v>3859</v>
      </c>
      <c r="I130" s="61"/>
    </row>
    <row r="131">
      <c r="A131" s="61"/>
      <c r="B131" s="59" t="s">
        <v>4006</v>
      </c>
      <c r="C131" s="60">
        <v>25.0</v>
      </c>
      <c r="D131" s="61"/>
      <c r="E131" s="59" t="s">
        <v>3817</v>
      </c>
      <c r="F131" s="63" t="b">
        <v>0</v>
      </c>
      <c r="G131" s="59" t="s">
        <v>3858</v>
      </c>
      <c r="H131" s="59" t="s">
        <v>3859</v>
      </c>
      <c r="I131" s="61"/>
    </row>
    <row r="132">
      <c r="A132" s="59">
        <v>2.05190879E8</v>
      </c>
      <c r="B132" s="59" t="s">
        <v>4008</v>
      </c>
      <c r="C132" s="60">
        <v>32.0</v>
      </c>
      <c r="D132" s="59" t="s">
        <v>3807</v>
      </c>
      <c r="E132" s="59" t="s">
        <v>3817</v>
      </c>
      <c r="F132" s="59" t="s">
        <v>3863</v>
      </c>
      <c r="G132" s="59" t="s">
        <v>3819</v>
      </c>
      <c r="H132" s="59" t="s">
        <v>3820</v>
      </c>
      <c r="I132" s="61"/>
    </row>
    <row r="133">
      <c r="A133" s="59">
        <v>2.05231768E8</v>
      </c>
      <c r="B133" s="59" t="s">
        <v>4009</v>
      </c>
      <c r="C133" s="60">
        <v>0.0</v>
      </c>
      <c r="D133" s="61"/>
      <c r="E133" s="59" t="s">
        <v>3817</v>
      </c>
      <c r="F133" s="59" t="s">
        <v>3853</v>
      </c>
      <c r="G133" s="59" t="s">
        <v>3823</v>
      </c>
      <c r="H133" s="59" t="s">
        <v>3824</v>
      </c>
      <c r="I133" s="61"/>
    </row>
    <row r="134">
      <c r="A134" s="59">
        <v>1.12191117E8</v>
      </c>
      <c r="B134" s="59" t="s">
        <v>4010</v>
      </c>
      <c r="C134" s="60">
        <v>33.0</v>
      </c>
      <c r="D134" s="59" t="s">
        <v>3813</v>
      </c>
      <c r="E134" s="59" t="s">
        <v>3808</v>
      </c>
      <c r="F134" s="59" t="s">
        <v>3911</v>
      </c>
      <c r="G134" s="59" t="s">
        <v>3829</v>
      </c>
      <c r="H134" s="63" t="b">
        <v>0</v>
      </c>
      <c r="I134" s="61"/>
    </row>
    <row r="135">
      <c r="A135" s="59">
        <v>2.08160688E8</v>
      </c>
      <c r="B135" s="59" t="s">
        <v>4011</v>
      </c>
      <c r="C135" s="60">
        <v>29.0</v>
      </c>
      <c r="D135" s="59" t="s">
        <v>3813</v>
      </c>
      <c r="E135" s="59" t="s">
        <v>3817</v>
      </c>
      <c r="F135" s="59" t="s">
        <v>4012</v>
      </c>
      <c r="G135" s="59" t="s">
        <v>3829</v>
      </c>
      <c r="H135" s="59" t="s">
        <v>3830</v>
      </c>
      <c r="I135" s="62">
        <v>36137.0</v>
      </c>
    </row>
    <row r="136">
      <c r="A136" s="59">
        <v>2.07231805E8</v>
      </c>
      <c r="B136" s="59" t="s">
        <v>4013</v>
      </c>
      <c r="C136" s="60">
        <v>31.0</v>
      </c>
      <c r="D136" s="59" t="s">
        <v>3841</v>
      </c>
      <c r="E136" s="59" t="s">
        <v>3817</v>
      </c>
      <c r="F136" s="59" t="s">
        <v>3851</v>
      </c>
      <c r="G136" s="59" t="s">
        <v>3819</v>
      </c>
      <c r="H136" s="59" t="s">
        <v>3820</v>
      </c>
      <c r="I136" s="61"/>
    </row>
    <row r="137">
      <c r="A137" s="59">
        <v>1.05211401E8</v>
      </c>
      <c r="B137" s="59" t="s">
        <v>4014</v>
      </c>
      <c r="C137" s="60">
        <v>40.0</v>
      </c>
      <c r="D137" s="59" t="s">
        <v>3841</v>
      </c>
      <c r="E137" s="59" t="s">
        <v>3808</v>
      </c>
      <c r="F137" s="59" t="s">
        <v>3878</v>
      </c>
      <c r="G137" s="59" t="s">
        <v>3819</v>
      </c>
      <c r="H137" s="59" t="s">
        <v>3820</v>
      </c>
      <c r="I137" s="62">
        <v>28755.0</v>
      </c>
    </row>
    <row r="138">
      <c r="A138" s="59">
        <v>1.01190626E8</v>
      </c>
      <c r="B138" s="59" t="s">
        <v>4015</v>
      </c>
      <c r="C138" s="60">
        <v>26.0</v>
      </c>
      <c r="D138" s="59" t="s">
        <v>3813</v>
      </c>
      <c r="E138" s="59" t="s">
        <v>3808</v>
      </c>
      <c r="F138" s="59" t="s">
        <v>3866</v>
      </c>
      <c r="G138" s="59" t="s">
        <v>3829</v>
      </c>
      <c r="H138" s="63" t="b">
        <v>0</v>
      </c>
      <c r="I138" s="61"/>
    </row>
    <row r="139">
      <c r="A139" s="59">
        <v>1.05190864E8</v>
      </c>
      <c r="B139" s="59" t="s">
        <v>4016</v>
      </c>
      <c r="C139" s="60">
        <v>57.0</v>
      </c>
      <c r="D139" s="59" t="s">
        <v>3841</v>
      </c>
      <c r="E139" s="59" t="s">
        <v>3808</v>
      </c>
      <c r="F139" s="59" t="s">
        <v>3832</v>
      </c>
      <c r="G139" s="59" t="s">
        <v>3819</v>
      </c>
      <c r="H139" s="59" t="s">
        <v>3820</v>
      </c>
      <c r="I139" s="62">
        <v>25969.0</v>
      </c>
    </row>
    <row r="140">
      <c r="A140" s="59">
        <v>1.12211555E8</v>
      </c>
      <c r="B140" s="59" t="s">
        <v>4017</v>
      </c>
      <c r="C140" s="60">
        <v>27.0</v>
      </c>
      <c r="D140" s="59" t="s">
        <v>3807</v>
      </c>
      <c r="E140" s="59" t="s">
        <v>3808</v>
      </c>
      <c r="F140" s="59" t="s">
        <v>3853</v>
      </c>
      <c r="G140" s="59" t="s">
        <v>3823</v>
      </c>
      <c r="H140" s="59" t="s">
        <v>3854</v>
      </c>
      <c r="I140" s="61"/>
    </row>
    <row r="141">
      <c r="A141" s="59">
        <v>2.10180647E8</v>
      </c>
      <c r="B141" s="59" t="s">
        <v>4018</v>
      </c>
      <c r="C141" s="60">
        <v>26.0</v>
      </c>
      <c r="D141" s="59" t="s">
        <v>3807</v>
      </c>
      <c r="E141" s="59" t="s">
        <v>3817</v>
      </c>
      <c r="F141" s="59" t="s">
        <v>3866</v>
      </c>
      <c r="G141" s="59" t="s">
        <v>3829</v>
      </c>
      <c r="H141" s="63" t="b">
        <v>0</v>
      </c>
      <c r="I141" s="61"/>
    </row>
    <row r="142">
      <c r="A142" s="59">
        <v>1.02150007E8</v>
      </c>
      <c r="B142" s="59" t="s">
        <v>4019</v>
      </c>
      <c r="C142" s="60">
        <v>35.0</v>
      </c>
      <c r="D142" s="59" t="s">
        <v>3807</v>
      </c>
      <c r="E142" s="59" t="s">
        <v>3808</v>
      </c>
      <c r="F142" s="59" t="s">
        <v>4020</v>
      </c>
      <c r="G142" s="59" t="s">
        <v>3810</v>
      </c>
      <c r="H142" s="63" t="b">
        <v>0</v>
      </c>
      <c r="I142" s="62">
        <v>34346.0</v>
      </c>
    </row>
    <row r="143">
      <c r="A143" s="59" t="s">
        <v>4021</v>
      </c>
      <c r="B143" s="59" t="s">
        <v>4022</v>
      </c>
      <c r="C143" s="60">
        <v>0.0</v>
      </c>
      <c r="D143" s="61"/>
      <c r="E143" s="59" t="s">
        <v>3834</v>
      </c>
      <c r="F143" s="63" t="b">
        <v>0</v>
      </c>
      <c r="G143" s="59" t="s">
        <v>3881</v>
      </c>
      <c r="H143" s="59" t="s">
        <v>3904</v>
      </c>
      <c r="I143" s="61"/>
    </row>
    <row r="144">
      <c r="A144" s="59">
        <v>1.11231853E8</v>
      </c>
      <c r="B144" s="59" t="s">
        <v>4023</v>
      </c>
      <c r="C144" s="60">
        <v>42.0</v>
      </c>
      <c r="D144" s="59" t="s">
        <v>3841</v>
      </c>
      <c r="E144" s="59" t="s">
        <v>3808</v>
      </c>
      <c r="F144" s="59" t="s">
        <v>3878</v>
      </c>
      <c r="G144" s="59" t="s">
        <v>3819</v>
      </c>
      <c r="H144" s="59" t="s">
        <v>3820</v>
      </c>
      <c r="I144" s="61"/>
    </row>
    <row r="145">
      <c r="A145" s="59">
        <v>2.07201163E8</v>
      </c>
      <c r="B145" s="59" t="s">
        <v>4024</v>
      </c>
      <c r="C145" s="60">
        <v>32.0</v>
      </c>
      <c r="D145" s="59" t="s">
        <v>3841</v>
      </c>
      <c r="E145" s="59" t="s">
        <v>3817</v>
      </c>
      <c r="F145" s="59" t="s">
        <v>3866</v>
      </c>
      <c r="G145" s="59" t="s">
        <v>3829</v>
      </c>
      <c r="H145" s="63" t="b">
        <v>0</v>
      </c>
      <c r="I145" s="62">
        <v>44663.0</v>
      </c>
    </row>
    <row r="146">
      <c r="A146" s="59">
        <v>1.02201134E8</v>
      </c>
      <c r="B146" s="59" t="s">
        <v>4025</v>
      </c>
      <c r="C146" s="60">
        <v>37.0</v>
      </c>
      <c r="D146" s="59" t="s">
        <v>3841</v>
      </c>
      <c r="E146" s="59" t="s">
        <v>3808</v>
      </c>
      <c r="F146" s="59" t="s">
        <v>3919</v>
      </c>
      <c r="G146" s="59" t="s">
        <v>3858</v>
      </c>
      <c r="H146" s="59" t="s">
        <v>3886</v>
      </c>
      <c r="I146" s="61"/>
    </row>
    <row r="147">
      <c r="A147" s="59">
        <v>1.11160071E8</v>
      </c>
      <c r="B147" s="59" t="s">
        <v>4026</v>
      </c>
      <c r="C147" s="60">
        <v>58.0</v>
      </c>
      <c r="D147" s="59" t="s">
        <v>3841</v>
      </c>
      <c r="E147" s="59" t="s">
        <v>3808</v>
      </c>
      <c r="F147" s="59" t="s">
        <v>4012</v>
      </c>
      <c r="G147" s="59" t="s">
        <v>3829</v>
      </c>
      <c r="H147" s="63" t="b">
        <v>0</v>
      </c>
      <c r="I147" s="62">
        <v>25070.0</v>
      </c>
    </row>
    <row r="148">
      <c r="A148" s="59">
        <v>1.08191037E8</v>
      </c>
      <c r="B148" s="59" t="s">
        <v>4027</v>
      </c>
      <c r="C148" s="60">
        <v>43.0</v>
      </c>
      <c r="D148" s="59" t="s">
        <v>3841</v>
      </c>
      <c r="E148" s="59" t="s">
        <v>3808</v>
      </c>
      <c r="F148" s="59" t="s">
        <v>4028</v>
      </c>
      <c r="G148" s="59" t="s">
        <v>3858</v>
      </c>
      <c r="H148" s="59" t="s">
        <v>4029</v>
      </c>
      <c r="I148" s="61"/>
    </row>
    <row r="149">
      <c r="A149" s="59">
        <v>1.03201137E8</v>
      </c>
      <c r="B149" s="59" t="s">
        <v>4030</v>
      </c>
      <c r="C149" s="60">
        <v>32.0</v>
      </c>
      <c r="D149" s="59" t="s">
        <v>3813</v>
      </c>
      <c r="E149" s="59" t="s">
        <v>3808</v>
      </c>
      <c r="F149" s="59" t="s">
        <v>3828</v>
      </c>
      <c r="G149" s="59" t="s">
        <v>3829</v>
      </c>
      <c r="H149" s="63" t="b">
        <v>0</v>
      </c>
      <c r="I149" s="62">
        <v>34459.0</v>
      </c>
    </row>
    <row r="150">
      <c r="A150" s="59">
        <v>4.03240009E8</v>
      </c>
      <c r="B150" s="59" t="s">
        <v>4031</v>
      </c>
      <c r="C150" s="60">
        <v>0.0</v>
      </c>
      <c r="D150" s="61"/>
      <c r="E150" s="59" t="s">
        <v>3808</v>
      </c>
      <c r="F150" s="59" t="s">
        <v>3892</v>
      </c>
      <c r="G150" s="59" t="s">
        <v>3819</v>
      </c>
      <c r="H150" s="59" t="s">
        <v>3820</v>
      </c>
      <c r="I150" s="61"/>
    </row>
    <row r="151">
      <c r="A151" s="59">
        <v>1.01190758E8</v>
      </c>
      <c r="B151" s="59" t="s">
        <v>4032</v>
      </c>
      <c r="C151" s="60">
        <v>0.0</v>
      </c>
      <c r="D151" s="61"/>
      <c r="E151" s="59" t="s">
        <v>3808</v>
      </c>
      <c r="F151" s="59" t="s">
        <v>4028</v>
      </c>
      <c r="G151" s="59" t="s">
        <v>3858</v>
      </c>
      <c r="H151" s="59" t="s">
        <v>3890</v>
      </c>
      <c r="I151" s="61"/>
    </row>
    <row r="152">
      <c r="A152" s="59">
        <v>1.02150008E8</v>
      </c>
      <c r="B152" s="59" t="s">
        <v>4033</v>
      </c>
      <c r="C152" s="60">
        <v>38.0</v>
      </c>
      <c r="D152" s="59" t="s">
        <v>3807</v>
      </c>
      <c r="E152" s="59" t="s">
        <v>3808</v>
      </c>
      <c r="F152" s="59" t="s">
        <v>4034</v>
      </c>
      <c r="G152" s="59" t="s">
        <v>3810</v>
      </c>
      <c r="H152" s="59" t="s">
        <v>3811</v>
      </c>
      <c r="I152" s="62">
        <v>33832.0</v>
      </c>
    </row>
    <row r="153">
      <c r="A153" s="59">
        <v>2.11201294E8</v>
      </c>
      <c r="B153" s="59" t="s">
        <v>4035</v>
      </c>
      <c r="C153" s="60">
        <v>28.0</v>
      </c>
      <c r="D153" s="59" t="s">
        <v>3807</v>
      </c>
      <c r="E153" s="59" t="s">
        <v>3817</v>
      </c>
      <c r="F153" s="59" t="s">
        <v>4036</v>
      </c>
      <c r="G153" s="59" t="s">
        <v>3815</v>
      </c>
      <c r="H153" s="59" t="s">
        <v>3943</v>
      </c>
      <c r="I153" s="61"/>
    </row>
    <row r="154">
      <c r="A154" s="59">
        <v>2.08191034E8</v>
      </c>
      <c r="B154" s="59" t="s">
        <v>4037</v>
      </c>
      <c r="C154" s="60">
        <v>25.0</v>
      </c>
      <c r="D154" s="59" t="s">
        <v>3813</v>
      </c>
      <c r="E154" s="59" t="s">
        <v>3817</v>
      </c>
      <c r="F154" s="59" t="s">
        <v>3866</v>
      </c>
      <c r="G154" s="59" t="s">
        <v>3829</v>
      </c>
      <c r="H154" s="63" t="b">
        <v>0</v>
      </c>
      <c r="I154" s="61"/>
    </row>
    <row r="155">
      <c r="A155" s="59">
        <v>1.09160076E8</v>
      </c>
      <c r="B155" s="59" t="s">
        <v>4038</v>
      </c>
      <c r="C155" s="60">
        <v>52.0</v>
      </c>
      <c r="D155" s="59" t="s">
        <v>3841</v>
      </c>
      <c r="E155" s="59" t="s">
        <v>3808</v>
      </c>
      <c r="F155" s="59" t="s">
        <v>3832</v>
      </c>
      <c r="G155" s="59" t="s">
        <v>3819</v>
      </c>
      <c r="H155" s="59" t="s">
        <v>3820</v>
      </c>
      <c r="I155" s="61"/>
    </row>
    <row r="156">
      <c r="A156" s="59">
        <v>1.12180617E8</v>
      </c>
      <c r="B156" s="59" t="s">
        <v>4039</v>
      </c>
      <c r="C156" s="60">
        <v>39.0</v>
      </c>
      <c r="D156" s="59" t="s">
        <v>3807</v>
      </c>
      <c r="E156" s="59" t="s">
        <v>3808</v>
      </c>
      <c r="F156" s="59" t="s">
        <v>3822</v>
      </c>
      <c r="G156" s="59" t="s">
        <v>3823</v>
      </c>
      <c r="H156" s="59" t="s">
        <v>3824</v>
      </c>
      <c r="I156" s="62">
        <v>33608.0</v>
      </c>
    </row>
    <row r="157">
      <c r="A157" s="59">
        <v>1.10201256E8</v>
      </c>
      <c r="B157" s="59" t="s">
        <v>4040</v>
      </c>
      <c r="C157" s="60">
        <v>41.0</v>
      </c>
      <c r="D157" s="59" t="s">
        <v>3841</v>
      </c>
      <c r="E157" s="59" t="s">
        <v>3808</v>
      </c>
      <c r="F157" s="59" t="s">
        <v>4041</v>
      </c>
      <c r="G157" s="59" t="s">
        <v>3823</v>
      </c>
      <c r="H157" s="63" t="b">
        <v>0</v>
      </c>
      <c r="I157" s="61"/>
    </row>
    <row r="158">
      <c r="A158" s="59">
        <v>2.01241877E8</v>
      </c>
      <c r="B158" s="59" t="s">
        <v>4042</v>
      </c>
      <c r="C158" s="60">
        <v>0.0</v>
      </c>
      <c r="D158" s="61"/>
      <c r="E158" s="59" t="s">
        <v>3817</v>
      </c>
      <c r="F158" s="59" t="s">
        <v>4043</v>
      </c>
      <c r="G158" s="59" t="s">
        <v>3823</v>
      </c>
      <c r="H158" s="59" t="s">
        <v>3824</v>
      </c>
      <c r="I158" s="61"/>
    </row>
    <row r="159">
      <c r="A159" s="61"/>
      <c r="B159" s="59" t="s">
        <v>4044</v>
      </c>
      <c r="C159" s="60">
        <v>0.0</v>
      </c>
      <c r="D159" s="61"/>
      <c r="E159" s="59" t="s">
        <v>3817</v>
      </c>
      <c r="F159" s="63" t="b">
        <v>0</v>
      </c>
      <c r="G159" s="63" t="b">
        <v>0</v>
      </c>
      <c r="H159" s="63" t="b">
        <v>0</v>
      </c>
      <c r="I159" s="61"/>
    </row>
    <row r="160">
      <c r="A160" s="59">
        <v>2.05241932E8</v>
      </c>
      <c r="B160" s="59" t="s">
        <v>4045</v>
      </c>
      <c r="C160" s="60">
        <v>0.0</v>
      </c>
      <c r="D160" s="61"/>
      <c r="E160" s="59" t="s">
        <v>3817</v>
      </c>
      <c r="F160" s="59" t="s">
        <v>4046</v>
      </c>
      <c r="G160" s="59" t="s">
        <v>3858</v>
      </c>
      <c r="H160" s="59" t="s">
        <v>3859</v>
      </c>
      <c r="I160" s="61"/>
    </row>
    <row r="161">
      <c r="A161" s="59">
        <v>1.06190914E8</v>
      </c>
      <c r="B161" s="59" t="s">
        <v>4047</v>
      </c>
      <c r="C161" s="60">
        <v>33.0</v>
      </c>
      <c r="D161" s="59" t="s">
        <v>3807</v>
      </c>
      <c r="E161" s="59" t="s">
        <v>3808</v>
      </c>
      <c r="F161" s="59" t="s">
        <v>3832</v>
      </c>
      <c r="G161" s="59" t="s">
        <v>3819</v>
      </c>
      <c r="H161" s="59" t="s">
        <v>3820</v>
      </c>
      <c r="I161" s="62">
        <v>35396.0</v>
      </c>
    </row>
    <row r="162">
      <c r="A162" s="59">
        <v>1.09191106E8</v>
      </c>
      <c r="B162" s="59" t="s">
        <v>4048</v>
      </c>
      <c r="C162" s="60">
        <v>26.0</v>
      </c>
      <c r="D162" s="59" t="s">
        <v>3807</v>
      </c>
      <c r="E162" s="59" t="s">
        <v>3808</v>
      </c>
      <c r="F162" s="59" t="s">
        <v>3878</v>
      </c>
      <c r="G162" s="59" t="s">
        <v>3819</v>
      </c>
      <c r="H162" s="59" t="s">
        <v>3820</v>
      </c>
      <c r="I162" s="62">
        <v>36886.0</v>
      </c>
    </row>
    <row r="163">
      <c r="A163" s="59">
        <v>3.11200021E8</v>
      </c>
      <c r="B163" s="59" t="s">
        <v>4049</v>
      </c>
      <c r="C163" s="60">
        <v>45.0</v>
      </c>
      <c r="D163" s="59" t="s">
        <v>3813</v>
      </c>
      <c r="E163" s="59" t="s">
        <v>3834</v>
      </c>
      <c r="F163" s="59" t="s">
        <v>4050</v>
      </c>
      <c r="G163" s="59" t="s">
        <v>4051</v>
      </c>
      <c r="H163" s="59" t="s">
        <v>3811</v>
      </c>
      <c r="I163" s="62">
        <v>31198.0</v>
      </c>
    </row>
    <row r="164">
      <c r="A164" s="59">
        <v>1.08201179E8</v>
      </c>
      <c r="B164" s="59" t="s">
        <v>4052</v>
      </c>
      <c r="C164" s="60">
        <v>27.0</v>
      </c>
      <c r="D164" s="59" t="s">
        <v>3807</v>
      </c>
      <c r="E164" s="59" t="s">
        <v>3808</v>
      </c>
      <c r="F164" s="59" t="s">
        <v>3866</v>
      </c>
      <c r="G164" s="59" t="s">
        <v>3829</v>
      </c>
      <c r="H164" s="59" t="s">
        <v>3830</v>
      </c>
      <c r="I164" s="62">
        <v>35280.0</v>
      </c>
    </row>
    <row r="165">
      <c r="A165" s="59">
        <v>2.02231724E8</v>
      </c>
      <c r="B165" s="59" t="s">
        <v>4053</v>
      </c>
      <c r="C165" s="60">
        <v>30.0</v>
      </c>
      <c r="D165" s="59" t="s">
        <v>3813</v>
      </c>
      <c r="E165" s="59" t="s">
        <v>3817</v>
      </c>
      <c r="F165" s="59" t="s">
        <v>3839</v>
      </c>
      <c r="G165" s="59" t="s">
        <v>3829</v>
      </c>
      <c r="H165" s="63" t="b">
        <v>0</v>
      </c>
      <c r="I165" s="61"/>
    </row>
    <row r="166">
      <c r="A166" s="59">
        <v>1.06221652E8</v>
      </c>
      <c r="B166" s="59" t="s">
        <v>4054</v>
      </c>
      <c r="C166" s="60">
        <v>43.0</v>
      </c>
      <c r="D166" s="59" t="s">
        <v>3807</v>
      </c>
      <c r="E166" s="59" t="s">
        <v>3808</v>
      </c>
      <c r="F166" s="59" t="s">
        <v>3832</v>
      </c>
      <c r="G166" s="59" t="s">
        <v>3819</v>
      </c>
      <c r="H166" s="59" t="s">
        <v>3820</v>
      </c>
      <c r="I166" s="62">
        <v>34030.0</v>
      </c>
    </row>
    <row r="167">
      <c r="A167" s="59">
        <v>2.05241935E8</v>
      </c>
      <c r="B167" s="59" t="s">
        <v>4055</v>
      </c>
      <c r="C167" s="60">
        <v>0.0</v>
      </c>
      <c r="D167" s="61"/>
      <c r="E167" s="59" t="s">
        <v>3817</v>
      </c>
      <c r="F167" s="59" t="s">
        <v>4056</v>
      </c>
      <c r="G167" s="59" t="s">
        <v>4057</v>
      </c>
      <c r="H167" s="59" t="s">
        <v>4058</v>
      </c>
      <c r="I167" s="61"/>
    </row>
    <row r="168">
      <c r="A168" s="59">
        <v>2.0424191E8</v>
      </c>
      <c r="B168" s="59" t="s">
        <v>4059</v>
      </c>
      <c r="C168" s="60">
        <v>0.0</v>
      </c>
      <c r="D168" s="61"/>
      <c r="E168" s="59" t="s">
        <v>3817</v>
      </c>
      <c r="F168" s="59" t="s">
        <v>3935</v>
      </c>
      <c r="G168" s="59" t="s">
        <v>3823</v>
      </c>
      <c r="H168" s="59" t="s">
        <v>3824</v>
      </c>
      <c r="I168" s="61"/>
    </row>
    <row r="169">
      <c r="A169" s="59">
        <v>2.07231796E8</v>
      </c>
      <c r="B169" s="59" t="s">
        <v>4060</v>
      </c>
      <c r="C169" s="60">
        <v>26.0</v>
      </c>
      <c r="D169" s="59" t="s">
        <v>3807</v>
      </c>
      <c r="E169" s="59" t="s">
        <v>3817</v>
      </c>
      <c r="F169" s="59" t="s">
        <v>4061</v>
      </c>
      <c r="G169" s="59" t="s">
        <v>3829</v>
      </c>
      <c r="H169" s="59" t="s">
        <v>3830</v>
      </c>
      <c r="I169" s="61"/>
    </row>
    <row r="170">
      <c r="A170" s="59">
        <v>2.11221705E8</v>
      </c>
      <c r="B170" s="59" t="s">
        <v>4062</v>
      </c>
      <c r="C170" s="60">
        <v>22.0</v>
      </c>
      <c r="D170" s="59" t="s">
        <v>3807</v>
      </c>
      <c r="E170" s="59" t="s">
        <v>3817</v>
      </c>
      <c r="F170" s="59" t="s">
        <v>3853</v>
      </c>
      <c r="G170" s="59" t="s">
        <v>3823</v>
      </c>
      <c r="H170" s="59" t="s">
        <v>3824</v>
      </c>
      <c r="I170" s="61"/>
    </row>
    <row r="171">
      <c r="A171" s="59">
        <v>2.05231762E8</v>
      </c>
      <c r="B171" s="59" t="s">
        <v>4063</v>
      </c>
      <c r="C171" s="60">
        <v>23.0</v>
      </c>
      <c r="D171" s="59" t="s">
        <v>3841</v>
      </c>
      <c r="E171" s="59" t="s">
        <v>3817</v>
      </c>
      <c r="F171" s="59" t="s">
        <v>3853</v>
      </c>
      <c r="G171" s="59" t="s">
        <v>3823</v>
      </c>
      <c r="H171" s="63" t="b">
        <v>0</v>
      </c>
      <c r="I171" s="61"/>
    </row>
    <row r="172">
      <c r="A172" s="59">
        <v>1.04211372E8</v>
      </c>
      <c r="B172" s="59" t="s">
        <v>4064</v>
      </c>
      <c r="C172" s="60">
        <v>50.0</v>
      </c>
      <c r="D172" s="59" t="s">
        <v>3841</v>
      </c>
      <c r="E172" s="59" t="s">
        <v>3808</v>
      </c>
      <c r="F172" s="59" t="s">
        <v>3832</v>
      </c>
      <c r="G172" s="59" t="s">
        <v>3819</v>
      </c>
      <c r="H172" s="59" t="s">
        <v>3820</v>
      </c>
      <c r="I172" s="62">
        <v>26989.0</v>
      </c>
    </row>
    <row r="173">
      <c r="A173" s="61"/>
      <c r="B173" s="59" t="s">
        <v>4065</v>
      </c>
      <c r="C173" s="60">
        <v>0.0</v>
      </c>
      <c r="D173" s="61"/>
      <c r="E173" s="59" t="s">
        <v>3817</v>
      </c>
      <c r="F173" s="63" t="b">
        <v>0</v>
      </c>
      <c r="G173" s="63" t="b">
        <v>0</v>
      </c>
      <c r="H173" s="63" t="b">
        <v>0</v>
      </c>
      <c r="I173" s="61"/>
    </row>
    <row r="174">
      <c r="A174" s="59">
        <v>1.08211472E8</v>
      </c>
      <c r="B174" s="59" t="s">
        <v>4066</v>
      </c>
      <c r="C174" s="60">
        <v>21.0</v>
      </c>
      <c r="D174" s="59" t="s">
        <v>3841</v>
      </c>
      <c r="E174" s="59" t="s">
        <v>3808</v>
      </c>
      <c r="F174" s="59" t="s">
        <v>3853</v>
      </c>
      <c r="G174" s="59" t="s">
        <v>3823</v>
      </c>
      <c r="H174" s="59" t="s">
        <v>3824</v>
      </c>
      <c r="I174" s="61"/>
    </row>
    <row r="175">
      <c r="A175" s="59">
        <v>2.07231804E8</v>
      </c>
      <c r="B175" s="59" t="s">
        <v>4067</v>
      </c>
      <c r="C175" s="60">
        <v>19.0</v>
      </c>
      <c r="D175" s="59" t="s">
        <v>3841</v>
      </c>
      <c r="E175" s="59" t="s">
        <v>3817</v>
      </c>
      <c r="F175" s="59" t="s">
        <v>3839</v>
      </c>
      <c r="G175" s="59" t="s">
        <v>3829</v>
      </c>
      <c r="H175" s="59" t="s">
        <v>3830</v>
      </c>
      <c r="I175" s="61"/>
    </row>
    <row r="176">
      <c r="A176" s="59">
        <v>2.0722166E8</v>
      </c>
      <c r="B176" s="59" t="s">
        <v>4068</v>
      </c>
      <c r="C176" s="60">
        <v>47.0</v>
      </c>
      <c r="D176" s="59" t="s">
        <v>3841</v>
      </c>
      <c r="E176" s="59" t="s">
        <v>3817</v>
      </c>
      <c r="F176" s="59" t="s">
        <v>3832</v>
      </c>
      <c r="G176" s="59" t="s">
        <v>3819</v>
      </c>
      <c r="H176" s="59" t="s">
        <v>3820</v>
      </c>
      <c r="I176" s="61"/>
    </row>
    <row r="177">
      <c r="A177" s="59">
        <v>2.05241934E8</v>
      </c>
      <c r="B177" s="59" t="s">
        <v>4069</v>
      </c>
      <c r="C177" s="60">
        <v>0.0</v>
      </c>
      <c r="D177" s="61"/>
      <c r="E177" s="59" t="s">
        <v>3817</v>
      </c>
      <c r="F177" s="59" t="s">
        <v>3851</v>
      </c>
      <c r="G177" s="59" t="s">
        <v>3819</v>
      </c>
      <c r="H177" s="59" t="s">
        <v>3820</v>
      </c>
      <c r="I177" s="62">
        <v>32107.0</v>
      </c>
    </row>
    <row r="178">
      <c r="A178" s="59">
        <v>2.0719096E8</v>
      </c>
      <c r="B178" s="59" t="s">
        <v>4070</v>
      </c>
      <c r="C178" s="60">
        <v>57.0</v>
      </c>
      <c r="D178" s="59" t="s">
        <v>3807</v>
      </c>
      <c r="E178" s="59" t="s">
        <v>3817</v>
      </c>
      <c r="F178" s="59" t="s">
        <v>3861</v>
      </c>
      <c r="G178" s="59" t="s">
        <v>3829</v>
      </c>
      <c r="H178" s="59" t="s">
        <v>3830</v>
      </c>
      <c r="I178" s="62">
        <v>27141.0</v>
      </c>
    </row>
    <row r="179">
      <c r="A179" s="59">
        <v>2.05241919E8</v>
      </c>
      <c r="B179" s="59" t="s">
        <v>4071</v>
      </c>
      <c r="C179" s="60">
        <v>0.0</v>
      </c>
      <c r="D179" s="61"/>
      <c r="E179" s="59" t="s">
        <v>3817</v>
      </c>
      <c r="F179" s="59" t="s">
        <v>4041</v>
      </c>
      <c r="G179" s="59" t="s">
        <v>3823</v>
      </c>
      <c r="H179" s="59" t="s">
        <v>3824</v>
      </c>
      <c r="I179" s="61"/>
    </row>
    <row r="180">
      <c r="A180" s="59">
        <v>1.07180487E8</v>
      </c>
      <c r="B180" s="59" t="s">
        <v>4072</v>
      </c>
      <c r="C180" s="60">
        <v>40.0</v>
      </c>
      <c r="D180" s="59" t="s">
        <v>3841</v>
      </c>
      <c r="E180" s="59" t="s">
        <v>3808</v>
      </c>
      <c r="F180" s="59" t="s">
        <v>3832</v>
      </c>
      <c r="G180" s="59" t="s">
        <v>3819</v>
      </c>
      <c r="H180" s="59" t="s">
        <v>3820</v>
      </c>
      <c r="I180" s="61"/>
    </row>
    <row r="181">
      <c r="A181" s="59">
        <v>2.01221572E8</v>
      </c>
      <c r="B181" s="59" t="s">
        <v>4073</v>
      </c>
      <c r="C181" s="60">
        <v>45.0</v>
      </c>
      <c r="D181" s="59" t="s">
        <v>3813</v>
      </c>
      <c r="E181" s="59" t="s">
        <v>3817</v>
      </c>
      <c r="F181" s="59" t="s">
        <v>3866</v>
      </c>
      <c r="G181" s="59" t="s">
        <v>3829</v>
      </c>
      <c r="H181" s="59" t="s">
        <v>3830</v>
      </c>
      <c r="I181" s="62">
        <v>32359.0</v>
      </c>
    </row>
    <row r="182">
      <c r="A182" s="59">
        <v>3.06210077E8</v>
      </c>
      <c r="B182" s="59" t="s">
        <v>4074</v>
      </c>
      <c r="C182" s="60">
        <v>22.0</v>
      </c>
      <c r="D182" s="59" t="s">
        <v>3841</v>
      </c>
      <c r="E182" s="59" t="s">
        <v>3834</v>
      </c>
      <c r="F182" s="59" t="s">
        <v>3883</v>
      </c>
      <c r="G182" s="59" t="s">
        <v>3810</v>
      </c>
      <c r="H182" s="59" t="s">
        <v>4075</v>
      </c>
      <c r="I182" s="62">
        <v>37593.0</v>
      </c>
    </row>
    <row r="183">
      <c r="A183" s="59">
        <v>3.03230112E8</v>
      </c>
      <c r="B183" s="59" t="s">
        <v>4076</v>
      </c>
      <c r="C183" s="60">
        <v>24.0</v>
      </c>
      <c r="D183" s="59" t="s">
        <v>3841</v>
      </c>
      <c r="E183" s="59" t="s">
        <v>3834</v>
      </c>
      <c r="F183" s="59" t="s">
        <v>3957</v>
      </c>
      <c r="G183" s="59" t="s">
        <v>3858</v>
      </c>
      <c r="H183" s="59" t="s">
        <v>3859</v>
      </c>
      <c r="I183" s="61"/>
    </row>
    <row r="184">
      <c r="A184" s="59">
        <v>2.05241914E8</v>
      </c>
      <c r="B184" s="59" t="s">
        <v>4077</v>
      </c>
      <c r="C184" s="60">
        <v>0.0</v>
      </c>
      <c r="D184" s="61"/>
      <c r="E184" s="59" t="s">
        <v>3817</v>
      </c>
      <c r="F184" s="59" t="s">
        <v>3878</v>
      </c>
      <c r="G184" s="59" t="s">
        <v>3819</v>
      </c>
      <c r="H184" s="59" t="s">
        <v>3820</v>
      </c>
      <c r="I184" s="61"/>
    </row>
    <row r="185">
      <c r="A185" s="59">
        <v>2.08231817E8</v>
      </c>
      <c r="B185" s="59" t="s">
        <v>4078</v>
      </c>
      <c r="C185" s="60">
        <v>29.0</v>
      </c>
      <c r="D185" s="59" t="s">
        <v>3841</v>
      </c>
      <c r="E185" s="59" t="s">
        <v>3817</v>
      </c>
      <c r="F185" s="59" t="s">
        <v>4079</v>
      </c>
      <c r="G185" s="59" t="s">
        <v>3823</v>
      </c>
      <c r="H185" s="59" t="s">
        <v>3824</v>
      </c>
      <c r="I185" s="61"/>
    </row>
    <row r="186">
      <c r="A186" s="59">
        <v>2.02241888E8</v>
      </c>
      <c r="B186" s="59" t="s">
        <v>4080</v>
      </c>
      <c r="C186" s="60">
        <v>0.0</v>
      </c>
      <c r="D186" s="61"/>
      <c r="E186" s="59" t="s">
        <v>3817</v>
      </c>
      <c r="F186" s="59" t="s">
        <v>3857</v>
      </c>
      <c r="G186" s="59" t="s">
        <v>3858</v>
      </c>
      <c r="H186" s="59" t="s">
        <v>3859</v>
      </c>
      <c r="I186" s="61"/>
    </row>
    <row r="187">
      <c r="A187" s="59">
        <v>1.07190992E8</v>
      </c>
      <c r="B187" s="59" t="s">
        <v>4081</v>
      </c>
      <c r="C187" s="60">
        <v>57.0</v>
      </c>
      <c r="D187" s="59" t="s">
        <v>3807</v>
      </c>
      <c r="E187" s="59" t="s">
        <v>3808</v>
      </c>
      <c r="F187" s="59" t="s">
        <v>3851</v>
      </c>
      <c r="G187" s="59" t="s">
        <v>3819</v>
      </c>
      <c r="H187" s="59" t="s">
        <v>3820</v>
      </c>
      <c r="I187" s="62">
        <v>30271.0</v>
      </c>
    </row>
    <row r="188">
      <c r="A188" s="59">
        <v>2.02221588E8</v>
      </c>
      <c r="B188" s="59" t="s">
        <v>4082</v>
      </c>
      <c r="C188" s="60">
        <v>30.0</v>
      </c>
      <c r="D188" s="59" t="s">
        <v>3807</v>
      </c>
      <c r="E188" s="59" t="s">
        <v>3817</v>
      </c>
      <c r="F188" s="59" t="s">
        <v>4083</v>
      </c>
      <c r="G188" s="59" t="s">
        <v>3815</v>
      </c>
      <c r="H188" s="59" t="s">
        <v>3943</v>
      </c>
      <c r="I188" s="61"/>
    </row>
    <row r="189">
      <c r="A189" s="59">
        <v>2.08231824E8</v>
      </c>
      <c r="B189" s="59" t="s">
        <v>4084</v>
      </c>
      <c r="C189" s="60">
        <v>27.0</v>
      </c>
      <c r="D189" s="59" t="s">
        <v>3841</v>
      </c>
      <c r="E189" s="59" t="s">
        <v>3817</v>
      </c>
      <c r="F189" s="59" t="s">
        <v>3851</v>
      </c>
      <c r="G189" s="59" t="s">
        <v>3819</v>
      </c>
      <c r="H189" s="59" t="s">
        <v>3820</v>
      </c>
      <c r="I189" s="61"/>
    </row>
    <row r="190">
      <c r="A190" s="59">
        <v>2.09221676E8</v>
      </c>
      <c r="B190" s="59" t="s">
        <v>4085</v>
      </c>
      <c r="C190" s="60">
        <v>37.0</v>
      </c>
      <c r="D190" s="59" t="s">
        <v>3807</v>
      </c>
      <c r="E190" s="59" t="s">
        <v>3817</v>
      </c>
      <c r="F190" s="59" t="s">
        <v>3878</v>
      </c>
      <c r="G190" s="59" t="s">
        <v>3819</v>
      </c>
      <c r="H190" s="59" t="s">
        <v>3820</v>
      </c>
      <c r="I190" s="62">
        <v>33426.0</v>
      </c>
    </row>
    <row r="191">
      <c r="A191" s="59">
        <v>3.11200019E8</v>
      </c>
      <c r="B191" s="59" t="s">
        <v>4086</v>
      </c>
      <c r="C191" s="60">
        <v>33.0</v>
      </c>
      <c r="D191" s="59" t="s">
        <v>3807</v>
      </c>
      <c r="E191" s="59" t="s">
        <v>3834</v>
      </c>
      <c r="F191" s="59" t="s">
        <v>3866</v>
      </c>
      <c r="G191" s="59" t="s">
        <v>3829</v>
      </c>
      <c r="H191" s="63" t="b">
        <v>0</v>
      </c>
      <c r="I191" s="61"/>
    </row>
    <row r="192">
      <c r="A192" s="59">
        <v>2.0921148E8</v>
      </c>
      <c r="B192" s="59" t="s">
        <v>4087</v>
      </c>
      <c r="C192" s="60">
        <v>47.0</v>
      </c>
      <c r="D192" s="59" t="s">
        <v>3807</v>
      </c>
      <c r="E192" s="59" t="s">
        <v>3817</v>
      </c>
      <c r="F192" s="59" t="s">
        <v>3832</v>
      </c>
      <c r="G192" s="59" t="s">
        <v>3819</v>
      </c>
      <c r="H192" s="59" t="s">
        <v>3820</v>
      </c>
      <c r="I192" s="62">
        <v>30017.0</v>
      </c>
    </row>
    <row r="193">
      <c r="A193" s="59">
        <v>1.04211374E8</v>
      </c>
      <c r="B193" s="59" t="s">
        <v>4088</v>
      </c>
      <c r="C193" s="60">
        <v>44.0</v>
      </c>
      <c r="D193" s="59" t="s">
        <v>3807</v>
      </c>
      <c r="E193" s="59" t="s">
        <v>3808</v>
      </c>
      <c r="F193" s="59" t="s">
        <v>3911</v>
      </c>
      <c r="G193" s="59" t="s">
        <v>3829</v>
      </c>
      <c r="H193" s="59" t="s">
        <v>3830</v>
      </c>
      <c r="I193" s="62">
        <v>32007.0</v>
      </c>
    </row>
    <row r="194">
      <c r="A194" s="59">
        <v>1.0820119E8</v>
      </c>
      <c r="B194" s="59" t="s">
        <v>4089</v>
      </c>
      <c r="C194" s="60">
        <v>28.0</v>
      </c>
      <c r="D194" s="59" t="s">
        <v>3807</v>
      </c>
      <c r="E194" s="59" t="s">
        <v>3808</v>
      </c>
      <c r="F194" s="59" t="s">
        <v>4090</v>
      </c>
      <c r="G194" s="59" t="s">
        <v>4057</v>
      </c>
      <c r="H194" s="59" t="s">
        <v>4058</v>
      </c>
      <c r="I194" s="61"/>
    </row>
    <row r="195">
      <c r="A195" s="59">
        <v>2.09231838E8</v>
      </c>
      <c r="B195" s="59" t="s">
        <v>4091</v>
      </c>
      <c r="C195" s="60">
        <v>0.0</v>
      </c>
      <c r="D195" s="61"/>
      <c r="E195" s="59" t="s">
        <v>3817</v>
      </c>
      <c r="F195" s="59" t="s">
        <v>3878</v>
      </c>
      <c r="G195" s="59" t="s">
        <v>3819</v>
      </c>
      <c r="H195" s="59" t="s">
        <v>3820</v>
      </c>
      <c r="I195" s="61"/>
    </row>
    <row r="196">
      <c r="A196" s="59">
        <v>2.03231742E8</v>
      </c>
      <c r="B196" s="59" t="s">
        <v>4092</v>
      </c>
      <c r="C196" s="60">
        <v>44.0</v>
      </c>
      <c r="D196" s="59" t="s">
        <v>3807</v>
      </c>
      <c r="E196" s="59" t="s">
        <v>3817</v>
      </c>
      <c r="F196" s="59" t="s">
        <v>3898</v>
      </c>
      <c r="G196" s="59" t="s">
        <v>3819</v>
      </c>
      <c r="H196" s="59" t="s">
        <v>3820</v>
      </c>
      <c r="I196" s="61"/>
    </row>
    <row r="197">
      <c r="A197" s="59">
        <v>3.10200012E8</v>
      </c>
      <c r="B197" s="59" t="s">
        <v>4093</v>
      </c>
      <c r="C197" s="60">
        <v>64.0</v>
      </c>
      <c r="D197" s="59" t="s">
        <v>3841</v>
      </c>
      <c r="E197" s="59" t="s">
        <v>3834</v>
      </c>
      <c r="F197" s="59" t="s">
        <v>4094</v>
      </c>
      <c r="G197" s="59" t="s">
        <v>4051</v>
      </c>
      <c r="H197" s="63" t="b">
        <v>0</v>
      </c>
      <c r="I197" s="61"/>
    </row>
    <row r="198">
      <c r="A198" s="59">
        <v>1.09221698E8</v>
      </c>
      <c r="B198" s="59" t="s">
        <v>4095</v>
      </c>
      <c r="C198" s="60">
        <v>0.0</v>
      </c>
      <c r="D198" s="61"/>
      <c r="E198" s="59" t="s">
        <v>3808</v>
      </c>
      <c r="F198" s="63" t="b">
        <v>0</v>
      </c>
      <c r="G198" s="59" t="s">
        <v>3858</v>
      </c>
      <c r="H198" s="59" t="s">
        <v>4029</v>
      </c>
      <c r="I198" s="61"/>
    </row>
    <row r="199">
      <c r="A199" s="59">
        <v>1.06180899E8</v>
      </c>
      <c r="B199" s="59" t="s">
        <v>4096</v>
      </c>
      <c r="C199" s="60">
        <v>63.0</v>
      </c>
      <c r="D199" s="59" t="s">
        <v>3807</v>
      </c>
      <c r="E199" s="59" t="s">
        <v>3808</v>
      </c>
      <c r="F199" s="59" t="s">
        <v>3911</v>
      </c>
      <c r="G199" s="59" t="s">
        <v>3829</v>
      </c>
      <c r="H199" s="59" t="s">
        <v>3830</v>
      </c>
      <c r="I199" s="62">
        <v>26881.0</v>
      </c>
    </row>
    <row r="200">
      <c r="A200" s="59">
        <v>2.01190739E8</v>
      </c>
      <c r="B200" s="59" t="s">
        <v>4097</v>
      </c>
      <c r="C200" s="60">
        <v>39.0</v>
      </c>
      <c r="D200" s="59" t="s">
        <v>3807</v>
      </c>
      <c r="E200" s="59" t="s">
        <v>3817</v>
      </c>
      <c r="F200" s="59" t="s">
        <v>3915</v>
      </c>
      <c r="G200" s="59" t="s">
        <v>3810</v>
      </c>
      <c r="H200" s="59" t="s">
        <v>4098</v>
      </c>
      <c r="I200" s="62">
        <v>31778.0</v>
      </c>
    </row>
    <row r="201">
      <c r="A201" s="59">
        <v>2.12221711E8</v>
      </c>
      <c r="B201" s="59" t="s">
        <v>4099</v>
      </c>
      <c r="C201" s="60">
        <v>33.0</v>
      </c>
      <c r="D201" s="59" t="s">
        <v>3807</v>
      </c>
      <c r="E201" s="59" t="s">
        <v>3817</v>
      </c>
      <c r="F201" s="59" t="s">
        <v>3898</v>
      </c>
      <c r="G201" s="59" t="s">
        <v>3819</v>
      </c>
      <c r="H201" s="59" t="s">
        <v>3820</v>
      </c>
      <c r="I201" s="62">
        <v>34031.0</v>
      </c>
    </row>
    <row r="202">
      <c r="A202" s="59">
        <v>2.02241889E8</v>
      </c>
      <c r="B202" s="59" t="s">
        <v>4099</v>
      </c>
      <c r="C202" s="60">
        <v>30.0</v>
      </c>
      <c r="D202" s="59" t="s">
        <v>3807</v>
      </c>
      <c r="E202" s="59" t="s">
        <v>3817</v>
      </c>
      <c r="F202" s="59" t="s">
        <v>3853</v>
      </c>
      <c r="G202" s="59" t="s">
        <v>3823</v>
      </c>
      <c r="H202" s="59" t="s">
        <v>3824</v>
      </c>
      <c r="I202" s="61"/>
    </row>
    <row r="203">
      <c r="A203" s="59">
        <v>2.08201174E8</v>
      </c>
      <c r="B203" s="59" t="s">
        <v>4100</v>
      </c>
      <c r="C203" s="60">
        <v>36.0</v>
      </c>
      <c r="D203" s="59" t="s">
        <v>3807</v>
      </c>
      <c r="E203" s="59" t="s">
        <v>3817</v>
      </c>
      <c r="F203" s="59" t="s">
        <v>3832</v>
      </c>
      <c r="G203" s="59" t="s">
        <v>3819</v>
      </c>
      <c r="H203" s="59" t="s">
        <v>3820</v>
      </c>
      <c r="I203" s="62">
        <v>34856.0</v>
      </c>
    </row>
    <row r="204">
      <c r="A204" s="59">
        <v>2.10211514E8</v>
      </c>
      <c r="B204" s="59" t="s">
        <v>4101</v>
      </c>
      <c r="C204" s="60">
        <v>22.0</v>
      </c>
      <c r="D204" s="59" t="s">
        <v>3813</v>
      </c>
      <c r="E204" s="59" t="s">
        <v>3817</v>
      </c>
      <c r="F204" s="59" t="s">
        <v>3839</v>
      </c>
      <c r="G204" s="59" t="s">
        <v>3829</v>
      </c>
      <c r="H204" s="59" t="s">
        <v>3830</v>
      </c>
      <c r="I204" s="61"/>
    </row>
    <row r="205">
      <c r="A205" s="59">
        <v>2.12231859E8</v>
      </c>
      <c r="B205" s="59" t="s">
        <v>4102</v>
      </c>
      <c r="C205" s="60">
        <v>0.0</v>
      </c>
      <c r="D205" s="61"/>
      <c r="E205" s="59" t="s">
        <v>3817</v>
      </c>
      <c r="F205" s="59" t="s">
        <v>4103</v>
      </c>
      <c r="G205" s="63" t="b">
        <v>0</v>
      </c>
      <c r="H205" s="63" t="b">
        <v>0</v>
      </c>
      <c r="I205" s="62">
        <v>35614.0</v>
      </c>
    </row>
    <row r="206">
      <c r="A206" s="59">
        <v>2.08201202E8</v>
      </c>
      <c r="B206" s="59" t="s">
        <v>4104</v>
      </c>
      <c r="C206" s="60">
        <v>40.0</v>
      </c>
      <c r="D206" s="59" t="s">
        <v>3807</v>
      </c>
      <c r="E206" s="59" t="s">
        <v>3817</v>
      </c>
      <c r="F206" s="59" t="s">
        <v>3832</v>
      </c>
      <c r="G206" s="59" t="s">
        <v>3819</v>
      </c>
      <c r="H206" s="59" t="s">
        <v>3820</v>
      </c>
      <c r="I206" s="62">
        <v>32372.0</v>
      </c>
    </row>
    <row r="207">
      <c r="A207" s="59">
        <v>1.07211446E8</v>
      </c>
      <c r="B207" s="59" t="s">
        <v>4105</v>
      </c>
      <c r="C207" s="60">
        <v>23.0</v>
      </c>
      <c r="D207" s="59" t="s">
        <v>3807</v>
      </c>
      <c r="E207" s="59" t="s">
        <v>3808</v>
      </c>
      <c r="F207" s="59" t="s">
        <v>3853</v>
      </c>
      <c r="G207" s="59" t="s">
        <v>3823</v>
      </c>
      <c r="H207" s="59" t="s">
        <v>3854</v>
      </c>
      <c r="I207" s="61"/>
    </row>
    <row r="208">
      <c r="A208" s="59">
        <v>1.01211324E8</v>
      </c>
      <c r="B208" s="59" t="s">
        <v>4106</v>
      </c>
      <c r="C208" s="60">
        <v>44.0</v>
      </c>
      <c r="D208" s="59" t="s">
        <v>3841</v>
      </c>
      <c r="E208" s="59" t="s">
        <v>3808</v>
      </c>
      <c r="F208" s="59" t="s">
        <v>4083</v>
      </c>
      <c r="G208" s="59" t="s">
        <v>3815</v>
      </c>
      <c r="H208" s="59" t="s">
        <v>3943</v>
      </c>
      <c r="I208" s="62">
        <v>24946.0</v>
      </c>
    </row>
    <row r="209">
      <c r="A209" s="59">
        <v>2.09231832E8</v>
      </c>
      <c r="B209" s="59" t="s">
        <v>4106</v>
      </c>
      <c r="C209" s="60">
        <v>0.0</v>
      </c>
      <c r="D209" s="59" t="s">
        <v>3807</v>
      </c>
      <c r="E209" s="59" t="s">
        <v>3817</v>
      </c>
      <c r="F209" s="59" t="s">
        <v>3878</v>
      </c>
      <c r="G209" s="59" t="s">
        <v>3819</v>
      </c>
      <c r="H209" s="59" t="s">
        <v>3820</v>
      </c>
      <c r="I209" s="61"/>
    </row>
    <row r="210">
      <c r="A210" s="59">
        <v>2.09201233E8</v>
      </c>
      <c r="B210" s="59" t="s">
        <v>4107</v>
      </c>
      <c r="C210" s="60">
        <v>35.0</v>
      </c>
      <c r="D210" s="59" t="s">
        <v>3841</v>
      </c>
      <c r="E210" s="59" t="s">
        <v>3817</v>
      </c>
      <c r="F210" s="59" t="s">
        <v>3832</v>
      </c>
      <c r="G210" s="59" t="s">
        <v>3819</v>
      </c>
      <c r="H210" s="59" t="s">
        <v>3820</v>
      </c>
      <c r="I210" s="62">
        <v>33380.0</v>
      </c>
    </row>
    <row r="211">
      <c r="A211" s="59">
        <v>1.02199007E8</v>
      </c>
      <c r="B211" s="59" t="s">
        <v>4108</v>
      </c>
      <c r="C211" s="60">
        <v>0.0</v>
      </c>
      <c r="D211" s="61"/>
      <c r="E211" s="59" t="s">
        <v>3808</v>
      </c>
      <c r="F211" s="63" t="b">
        <v>0</v>
      </c>
      <c r="G211" s="59" t="s">
        <v>3881</v>
      </c>
      <c r="H211" s="63" t="b">
        <v>0</v>
      </c>
      <c r="I211" s="61"/>
    </row>
    <row r="212">
      <c r="A212" s="59">
        <v>2.11221704E8</v>
      </c>
      <c r="B212" s="59" t="s">
        <v>4109</v>
      </c>
      <c r="C212" s="60">
        <v>30.0</v>
      </c>
      <c r="D212" s="59" t="s">
        <v>3813</v>
      </c>
      <c r="E212" s="59" t="s">
        <v>3817</v>
      </c>
      <c r="F212" s="59" t="s">
        <v>3848</v>
      </c>
      <c r="G212" s="59" t="s">
        <v>3823</v>
      </c>
      <c r="H212" s="59" t="s">
        <v>3824</v>
      </c>
      <c r="I212" s="62">
        <v>34852.0</v>
      </c>
    </row>
    <row r="213">
      <c r="A213" s="59">
        <v>2.10201255E8</v>
      </c>
      <c r="B213" s="59" t="s">
        <v>4110</v>
      </c>
      <c r="C213" s="60">
        <v>36.0</v>
      </c>
      <c r="D213" s="59" t="s">
        <v>3813</v>
      </c>
      <c r="E213" s="59" t="s">
        <v>3817</v>
      </c>
      <c r="F213" s="59" t="s">
        <v>3866</v>
      </c>
      <c r="G213" s="59" t="s">
        <v>3829</v>
      </c>
      <c r="H213" s="59" t="s">
        <v>3830</v>
      </c>
      <c r="I213" s="62">
        <v>32607.0</v>
      </c>
    </row>
    <row r="214">
      <c r="A214" s="59">
        <v>2.03231741E8</v>
      </c>
      <c r="B214" s="59" t="s">
        <v>4111</v>
      </c>
      <c r="C214" s="60">
        <v>25.0</v>
      </c>
      <c r="D214" s="59" t="s">
        <v>3807</v>
      </c>
      <c r="E214" s="59" t="s">
        <v>3817</v>
      </c>
      <c r="F214" s="59" t="s">
        <v>3898</v>
      </c>
      <c r="G214" s="59" t="s">
        <v>3819</v>
      </c>
      <c r="H214" s="59" t="s">
        <v>3820</v>
      </c>
      <c r="I214" s="62">
        <v>36393.0</v>
      </c>
    </row>
    <row r="215">
      <c r="A215" s="59">
        <v>1.03190794E8</v>
      </c>
      <c r="B215" s="59" t="s">
        <v>4112</v>
      </c>
      <c r="C215" s="60">
        <v>27.0</v>
      </c>
      <c r="D215" s="59" t="s">
        <v>3841</v>
      </c>
      <c r="E215" s="59" t="s">
        <v>3808</v>
      </c>
      <c r="F215" s="59" t="s">
        <v>3878</v>
      </c>
      <c r="G215" s="59" t="s">
        <v>3819</v>
      </c>
      <c r="H215" s="59" t="s">
        <v>3820</v>
      </c>
      <c r="I215" s="61"/>
    </row>
    <row r="216">
      <c r="A216" s="59">
        <v>1.0317011E8</v>
      </c>
      <c r="B216" s="59" t="s">
        <v>4113</v>
      </c>
      <c r="C216" s="60">
        <v>27.0</v>
      </c>
      <c r="D216" s="59" t="s">
        <v>3841</v>
      </c>
      <c r="E216" s="59" t="s">
        <v>3808</v>
      </c>
      <c r="F216" s="59" t="s">
        <v>3919</v>
      </c>
      <c r="G216" s="59" t="s">
        <v>3858</v>
      </c>
      <c r="H216" s="59" t="s">
        <v>3886</v>
      </c>
      <c r="I216" s="61"/>
    </row>
    <row r="217">
      <c r="A217" s="59">
        <v>1.08180517E8</v>
      </c>
      <c r="B217" s="59" t="s">
        <v>4114</v>
      </c>
      <c r="C217" s="60">
        <v>56.0</v>
      </c>
      <c r="D217" s="59" t="s">
        <v>3841</v>
      </c>
      <c r="E217" s="59" t="s">
        <v>3808</v>
      </c>
      <c r="F217" s="59" t="s">
        <v>4115</v>
      </c>
      <c r="G217" s="59" t="s">
        <v>3823</v>
      </c>
      <c r="H217" s="59" t="s">
        <v>3824</v>
      </c>
      <c r="I217" s="61"/>
    </row>
    <row r="218">
      <c r="A218" s="59">
        <v>3.06200002E8</v>
      </c>
      <c r="B218" s="59" t="s">
        <v>4116</v>
      </c>
      <c r="C218" s="60">
        <v>45.0</v>
      </c>
      <c r="D218" s="59" t="s">
        <v>3841</v>
      </c>
      <c r="E218" s="59" t="s">
        <v>3834</v>
      </c>
      <c r="F218" s="59" t="s">
        <v>3913</v>
      </c>
      <c r="G218" s="59" t="s">
        <v>3819</v>
      </c>
      <c r="H218" s="59" t="s">
        <v>3820</v>
      </c>
      <c r="I218" s="61"/>
    </row>
    <row r="219">
      <c r="A219" s="59">
        <v>2.09211491E8</v>
      </c>
      <c r="B219" s="59" t="s">
        <v>4117</v>
      </c>
      <c r="C219" s="60">
        <v>24.0</v>
      </c>
      <c r="D219" s="59" t="s">
        <v>3844</v>
      </c>
      <c r="E219" s="59" t="s">
        <v>3817</v>
      </c>
      <c r="F219" s="59" t="s">
        <v>3911</v>
      </c>
      <c r="G219" s="59" t="s">
        <v>3829</v>
      </c>
      <c r="H219" s="59" t="s">
        <v>3830</v>
      </c>
      <c r="I219" s="61"/>
    </row>
    <row r="220">
      <c r="A220" s="59" t="s">
        <v>4118</v>
      </c>
      <c r="B220" s="59" t="s">
        <v>4119</v>
      </c>
      <c r="C220" s="60">
        <v>0.0</v>
      </c>
      <c r="D220" s="61"/>
      <c r="E220" s="59" t="s">
        <v>3808</v>
      </c>
      <c r="F220" s="59" t="s">
        <v>4120</v>
      </c>
      <c r="G220" s="59" t="s">
        <v>3881</v>
      </c>
      <c r="H220" s="59" t="s">
        <v>3904</v>
      </c>
      <c r="I220" s="61"/>
    </row>
    <row r="221">
      <c r="A221" s="59">
        <v>2.12201312E8</v>
      </c>
      <c r="B221" s="59" t="s">
        <v>4121</v>
      </c>
      <c r="C221" s="60">
        <v>47.0</v>
      </c>
      <c r="D221" s="59" t="s">
        <v>3844</v>
      </c>
      <c r="E221" s="59" t="s">
        <v>3817</v>
      </c>
      <c r="F221" s="59" t="s">
        <v>3832</v>
      </c>
      <c r="G221" s="59" t="s">
        <v>3819</v>
      </c>
      <c r="H221" s="59" t="s">
        <v>3820</v>
      </c>
      <c r="I221" s="62">
        <v>29053.0</v>
      </c>
    </row>
    <row r="222">
      <c r="A222" s="59">
        <v>1.07180499E8</v>
      </c>
      <c r="B222" s="59" t="s">
        <v>4122</v>
      </c>
      <c r="C222" s="60">
        <v>46.0</v>
      </c>
      <c r="D222" s="59" t="s">
        <v>3807</v>
      </c>
      <c r="E222" s="59" t="s">
        <v>3808</v>
      </c>
      <c r="F222" s="59" t="s">
        <v>3832</v>
      </c>
      <c r="G222" s="59" t="s">
        <v>3819</v>
      </c>
      <c r="H222" s="59" t="s">
        <v>3820</v>
      </c>
      <c r="I222" s="62">
        <v>29007.0</v>
      </c>
    </row>
    <row r="223">
      <c r="A223" s="59">
        <v>1.05190112E8</v>
      </c>
      <c r="B223" s="59" t="s">
        <v>4123</v>
      </c>
      <c r="C223" s="60">
        <v>31.0</v>
      </c>
      <c r="D223" s="59" t="s">
        <v>3807</v>
      </c>
      <c r="E223" s="59" t="s">
        <v>3808</v>
      </c>
      <c r="F223" s="59" t="s">
        <v>3832</v>
      </c>
      <c r="G223" s="59" t="s">
        <v>3819</v>
      </c>
      <c r="H223" s="59" t="s">
        <v>3820</v>
      </c>
      <c r="I223" s="62">
        <v>34010.0</v>
      </c>
    </row>
    <row r="224">
      <c r="A224" s="59">
        <v>2.06221649E8</v>
      </c>
      <c r="B224" s="59" t="s">
        <v>4124</v>
      </c>
      <c r="C224" s="60">
        <v>37.0</v>
      </c>
      <c r="D224" s="59" t="s">
        <v>3807</v>
      </c>
      <c r="E224" s="59" t="s">
        <v>3817</v>
      </c>
      <c r="F224" s="59" t="s">
        <v>3898</v>
      </c>
      <c r="G224" s="59" t="s">
        <v>3819</v>
      </c>
      <c r="H224" s="59" t="s">
        <v>3820</v>
      </c>
      <c r="I224" s="62">
        <v>29279.0</v>
      </c>
    </row>
    <row r="225">
      <c r="A225" s="59">
        <v>2.0621144E8</v>
      </c>
      <c r="B225" s="59" t="s">
        <v>4125</v>
      </c>
      <c r="C225" s="60">
        <v>33.0</v>
      </c>
      <c r="D225" s="59" t="s">
        <v>3813</v>
      </c>
      <c r="E225" s="59" t="s">
        <v>3817</v>
      </c>
      <c r="F225" s="59" t="s">
        <v>3888</v>
      </c>
      <c r="G225" s="59" t="s">
        <v>3823</v>
      </c>
      <c r="H225" s="59" t="s">
        <v>3824</v>
      </c>
      <c r="I225" s="61"/>
    </row>
    <row r="226">
      <c r="A226" s="59">
        <v>2.09231839E8</v>
      </c>
      <c r="B226" s="59" t="s">
        <v>4126</v>
      </c>
      <c r="C226" s="60">
        <v>0.0</v>
      </c>
      <c r="D226" s="61"/>
      <c r="E226" s="59" t="s">
        <v>3817</v>
      </c>
      <c r="F226" s="59" t="s">
        <v>3878</v>
      </c>
      <c r="G226" s="59" t="s">
        <v>3819</v>
      </c>
      <c r="H226" s="59" t="s">
        <v>3820</v>
      </c>
      <c r="I226" s="62">
        <v>31270.0</v>
      </c>
    </row>
    <row r="227">
      <c r="A227" s="59">
        <v>2.08221665E8</v>
      </c>
      <c r="B227" s="59" t="s">
        <v>4127</v>
      </c>
      <c r="C227" s="60">
        <v>24.0</v>
      </c>
      <c r="D227" s="59" t="s">
        <v>3807</v>
      </c>
      <c r="E227" s="59" t="s">
        <v>3817</v>
      </c>
      <c r="F227" s="59" t="s">
        <v>3853</v>
      </c>
      <c r="G227" s="59" t="s">
        <v>3823</v>
      </c>
      <c r="H227" s="59" t="s">
        <v>3854</v>
      </c>
      <c r="I227" s="61"/>
    </row>
    <row r="228">
      <c r="A228" s="59">
        <v>2.04241908E8</v>
      </c>
      <c r="B228" s="59" t="s">
        <v>4128</v>
      </c>
      <c r="C228" s="60">
        <v>19.0</v>
      </c>
      <c r="D228" s="59" t="s">
        <v>3841</v>
      </c>
      <c r="E228" s="59" t="s">
        <v>3817</v>
      </c>
      <c r="F228" s="59" t="s">
        <v>4129</v>
      </c>
      <c r="G228" s="59" t="s">
        <v>3823</v>
      </c>
      <c r="H228" s="59" t="s">
        <v>3824</v>
      </c>
      <c r="I228" s="61"/>
    </row>
    <row r="229">
      <c r="A229" s="59">
        <v>2.05221631E8</v>
      </c>
      <c r="B229" s="59" t="s">
        <v>4130</v>
      </c>
      <c r="C229" s="60">
        <v>24.0</v>
      </c>
      <c r="D229" s="59" t="s">
        <v>3807</v>
      </c>
      <c r="E229" s="59" t="s">
        <v>3817</v>
      </c>
      <c r="F229" s="59" t="s">
        <v>3832</v>
      </c>
      <c r="G229" s="59" t="s">
        <v>3819</v>
      </c>
      <c r="H229" s="59" t="s">
        <v>3820</v>
      </c>
      <c r="I229" s="61"/>
    </row>
    <row r="230">
      <c r="A230" s="59">
        <v>1.04150117E8</v>
      </c>
      <c r="B230" s="59" t="s">
        <v>4131</v>
      </c>
      <c r="C230" s="60">
        <v>34.0</v>
      </c>
      <c r="D230" s="59" t="s">
        <v>3841</v>
      </c>
      <c r="E230" s="59" t="s">
        <v>3808</v>
      </c>
      <c r="F230" s="59" t="s">
        <v>4132</v>
      </c>
      <c r="G230" s="59" t="s">
        <v>3823</v>
      </c>
      <c r="H230" s="59" t="s">
        <v>3824</v>
      </c>
      <c r="I230" s="61"/>
    </row>
    <row r="231">
      <c r="A231" s="59">
        <v>2.02241882E8</v>
      </c>
      <c r="B231" s="59" t="s">
        <v>4133</v>
      </c>
      <c r="C231" s="60">
        <v>0.0</v>
      </c>
      <c r="D231" s="61"/>
      <c r="E231" s="59" t="s">
        <v>3817</v>
      </c>
      <c r="F231" s="59" t="s">
        <v>3980</v>
      </c>
      <c r="G231" s="59" t="s">
        <v>3823</v>
      </c>
      <c r="H231" s="59" t="s">
        <v>3824</v>
      </c>
      <c r="I231" s="61"/>
    </row>
    <row r="232">
      <c r="A232" s="59">
        <v>1.10211501E8</v>
      </c>
      <c r="B232" s="59" t="s">
        <v>4134</v>
      </c>
      <c r="C232" s="60">
        <v>27.0</v>
      </c>
      <c r="D232" s="59" t="s">
        <v>3807</v>
      </c>
      <c r="E232" s="59" t="s">
        <v>3808</v>
      </c>
      <c r="F232" s="59" t="s">
        <v>3919</v>
      </c>
      <c r="G232" s="59" t="s">
        <v>3858</v>
      </c>
      <c r="H232" s="59" t="s">
        <v>3886</v>
      </c>
      <c r="I232" s="61"/>
    </row>
    <row r="233">
      <c r="A233" s="59">
        <v>1.06160119E8</v>
      </c>
      <c r="B233" s="59" t="s">
        <v>4135</v>
      </c>
      <c r="C233" s="60">
        <v>37.0</v>
      </c>
      <c r="D233" s="59" t="s">
        <v>3841</v>
      </c>
      <c r="E233" s="59" t="s">
        <v>3808</v>
      </c>
      <c r="F233" s="59" t="s">
        <v>4136</v>
      </c>
      <c r="G233" s="59" t="s">
        <v>3829</v>
      </c>
      <c r="H233" s="59" t="s">
        <v>3830</v>
      </c>
      <c r="I233" s="61"/>
    </row>
    <row r="234">
      <c r="A234" s="59">
        <v>2.09191093E8</v>
      </c>
      <c r="B234" s="59" t="s">
        <v>4137</v>
      </c>
      <c r="C234" s="60">
        <v>49.0</v>
      </c>
      <c r="D234" s="59" t="s">
        <v>3807</v>
      </c>
      <c r="E234" s="59" t="s">
        <v>3817</v>
      </c>
      <c r="F234" s="59" t="s">
        <v>3911</v>
      </c>
      <c r="G234" s="59" t="s">
        <v>3829</v>
      </c>
      <c r="H234" s="59" t="s">
        <v>3830</v>
      </c>
      <c r="I234" s="61"/>
    </row>
    <row r="235">
      <c r="A235" s="59">
        <v>2.06231788E8</v>
      </c>
      <c r="B235" s="59" t="s">
        <v>4138</v>
      </c>
      <c r="C235" s="60">
        <v>27.0</v>
      </c>
      <c r="D235" s="59" t="s">
        <v>3807</v>
      </c>
      <c r="E235" s="59" t="s">
        <v>3817</v>
      </c>
      <c r="F235" s="59" t="s">
        <v>4139</v>
      </c>
      <c r="G235" s="59" t="s">
        <v>3819</v>
      </c>
      <c r="H235" s="59" t="s">
        <v>3820</v>
      </c>
      <c r="I235" s="61"/>
    </row>
    <row r="236">
      <c r="A236" s="59">
        <v>3.06210075E8</v>
      </c>
      <c r="B236" s="59" t="s">
        <v>4140</v>
      </c>
      <c r="C236" s="60">
        <v>21.0</v>
      </c>
      <c r="D236" s="59" t="s">
        <v>3807</v>
      </c>
      <c r="E236" s="59" t="s">
        <v>3834</v>
      </c>
      <c r="F236" s="59" t="s">
        <v>3883</v>
      </c>
      <c r="G236" s="59" t="s">
        <v>3810</v>
      </c>
      <c r="H236" s="59" t="s">
        <v>4075</v>
      </c>
      <c r="I236" s="61"/>
    </row>
    <row r="237">
      <c r="A237" s="59">
        <v>2.11211539E8</v>
      </c>
      <c r="B237" s="59" t="s">
        <v>4141</v>
      </c>
      <c r="C237" s="60">
        <v>26.0</v>
      </c>
      <c r="D237" s="59" t="s">
        <v>3807</v>
      </c>
      <c r="E237" s="59" t="s">
        <v>3817</v>
      </c>
      <c r="F237" s="59" t="s">
        <v>4142</v>
      </c>
      <c r="G237" s="59" t="s">
        <v>3810</v>
      </c>
      <c r="H237" s="59" t="s">
        <v>3811</v>
      </c>
      <c r="I237" s="61"/>
    </row>
    <row r="238">
      <c r="A238" s="59">
        <v>1.04211375E8</v>
      </c>
      <c r="B238" s="59" t="s">
        <v>4143</v>
      </c>
      <c r="C238" s="60">
        <v>37.0</v>
      </c>
      <c r="D238" s="59" t="s">
        <v>3807</v>
      </c>
      <c r="E238" s="59" t="s">
        <v>3808</v>
      </c>
      <c r="F238" s="59" t="s">
        <v>3866</v>
      </c>
      <c r="G238" s="59" t="s">
        <v>3829</v>
      </c>
      <c r="H238" s="59" t="s">
        <v>3830</v>
      </c>
      <c r="I238" s="62">
        <v>33156.0</v>
      </c>
    </row>
    <row r="239">
      <c r="A239" s="59">
        <v>1.12231867E8</v>
      </c>
      <c r="B239" s="59" t="s">
        <v>4144</v>
      </c>
      <c r="C239" s="60">
        <v>0.0</v>
      </c>
      <c r="D239" s="61"/>
      <c r="E239" s="59" t="s">
        <v>3808</v>
      </c>
      <c r="F239" s="59" t="s">
        <v>4090</v>
      </c>
      <c r="G239" s="59" t="s">
        <v>4057</v>
      </c>
      <c r="H239" s="59" t="s">
        <v>4058</v>
      </c>
      <c r="I239" s="61"/>
    </row>
    <row r="240">
      <c r="A240" s="59">
        <v>1.12231861E8</v>
      </c>
      <c r="B240" s="59" t="s">
        <v>4145</v>
      </c>
      <c r="C240" s="60">
        <v>0.0</v>
      </c>
      <c r="D240" s="61"/>
      <c r="E240" s="59" t="s">
        <v>3808</v>
      </c>
      <c r="F240" s="59" t="s">
        <v>3878</v>
      </c>
      <c r="G240" s="59" t="s">
        <v>3819</v>
      </c>
      <c r="H240" s="59" t="s">
        <v>3820</v>
      </c>
      <c r="I240" s="61"/>
    </row>
    <row r="241">
      <c r="A241" s="59">
        <v>2.12221713E8</v>
      </c>
      <c r="B241" s="59" t="s">
        <v>4146</v>
      </c>
      <c r="C241" s="60">
        <v>35.0</v>
      </c>
      <c r="D241" s="59" t="s">
        <v>3807</v>
      </c>
      <c r="E241" s="59" t="s">
        <v>3817</v>
      </c>
      <c r="F241" s="59" t="s">
        <v>3898</v>
      </c>
      <c r="G241" s="59" t="s">
        <v>3819</v>
      </c>
      <c r="H241" s="59" t="s">
        <v>3820</v>
      </c>
      <c r="I241" s="62">
        <v>34499.0</v>
      </c>
    </row>
    <row r="242">
      <c r="A242" s="59">
        <v>2.10221691E8</v>
      </c>
      <c r="B242" s="59" t="s">
        <v>4147</v>
      </c>
      <c r="C242" s="60">
        <v>20.0</v>
      </c>
      <c r="D242" s="59" t="s">
        <v>3807</v>
      </c>
      <c r="E242" s="59" t="s">
        <v>3817</v>
      </c>
      <c r="F242" s="59" t="s">
        <v>3853</v>
      </c>
      <c r="G242" s="59" t="s">
        <v>3823</v>
      </c>
      <c r="H242" s="63" t="b">
        <v>0</v>
      </c>
      <c r="I242" s="61"/>
    </row>
    <row r="243">
      <c r="A243" s="59">
        <v>2.0821147E8</v>
      </c>
      <c r="B243" s="59" t="s">
        <v>4147</v>
      </c>
      <c r="C243" s="60">
        <v>52.0</v>
      </c>
      <c r="D243" s="59" t="s">
        <v>3807</v>
      </c>
      <c r="E243" s="59" t="s">
        <v>3817</v>
      </c>
      <c r="F243" s="59" t="s">
        <v>4148</v>
      </c>
      <c r="G243" s="59" t="s">
        <v>3829</v>
      </c>
      <c r="H243" s="59" t="s">
        <v>3830</v>
      </c>
      <c r="I243" s="62">
        <v>23454.0</v>
      </c>
    </row>
    <row r="244">
      <c r="A244" s="59">
        <v>1.08191041E8</v>
      </c>
      <c r="B244" s="59" t="s">
        <v>4147</v>
      </c>
      <c r="C244" s="60">
        <v>37.0</v>
      </c>
      <c r="D244" s="59" t="s">
        <v>3807</v>
      </c>
      <c r="E244" s="59" t="s">
        <v>3808</v>
      </c>
      <c r="F244" s="59" t="s">
        <v>3832</v>
      </c>
      <c r="G244" s="59" t="s">
        <v>3819</v>
      </c>
      <c r="H244" s="59" t="s">
        <v>3820</v>
      </c>
      <c r="I244" s="62">
        <v>36015.0</v>
      </c>
    </row>
    <row r="245">
      <c r="A245" s="59">
        <v>1.07201166E8</v>
      </c>
      <c r="B245" s="59" t="s">
        <v>4149</v>
      </c>
      <c r="C245" s="60">
        <v>41.0</v>
      </c>
      <c r="D245" s="59" t="s">
        <v>3807</v>
      </c>
      <c r="E245" s="59" t="s">
        <v>3808</v>
      </c>
      <c r="F245" s="59" t="s">
        <v>4036</v>
      </c>
      <c r="G245" s="59" t="s">
        <v>3815</v>
      </c>
      <c r="H245" s="59" t="s">
        <v>3943</v>
      </c>
      <c r="I245" s="62">
        <v>32453.0</v>
      </c>
    </row>
    <row r="246">
      <c r="A246" s="59">
        <v>1.08201211E8</v>
      </c>
      <c r="B246" s="59" t="s">
        <v>4150</v>
      </c>
      <c r="C246" s="60">
        <v>59.0</v>
      </c>
      <c r="D246" s="59" t="s">
        <v>3807</v>
      </c>
      <c r="E246" s="59" t="s">
        <v>3808</v>
      </c>
      <c r="F246" s="59" t="s">
        <v>3832</v>
      </c>
      <c r="G246" s="59" t="s">
        <v>3819</v>
      </c>
      <c r="H246" s="59" t="s">
        <v>3820</v>
      </c>
      <c r="I246" s="61"/>
    </row>
    <row r="247">
      <c r="A247" s="59">
        <v>2.08231825E8</v>
      </c>
      <c r="B247" s="59" t="s">
        <v>4151</v>
      </c>
      <c r="C247" s="60">
        <v>29.0</v>
      </c>
      <c r="D247" s="59" t="s">
        <v>3807</v>
      </c>
      <c r="E247" s="59" t="s">
        <v>3817</v>
      </c>
      <c r="F247" s="59" t="s">
        <v>3868</v>
      </c>
      <c r="G247" s="59" t="s">
        <v>3823</v>
      </c>
      <c r="H247" s="59" t="s">
        <v>3824</v>
      </c>
      <c r="I247" s="61"/>
    </row>
    <row r="248">
      <c r="A248" s="59">
        <v>2.02211343E8</v>
      </c>
      <c r="B248" s="59" t="s">
        <v>4152</v>
      </c>
      <c r="C248" s="60">
        <v>22.0</v>
      </c>
      <c r="D248" s="59" t="s">
        <v>3807</v>
      </c>
      <c r="E248" s="59" t="s">
        <v>3817</v>
      </c>
      <c r="F248" s="59" t="s">
        <v>3863</v>
      </c>
      <c r="G248" s="59" t="s">
        <v>3819</v>
      </c>
      <c r="H248" s="59" t="s">
        <v>3820</v>
      </c>
      <c r="I248" s="61"/>
    </row>
    <row r="249">
      <c r="A249" s="61"/>
      <c r="B249" s="59" t="s">
        <v>4153</v>
      </c>
      <c r="C249" s="60">
        <v>0.0</v>
      </c>
      <c r="D249" s="61"/>
      <c r="E249" s="59" t="s">
        <v>3817</v>
      </c>
      <c r="F249" s="63" t="b">
        <v>0</v>
      </c>
      <c r="G249" s="63" t="b">
        <v>0</v>
      </c>
      <c r="H249" s="63" t="b">
        <v>0</v>
      </c>
      <c r="I249" s="61"/>
    </row>
    <row r="250">
      <c r="A250" s="59">
        <v>1.1223186E8</v>
      </c>
      <c r="B250" s="59" t="s">
        <v>4154</v>
      </c>
      <c r="C250" s="60">
        <v>0.0</v>
      </c>
      <c r="D250" s="61"/>
      <c r="E250" s="59" t="s">
        <v>3808</v>
      </c>
      <c r="F250" s="59" t="s">
        <v>3878</v>
      </c>
      <c r="G250" s="59" t="s">
        <v>3819</v>
      </c>
      <c r="H250" s="59" t="s">
        <v>3820</v>
      </c>
      <c r="I250" s="61"/>
    </row>
    <row r="251">
      <c r="A251" s="59">
        <v>3.09220106E8</v>
      </c>
      <c r="B251" s="59" t="s">
        <v>4155</v>
      </c>
      <c r="C251" s="60">
        <v>23.0</v>
      </c>
      <c r="D251" s="59" t="s">
        <v>3807</v>
      </c>
      <c r="E251" s="59" t="s">
        <v>3834</v>
      </c>
      <c r="F251" s="59" t="s">
        <v>3883</v>
      </c>
      <c r="G251" s="59" t="s">
        <v>3810</v>
      </c>
      <c r="H251" s="59" t="s">
        <v>4075</v>
      </c>
      <c r="I251" s="61"/>
    </row>
    <row r="252">
      <c r="A252" s="59">
        <v>2.03221602E8</v>
      </c>
      <c r="B252" s="59" t="s">
        <v>4156</v>
      </c>
      <c r="C252" s="60">
        <v>40.0</v>
      </c>
      <c r="D252" s="59" t="s">
        <v>3807</v>
      </c>
      <c r="E252" s="59" t="s">
        <v>3817</v>
      </c>
      <c r="F252" s="59" t="s">
        <v>3832</v>
      </c>
      <c r="G252" s="59" t="s">
        <v>3819</v>
      </c>
      <c r="H252" s="59" t="s">
        <v>3820</v>
      </c>
      <c r="I252" s="61"/>
    </row>
    <row r="253">
      <c r="A253" s="59">
        <v>4.07230005E8</v>
      </c>
      <c r="B253" s="59" t="s">
        <v>4157</v>
      </c>
      <c r="C253" s="60">
        <v>0.0</v>
      </c>
      <c r="D253" s="61"/>
      <c r="E253" s="59" t="s">
        <v>3808</v>
      </c>
      <c r="F253" s="59" t="s">
        <v>3878</v>
      </c>
      <c r="G253" s="59" t="s">
        <v>3819</v>
      </c>
      <c r="H253" s="59" t="s">
        <v>3820</v>
      </c>
      <c r="I253" s="61"/>
    </row>
    <row r="254">
      <c r="A254" s="59">
        <v>1.05221626E8</v>
      </c>
      <c r="B254" s="59" t="s">
        <v>4158</v>
      </c>
      <c r="C254" s="60">
        <v>51.0</v>
      </c>
      <c r="D254" s="59" t="s">
        <v>3807</v>
      </c>
      <c r="E254" s="59" t="s">
        <v>3808</v>
      </c>
      <c r="F254" s="59" t="s">
        <v>3898</v>
      </c>
      <c r="G254" s="59" t="s">
        <v>3819</v>
      </c>
      <c r="H254" s="59" t="s">
        <v>3820</v>
      </c>
      <c r="I254" s="62">
        <v>27885.0</v>
      </c>
    </row>
    <row r="255">
      <c r="A255" s="59">
        <v>2.07231811E8</v>
      </c>
      <c r="B255" s="59" t="s">
        <v>4159</v>
      </c>
      <c r="C255" s="60">
        <v>0.0</v>
      </c>
      <c r="D255" s="61"/>
      <c r="E255" s="59" t="s">
        <v>3817</v>
      </c>
      <c r="F255" s="59" t="s">
        <v>3853</v>
      </c>
      <c r="G255" s="59" t="s">
        <v>3823</v>
      </c>
      <c r="H255" s="59" t="s">
        <v>3824</v>
      </c>
      <c r="I255" s="61"/>
    </row>
    <row r="256">
      <c r="A256" s="59">
        <v>1.02190772E8</v>
      </c>
      <c r="B256" s="59" t="s">
        <v>4160</v>
      </c>
      <c r="C256" s="60">
        <v>44.0</v>
      </c>
      <c r="D256" s="59" t="s">
        <v>3807</v>
      </c>
      <c r="E256" s="59" t="s">
        <v>3808</v>
      </c>
      <c r="F256" s="59" t="s">
        <v>3848</v>
      </c>
      <c r="G256" s="59" t="s">
        <v>3823</v>
      </c>
      <c r="H256" s="63" t="b">
        <v>0</v>
      </c>
      <c r="I256" s="62">
        <v>27621.0</v>
      </c>
    </row>
    <row r="257">
      <c r="A257" s="59">
        <v>1.02150018E8</v>
      </c>
      <c r="B257" s="59" t="s">
        <v>4161</v>
      </c>
      <c r="C257" s="60">
        <v>34.0</v>
      </c>
      <c r="D257" s="59" t="s">
        <v>3841</v>
      </c>
      <c r="E257" s="59" t="s">
        <v>3808</v>
      </c>
      <c r="F257" s="59" t="s">
        <v>4120</v>
      </c>
      <c r="G257" s="59" t="s">
        <v>3881</v>
      </c>
      <c r="H257" s="59" t="s">
        <v>3904</v>
      </c>
      <c r="I257" s="61"/>
    </row>
    <row r="258">
      <c r="A258" s="59">
        <v>1.11211533E8</v>
      </c>
      <c r="B258" s="59" t="s">
        <v>4162</v>
      </c>
      <c r="C258" s="60">
        <v>44.0</v>
      </c>
      <c r="D258" s="59" t="s">
        <v>3841</v>
      </c>
      <c r="E258" s="59" t="s">
        <v>3808</v>
      </c>
      <c r="F258" s="59" t="s">
        <v>3911</v>
      </c>
      <c r="G258" s="59" t="s">
        <v>3829</v>
      </c>
      <c r="H258" s="59" t="s">
        <v>3830</v>
      </c>
      <c r="I258" s="62">
        <v>29567.0</v>
      </c>
    </row>
    <row r="259">
      <c r="A259" s="59">
        <v>1.09170014E8</v>
      </c>
      <c r="B259" s="59" t="s">
        <v>4163</v>
      </c>
      <c r="C259" s="60">
        <v>0.0</v>
      </c>
      <c r="D259" s="61"/>
      <c r="E259" s="59" t="s">
        <v>3808</v>
      </c>
      <c r="F259" s="59" t="s">
        <v>4164</v>
      </c>
      <c r="G259" s="59" t="s">
        <v>4057</v>
      </c>
      <c r="H259" s="59" t="s">
        <v>3811</v>
      </c>
      <c r="I259" s="61"/>
    </row>
    <row r="260">
      <c r="A260" s="59">
        <v>2.06241944E8</v>
      </c>
      <c r="B260" s="59" t="s">
        <v>4165</v>
      </c>
      <c r="C260" s="60">
        <v>18.0</v>
      </c>
      <c r="D260" s="59" t="s">
        <v>3841</v>
      </c>
      <c r="E260" s="59" t="s">
        <v>3817</v>
      </c>
      <c r="F260" s="59" t="s">
        <v>4129</v>
      </c>
      <c r="G260" s="59" t="s">
        <v>3823</v>
      </c>
      <c r="H260" s="59" t="s">
        <v>3824</v>
      </c>
      <c r="I260" s="61"/>
    </row>
    <row r="261">
      <c r="A261" s="59" t="s">
        <v>4166</v>
      </c>
      <c r="B261" s="59" t="s">
        <v>4167</v>
      </c>
      <c r="C261" s="60">
        <v>29.0</v>
      </c>
      <c r="D261" s="59" t="s">
        <v>3841</v>
      </c>
      <c r="E261" s="59" t="s">
        <v>3817</v>
      </c>
      <c r="F261" s="59" t="s">
        <v>3954</v>
      </c>
      <c r="G261" s="59" t="s">
        <v>3881</v>
      </c>
      <c r="H261" s="59" t="s">
        <v>3904</v>
      </c>
      <c r="I261" s="61"/>
    </row>
    <row r="262">
      <c r="A262" s="59">
        <v>2.05241929E8</v>
      </c>
      <c r="B262" s="59" t="s">
        <v>4168</v>
      </c>
      <c r="C262" s="60">
        <v>0.0</v>
      </c>
      <c r="D262" s="61"/>
      <c r="E262" s="59" t="s">
        <v>3817</v>
      </c>
      <c r="F262" s="59" t="s">
        <v>3935</v>
      </c>
      <c r="G262" s="59" t="s">
        <v>3823</v>
      </c>
      <c r="H262" s="59" t="s">
        <v>3824</v>
      </c>
      <c r="I262" s="61"/>
    </row>
    <row r="263">
      <c r="A263" s="59">
        <v>3.03210055E8</v>
      </c>
      <c r="B263" s="59" t="s">
        <v>4169</v>
      </c>
      <c r="C263" s="60">
        <v>46.0</v>
      </c>
      <c r="D263" s="59" t="s">
        <v>3841</v>
      </c>
      <c r="E263" s="59" t="s">
        <v>3834</v>
      </c>
      <c r="F263" s="59" t="s">
        <v>3828</v>
      </c>
      <c r="G263" s="59" t="s">
        <v>3829</v>
      </c>
      <c r="H263" s="63" t="b">
        <v>0</v>
      </c>
      <c r="I263" s="61"/>
    </row>
    <row r="264">
      <c r="A264" s="59">
        <v>1.11160142E8</v>
      </c>
      <c r="B264" s="59" t="s">
        <v>4170</v>
      </c>
      <c r="C264" s="60">
        <v>49.0</v>
      </c>
      <c r="D264" s="59" t="s">
        <v>3841</v>
      </c>
      <c r="E264" s="59" t="s">
        <v>3808</v>
      </c>
      <c r="F264" s="59" t="s">
        <v>3828</v>
      </c>
      <c r="G264" s="59" t="s">
        <v>3829</v>
      </c>
      <c r="H264" s="59" t="s">
        <v>3830</v>
      </c>
      <c r="I264" s="61"/>
    </row>
    <row r="265">
      <c r="A265" s="59">
        <v>1.10221686E8</v>
      </c>
      <c r="B265" s="59" t="s">
        <v>4171</v>
      </c>
      <c r="C265" s="60">
        <v>20.0</v>
      </c>
      <c r="D265" s="59" t="s">
        <v>3841</v>
      </c>
      <c r="E265" s="59" t="s">
        <v>3808</v>
      </c>
      <c r="F265" s="59" t="s">
        <v>3933</v>
      </c>
      <c r="G265" s="59" t="s">
        <v>3823</v>
      </c>
      <c r="H265" s="59" t="s">
        <v>3824</v>
      </c>
      <c r="I265" s="61"/>
    </row>
    <row r="266">
      <c r="A266" s="59">
        <v>1.02120144E8</v>
      </c>
      <c r="B266" s="59" t="s">
        <v>4172</v>
      </c>
      <c r="C266" s="60">
        <v>56.0</v>
      </c>
      <c r="D266" s="59" t="s">
        <v>3841</v>
      </c>
      <c r="E266" s="59" t="s">
        <v>3808</v>
      </c>
      <c r="F266" s="59" t="s">
        <v>4173</v>
      </c>
      <c r="G266" s="59" t="s">
        <v>3823</v>
      </c>
      <c r="H266" s="59" t="s">
        <v>3824</v>
      </c>
      <c r="I266" s="62">
        <v>28665.0</v>
      </c>
    </row>
    <row r="267">
      <c r="A267" s="59">
        <v>2.10221696E8</v>
      </c>
      <c r="B267" s="59" t="s">
        <v>4174</v>
      </c>
      <c r="C267" s="60">
        <v>39.0</v>
      </c>
      <c r="D267" s="59" t="s">
        <v>3807</v>
      </c>
      <c r="E267" s="59" t="s">
        <v>3817</v>
      </c>
      <c r="F267" s="59" t="s">
        <v>3851</v>
      </c>
      <c r="G267" s="59" t="s">
        <v>3819</v>
      </c>
      <c r="H267" s="59" t="s">
        <v>3820</v>
      </c>
      <c r="I267" s="62">
        <v>31603.0</v>
      </c>
    </row>
    <row r="268">
      <c r="A268" s="59">
        <v>2.06241976E8</v>
      </c>
      <c r="B268" s="59" t="s">
        <v>4175</v>
      </c>
      <c r="C268" s="60">
        <v>21.0</v>
      </c>
      <c r="D268" s="59" t="s">
        <v>3813</v>
      </c>
      <c r="E268" s="59" t="s">
        <v>3817</v>
      </c>
      <c r="F268" s="59" t="s">
        <v>4129</v>
      </c>
      <c r="G268" s="59" t="s">
        <v>3823</v>
      </c>
      <c r="H268" s="59" t="s">
        <v>3824</v>
      </c>
      <c r="I268" s="61"/>
    </row>
    <row r="269">
      <c r="A269" s="59">
        <v>2.06221654E8</v>
      </c>
      <c r="B269" s="59" t="s">
        <v>4176</v>
      </c>
      <c r="C269" s="60">
        <v>45.0</v>
      </c>
      <c r="D269" s="59" t="s">
        <v>3807</v>
      </c>
      <c r="E269" s="59" t="s">
        <v>3817</v>
      </c>
      <c r="F269" s="59" t="s">
        <v>3832</v>
      </c>
      <c r="G269" s="59" t="s">
        <v>3819</v>
      </c>
      <c r="H269" s="59" t="s">
        <v>3820</v>
      </c>
      <c r="I269" s="61"/>
    </row>
    <row r="270">
      <c r="A270" s="59">
        <v>1.07190944E8</v>
      </c>
      <c r="B270" s="59" t="s">
        <v>4177</v>
      </c>
      <c r="C270" s="60">
        <v>38.0</v>
      </c>
      <c r="D270" s="59" t="s">
        <v>3807</v>
      </c>
      <c r="E270" s="59" t="s">
        <v>3808</v>
      </c>
      <c r="F270" s="59" t="s">
        <v>3861</v>
      </c>
      <c r="G270" s="59" t="s">
        <v>3829</v>
      </c>
      <c r="H270" s="63" t="b">
        <v>0</v>
      </c>
      <c r="I270" s="62">
        <v>33313.0</v>
      </c>
    </row>
    <row r="271">
      <c r="A271" s="59">
        <v>2.07160684E8</v>
      </c>
      <c r="B271" s="59" t="s">
        <v>4178</v>
      </c>
      <c r="C271" s="60">
        <v>38.0</v>
      </c>
      <c r="D271" s="59" t="s">
        <v>3807</v>
      </c>
      <c r="E271" s="59" t="s">
        <v>3817</v>
      </c>
      <c r="F271" s="59" t="s">
        <v>3866</v>
      </c>
      <c r="G271" s="59" t="s">
        <v>3829</v>
      </c>
      <c r="H271" s="63" t="b">
        <v>0</v>
      </c>
      <c r="I271" s="61"/>
    </row>
    <row r="272">
      <c r="A272" s="59">
        <v>2.07211453E8</v>
      </c>
      <c r="B272" s="59" t="s">
        <v>4179</v>
      </c>
      <c r="C272" s="60">
        <v>38.0</v>
      </c>
      <c r="D272" s="59" t="s">
        <v>3807</v>
      </c>
      <c r="E272" s="59" t="s">
        <v>3817</v>
      </c>
      <c r="F272" s="59" t="s">
        <v>3888</v>
      </c>
      <c r="G272" s="59" t="s">
        <v>3823</v>
      </c>
      <c r="H272" s="59" t="s">
        <v>3824</v>
      </c>
      <c r="I272" s="61"/>
    </row>
    <row r="273">
      <c r="A273" s="59">
        <v>2.09201234E8</v>
      </c>
      <c r="B273" s="59" t="s">
        <v>4180</v>
      </c>
      <c r="C273" s="60">
        <v>32.0</v>
      </c>
      <c r="D273" s="59" t="s">
        <v>3807</v>
      </c>
      <c r="E273" s="59" t="s">
        <v>3817</v>
      </c>
      <c r="F273" s="59" t="s">
        <v>3832</v>
      </c>
      <c r="G273" s="59" t="s">
        <v>3819</v>
      </c>
      <c r="H273" s="59" t="s">
        <v>3820</v>
      </c>
      <c r="I273" s="61"/>
    </row>
    <row r="274">
      <c r="A274" s="59">
        <v>2.0220113E8</v>
      </c>
      <c r="B274" s="59" t="s">
        <v>4181</v>
      </c>
      <c r="C274" s="60">
        <v>53.0</v>
      </c>
      <c r="D274" s="59" t="s">
        <v>3807</v>
      </c>
      <c r="E274" s="59" t="s">
        <v>3817</v>
      </c>
      <c r="F274" s="59" t="s">
        <v>3911</v>
      </c>
      <c r="G274" s="59" t="s">
        <v>3829</v>
      </c>
      <c r="H274" s="63" t="b">
        <v>0</v>
      </c>
      <c r="I274" s="61"/>
    </row>
    <row r="275">
      <c r="A275" s="59">
        <v>2.0324189E8</v>
      </c>
      <c r="B275" s="59" t="s">
        <v>4182</v>
      </c>
      <c r="C275" s="60">
        <v>23.0</v>
      </c>
      <c r="D275" s="59" t="s">
        <v>3813</v>
      </c>
      <c r="E275" s="59" t="s">
        <v>3817</v>
      </c>
      <c r="F275" s="59" t="s">
        <v>3883</v>
      </c>
      <c r="G275" s="59" t="s">
        <v>3810</v>
      </c>
      <c r="H275" s="59" t="s">
        <v>3811</v>
      </c>
      <c r="I275" s="61"/>
    </row>
    <row r="276">
      <c r="A276" s="59">
        <v>2.0324189E8</v>
      </c>
      <c r="B276" s="59" t="s">
        <v>4183</v>
      </c>
      <c r="C276" s="60">
        <v>0.0</v>
      </c>
      <c r="D276" s="61"/>
      <c r="E276" s="59" t="s">
        <v>3817</v>
      </c>
      <c r="F276" s="59" t="s">
        <v>3883</v>
      </c>
      <c r="G276" s="59" t="s">
        <v>3810</v>
      </c>
      <c r="H276" s="59" t="s">
        <v>3811</v>
      </c>
      <c r="I276" s="61"/>
    </row>
    <row r="277">
      <c r="A277" s="59">
        <v>2.05231767E8</v>
      </c>
      <c r="B277" s="59" t="s">
        <v>4184</v>
      </c>
      <c r="C277" s="60">
        <v>0.0</v>
      </c>
      <c r="D277" s="61"/>
      <c r="E277" s="59" t="s">
        <v>3817</v>
      </c>
      <c r="F277" s="59" t="s">
        <v>3866</v>
      </c>
      <c r="G277" s="63" t="b">
        <v>0</v>
      </c>
      <c r="H277" s="63" t="b">
        <v>0</v>
      </c>
      <c r="I277" s="61"/>
    </row>
    <row r="278">
      <c r="A278" s="59">
        <v>3.03230111E8</v>
      </c>
      <c r="B278" s="59" t="s">
        <v>4185</v>
      </c>
      <c r="C278" s="60">
        <v>20.0</v>
      </c>
      <c r="D278" s="59" t="s">
        <v>3841</v>
      </c>
      <c r="E278" s="59" t="s">
        <v>3834</v>
      </c>
      <c r="F278" s="59" t="s">
        <v>3957</v>
      </c>
      <c r="G278" s="59" t="s">
        <v>3858</v>
      </c>
      <c r="H278" s="59" t="s">
        <v>3859</v>
      </c>
      <c r="I278" s="61"/>
    </row>
    <row r="279">
      <c r="A279" s="59">
        <v>2.01221579E8</v>
      </c>
      <c r="B279" s="59" t="s">
        <v>4186</v>
      </c>
      <c r="C279" s="60">
        <v>27.0</v>
      </c>
      <c r="D279" s="59" t="s">
        <v>3807</v>
      </c>
      <c r="E279" s="59" t="s">
        <v>3817</v>
      </c>
      <c r="F279" s="59" t="s">
        <v>4187</v>
      </c>
      <c r="G279" s="59" t="s">
        <v>3819</v>
      </c>
      <c r="H279" s="59" t="s">
        <v>3820</v>
      </c>
      <c r="I279" s="61"/>
    </row>
    <row r="280">
      <c r="A280" s="59">
        <v>1.09201212E8</v>
      </c>
      <c r="B280" s="59" t="s">
        <v>4188</v>
      </c>
      <c r="C280" s="60">
        <v>31.0</v>
      </c>
      <c r="D280" s="59" t="s">
        <v>3813</v>
      </c>
      <c r="E280" s="59" t="s">
        <v>3808</v>
      </c>
      <c r="F280" s="59" t="s">
        <v>3835</v>
      </c>
      <c r="G280" s="59" t="s">
        <v>3836</v>
      </c>
      <c r="H280" s="59" t="s">
        <v>3837</v>
      </c>
      <c r="I280" s="61"/>
    </row>
    <row r="281">
      <c r="A281" s="59">
        <v>2.0623178E8</v>
      </c>
      <c r="B281" s="59" t="s">
        <v>4189</v>
      </c>
      <c r="C281" s="60">
        <v>38.0</v>
      </c>
      <c r="D281" s="59" t="s">
        <v>3807</v>
      </c>
      <c r="E281" s="59" t="s">
        <v>3817</v>
      </c>
      <c r="F281" s="59" t="s">
        <v>4046</v>
      </c>
      <c r="G281" s="59" t="s">
        <v>3858</v>
      </c>
      <c r="H281" s="59" t="s">
        <v>3859</v>
      </c>
      <c r="I281" s="62">
        <v>34830.0</v>
      </c>
    </row>
    <row r="282">
      <c r="A282" s="59">
        <v>2.02241883E8</v>
      </c>
      <c r="B282" s="59" t="s">
        <v>4190</v>
      </c>
      <c r="C282" s="60">
        <v>0.0</v>
      </c>
      <c r="D282" s="61"/>
      <c r="E282" s="59" t="s">
        <v>3817</v>
      </c>
      <c r="F282" s="59" t="s">
        <v>3933</v>
      </c>
      <c r="G282" s="59" t="s">
        <v>3823</v>
      </c>
      <c r="H282" s="59" t="s">
        <v>3824</v>
      </c>
      <c r="I282" s="61"/>
    </row>
    <row r="283">
      <c r="A283" s="59">
        <v>2.03241897E8</v>
      </c>
      <c r="B283" s="59" t="s">
        <v>4191</v>
      </c>
      <c r="C283" s="60">
        <v>0.0</v>
      </c>
      <c r="D283" s="61"/>
      <c r="E283" s="59" t="s">
        <v>3817</v>
      </c>
      <c r="F283" s="59" t="s">
        <v>3853</v>
      </c>
      <c r="G283" s="59" t="s">
        <v>3823</v>
      </c>
      <c r="H283" s="59" t="s">
        <v>3824</v>
      </c>
      <c r="I283" s="61"/>
    </row>
    <row r="284">
      <c r="A284" s="59">
        <v>2.03231743E8</v>
      </c>
      <c r="B284" s="59" t="s">
        <v>4192</v>
      </c>
      <c r="C284" s="60">
        <v>26.0</v>
      </c>
      <c r="D284" s="59" t="s">
        <v>3841</v>
      </c>
      <c r="E284" s="59" t="s">
        <v>3817</v>
      </c>
      <c r="F284" s="59" t="s">
        <v>3883</v>
      </c>
      <c r="G284" s="59" t="s">
        <v>3810</v>
      </c>
      <c r="H284" s="63" t="b">
        <v>0</v>
      </c>
      <c r="I284" s="61"/>
    </row>
    <row r="285">
      <c r="A285" s="59">
        <v>1.05241928E8</v>
      </c>
      <c r="B285" s="59" t="s">
        <v>4193</v>
      </c>
      <c r="C285" s="60">
        <v>0.0</v>
      </c>
      <c r="D285" s="61"/>
      <c r="E285" s="59" t="s">
        <v>3808</v>
      </c>
      <c r="F285" s="59" t="s">
        <v>3919</v>
      </c>
      <c r="G285" s="59" t="s">
        <v>3858</v>
      </c>
      <c r="H285" s="59" t="s">
        <v>3859</v>
      </c>
      <c r="I285" s="61"/>
    </row>
    <row r="286">
      <c r="A286" s="59">
        <v>1.10191103E8</v>
      </c>
      <c r="B286" s="59" t="s">
        <v>4194</v>
      </c>
      <c r="C286" s="60">
        <v>26.0</v>
      </c>
      <c r="D286" s="59" t="s">
        <v>3807</v>
      </c>
      <c r="E286" s="59" t="s">
        <v>3808</v>
      </c>
      <c r="F286" s="59" t="s">
        <v>3866</v>
      </c>
      <c r="G286" s="59" t="s">
        <v>3829</v>
      </c>
      <c r="H286" s="59" t="s">
        <v>3830</v>
      </c>
      <c r="I286" s="61"/>
    </row>
    <row r="287">
      <c r="A287" s="59">
        <v>2.12211546E8</v>
      </c>
      <c r="B287" s="59" t="s">
        <v>4195</v>
      </c>
      <c r="C287" s="60">
        <v>52.0</v>
      </c>
      <c r="D287" s="59" t="s">
        <v>3807</v>
      </c>
      <c r="E287" s="59" t="s">
        <v>3817</v>
      </c>
      <c r="F287" s="59" t="s">
        <v>3832</v>
      </c>
      <c r="G287" s="59" t="s">
        <v>3819</v>
      </c>
      <c r="H287" s="59" t="s">
        <v>3820</v>
      </c>
      <c r="I287" s="61"/>
    </row>
    <row r="288">
      <c r="A288" s="59">
        <v>1.03190805E8</v>
      </c>
      <c r="B288" s="59" t="s">
        <v>4196</v>
      </c>
      <c r="C288" s="60">
        <v>44.0</v>
      </c>
      <c r="D288" s="59" t="s">
        <v>3807</v>
      </c>
      <c r="E288" s="59" t="s">
        <v>3808</v>
      </c>
      <c r="F288" s="59" t="s">
        <v>3828</v>
      </c>
      <c r="G288" s="59" t="s">
        <v>3829</v>
      </c>
      <c r="H288" s="59" t="s">
        <v>3830</v>
      </c>
      <c r="I288" s="61"/>
    </row>
    <row r="289">
      <c r="A289" s="59">
        <v>1.08201173E8</v>
      </c>
      <c r="B289" s="59" t="s">
        <v>4197</v>
      </c>
      <c r="C289" s="60">
        <v>48.0</v>
      </c>
      <c r="D289" s="59" t="s">
        <v>3807</v>
      </c>
      <c r="E289" s="59" t="s">
        <v>3808</v>
      </c>
      <c r="F289" s="59" t="s">
        <v>3832</v>
      </c>
      <c r="G289" s="59" t="s">
        <v>3819</v>
      </c>
      <c r="H289" s="59" t="s">
        <v>3820</v>
      </c>
      <c r="I289" s="61"/>
    </row>
    <row r="290">
      <c r="A290" s="61"/>
      <c r="B290" s="59" t="s">
        <v>4198</v>
      </c>
      <c r="C290" s="60">
        <v>0.0</v>
      </c>
      <c r="D290" s="61"/>
      <c r="E290" s="59" t="s">
        <v>3817</v>
      </c>
      <c r="F290" s="63" t="b">
        <v>0</v>
      </c>
      <c r="G290" s="63" t="b">
        <v>0</v>
      </c>
      <c r="H290" s="63" t="b">
        <v>0</v>
      </c>
      <c r="I290" s="61"/>
    </row>
    <row r="291">
      <c r="A291" s="59">
        <v>4.07230006E8</v>
      </c>
      <c r="B291" s="59" t="s">
        <v>4199</v>
      </c>
      <c r="C291" s="60">
        <v>0.0</v>
      </c>
      <c r="D291" s="61"/>
      <c r="E291" s="59" t="s">
        <v>3808</v>
      </c>
      <c r="F291" s="59" t="s">
        <v>3851</v>
      </c>
      <c r="G291" s="59" t="s">
        <v>3819</v>
      </c>
      <c r="H291" s="59" t="s">
        <v>3820</v>
      </c>
      <c r="I291" s="61"/>
    </row>
    <row r="292">
      <c r="A292" s="59">
        <v>2.11201271E8</v>
      </c>
      <c r="B292" s="59" t="s">
        <v>4200</v>
      </c>
      <c r="C292" s="60">
        <v>38.0</v>
      </c>
      <c r="D292" s="59" t="s">
        <v>3807</v>
      </c>
      <c r="E292" s="59" t="s">
        <v>3817</v>
      </c>
      <c r="F292" s="59" t="s">
        <v>3832</v>
      </c>
      <c r="G292" s="59" t="s">
        <v>3819</v>
      </c>
      <c r="H292" s="59" t="s">
        <v>3820</v>
      </c>
      <c r="I292" s="61"/>
    </row>
    <row r="293">
      <c r="A293" s="59">
        <v>1.08191056E8</v>
      </c>
      <c r="B293" s="59" t="s">
        <v>4201</v>
      </c>
      <c r="C293" s="60">
        <v>43.0</v>
      </c>
      <c r="D293" s="59" t="s">
        <v>3807</v>
      </c>
      <c r="E293" s="59" t="s">
        <v>3808</v>
      </c>
      <c r="F293" s="59" t="s">
        <v>3832</v>
      </c>
      <c r="G293" s="59" t="s">
        <v>3819</v>
      </c>
      <c r="H293" s="59" t="s">
        <v>3820</v>
      </c>
      <c r="I293" s="61"/>
    </row>
    <row r="294">
      <c r="A294" s="59">
        <v>3.06200007E8</v>
      </c>
      <c r="B294" s="59" t="s">
        <v>4202</v>
      </c>
      <c r="C294" s="60">
        <v>32.0</v>
      </c>
      <c r="D294" s="59" t="s">
        <v>3841</v>
      </c>
      <c r="E294" s="59" t="s">
        <v>3834</v>
      </c>
      <c r="F294" s="59" t="s">
        <v>3883</v>
      </c>
      <c r="G294" s="59" t="s">
        <v>3810</v>
      </c>
      <c r="H294" s="59" t="s">
        <v>3811</v>
      </c>
      <c r="I294" s="61"/>
    </row>
    <row r="295">
      <c r="A295" s="59">
        <v>2.10231847E8</v>
      </c>
      <c r="B295" s="59" t="s">
        <v>4203</v>
      </c>
      <c r="C295" s="60">
        <v>0.0</v>
      </c>
      <c r="D295" s="61"/>
      <c r="E295" s="59" t="s">
        <v>3817</v>
      </c>
      <c r="F295" s="59" t="s">
        <v>3957</v>
      </c>
      <c r="G295" s="59" t="s">
        <v>3858</v>
      </c>
      <c r="H295" s="59" t="s">
        <v>3859</v>
      </c>
      <c r="I295" s="61"/>
    </row>
    <row r="296">
      <c r="A296" s="59">
        <v>2.02221596E8</v>
      </c>
      <c r="B296" s="59" t="s">
        <v>4204</v>
      </c>
      <c r="C296" s="60">
        <v>32.0</v>
      </c>
      <c r="D296" s="59" t="s">
        <v>3813</v>
      </c>
      <c r="E296" s="59" t="s">
        <v>3817</v>
      </c>
      <c r="F296" s="59" t="s">
        <v>3933</v>
      </c>
      <c r="G296" s="59" t="s">
        <v>3823</v>
      </c>
      <c r="H296" s="59" t="s">
        <v>3854</v>
      </c>
      <c r="I296" s="62">
        <v>34508.0</v>
      </c>
    </row>
    <row r="297">
      <c r="A297" s="59">
        <v>2.06190939E8</v>
      </c>
      <c r="B297" s="59" t="s">
        <v>4205</v>
      </c>
      <c r="C297" s="60">
        <v>45.0</v>
      </c>
      <c r="D297" s="59" t="s">
        <v>3807</v>
      </c>
      <c r="E297" s="59" t="s">
        <v>3817</v>
      </c>
      <c r="F297" s="59" t="s">
        <v>3911</v>
      </c>
      <c r="G297" s="59" t="s">
        <v>3829</v>
      </c>
      <c r="H297" s="59" t="s">
        <v>3830</v>
      </c>
      <c r="I297" s="61"/>
    </row>
    <row r="298">
      <c r="A298" s="59">
        <v>2.12221706E8</v>
      </c>
      <c r="B298" s="59" t="s">
        <v>4206</v>
      </c>
      <c r="C298" s="60">
        <v>0.0</v>
      </c>
      <c r="D298" s="61"/>
      <c r="E298" s="59" t="s">
        <v>3817</v>
      </c>
      <c r="F298" s="59" t="s">
        <v>3851</v>
      </c>
      <c r="G298" s="59" t="s">
        <v>3819</v>
      </c>
      <c r="H298" s="59" t="s">
        <v>3820</v>
      </c>
      <c r="I298" s="61"/>
    </row>
    <row r="299">
      <c r="A299" s="59">
        <v>2.02201133E8</v>
      </c>
      <c r="B299" s="59" t="s">
        <v>4207</v>
      </c>
      <c r="C299" s="60">
        <v>48.0</v>
      </c>
      <c r="D299" s="59" t="s">
        <v>3841</v>
      </c>
      <c r="E299" s="59" t="s">
        <v>3817</v>
      </c>
      <c r="F299" s="59" t="s">
        <v>4012</v>
      </c>
      <c r="G299" s="59" t="s">
        <v>3829</v>
      </c>
      <c r="H299" s="59" t="s">
        <v>3830</v>
      </c>
      <c r="I299" s="61"/>
    </row>
    <row r="300">
      <c r="A300" s="59">
        <v>1.12211553E8</v>
      </c>
      <c r="B300" s="59" t="s">
        <v>4208</v>
      </c>
      <c r="C300" s="60">
        <v>49.0</v>
      </c>
      <c r="D300" s="59" t="s">
        <v>3841</v>
      </c>
      <c r="E300" s="59" t="s">
        <v>3808</v>
      </c>
      <c r="F300" s="59" t="s">
        <v>4012</v>
      </c>
      <c r="G300" s="59" t="s">
        <v>3829</v>
      </c>
      <c r="H300" s="63" t="b">
        <v>0</v>
      </c>
      <c r="I300" s="62">
        <v>24067.0</v>
      </c>
    </row>
    <row r="301">
      <c r="A301" s="59">
        <v>1.03231738E8</v>
      </c>
      <c r="B301" s="59" t="s">
        <v>4209</v>
      </c>
      <c r="C301" s="60">
        <v>30.0</v>
      </c>
      <c r="D301" s="59" t="s">
        <v>3841</v>
      </c>
      <c r="E301" s="59" t="s">
        <v>3808</v>
      </c>
      <c r="F301" s="59" t="s">
        <v>4210</v>
      </c>
      <c r="G301" s="59" t="s">
        <v>3858</v>
      </c>
      <c r="H301" s="59" t="s">
        <v>4211</v>
      </c>
      <c r="I301" s="61"/>
    </row>
    <row r="302">
      <c r="A302" s="59">
        <v>1.09231837E8</v>
      </c>
      <c r="B302" s="59" t="s">
        <v>4212</v>
      </c>
      <c r="C302" s="60">
        <v>26.0</v>
      </c>
      <c r="D302" s="59" t="s">
        <v>3841</v>
      </c>
      <c r="E302" s="59" t="s">
        <v>3808</v>
      </c>
      <c r="F302" s="59" t="s">
        <v>3878</v>
      </c>
      <c r="G302" s="59" t="s">
        <v>3819</v>
      </c>
      <c r="H302" s="59" t="s">
        <v>3820</v>
      </c>
      <c r="I302" s="62">
        <v>34839.0</v>
      </c>
    </row>
    <row r="303">
      <c r="A303" s="59">
        <v>3.11200018E8</v>
      </c>
      <c r="B303" s="59" t="s">
        <v>4213</v>
      </c>
      <c r="C303" s="60">
        <v>40.0</v>
      </c>
      <c r="D303" s="59" t="s">
        <v>3813</v>
      </c>
      <c r="E303" s="59" t="s">
        <v>3834</v>
      </c>
      <c r="F303" s="59" t="s">
        <v>3828</v>
      </c>
      <c r="G303" s="59" t="s">
        <v>3829</v>
      </c>
      <c r="H303" s="63" t="b">
        <v>0</v>
      </c>
      <c r="I303" s="61"/>
    </row>
    <row r="304">
      <c r="A304" s="59">
        <v>2.04231749E8</v>
      </c>
      <c r="B304" s="59" t="s">
        <v>4214</v>
      </c>
      <c r="C304" s="60">
        <v>40.0</v>
      </c>
      <c r="D304" s="59" t="s">
        <v>3813</v>
      </c>
      <c r="E304" s="59" t="s">
        <v>3817</v>
      </c>
      <c r="F304" s="59" t="s">
        <v>3898</v>
      </c>
      <c r="G304" s="59" t="s">
        <v>3819</v>
      </c>
      <c r="H304" s="59" t="s">
        <v>3820</v>
      </c>
      <c r="I304" s="62">
        <v>31703.0</v>
      </c>
    </row>
    <row r="305">
      <c r="A305" s="59">
        <v>1.12201318E8</v>
      </c>
      <c r="B305" s="59" t="s">
        <v>4215</v>
      </c>
      <c r="C305" s="60">
        <v>49.0</v>
      </c>
      <c r="D305" s="59" t="s">
        <v>3807</v>
      </c>
      <c r="E305" s="59" t="s">
        <v>3808</v>
      </c>
      <c r="F305" s="59" t="s">
        <v>3898</v>
      </c>
      <c r="G305" s="59" t="s">
        <v>3819</v>
      </c>
      <c r="H305" s="59" t="s">
        <v>3820</v>
      </c>
      <c r="I305" s="61"/>
    </row>
    <row r="306">
      <c r="A306" s="59">
        <v>1.08160013E8</v>
      </c>
      <c r="B306" s="59" t="s">
        <v>4216</v>
      </c>
      <c r="C306" s="60">
        <v>44.0</v>
      </c>
      <c r="D306" s="59" t="s">
        <v>3807</v>
      </c>
      <c r="E306" s="59" t="s">
        <v>3808</v>
      </c>
      <c r="F306" s="59" t="s">
        <v>3861</v>
      </c>
      <c r="G306" s="59" t="s">
        <v>3829</v>
      </c>
      <c r="H306" s="59" t="s">
        <v>3830</v>
      </c>
      <c r="I306" s="61"/>
    </row>
    <row r="307">
      <c r="A307" s="59">
        <v>2.0219077E8</v>
      </c>
      <c r="B307" s="59" t="s">
        <v>4217</v>
      </c>
      <c r="C307" s="60">
        <v>33.0</v>
      </c>
      <c r="D307" s="59" t="s">
        <v>3807</v>
      </c>
      <c r="E307" s="59" t="s">
        <v>3817</v>
      </c>
      <c r="F307" s="59" t="s">
        <v>3828</v>
      </c>
      <c r="G307" s="59" t="s">
        <v>3829</v>
      </c>
      <c r="H307" s="59" t="s">
        <v>3830</v>
      </c>
      <c r="I307" s="61"/>
    </row>
    <row r="308">
      <c r="A308" s="59">
        <v>1.04211387E8</v>
      </c>
      <c r="B308" s="59" t="s">
        <v>4218</v>
      </c>
      <c r="C308" s="60">
        <v>42.0</v>
      </c>
      <c r="D308" s="59" t="s">
        <v>3807</v>
      </c>
      <c r="E308" s="59" t="s">
        <v>3808</v>
      </c>
      <c r="F308" s="59" t="s">
        <v>3846</v>
      </c>
      <c r="G308" s="59" t="s">
        <v>3823</v>
      </c>
      <c r="H308" s="59" t="s">
        <v>3824</v>
      </c>
      <c r="I308" s="61"/>
    </row>
    <row r="309">
      <c r="A309" s="59">
        <v>1.10211507E8</v>
      </c>
      <c r="B309" s="59" t="s">
        <v>4219</v>
      </c>
      <c r="C309" s="60">
        <v>30.0</v>
      </c>
      <c r="D309" s="59" t="s">
        <v>3807</v>
      </c>
      <c r="E309" s="59" t="s">
        <v>3808</v>
      </c>
      <c r="F309" s="59" t="s">
        <v>3892</v>
      </c>
      <c r="G309" s="59" t="s">
        <v>3819</v>
      </c>
      <c r="H309" s="59" t="s">
        <v>3820</v>
      </c>
      <c r="I309" s="61"/>
    </row>
    <row r="310">
      <c r="A310" s="59">
        <v>2.0524192E8</v>
      </c>
      <c r="B310" s="59" t="s">
        <v>4220</v>
      </c>
      <c r="C310" s="60">
        <v>0.0</v>
      </c>
      <c r="D310" s="61"/>
      <c r="E310" s="59" t="s">
        <v>3817</v>
      </c>
      <c r="F310" s="59" t="s">
        <v>3853</v>
      </c>
      <c r="G310" s="59" t="s">
        <v>3823</v>
      </c>
      <c r="H310" s="59" t="s">
        <v>3824</v>
      </c>
      <c r="I310" s="61"/>
    </row>
    <row r="311">
      <c r="A311" s="59">
        <v>2.06221645E8</v>
      </c>
      <c r="B311" s="59" t="s">
        <v>4221</v>
      </c>
      <c r="C311" s="60">
        <v>26.0</v>
      </c>
      <c r="D311" s="59" t="s">
        <v>3807</v>
      </c>
      <c r="E311" s="59" t="s">
        <v>3817</v>
      </c>
      <c r="F311" s="59" t="s">
        <v>4222</v>
      </c>
      <c r="G311" s="59" t="s">
        <v>3819</v>
      </c>
      <c r="H311" s="59" t="s">
        <v>3820</v>
      </c>
      <c r="I311" s="61"/>
    </row>
    <row r="312">
      <c r="A312" s="59">
        <v>2.12211548E8</v>
      </c>
      <c r="B312" s="59" t="s">
        <v>4223</v>
      </c>
      <c r="C312" s="60">
        <v>34.0</v>
      </c>
      <c r="D312" s="59" t="s">
        <v>3807</v>
      </c>
      <c r="E312" s="59" t="s">
        <v>3817</v>
      </c>
      <c r="F312" s="59" t="s">
        <v>3832</v>
      </c>
      <c r="G312" s="59" t="s">
        <v>3819</v>
      </c>
      <c r="H312" s="59" t="s">
        <v>3820</v>
      </c>
      <c r="I312" s="61"/>
    </row>
    <row r="313">
      <c r="A313" s="59">
        <v>2.08231818E8</v>
      </c>
      <c r="B313" s="59" t="s">
        <v>4224</v>
      </c>
      <c r="C313" s="60">
        <v>49.0</v>
      </c>
      <c r="D313" s="59" t="s">
        <v>3807</v>
      </c>
      <c r="E313" s="59" t="s">
        <v>3817</v>
      </c>
      <c r="F313" s="59" t="s">
        <v>4225</v>
      </c>
      <c r="G313" s="59" t="s">
        <v>4226</v>
      </c>
      <c r="H313" s="63" t="b">
        <v>0</v>
      </c>
      <c r="I313" s="61"/>
    </row>
    <row r="314">
      <c r="A314" s="59">
        <v>2.10170666E8</v>
      </c>
      <c r="B314" s="59" t="s">
        <v>4227</v>
      </c>
      <c r="C314" s="60">
        <v>35.0</v>
      </c>
      <c r="D314" s="59" t="s">
        <v>3841</v>
      </c>
      <c r="E314" s="59" t="s">
        <v>3817</v>
      </c>
      <c r="F314" s="59" t="s">
        <v>3861</v>
      </c>
      <c r="G314" s="59" t="s">
        <v>3829</v>
      </c>
      <c r="H314" s="59" t="s">
        <v>3830</v>
      </c>
      <c r="I314" s="62">
        <v>33127.0</v>
      </c>
    </row>
    <row r="315">
      <c r="A315" s="59">
        <v>1.10231842E8</v>
      </c>
      <c r="B315" s="59" t="s">
        <v>4228</v>
      </c>
      <c r="C315" s="60">
        <v>42.0</v>
      </c>
      <c r="D315" s="59" t="s">
        <v>3807</v>
      </c>
      <c r="E315" s="59" t="s">
        <v>3808</v>
      </c>
      <c r="F315" s="59" t="s">
        <v>3878</v>
      </c>
      <c r="G315" s="59" t="s">
        <v>3819</v>
      </c>
      <c r="H315" s="59" t="s">
        <v>3820</v>
      </c>
      <c r="I315" s="62">
        <v>30599.0</v>
      </c>
    </row>
    <row r="316">
      <c r="A316" s="59">
        <v>2.03241902E8</v>
      </c>
      <c r="B316" s="59" t="s">
        <v>4229</v>
      </c>
      <c r="C316" s="60">
        <v>0.0</v>
      </c>
      <c r="D316" s="61"/>
      <c r="E316" s="59" t="s">
        <v>3817</v>
      </c>
      <c r="F316" s="59" t="s">
        <v>3853</v>
      </c>
      <c r="G316" s="63" t="b">
        <v>0</v>
      </c>
      <c r="H316" s="63" t="b">
        <v>0</v>
      </c>
      <c r="I316" s="61"/>
    </row>
    <row r="317">
      <c r="A317" s="59">
        <v>2.0523177E8</v>
      </c>
      <c r="B317" s="59" t="s">
        <v>4230</v>
      </c>
      <c r="C317" s="60">
        <v>41.0</v>
      </c>
      <c r="D317" s="59" t="s">
        <v>3807</v>
      </c>
      <c r="E317" s="59" t="s">
        <v>3817</v>
      </c>
      <c r="F317" s="59" t="s">
        <v>3911</v>
      </c>
      <c r="G317" s="59" t="s">
        <v>3829</v>
      </c>
      <c r="H317" s="59" t="s">
        <v>3830</v>
      </c>
      <c r="I317" s="61"/>
    </row>
    <row r="318">
      <c r="A318" s="59">
        <v>2.01221568E8</v>
      </c>
      <c r="B318" s="59" t="s">
        <v>4231</v>
      </c>
      <c r="C318" s="60">
        <v>25.0</v>
      </c>
      <c r="D318" s="59" t="s">
        <v>3807</v>
      </c>
      <c r="E318" s="59" t="s">
        <v>3817</v>
      </c>
      <c r="F318" s="59" t="s">
        <v>3898</v>
      </c>
      <c r="G318" s="59" t="s">
        <v>3819</v>
      </c>
      <c r="H318" s="59" t="s">
        <v>3820</v>
      </c>
      <c r="I318" s="61"/>
    </row>
    <row r="319">
      <c r="A319" s="59">
        <v>2.05241924E8</v>
      </c>
      <c r="B319" s="59" t="s">
        <v>4232</v>
      </c>
      <c r="C319" s="60">
        <v>30.0</v>
      </c>
      <c r="D319" s="59" t="s">
        <v>3807</v>
      </c>
      <c r="E319" s="59" t="s">
        <v>3817</v>
      </c>
      <c r="F319" s="59" t="s">
        <v>3853</v>
      </c>
      <c r="G319" s="59" t="s">
        <v>3823</v>
      </c>
      <c r="H319" s="59" t="s">
        <v>3824</v>
      </c>
      <c r="I319" s="61"/>
    </row>
    <row r="320">
      <c r="A320" s="59">
        <v>1.10211521E8</v>
      </c>
      <c r="B320" s="59" t="s">
        <v>4233</v>
      </c>
      <c r="C320" s="60">
        <v>24.0</v>
      </c>
      <c r="D320" s="59" t="s">
        <v>3807</v>
      </c>
      <c r="E320" s="59" t="s">
        <v>3808</v>
      </c>
      <c r="F320" s="59" t="s">
        <v>3933</v>
      </c>
      <c r="G320" s="59" t="s">
        <v>3823</v>
      </c>
      <c r="H320" s="59" t="s">
        <v>3824</v>
      </c>
      <c r="I320" s="61"/>
    </row>
    <row r="321">
      <c r="A321" s="59">
        <v>2.10201263E8</v>
      </c>
      <c r="B321" s="59" t="s">
        <v>4234</v>
      </c>
      <c r="C321" s="60">
        <v>29.0</v>
      </c>
      <c r="D321" s="59" t="s">
        <v>3807</v>
      </c>
      <c r="E321" s="59" t="s">
        <v>3817</v>
      </c>
      <c r="F321" s="59" t="s">
        <v>3851</v>
      </c>
      <c r="G321" s="59" t="s">
        <v>3819</v>
      </c>
      <c r="H321" s="59" t="s">
        <v>3820</v>
      </c>
      <c r="I321" s="61"/>
    </row>
    <row r="322">
      <c r="A322" s="59">
        <v>1.07190982E8</v>
      </c>
      <c r="B322" s="59" t="s">
        <v>4235</v>
      </c>
      <c r="C322" s="60">
        <v>44.0</v>
      </c>
      <c r="D322" s="59" t="s">
        <v>3807</v>
      </c>
      <c r="E322" s="59" t="s">
        <v>3808</v>
      </c>
      <c r="F322" s="59" t="s">
        <v>3832</v>
      </c>
      <c r="G322" s="59" t="s">
        <v>3819</v>
      </c>
      <c r="H322" s="59" t="s">
        <v>3820</v>
      </c>
      <c r="I322" s="62">
        <v>29657.0</v>
      </c>
    </row>
    <row r="323">
      <c r="A323" s="59">
        <v>2.04221618E8</v>
      </c>
      <c r="B323" s="59" t="s">
        <v>4235</v>
      </c>
      <c r="C323" s="60">
        <v>43.0</v>
      </c>
      <c r="D323" s="59" t="s">
        <v>3807</v>
      </c>
      <c r="E323" s="59" t="s">
        <v>3817</v>
      </c>
      <c r="F323" s="59" t="s">
        <v>4012</v>
      </c>
      <c r="G323" s="59" t="s">
        <v>3829</v>
      </c>
      <c r="H323" s="59" t="s">
        <v>3830</v>
      </c>
      <c r="I323" s="62">
        <v>29768.0</v>
      </c>
    </row>
    <row r="324">
      <c r="A324" s="59">
        <v>1.10180556E8</v>
      </c>
      <c r="B324" s="59" t="s">
        <v>4236</v>
      </c>
      <c r="C324" s="60">
        <v>23.0</v>
      </c>
      <c r="D324" s="59" t="s">
        <v>3807</v>
      </c>
      <c r="E324" s="59" t="s">
        <v>3808</v>
      </c>
      <c r="F324" s="59" t="s">
        <v>4079</v>
      </c>
      <c r="G324" s="59" t="s">
        <v>3823</v>
      </c>
      <c r="H324" s="59" t="s">
        <v>3824</v>
      </c>
      <c r="I324" s="61"/>
    </row>
    <row r="325">
      <c r="A325" s="59">
        <v>1.10221687E8</v>
      </c>
      <c r="B325" s="59" t="s">
        <v>4237</v>
      </c>
      <c r="C325" s="60">
        <v>19.0</v>
      </c>
      <c r="D325" s="59" t="s">
        <v>3807</v>
      </c>
      <c r="E325" s="59" t="s">
        <v>3808</v>
      </c>
      <c r="F325" s="59" t="s">
        <v>3933</v>
      </c>
      <c r="G325" s="59" t="s">
        <v>3823</v>
      </c>
      <c r="H325" s="59" t="s">
        <v>3824</v>
      </c>
      <c r="I325" s="61"/>
    </row>
    <row r="326">
      <c r="A326" s="59">
        <v>4.09230008E8</v>
      </c>
      <c r="B326" s="59" t="s">
        <v>4238</v>
      </c>
      <c r="C326" s="60">
        <v>24.0</v>
      </c>
      <c r="D326" s="59" t="s">
        <v>3807</v>
      </c>
      <c r="E326" s="59" t="s">
        <v>3808</v>
      </c>
      <c r="F326" s="59" t="s">
        <v>4142</v>
      </c>
      <c r="G326" s="59" t="s">
        <v>3810</v>
      </c>
      <c r="H326" s="59" t="s">
        <v>3811</v>
      </c>
      <c r="I326" s="61"/>
    </row>
    <row r="327">
      <c r="A327" s="59">
        <v>2.07231809E8</v>
      </c>
      <c r="B327" s="59" t="s">
        <v>4239</v>
      </c>
      <c r="C327" s="60">
        <v>0.0</v>
      </c>
      <c r="D327" s="61"/>
      <c r="E327" s="59" t="s">
        <v>3817</v>
      </c>
      <c r="F327" s="59" t="s">
        <v>3848</v>
      </c>
      <c r="G327" s="59" t="s">
        <v>3823</v>
      </c>
      <c r="H327" s="59" t="s">
        <v>3824</v>
      </c>
      <c r="I327" s="61"/>
    </row>
    <row r="328">
      <c r="A328" s="59">
        <v>1.0521141E8</v>
      </c>
      <c r="B328" s="59" t="s">
        <v>4240</v>
      </c>
      <c r="C328" s="60">
        <v>40.0</v>
      </c>
      <c r="D328" s="59" t="s">
        <v>3807</v>
      </c>
      <c r="E328" s="59" t="s">
        <v>3808</v>
      </c>
      <c r="F328" s="59" t="s">
        <v>3911</v>
      </c>
      <c r="G328" s="59" t="s">
        <v>3829</v>
      </c>
      <c r="H328" s="59" t="s">
        <v>3830</v>
      </c>
      <c r="I328" s="61"/>
    </row>
    <row r="329">
      <c r="A329" s="59">
        <v>2.06241938E8</v>
      </c>
      <c r="B329" s="59" t="s">
        <v>4241</v>
      </c>
      <c r="C329" s="60">
        <v>19.0</v>
      </c>
      <c r="D329" s="59" t="s">
        <v>3841</v>
      </c>
      <c r="E329" s="59" t="s">
        <v>3817</v>
      </c>
      <c r="F329" s="59" t="s">
        <v>3883</v>
      </c>
      <c r="G329" s="59" t="s">
        <v>3810</v>
      </c>
      <c r="H329" s="59" t="s">
        <v>4075</v>
      </c>
      <c r="I329" s="61"/>
    </row>
    <row r="330">
      <c r="A330" s="59">
        <v>2.09221675E8</v>
      </c>
      <c r="B330" s="59" t="s">
        <v>4242</v>
      </c>
      <c r="C330" s="60">
        <v>28.0</v>
      </c>
      <c r="D330" s="59" t="s">
        <v>3807</v>
      </c>
      <c r="E330" s="59" t="s">
        <v>3817</v>
      </c>
      <c r="F330" s="59" t="s">
        <v>4139</v>
      </c>
      <c r="G330" s="59" t="s">
        <v>3819</v>
      </c>
      <c r="H330" s="59" t="s">
        <v>3820</v>
      </c>
      <c r="I330" s="61"/>
    </row>
    <row r="331">
      <c r="A331" s="59">
        <v>2.0524193E8</v>
      </c>
      <c r="B331" s="59" t="s">
        <v>4243</v>
      </c>
      <c r="C331" s="60">
        <v>0.0</v>
      </c>
      <c r="D331" s="61"/>
      <c r="E331" s="59" t="s">
        <v>3817</v>
      </c>
      <c r="F331" s="59" t="s">
        <v>3866</v>
      </c>
      <c r="G331" s="59" t="s">
        <v>3829</v>
      </c>
      <c r="H331" s="59" t="s">
        <v>3830</v>
      </c>
      <c r="I331" s="61"/>
    </row>
    <row r="332">
      <c r="A332" s="59">
        <v>1.06211431E8</v>
      </c>
      <c r="B332" s="59" t="s">
        <v>4244</v>
      </c>
      <c r="C332" s="60">
        <v>21.0</v>
      </c>
      <c r="D332" s="59" t="s">
        <v>3807</v>
      </c>
      <c r="E332" s="59" t="s">
        <v>3808</v>
      </c>
      <c r="F332" s="59" t="s">
        <v>3853</v>
      </c>
      <c r="G332" s="59" t="s">
        <v>3823</v>
      </c>
      <c r="H332" s="59" t="s">
        <v>3854</v>
      </c>
      <c r="I332" s="61"/>
    </row>
    <row r="333">
      <c r="A333" s="59">
        <v>1.06211426E8</v>
      </c>
      <c r="B333" s="59" t="s">
        <v>4245</v>
      </c>
      <c r="C333" s="60">
        <v>22.0</v>
      </c>
      <c r="D333" s="59" t="s">
        <v>3807</v>
      </c>
      <c r="E333" s="59" t="s">
        <v>3808</v>
      </c>
      <c r="F333" s="59" t="s">
        <v>3980</v>
      </c>
      <c r="G333" s="59" t="s">
        <v>3823</v>
      </c>
      <c r="H333" s="59" t="s">
        <v>3854</v>
      </c>
      <c r="I333" s="61"/>
    </row>
    <row r="334">
      <c r="A334" s="59">
        <v>2.09201227E8</v>
      </c>
      <c r="B334" s="59" t="s">
        <v>4246</v>
      </c>
      <c r="C334" s="60">
        <v>41.0</v>
      </c>
      <c r="D334" s="59" t="s">
        <v>3807</v>
      </c>
      <c r="E334" s="59" t="s">
        <v>3817</v>
      </c>
      <c r="F334" s="59" t="s">
        <v>3832</v>
      </c>
      <c r="G334" s="59" t="s">
        <v>3819</v>
      </c>
      <c r="H334" s="59" t="s">
        <v>3820</v>
      </c>
      <c r="I334" s="62">
        <v>30750.0</v>
      </c>
    </row>
    <row r="335">
      <c r="A335" s="59">
        <v>1.09201237E8</v>
      </c>
      <c r="B335" s="59" t="s">
        <v>4247</v>
      </c>
      <c r="C335" s="60">
        <v>34.0</v>
      </c>
      <c r="D335" s="59" t="s">
        <v>3807</v>
      </c>
      <c r="E335" s="59" t="s">
        <v>3808</v>
      </c>
      <c r="F335" s="59" t="s">
        <v>3935</v>
      </c>
      <c r="G335" s="59" t="s">
        <v>3823</v>
      </c>
      <c r="H335" s="59" t="s">
        <v>3824</v>
      </c>
      <c r="I335" s="62">
        <v>33133.0</v>
      </c>
    </row>
    <row r="336">
      <c r="A336" s="59">
        <v>1.04190817E8</v>
      </c>
      <c r="B336" s="59" t="s">
        <v>4248</v>
      </c>
      <c r="C336" s="60">
        <v>39.0</v>
      </c>
      <c r="D336" s="59" t="s">
        <v>3841</v>
      </c>
      <c r="E336" s="59" t="s">
        <v>3808</v>
      </c>
      <c r="F336" s="59" t="s">
        <v>3853</v>
      </c>
      <c r="G336" s="59" t="s">
        <v>3823</v>
      </c>
      <c r="H336" s="59" t="s">
        <v>3854</v>
      </c>
      <c r="I336" s="61"/>
    </row>
    <row r="337">
      <c r="A337" s="59">
        <v>2.03190797E8</v>
      </c>
      <c r="B337" s="59" t="s">
        <v>4249</v>
      </c>
      <c r="C337" s="60">
        <v>34.0</v>
      </c>
      <c r="D337" s="59" t="s">
        <v>3807</v>
      </c>
      <c r="E337" s="59" t="s">
        <v>3817</v>
      </c>
      <c r="F337" s="59" t="s">
        <v>3832</v>
      </c>
      <c r="G337" s="59" t="s">
        <v>3819</v>
      </c>
      <c r="H337" s="59" t="s">
        <v>3820</v>
      </c>
      <c r="I337" s="62">
        <v>33383.0</v>
      </c>
    </row>
    <row r="338">
      <c r="A338" s="59">
        <v>2.04231751E8</v>
      </c>
      <c r="B338" s="59" t="s">
        <v>4250</v>
      </c>
      <c r="C338" s="60">
        <v>44.0</v>
      </c>
      <c r="D338" s="59" t="s">
        <v>3807</v>
      </c>
      <c r="E338" s="59" t="s">
        <v>3817</v>
      </c>
      <c r="F338" s="59" t="s">
        <v>3898</v>
      </c>
      <c r="G338" s="59" t="s">
        <v>3819</v>
      </c>
      <c r="H338" s="59" t="s">
        <v>3820</v>
      </c>
      <c r="I338" s="61"/>
    </row>
    <row r="339">
      <c r="A339" s="59">
        <v>1.01199001E8</v>
      </c>
      <c r="B339" s="59" t="s">
        <v>4251</v>
      </c>
      <c r="C339" s="60">
        <v>0.0</v>
      </c>
      <c r="D339" s="61"/>
      <c r="E339" s="59" t="s">
        <v>3808</v>
      </c>
      <c r="F339" s="63" t="b">
        <v>0</v>
      </c>
      <c r="G339" s="63" t="b">
        <v>0</v>
      </c>
      <c r="H339" s="63" t="b">
        <v>0</v>
      </c>
      <c r="I339" s="61"/>
    </row>
    <row r="340">
      <c r="A340" s="59">
        <v>1.02150004E8</v>
      </c>
      <c r="B340" s="59" t="s">
        <v>4252</v>
      </c>
      <c r="C340" s="60">
        <v>34.0</v>
      </c>
      <c r="D340" s="59" t="s">
        <v>3841</v>
      </c>
      <c r="E340" s="59" t="s">
        <v>3808</v>
      </c>
      <c r="F340" s="59" t="s">
        <v>4253</v>
      </c>
      <c r="G340" s="59" t="s">
        <v>3819</v>
      </c>
      <c r="H340" s="59" t="s">
        <v>3811</v>
      </c>
      <c r="I340" s="61"/>
    </row>
    <row r="341">
      <c r="A341" s="59">
        <v>2.0224191E8</v>
      </c>
      <c r="B341" s="59" t="s">
        <v>4254</v>
      </c>
      <c r="C341" s="60">
        <v>0.0</v>
      </c>
      <c r="D341" s="61"/>
      <c r="E341" s="59" t="s">
        <v>3817</v>
      </c>
      <c r="F341" s="59" t="s">
        <v>3853</v>
      </c>
      <c r="G341" s="59" t="s">
        <v>3823</v>
      </c>
      <c r="H341" s="59" t="s">
        <v>3824</v>
      </c>
      <c r="I341" s="61"/>
    </row>
    <row r="342">
      <c r="A342" s="59">
        <v>1.12191119E8</v>
      </c>
      <c r="B342" s="59" t="s">
        <v>4255</v>
      </c>
      <c r="C342" s="60">
        <v>49.0</v>
      </c>
      <c r="D342" s="59" t="s">
        <v>3807</v>
      </c>
      <c r="E342" s="59" t="s">
        <v>3808</v>
      </c>
      <c r="F342" s="59" t="s">
        <v>3911</v>
      </c>
      <c r="G342" s="59" t="s">
        <v>3829</v>
      </c>
      <c r="H342" s="63" t="b">
        <v>0</v>
      </c>
      <c r="I342" s="62">
        <v>27759.0</v>
      </c>
    </row>
    <row r="343">
      <c r="A343" s="59">
        <v>1.06190928E8</v>
      </c>
      <c r="B343" s="59" t="s">
        <v>4256</v>
      </c>
      <c r="C343" s="60">
        <v>44.0</v>
      </c>
      <c r="D343" s="59" t="s">
        <v>3841</v>
      </c>
      <c r="E343" s="59" t="s">
        <v>3808</v>
      </c>
      <c r="F343" s="59" t="s">
        <v>4257</v>
      </c>
      <c r="G343" s="59" t="s">
        <v>3823</v>
      </c>
      <c r="H343" s="63" t="b">
        <v>0</v>
      </c>
      <c r="I343" s="61"/>
    </row>
    <row r="344">
      <c r="A344" s="59">
        <v>1.05190857E8</v>
      </c>
      <c r="B344" s="59" t="s">
        <v>4258</v>
      </c>
      <c r="C344" s="60">
        <v>24.0</v>
      </c>
      <c r="D344" s="59" t="s">
        <v>3813</v>
      </c>
      <c r="E344" s="59" t="s">
        <v>3808</v>
      </c>
      <c r="F344" s="59" t="s">
        <v>3933</v>
      </c>
      <c r="G344" s="59" t="s">
        <v>3823</v>
      </c>
      <c r="H344" s="59" t="s">
        <v>4259</v>
      </c>
      <c r="I344" s="61"/>
    </row>
    <row r="345">
      <c r="A345" s="59">
        <v>2.06221635E8</v>
      </c>
      <c r="B345" s="59" t="s">
        <v>4260</v>
      </c>
      <c r="C345" s="60">
        <v>29.0</v>
      </c>
      <c r="D345" s="59" t="s">
        <v>3807</v>
      </c>
      <c r="E345" s="59" t="s">
        <v>3817</v>
      </c>
      <c r="F345" s="59" t="s">
        <v>4079</v>
      </c>
      <c r="G345" s="59" t="s">
        <v>3823</v>
      </c>
      <c r="H345" s="59" t="s">
        <v>3824</v>
      </c>
      <c r="I345" s="61"/>
    </row>
    <row r="346">
      <c r="A346" s="59">
        <v>1.02201135E8</v>
      </c>
      <c r="B346" s="59" t="s">
        <v>4261</v>
      </c>
      <c r="C346" s="60">
        <v>36.0</v>
      </c>
      <c r="D346" s="59" t="s">
        <v>3841</v>
      </c>
      <c r="E346" s="59" t="s">
        <v>3808</v>
      </c>
      <c r="F346" s="59" t="s">
        <v>3832</v>
      </c>
      <c r="G346" s="59" t="s">
        <v>3819</v>
      </c>
      <c r="H346" s="59" t="s">
        <v>3820</v>
      </c>
      <c r="I346" s="61"/>
    </row>
    <row r="347">
      <c r="A347" s="59">
        <v>1.06201156E8</v>
      </c>
      <c r="B347" s="59" t="s">
        <v>4262</v>
      </c>
      <c r="C347" s="60">
        <v>56.0</v>
      </c>
      <c r="D347" s="59" t="s">
        <v>3841</v>
      </c>
      <c r="E347" s="59" t="s">
        <v>3808</v>
      </c>
      <c r="F347" s="59" t="s">
        <v>3919</v>
      </c>
      <c r="G347" s="59" t="s">
        <v>3858</v>
      </c>
      <c r="H347" s="59" t="s">
        <v>3886</v>
      </c>
      <c r="I347" s="61"/>
    </row>
    <row r="348">
      <c r="A348" s="59">
        <v>2.03241901E8</v>
      </c>
      <c r="B348" s="59" t="s">
        <v>4263</v>
      </c>
      <c r="C348" s="60">
        <v>0.0</v>
      </c>
      <c r="D348" s="61"/>
      <c r="E348" s="59" t="s">
        <v>3817</v>
      </c>
      <c r="F348" s="59" t="s">
        <v>3818</v>
      </c>
      <c r="G348" s="59" t="s">
        <v>3819</v>
      </c>
      <c r="H348" s="59" t="s">
        <v>3820</v>
      </c>
      <c r="I348" s="61"/>
    </row>
    <row r="349">
      <c r="A349" s="59">
        <v>3.01210045E8</v>
      </c>
      <c r="B349" s="59" t="s">
        <v>4264</v>
      </c>
      <c r="C349" s="60">
        <v>45.0</v>
      </c>
      <c r="D349" s="59" t="s">
        <v>3841</v>
      </c>
      <c r="E349" s="59" t="s">
        <v>3834</v>
      </c>
      <c r="F349" s="59" t="s">
        <v>4148</v>
      </c>
      <c r="G349" s="59" t="s">
        <v>3829</v>
      </c>
      <c r="H349" s="63" t="b">
        <v>0</v>
      </c>
      <c r="I349" s="61"/>
    </row>
    <row r="350">
      <c r="A350" s="59">
        <v>1.11201276E8</v>
      </c>
      <c r="B350" s="59" t="s">
        <v>4265</v>
      </c>
      <c r="C350" s="60">
        <v>48.0</v>
      </c>
      <c r="D350" s="59" t="s">
        <v>3807</v>
      </c>
      <c r="E350" s="59" t="s">
        <v>3808</v>
      </c>
      <c r="F350" s="59" t="s">
        <v>3828</v>
      </c>
      <c r="G350" s="59" t="s">
        <v>3829</v>
      </c>
      <c r="H350" s="59" t="s">
        <v>3830</v>
      </c>
      <c r="I350" s="62">
        <v>28395.0</v>
      </c>
    </row>
    <row r="351">
      <c r="A351" s="59">
        <v>2.10221697E8</v>
      </c>
      <c r="B351" s="59" t="s">
        <v>4266</v>
      </c>
      <c r="C351" s="60">
        <v>20.0</v>
      </c>
      <c r="D351" s="59" t="s">
        <v>3807</v>
      </c>
      <c r="E351" s="59" t="s">
        <v>3817</v>
      </c>
      <c r="F351" s="59" t="s">
        <v>3839</v>
      </c>
      <c r="G351" s="59" t="s">
        <v>3829</v>
      </c>
      <c r="H351" s="59" t="s">
        <v>3830</v>
      </c>
      <c r="I351" s="61"/>
    </row>
    <row r="352">
      <c r="A352" s="59">
        <v>1.1019109E8</v>
      </c>
      <c r="B352" s="59" t="s">
        <v>4267</v>
      </c>
      <c r="C352" s="60">
        <v>38.0</v>
      </c>
      <c r="D352" s="59" t="s">
        <v>3807</v>
      </c>
      <c r="E352" s="59" t="s">
        <v>3808</v>
      </c>
      <c r="F352" s="59" t="s">
        <v>3832</v>
      </c>
      <c r="G352" s="59" t="s">
        <v>3819</v>
      </c>
      <c r="H352" s="59" t="s">
        <v>3820</v>
      </c>
      <c r="I352" s="62">
        <v>35131.0</v>
      </c>
    </row>
    <row r="353">
      <c r="A353" s="59">
        <v>2.06241941E8</v>
      </c>
      <c r="B353" s="59" t="s">
        <v>4268</v>
      </c>
      <c r="C353" s="60">
        <v>25.0</v>
      </c>
      <c r="D353" s="59" t="s">
        <v>3807</v>
      </c>
      <c r="E353" s="59" t="s">
        <v>3817</v>
      </c>
      <c r="F353" s="59" t="s">
        <v>3957</v>
      </c>
      <c r="G353" s="59" t="s">
        <v>3858</v>
      </c>
      <c r="H353" s="59" t="s">
        <v>3859</v>
      </c>
      <c r="I353" s="61"/>
    </row>
    <row r="354">
      <c r="A354" s="59">
        <v>1.10211499E8</v>
      </c>
      <c r="B354" s="59" t="s">
        <v>4269</v>
      </c>
      <c r="C354" s="60">
        <v>0.0</v>
      </c>
      <c r="D354" s="59" t="s">
        <v>3813</v>
      </c>
      <c r="E354" s="59" t="s">
        <v>3808</v>
      </c>
      <c r="F354" s="59" t="s">
        <v>3839</v>
      </c>
      <c r="G354" s="59" t="s">
        <v>3829</v>
      </c>
      <c r="H354" s="59" t="s">
        <v>3830</v>
      </c>
      <c r="I354" s="61"/>
    </row>
    <row r="355">
      <c r="A355" s="59">
        <v>2.02231723E8</v>
      </c>
      <c r="B355" s="59" t="s">
        <v>4270</v>
      </c>
      <c r="C355" s="60">
        <v>26.0</v>
      </c>
      <c r="D355" s="59" t="s">
        <v>3813</v>
      </c>
      <c r="E355" s="59" t="s">
        <v>3817</v>
      </c>
      <c r="F355" s="59" t="s">
        <v>3839</v>
      </c>
      <c r="G355" s="59" t="s">
        <v>3829</v>
      </c>
      <c r="H355" s="59" t="s">
        <v>3830</v>
      </c>
      <c r="I355" s="61"/>
    </row>
    <row r="356">
      <c r="A356" s="59">
        <v>3.06210074E8</v>
      </c>
      <c r="B356" s="59" t="s">
        <v>4271</v>
      </c>
      <c r="C356" s="60">
        <v>48.0</v>
      </c>
      <c r="D356" s="59" t="s">
        <v>3841</v>
      </c>
      <c r="E356" s="59" t="s">
        <v>3834</v>
      </c>
      <c r="F356" s="59" t="s">
        <v>3913</v>
      </c>
      <c r="G356" s="59" t="s">
        <v>3819</v>
      </c>
      <c r="H356" s="59" t="s">
        <v>3820</v>
      </c>
      <c r="I356" s="61"/>
    </row>
    <row r="357">
      <c r="A357" s="59">
        <v>1.08201209E8</v>
      </c>
      <c r="B357" s="59" t="s">
        <v>4272</v>
      </c>
      <c r="C357" s="60">
        <v>42.0</v>
      </c>
      <c r="D357" s="59" t="s">
        <v>3807</v>
      </c>
      <c r="E357" s="59" t="s">
        <v>3808</v>
      </c>
      <c r="F357" s="59" t="s">
        <v>3832</v>
      </c>
      <c r="G357" s="59" t="s">
        <v>3819</v>
      </c>
      <c r="H357" s="59" t="s">
        <v>3820</v>
      </c>
      <c r="I357" s="62">
        <v>30463.0</v>
      </c>
    </row>
    <row r="358">
      <c r="A358" s="59">
        <v>2.1020125E8</v>
      </c>
      <c r="B358" s="59" t="s">
        <v>4273</v>
      </c>
      <c r="C358" s="60">
        <v>42.0</v>
      </c>
      <c r="D358" s="59" t="s">
        <v>3807</v>
      </c>
      <c r="E358" s="59" t="s">
        <v>3817</v>
      </c>
      <c r="F358" s="59" t="s">
        <v>3832</v>
      </c>
      <c r="G358" s="59" t="s">
        <v>3819</v>
      </c>
      <c r="H358" s="59" t="s">
        <v>3820</v>
      </c>
      <c r="I358" s="61"/>
    </row>
    <row r="359">
      <c r="A359" s="59">
        <v>2.02241884E8</v>
      </c>
      <c r="B359" s="59" t="s">
        <v>4274</v>
      </c>
      <c r="C359" s="60">
        <v>0.0</v>
      </c>
      <c r="D359" s="61"/>
      <c r="E359" s="59" t="s">
        <v>3817</v>
      </c>
      <c r="F359" s="59" t="s">
        <v>3933</v>
      </c>
      <c r="G359" s="59" t="s">
        <v>3823</v>
      </c>
      <c r="H359" s="63" t="b">
        <v>0</v>
      </c>
      <c r="I359" s="61"/>
    </row>
    <row r="360">
      <c r="A360" s="59">
        <v>1.10201246E8</v>
      </c>
      <c r="B360" s="59" t="s">
        <v>4275</v>
      </c>
      <c r="C360" s="60">
        <v>46.0</v>
      </c>
      <c r="D360" s="59" t="s">
        <v>3841</v>
      </c>
      <c r="E360" s="59" t="s">
        <v>3808</v>
      </c>
      <c r="F360" s="59" t="s">
        <v>3861</v>
      </c>
      <c r="G360" s="59" t="s">
        <v>3829</v>
      </c>
      <c r="H360" s="59" t="s">
        <v>3830</v>
      </c>
      <c r="I360" s="61"/>
    </row>
    <row r="361">
      <c r="A361" s="59">
        <v>1.0117009E8</v>
      </c>
      <c r="B361" s="59" t="s">
        <v>4276</v>
      </c>
      <c r="C361" s="60">
        <v>0.0</v>
      </c>
      <c r="D361" s="61"/>
      <c r="E361" s="59" t="s">
        <v>3808</v>
      </c>
      <c r="F361" s="59" t="s">
        <v>4129</v>
      </c>
      <c r="G361" s="59" t="s">
        <v>3823</v>
      </c>
      <c r="H361" s="63" t="b">
        <v>0</v>
      </c>
      <c r="I361" s="61"/>
    </row>
    <row r="362">
      <c r="A362" s="59">
        <v>2.04190819E8</v>
      </c>
      <c r="B362" s="59" t="s">
        <v>4277</v>
      </c>
      <c r="C362" s="60">
        <v>56.0</v>
      </c>
      <c r="D362" s="59" t="s">
        <v>3841</v>
      </c>
      <c r="E362" s="59" t="s">
        <v>3817</v>
      </c>
      <c r="F362" s="59" t="s">
        <v>3826</v>
      </c>
      <c r="G362" s="59" t="s">
        <v>3823</v>
      </c>
      <c r="H362" s="59" t="s">
        <v>3824</v>
      </c>
      <c r="I362" s="62">
        <v>27643.0</v>
      </c>
    </row>
    <row r="363">
      <c r="A363" s="59">
        <v>1.05241926E8</v>
      </c>
      <c r="B363" s="59" t="s">
        <v>4278</v>
      </c>
      <c r="C363" s="60">
        <v>0.0</v>
      </c>
      <c r="D363" s="61"/>
      <c r="E363" s="59" t="s">
        <v>3808</v>
      </c>
      <c r="F363" s="59" t="s">
        <v>3919</v>
      </c>
      <c r="G363" s="59" t="s">
        <v>3858</v>
      </c>
      <c r="H363" s="59" t="s">
        <v>3859</v>
      </c>
      <c r="I363" s="61"/>
    </row>
    <row r="364">
      <c r="A364" s="59">
        <v>1.12231863E8</v>
      </c>
      <c r="B364" s="59" t="s">
        <v>4279</v>
      </c>
      <c r="C364" s="60">
        <v>0.0</v>
      </c>
      <c r="D364" s="61"/>
      <c r="E364" s="59" t="s">
        <v>3808</v>
      </c>
      <c r="F364" s="59" t="s">
        <v>3878</v>
      </c>
      <c r="G364" s="59" t="s">
        <v>3819</v>
      </c>
      <c r="H364" s="59" t="s">
        <v>3820</v>
      </c>
      <c r="I364" s="62">
        <v>37555.0</v>
      </c>
    </row>
    <row r="365">
      <c r="A365" s="59">
        <v>1.02130003E8</v>
      </c>
      <c r="B365" s="59" t="s">
        <v>4280</v>
      </c>
      <c r="C365" s="60">
        <v>36.0</v>
      </c>
      <c r="D365" s="59" t="s">
        <v>3807</v>
      </c>
      <c r="E365" s="59" t="s">
        <v>3808</v>
      </c>
      <c r="F365" s="59" t="s">
        <v>4281</v>
      </c>
      <c r="G365" s="59" t="s">
        <v>3829</v>
      </c>
      <c r="H365" s="63" t="b">
        <v>0</v>
      </c>
      <c r="I365" s="61"/>
    </row>
    <row r="366">
      <c r="A366" s="59">
        <v>2.0820118E8</v>
      </c>
      <c r="B366" s="59" t="s">
        <v>4282</v>
      </c>
      <c r="C366" s="60">
        <v>43.0</v>
      </c>
      <c r="D366" s="59" t="s">
        <v>3807</v>
      </c>
      <c r="E366" s="59" t="s">
        <v>3817</v>
      </c>
      <c r="F366" s="59" t="s">
        <v>3832</v>
      </c>
      <c r="G366" s="59" t="s">
        <v>3819</v>
      </c>
      <c r="H366" s="59" t="s">
        <v>3820</v>
      </c>
      <c r="I366" s="61"/>
    </row>
    <row r="367">
      <c r="A367" s="59">
        <v>2.05241923E8</v>
      </c>
      <c r="B367" s="59" t="s">
        <v>4283</v>
      </c>
      <c r="C367" s="60">
        <v>21.0</v>
      </c>
      <c r="D367" s="59" t="s">
        <v>3807</v>
      </c>
      <c r="E367" s="59" t="s">
        <v>3817</v>
      </c>
      <c r="F367" s="59" t="s">
        <v>3848</v>
      </c>
      <c r="G367" s="59" t="s">
        <v>3823</v>
      </c>
      <c r="H367" s="59" t="s">
        <v>3824</v>
      </c>
      <c r="I367" s="61"/>
    </row>
    <row r="368">
      <c r="A368" s="59">
        <v>2.07231808E8</v>
      </c>
      <c r="B368" s="59" t="s">
        <v>4284</v>
      </c>
      <c r="C368" s="60">
        <v>0.0</v>
      </c>
      <c r="D368" s="61"/>
      <c r="E368" s="59" t="s">
        <v>3817</v>
      </c>
      <c r="F368" s="59" t="s">
        <v>3933</v>
      </c>
      <c r="G368" s="59" t="s">
        <v>3823</v>
      </c>
      <c r="H368" s="59" t="s">
        <v>3824</v>
      </c>
      <c r="I368" s="61"/>
    </row>
    <row r="369">
      <c r="A369" s="59">
        <v>1.09221674E8</v>
      </c>
      <c r="B369" s="59" t="s">
        <v>4285</v>
      </c>
      <c r="C369" s="60">
        <v>30.0</v>
      </c>
      <c r="D369" s="59" t="s">
        <v>3841</v>
      </c>
      <c r="E369" s="59" t="s">
        <v>3808</v>
      </c>
      <c r="F369" s="59" t="s">
        <v>3923</v>
      </c>
      <c r="G369" s="59" t="s">
        <v>3810</v>
      </c>
      <c r="H369" s="59" t="s">
        <v>3811</v>
      </c>
      <c r="I369" s="61"/>
    </row>
    <row r="370">
      <c r="A370" s="59">
        <v>1.07211454E8</v>
      </c>
      <c r="B370" s="59" t="s">
        <v>4286</v>
      </c>
      <c r="C370" s="60">
        <v>44.0</v>
      </c>
      <c r="D370" s="59" t="s">
        <v>3807</v>
      </c>
      <c r="E370" s="59" t="s">
        <v>3808</v>
      </c>
      <c r="F370" s="59" t="s">
        <v>3832</v>
      </c>
      <c r="G370" s="59" t="s">
        <v>3819</v>
      </c>
      <c r="H370" s="59" t="s">
        <v>3820</v>
      </c>
      <c r="I370" s="62">
        <v>32103.0</v>
      </c>
    </row>
    <row r="371">
      <c r="A371" s="59">
        <v>1.03211357E8</v>
      </c>
      <c r="B371" s="59" t="s">
        <v>4287</v>
      </c>
      <c r="C371" s="60">
        <v>34.0</v>
      </c>
      <c r="D371" s="59" t="s">
        <v>3807</v>
      </c>
      <c r="E371" s="59" t="s">
        <v>3808</v>
      </c>
      <c r="F371" s="59" t="s">
        <v>4288</v>
      </c>
      <c r="G371" s="59" t="s">
        <v>3810</v>
      </c>
      <c r="H371" s="59" t="s">
        <v>4098</v>
      </c>
      <c r="I371" s="61"/>
    </row>
    <row r="372">
      <c r="A372" s="59">
        <v>2.0923184E8</v>
      </c>
      <c r="B372" s="59" t="s">
        <v>4289</v>
      </c>
      <c r="C372" s="60">
        <v>0.0</v>
      </c>
      <c r="D372" s="61"/>
      <c r="E372" s="59" t="s">
        <v>3817</v>
      </c>
      <c r="F372" s="59" t="s">
        <v>3878</v>
      </c>
      <c r="G372" s="59" t="s">
        <v>3819</v>
      </c>
      <c r="H372" s="59" t="s">
        <v>3820</v>
      </c>
      <c r="I372" s="61"/>
    </row>
    <row r="373">
      <c r="A373" s="59">
        <v>2.05241917E8</v>
      </c>
      <c r="B373" s="59" t="s">
        <v>4289</v>
      </c>
      <c r="C373" s="60">
        <v>0.0</v>
      </c>
      <c r="D373" s="61"/>
      <c r="E373" s="59" t="s">
        <v>3817</v>
      </c>
      <c r="F373" s="59" t="s">
        <v>3933</v>
      </c>
      <c r="G373" s="59" t="s">
        <v>3823</v>
      </c>
      <c r="H373" s="59" t="s">
        <v>3824</v>
      </c>
      <c r="I373" s="61"/>
    </row>
    <row r="374">
      <c r="A374" s="59">
        <v>1.04211377E8</v>
      </c>
      <c r="B374" s="59" t="s">
        <v>4290</v>
      </c>
      <c r="C374" s="60">
        <v>22.0</v>
      </c>
      <c r="D374" s="59" t="s">
        <v>3807</v>
      </c>
      <c r="E374" s="59" t="s">
        <v>3808</v>
      </c>
      <c r="F374" s="59" t="s">
        <v>3853</v>
      </c>
      <c r="G374" s="59" t="s">
        <v>3823</v>
      </c>
      <c r="H374" s="59" t="s">
        <v>3824</v>
      </c>
      <c r="I374" s="61"/>
    </row>
    <row r="375">
      <c r="A375" s="59">
        <v>1.12191124E8</v>
      </c>
      <c r="B375" s="59" t="s">
        <v>4291</v>
      </c>
      <c r="C375" s="60">
        <v>24.0</v>
      </c>
      <c r="D375" s="59" t="s">
        <v>3813</v>
      </c>
      <c r="E375" s="59" t="s">
        <v>3808</v>
      </c>
      <c r="F375" s="59" t="s">
        <v>4012</v>
      </c>
      <c r="G375" s="59" t="s">
        <v>3829</v>
      </c>
      <c r="H375" s="63" t="b">
        <v>0</v>
      </c>
      <c r="I375" s="61"/>
    </row>
    <row r="376">
      <c r="A376" s="59">
        <v>2.12231873E8</v>
      </c>
      <c r="B376" s="59" t="s">
        <v>4292</v>
      </c>
      <c r="C376" s="60">
        <v>0.0</v>
      </c>
      <c r="D376" s="61"/>
      <c r="E376" s="59" t="s">
        <v>3817</v>
      </c>
      <c r="F376" s="59" t="s">
        <v>3866</v>
      </c>
      <c r="G376" s="59" t="s">
        <v>3829</v>
      </c>
      <c r="H376" s="59" t="s">
        <v>3830</v>
      </c>
      <c r="I376" s="61"/>
    </row>
    <row r="377">
      <c r="A377" s="59">
        <v>3.06200008E8</v>
      </c>
      <c r="B377" s="59" t="s">
        <v>4293</v>
      </c>
      <c r="C377" s="60">
        <v>23.0</v>
      </c>
      <c r="D377" s="59" t="s">
        <v>3807</v>
      </c>
      <c r="E377" s="59" t="s">
        <v>3834</v>
      </c>
      <c r="F377" s="59" t="s">
        <v>3883</v>
      </c>
      <c r="G377" s="59" t="s">
        <v>3810</v>
      </c>
      <c r="H377" s="63" t="b">
        <v>0</v>
      </c>
      <c r="I377" s="61"/>
    </row>
    <row r="378">
      <c r="A378" s="59">
        <v>2.02241887E8</v>
      </c>
      <c r="B378" s="59" t="s">
        <v>4294</v>
      </c>
      <c r="C378" s="60">
        <v>24.0</v>
      </c>
      <c r="D378" s="59" t="s">
        <v>3841</v>
      </c>
      <c r="E378" s="59" t="s">
        <v>3817</v>
      </c>
      <c r="F378" s="59" t="s">
        <v>3822</v>
      </c>
      <c r="G378" s="59" t="s">
        <v>3823</v>
      </c>
      <c r="H378" s="59" t="s">
        <v>3824</v>
      </c>
      <c r="I378" s="61"/>
    </row>
    <row r="379">
      <c r="A379" s="59">
        <v>2.05241916E8</v>
      </c>
      <c r="B379" s="59" t="s">
        <v>4295</v>
      </c>
      <c r="C379" s="60">
        <v>0.0</v>
      </c>
      <c r="D379" s="61"/>
      <c r="E379" s="59" t="s">
        <v>3817</v>
      </c>
      <c r="F379" s="59" t="s">
        <v>3853</v>
      </c>
      <c r="G379" s="59" t="s">
        <v>3823</v>
      </c>
      <c r="H379" s="59" t="s">
        <v>3824</v>
      </c>
      <c r="I379" s="61"/>
    </row>
    <row r="380">
      <c r="A380" s="59">
        <v>2.05231771E8</v>
      </c>
      <c r="B380" s="59" t="s">
        <v>4296</v>
      </c>
      <c r="C380" s="60">
        <v>23.0</v>
      </c>
      <c r="D380" s="59" t="s">
        <v>3807</v>
      </c>
      <c r="E380" s="59" t="s">
        <v>3817</v>
      </c>
      <c r="F380" s="59" t="s">
        <v>3957</v>
      </c>
      <c r="G380" s="59" t="s">
        <v>3858</v>
      </c>
      <c r="H380" s="59" t="s">
        <v>3859</v>
      </c>
      <c r="I380" s="61"/>
    </row>
    <row r="381">
      <c r="A381" s="59">
        <v>1.07211445E8</v>
      </c>
      <c r="B381" s="59" t="s">
        <v>4297</v>
      </c>
      <c r="C381" s="60">
        <v>24.0</v>
      </c>
      <c r="D381" s="59" t="s">
        <v>3841</v>
      </c>
      <c r="E381" s="59" t="s">
        <v>3808</v>
      </c>
      <c r="F381" s="59" t="s">
        <v>3915</v>
      </c>
      <c r="G381" s="59" t="s">
        <v>3823</v>
      </c>
      <c r="H381" s="59" t="s">
        <v>3811</v>
      </c>
      <c r="I381" s="61"/>
    </row>
    <row r="382">
      <c r="A382" s="59">
        <v>2.08180635E8</v>
      </c>
      <c r="B382" s="59" t="s">
        <v>4298</v>
      </c>
      <c r="C382" s="60">
        <v>31.0</v>
      </c>
      <c r="D382" s="59" t="s">
        <v>3807</v>
      </c>
      <c r="E382" s="59" t="s">
        <v>3817</v>
      </c>
      <c r="F382" s="59" t="s">
        <v>4061</v>
      </c>
      <c r="G382" s="59" t="s">
        <v>3829</v>
      </c>
      <c r="H382" s="59" t="s">
        <v>3830</v>
      </c>
      <c r="I382" s="62">
        <v>31255.0</v>
      </c>
    </row>
    <row r="383">
      <c r="A383" s="59">
        <v>2.07231807E8</v>
      </c>
      <c r="B383" s="59" t="s">
        <v>4299</v>
      </c>
      <c r="C383" s="60">
        <v>0.0</v>
      </c>
      <c r="D383" s="61"/>
      <c r="E383" s="59" t="s">
        <v>3817</v>
      </c>
      <c r="F383" s="59" t="s">
        <v>3853</v>
      </c>
      <c r="G383" s="59" t="s">
        <v>3823</v>
      </c>
      <c r="H383" s="59" t="s">
        <v>3824</v>
      </c>
      <c r="I383" s="61"/>
    </row>
    <row r="384">
      <c r="A384" s="59">
        <v>2.04231754E8</v>
      </c>
      <c r="B384" s="59" t="s">
        <v>4300</v>
      </c>
      <c r="C384" s="60">
        <v>26.0</v>
      </c>
      <c r="D384" s="59" t="s">
        <v>3807</v>
      </c>
      <c r="E384" s="59" t="s">
        <v>3817</v>
      </c>
      <c r="F384" s="59" t="s">
        <v>3878</v>
      </c>
      <c r="G384" s="59" t="s">
        <v>3819</v>
      </c>
      <c r="H384" s="59" t="s">
        <v>3820</v>
      </c>
      <c r="I384" s="61"/>
    </row>
    <row r="385">
      <c r="A385" s="59">
        <v>1.06241943E8</v>
      </c>
      <c r="B385" s="59" t="s">
        <v>4301</v>
      </c>
      <c r="C385" s="60">
        <v>21.0</v>
      </c>
      <c r="D385" s="59" t="s">
        <v>3841</v>
      </c>
      <c r="E385" s="59" t="s">
        <v>3808</v>
      </c>
      <c r="F385" s="59" t="s">
        <v>3919</v>
      </c>
      <c r="G385" s="59" t="s">
        <v>3858</v>
      </c>
      <c r="H385" s="59" t="s">
        <v>3859</v>
      </c>
      <c r="I385" s="61"/>
    </row>
    <row r="386">
      <c r="A386" s="59">
        <v>2.05211392E8</v>
      </c>
      <c r="B386" s="59" t="s">
        <v>4302</v>
      </c>
      <c r="C386" s="60">
        <v>39.0</v>
      </c>
      <c r="D386" s="59" t="s">
        <v>3807</v>
      </c>
      <c r="E386" s="59" t="s">
        <v>3817</v>
      </c>
      <c r="F386" s="59" t="s">
        <v>3866</v>
      </c>
      <c r="G386" s="59" t="s">
        <v>3829</v>
      </c>
      <c r="H386" s="59" t="s">
        <v>3830</v>
      </c>
      <c r="I386" s="62">
        <v>31514.0</v>
      </c>
    </row>
    <row r="387">
      <c r="A387" s="59">
        <v>2.05231765E8</v>
      </c>
      <c r="B387" s="59" t="s">
        <v>4303</v>
      </c>
      <c r="C387" s="60">
        <v>33.0</v>
      </c>
      <c r="D387" s="59" t="s">
        <v>3841</v>
      </c>
      <c r="E387" s="59" t="s">
        <v>3817</v>
      </c>
      <c r="F387" s="59" t="s">
        <v>3898</v>
      </c>
      <c r="G387" s="59" t="s">
        <v>3819</v>
      </c>
      <c r="H387" s="59" t="s">
        <v>3820</v>
      </c>
      <c r="I387" s="61"/>
    </row>
    <row r="388">
      <c r="A388" s="59">
        <v>2.06241937E8</v>
      </c>
      <c r="B388" s="59" t="s">
        <v>4304</v>
      </c>
      <c r="C388" s="60">
        <v>22.0</v>
      </c>
      <c r="D388" s="59" t="s">
        <v>3841</v>
      </c>
      <c r="E388" s="59" t="s">
        <v>3817</v>
      </c>
      <c r="F388" s="59" t="s">
        <v>3957</v>
      </c>
      <c r="G388" s="59" t="s">
        <v>3858</v>
      </c>
      <c r="H388" s="59" t="s">
        <v>3859</v>
      </c>
      <c r="I388" s="61"/>
    </row>
    <row r="389">
      <c r="A389" s="59">
        <v>2.11211535E8</v>
      </c>
      <c r="B389" s="59" t="s">
        <v>4305</v>
      </c>
      <c r="C389" s="60">
        <v>51.0</v>
      </c>
      <c r="D389" s="59" t="s">
        <v>3807</v>
      </c>
      <c r="E389" s="59" t="s">
        <v>3817</v>
      </c>
      <c r="F389" s="59" t="s">
        <v>3911</v>
      </c>
      <c r="G389" s="59" t="s">
        <v>3829</v>
      </c>
      <c r="H389" s="59" t="s">
        <v>3830</v>
      </c>
      <c r="I389" s="62">
        <v>26436.0</v>
      </c>
    </row>
    <row r="390">
      <c r="A390" s="59">
        <v>1.09191073E8</v>
      </c>
      <c r="B390" s="59" t="s">
        <v>4306</v>
      </c>
      <c r="C390" s="60">
        <v>32.0</v>
      </c>
      <c r="D390" s="59" t="s">
        <v>3841</v>
      </c>
      <c r="E390" s="59" t="s">
        <v>3808</v>
      </c>
      <c r="F390" s="59" t="s">
        <v>4079</v>
      </c>
      <c r="G390" s="59" t="s">
        <v>3823</v>
      </c>
      <c r="H390" s="59" t="s">
        <v>3824</v>
      </c>
      <c r="I390" s="61"/>
    </row>
    <row r="391">
      <c r="A391" s="59">
        <v>2.01231716E8</v>
      </c>
      <c r="B391" s="59" t="s">
        <v>4307</v>
      </c>
      <c r="C391" s="60">
        <v>39.0</v>
      </c>
      <c r="D391" s="59" t="s">
        <v>3813</v>
      </c>
      <c r="E391" s="59" t="s">
        <v>3817</v>
      </c>
      <c r="F391" s="59" t="s">
        <v>4222</v>
      </c>
      <c r="G391" s="59" t="s">
        <v>3819</v>
      </c>
      <c r="H391" s="59" t="s">
        <v>3820</v>
      </c>
      <c r="I391" s="62">
        <v>33028.0</v>
      </c>
    </row>
    <row r="392">
      <c r="A392" s="59">
        <v>2.03241892E8</v>
      </c>
      <c r="B392" s="59" t="s">
        <v>4308</v>
      </c>
      <c r="C392" s="60">
        <v>0.0</v>
      </c>
      <c r="D392" s="61"/>
      <c r="E392" s="59" t="s">
        <v>3817</v>
      </c>
      <c r="F392" s="59" t="s">
        <v>3851</v>
      </c>
      <c r="G392" s="59" t="s">
        <v>3819</v>
      </c>
      <c r="H392" s="59" t="s">
        <v>3820</v>
      </c>
      <c r="I392" s="61"/>
    </row>
    <row r="393">
      <c r="A393" s="59">
        <v>1.0715001E8</v>
      </c>
      <c r="B393" s="59" t="s">
        <v>4309</v>
      </c>
      <c r="C393" s="60">
        <v>33.0</v>
      </c>
      <c r="D393" s="59" t="s">
        <v>3841</v>
      </c>
      <c r="E393" s="59" t="s">
        <v>3808</v>
      </c>
      <c r="F393" s="59" t="s">
        <v>4310</v>
      </c>
      <c r="G393" s="59" t="s">
        <v>3823</v>
      </c>
      <c r="H393" s="59" t="s">
        <v>3824</v>
      </c>
      <c r="I393" s="62">
        <v>32994.0</v>
      </c>
    </row>
    <row r="394">
      <c r="A394" s="59">
        <v>1.12231865E8</v>
      </c>
      <c r="B394" s="59" t="s">
        <v>4311</v>
      </c>
      <c r="C394" s="60">
        <v>0.0</v>
      </c>
      <c r="D394" s="61"/>
      <c r="E394" s="59" t="s">
        <v>3808</v>
      </c>
      <c r="F394" s="59" t="s">
        <v>3878</v>
      </c>
      <c r="G394" s="59" t="s">
        <v>3819</v>
      </c>
      <c r="H394" s="59" t="s">
        <v>3820</v>
      </c>
      <c r="I394" s="61"/>
    </row>
    <row r="395">
      <c r="A395" s="59">
        <v>2.02231722E8</v>
      </c>
      <c r="B395" s="59" t="s">
        <v>4312</v>
      </c>
      <c r="C395" s="60">
        <v>36.0</v>
      </c>
      <c r="D395" s="59" t="s">
        <v>3807</v>
      </c>
      <c r="E395" s="59" t="s">
        <v>3817</v>
      </c>
      <c r="F395" s="59" t="s">
        <v>3832</v>
      </c>
      <c r="G395" s="59" t="s">
        <v>3819</v>
      </c>
      <c r="H395" s="59" t="s">
        <v>3820</v>
      </c>
      <c r="I395" s="62">
        <v>35635.0</v>
      </c>
    </row>
    <row r="396">
      <c r="A396" s="59">
        <v>3.02230108E8</v>
      </c>
      <c r="B396" s="59" t="s">
        <v>4313</v>
      </c>
      <c r="C396" s="60">
        <v>23.0</v>
      </c>
      <c r="D396" s="59" t="s">
        <v>3807</v>
      </c>
      <c r="E396" s="59" t="s">
        <v>3834</v>
      </c>
      <c r="F396" s="59" t="s">
        <v>3957</v>
      </c>
      <c r="G396" s="59" t="s">
        <v>3858</v>
      </c>
      <c r="H396" s="63" t="b">
        <v>0</v>
      </c>
      <c r="I396" s="61"/>
    </row>
    <row r="397">
      <c r="A397" s="59">
        <v>2.07231795E8</v>
      </c>
      <c r="B397" s="59" t="s">
        <v>4314</v>
      </c>
      <c r="C397" s="60">
        <v>26.0</v>
      </c>
      <c r="D397" s="59" t="s">
        <v>3807</v>
      </c>
      <c r="E397" s="59" t="s">
        <v>3817</v>
      </c>
      <c r="F397" s="59" t="s">
        <v>4136</v>
      </c>
      <c r="G397" s="59" t="s">
        <v>3829</v>
      </c>
      <c r="H397" s="59" t="s">
        <v>3830</v>
      </c>
      <c r="I397" s="62">
        <v>35677.0</v>
      </c>
    </row>
    <row r="398">
      <c r="A398" s="59">
        <v>2.12231871E8</v>
      </c>
      <c r="B398" s="59" t="s">
        <v>4315</v>
      </c>
      <c r="C398" s="60">
        <v>0.0</v>
      </c>
      <c r="D398" s="61"/>
      <c r="E398" s="59" t="s">
        <v>3817</v>
      </c>
      <c r="F398" s="59" t="s">
        <v>3878</v>
      </c>
      <c r="G398" s="59" t="s">
        <v>3819</v>
      </c>
      <c r="H398" s="59" t="s">
        <v>3820</v>
      </c>
      <c r="I398" s="61"/>
    </row>
    <row r="399">
      <c r="A399" s="59">
        <v>2.08191035E8</v>
      </c>
      <c r="B399" s="59" t="s">
        <v>4316</v>
      </c>
      <c r="C399" s="60">
        <v>27.0</v>
      </c>
      <c r="D399" s="59" t="s">
        <v>3813</v>
      </c>
      <c r="E399" s="59" t="s">
        <v>3817</v>
      </c>
      <c r="F399" s="59" t="s">
        <v>3866</v>
      </c>
      <c r="G399" s="59" t="s">
        <v>3823</v>
      </c>
      <c r="H399" s="59" t="s">
        <v>3824</v>
      </c>
      <c r="I399" s="61"/>
    </row>
    <row r="400">
      <c r="A400" s="59">
        <v>2.04231752E8</v>
      </c>
      <c r="B400" s="59" t="s">
        <v>4317</v>
      </c>
      <c r="C400" s="60">
        <v>39.0</v>
      </c>
      <c r="D400" s="59" t="s">
        <v>3807</v>
      </c>
      <c r="E400" s="59" t="s">
        <v>3817</v>
      </c>
      <c r="F400" s="59" t="s">
        <v>3898</v>
      </c>
      <c r="G400" s="59" t="s">
        <v>3819</v>
      </c>
      <c r="H400" s="59" t="s">
        <v>3820</v>
      </c>
      <c r="I400" s="61"/>
    </row>
    <row r="401">
      <c r="A401" s="59">
        <v>1.09201238E8</v>
      </c>
      <c r="B401" s="59" t="s">
        <v>4318</v>
      </c>
      <c r="C401" s="60">
        <v>0.0</v>
      </c>
      <c r="D401" s="61"/>
      <c r="E401" s="59" t="s">
        <v>3808</v>
      </c>
      <c r="F401" s="59" t="s">
        <v>3911</v>
      </c>
      <c r="G401" s="59" t="s">
        <v>3829</v>
      </c>
      <c r="H401" s="59" t="s">
        <v>3830</v>
      </c>
      <c r="I401" s="61"/>
    </row>
    <row r="402">
      <c r="A402" s="59">
        <v>2.08231819E8</v>
      </c>
      <c r="B402" s="59" t="s">
        <v>4319</v>
      </c>
      <c r="C402" s="60">
        <v>19.0</v>
      </c>
      <c r="D402" s="59" t="s">
        <v>3841</v>
      </c>
      <c r="E402" s="59" t="s">
        <v>3817</v>
      </c>
      <c r="F402" s="59" t="s">
        <v>3921</v>
      </c>
      <c r="G402" s="59" t="s">
        <v>3858</v>
      </c>
      <c r="H402" s="59" t="s">
        <v>3859</v>
      </c>
      <c r="I402" s="61"/>
    </row>
    <row r="403">
      <c r="A403" s="59">
        <v>1.07190977E8</v>
      </c>
      <c r="B403" s="59" t="s">
        <v>4320</v>
      </c>
      <c r="C403" s="60">
        <v>35.0</v>
      </c>
      <c r="D403" s="59" t="s">
        <v>3841</v>
      </c>
      <c r="E403" s="59" t="s">
        <v>3808</v>
      </c>
      <c r="F403" s="59" t="s">
        <v>3822</v>
      </c>
      <c r="G403" s="59" t="s">
        <v>3823</v>
      </c>
      <c r="H403" s="59" t="s">
        <v>3824</v>
      </c>
      <c r="I403" s="61"/>
    </row>
    <row r="404">
      <c r="A404" s="59">
        <v>1.04211371E8</v>
      </c>
      <c r="B404" s="59" t="s">
        <v>4321</v>
      </c>
      <c r="C404" s="60">
        <v>29.0</v>
      </c>
      <c r="D404" s="59" t="s">
        <v>3841</v>
      </c>
      <c r="E404" s="59" t="s">
        <v>3808</v>
      </c>
      <c r="F404" s="59" t="s">
        <v>3911</v>
      </c>
      <c r="G404" s="59" t="s">
        <v>3819</v>
      </c>
      <c r="H404" s="59" t="s">
        <v>3820</v>
      </c>
      <c r="I404" s="61"/>
    </row>
    <row r="405">
      <c r="A405" s="59">
        <v>1.05211388E8</v>
      </c>
      <c r="B405" s="59" t="s">
        <v>4322</v>
      </c>
      <c r="C405" s="60">
        <v>46.0</v>
      </c>
      <c r="D405" s="59" t="s">
        <v>3807</v>
      </c>
      <c r="E405" s="59" t="s">
        <v>3808</v>
      </c>
      <c r="F405" s="59" t="s">
        <v>3832</v>
      </c>
      <c r="G405" s="59" t="s">
        <v>3819</v>
      </c>
      <c r="H405" s="59" t="s">
        <v>3820</v>
      </c>
      <c r="I405" s="61"/>
    </row>
    <row r="406">
      <c r="A406" s="59">
        <v>2.06211416E8</v>
      </c>
      <c r="B406" s="59" t="s">
        <v>4323</v>
      </c>
      <c r="C406" s="60">
        <v>50.0</v>
      </c>
      <c r="D406" s="59" t="s">
        <v>3841</v>
      </c>
      <c r="E406" s="59" t="s">
        <v>3817</v>
      </c>
      <c r="F406" s="59" t="s">
        <v>3828</v>
      </c>
      <c r="G406" s="59" t="s">
        <v>3829</v>
      </c>
      <c r="H406" s="63" t="b">
        <v>0</v>
      </c>
      <c r="I406" s="62">
        <v>30600.0</v>
      </c>
    </row>
    <row r="407">
      <c r="A407" s="59">
        <v>2.10211522E8</v>
      </c>
      <c r="B407" s="59" t="s">
        <v>4324</v>
      </c>
      <c r="C407" s="60">
        <v>42.0</v>
      </c>
      <c r="D407" s="59" t="s">
        <v>3841</v>
      </c>
      <c r="E407" s="59" t="s">
        <v>3817</v>
      </c>
      <c r="F407" s="59" t="s">
        <v>4012</v>
      </c>
      <c r="G407" s="59" t="s">
        <v>3829</v>
      </c>
      <c r="H407" s="63" t="b">
        <v>0</v>
      </c>
      <c r="I407" s="61"/>
    </row>
    <row r="408">
      <c r="A408" s="59">
        <v>2.03221599E8</v>
      </c>
      <c r="B408" s="59" t="s">
        <v>4325</v>
      </c>
      <c r="C408" s="60">
        <v>31.0</v>
      </c>
      <c r="D408" s="59" t="s">
        <v>3807</v>
      </c>
      <c r="E408" s="59" t="s">
        <v>3817</v>
      </c>
      <c r="F408" s="59" t="s">
        <v>3988</v>
      </c>
      <c r="G408" s="59" t="s">
        <v>3823</v>
      </c>
      <c r="H408" s="59" t="s">
        <v>3989</v>
      </c>
      <c r="I408" s="61"/>
    </row>
    <row r="409">
      <c r="A409" s="59">
        <v>1.03170231E8</v>
      </c>
      <c r="B409" s="59" t="s">
        <v>4326</v>
      </c>
      <c r="C409" s="60">
        <v>49.0</v>
      </c>
      <c r="D409" s="59" t="s">
        <v>3807</v>
      </c>
      <c r="E409" s="59" t="s">
        <v>3808</v>
      </c>
      <c r="F409" s="59" t="s">
        <v>3919</v>
      </c>
      <c r="G409" s="59" t="s">
        <v>3858</v>
      </c>
      <c r="H409" s="59" t="s">
        <v>3886</v>
      </c>
      <c r="I409" s="61"/>
    </row>
    <row r="410">
      <c r="A410" s="59">
        <v>2.03221603E8</v>
      </c>
      <c r="B410" s="59" t="s">
        <v>4327</v>
      </c>
      <c r="C410" s="60">
        <v>27.0</v>
      </c>
      <c r="D410" s="59" t="s">
        <v>3841</v>
      </c>
      <c r="E410" s="59" t="s">
        <v>3817</v>
      </c>
      <c r="F410" s="59" t="s">
        <v>3832</v>
      </c>
      <c r="G410" s="59" t="s">
        <v>3819</v>
      </c>
      <c r="H410" s="59" t="s">
        <v>3820</v>
      </c>
      <c r="I410" s="61"/>
    </row>
    <row r="411">
      <c r="A411" s="59">
        <v>2.02201131E8</v>
      </c>
      <c r="B411" s="59" t="s">
        <v>4328</v>
      </c>
      <c r="C411" s="60">
        <v>47.0</v>
      </c>
      <c r="D411" s="59" t="s">
        <v>3807</v>
      </c>
      <c r="E411" s="59" t="s">
        <v>3817</v>
      </c>
      <c r="F411" s="59" t="s">
        <v>3911</v>
      </c>
      <c r="G411" s="59" t="s">
        <v>3829</v>
      </c>
      <c r="H411" s="63" t="b">
        <v>0</v>
      </c>
      <c r="I411" s="62">
        <v>29316.0</v>
      </c>
    </row>
    <row r="412">
      <c r="A412" s="59">
        <v>2.06231775E8</v>
      </c>
      <c r="B412" s="59" t="s">
        <v>4329</v>
      </c>
      <c r="C412" s="60">
        <v>25.0</v>
      </c>
      <c r="D412" s="59" t="s">
        <v>3807</v>
      </c>
      <c r="E412" s="59" t="s">
        <v>3817</v>
      </c>
      <c r="F412" s="59" t="s">
        <v>3851</v>
      </c>
      <c r="G412" s="59" t="s">
        <v>3819</v>
      </c>
      <c r="H412" s="59" t="s">
        <v>3820</v>
      </c>
      <c r="I412" s="61"/>
    </row>
    <row r="413">
      <c r="A413" s="59">
        <v>2.03221604E8</v>
      </c>
      <c r="B413" s="59" t="s">
        <v>4330</v>
      </c>
      <c r="C413" s="60">
        <v>46.0</v>
      </c>
      <c r="D413" s="59" t="s">
        <v>3807</v>
      </c>
      <c r="E413" s="59" t="s">
        <v>3817</v>
      </c>
      <c r="F413" s="59" t="s">
        <v>3832</v>
      </c>
      <c r="G413" s="59" t="s">
        <v>3819</v>
      </c>
      <c r="H413" s="59" t="s">
        <v>3820</v>
      </c>
      <c r="I413" s="62">
        <v>30427.0</v>
      </c>
    </row>
    <row r="414">
      <c r="A414" s="59">
        <v>1.08201192E8</v>
      </c>
      <c r="B414" s="59" t="s">
        <v>4331</v>
      </c>
      <c r="C414" s="60">
        <v>47.0</v>
      </c>
      <c r="D414" s="59" t="s">
        <v>3807</v>
      </c>
      <c r="E414" s="59" t="s">
        <v>3808</v>
      </c>
      <c r="F414" s="59" t="s">
        <v>3832</v>
      </c>
      <c r="G414" s="59" t="s">
        <v>3819</v>
      </c>
      <c r="H414" s="59" t="s">
        <v>3820</v>
      </c>
      <c r="I414" s="62">
        <v>28183.0</v>
      </c>
    </row>
    <row r="415">
      <c r="A415" s="61"/>
      <c r="B415" s="59" t="s">
        <v>4332</v>
      </c>
      <c r="C415" s="60">
        <v>0.0</v>
      </c>
      <c r="D415" s="61"/>
      <c r="E415" s="59" t="s">
        <v>3808</v>
      </c>
      <c r="F415" s="63" t="b">
        <v>0</v>
      </c>
      <c r="G415" s="63" t="b">
        <v>0</v>
      </c>
      <c r="H415" s="63" t="b">
        <v>0</v>
      </c>
      <c r="I415" s="61"/>
    </row>
    <row r="416">
      <c r="A416" s="59">
        <v>1.05241927E8</v>
      </c>
      <c r="B416" s="59" t="s">
        <v>4332</v>
      </c>
      <c r="C416" s="60">
        <v>0.0</v>
      </c>
      <c r="D416" s="61"/>
      <c r="E416" s="59" t="s">
        <v>3808</v>
      </c>
      <c r="F416" s="59" t="s">
        <v>3919</v>
      </c>
      <c r="G416" s="59" t="s">
        <v>3858</v>
      </c>
      <c r="H416" s="59" t="s">
        <v>3859</v>
      </c>
      <c r="I416" s="61"/>
    </row>
    <row r="417">
      <c r="A417" s="59">
        <v>2.03241891E8</v>
      </c>
      <c r="B417" s="59" t="s">
        <v>4333</v>
      </c>
      <c r="C417" s="60">
        <v>46.0</v>
      </c>
      <c r="D417" s="59" t="s">
        <v>3807</v>
      </c>
      <c r="E417" s="59" t="s">
        <v>3817</v>
      </c>
      <c r="F417" s="59" t="s">
        <v>3853</v>
      </c>
      <c r="G417" s="59" t="s">
        <v>3823</v>
      </c>
      <c r="H417" s="59" t="s">
        <v>3824</v>
      </c>
      <c r="I417" s="62">
        <v>29707.0</v>
      </c>
    </row>
    <row r="418">
      <c r="A418" s="59">
        <v>1.01199002E8</v>
      </c>
      <c r="B418" s="59" t="s">
        <v>4334</v>
      </c>
      <c r="C418" s="60">
        <v>0.0</v>
      </c>
      <c r="D418" s="61"/>
      <c r="E418" s="59" t="s">
        <v>3808</v>
      </c>
      <c r="F418" s="63" t="b">
        <v>0</v>
      </c>
      <c r="G418" s="63" t="b">
        <v>0</v>
      </c>
      <c r="H418" s="63" t="b">
        <v>0</v>
      </c>
      <c r="I418" s="61"/>
    </row>
    <row r="419">
      <c r="A419" s="59">
        <v>2.06241939E8</v>
      </c>
      <c r="B419" s="59" t="s">
        <v>4335</v>
      </c>
      <c r="C419" s="60">
        <v>22.0</v>
      </c>
      <c r="D419" s="59" t="s">
        <v>3807</v>
      </c>
      <c r="E419" s="59" t="s">
        <v>3817</v>
      </c>
      <c r="F419" s="59" t="s">
        <v>3883</v>
      </c>
      <c r="G419" s="59" t="s">
        <v>3810</v>
      </c>
      <c r="H419" s="59" t="s">
        <v>4075</v>
      </c>
      <c r="I419" s="61"/>
    </row>
    <row r="420">
      <c r="A420" s="59">
        <v>1.04211369E8</v>
      </c>
      <c r="B420" s="59" t="s">
        <v>4336</v>
      </c>
      <c r="C420" s="60">
        <v>59.0</v>
      </c>
      <c r="D420" s="59" t="s">
        <v>3841</v>
      </c>
      <c r="E420" s="59" t="s">
        <v>3808</v>
      </c>
      <c r="F420" s="59" t="s">
        <v>3832</v>
      </c>
      <c r="G420" s="59" t="s">
        <v>3819</v>
      </c>
      <c r="H420" s="59" t="s">
        <v>3820</v>
      </c>
      <c r="I420" s="61"/>
    </row>
    <row r="421">
      <c r="A421" s="59">
        <v>1.1220132E8</v>
      </c>
      <c r="B421" s="59" t="s">
        <v>4337</v>
      </c>
      <c r="C421" s="60">
        <v>43.0</v>
      </c>
      <c r="D421" s="59" t="s">
        <v>3807</v>
      </c>
      <c r="E421" s="59" t="s">
        <v>3808</v>
      </c>
      <c r="F421" s="59" t="s">
        <v>3832</v>
      </c>
      <c r="G421" s="59" t="s">
        <v>3819</v>
      </c>
      <c r="H421" s="59" t="s">
        <v>3820</v>
      </c>
      <c r="I421" s="61"/>
    </row>
    <row r="422">
      <c r="A422" s="59">
        <v>1.08191062E8</v>
      </c>
      <c r="B422" s="59" t="s">
        <v>4338</v>
      </c>
      <c r="C422" s="60">
        <v>22.0</v>
      </c>
      <c r="D422" s="59" t="s">
        <v>3841</v>
      </c>
      <c r="E422" s="59" t="s">
        <v>3808</v>
      </c>
      <c r="F422" s="59" t="s">
        <v>3868</v>
      </c>
      <c r="G422" s="59" t="s">
        <v>3823</v>
      </c>
      <c r="H422" s="59" t="s">
        <v>3869</v>
      </c>
      <c r="I422" s="61"/>
    </row>
    <row r="423">
      <c r="A423" s="59">
        <v>2.11221702E8</v>
      </c>
      <c r="B423" s="59" t="s">
        <v>4339</v>
      </c>
      <c r="C423" s="60">
        <v>29.0</v>
      </c>
      <c r="D423" s="59" t="s">
        <v>3807</v>
      </c>
      <c r="E423" s="59" t="s">
        <v>3817</v>
      </c>
      <c r="F423" s="59" t="s">
        <v>3898</v>
      </c>
      <c r="G423" s="59" t="s">
        <v>3819</v>
      </c>
      <c r="H423" s="59" t="s">
        <v>3820</v>
      </c>
      <c r="I423" s="62">
        <v>35129.0</v>
      </c>
    </row>
    <row r="424">
      <c r="A424" s="59">
        <v>1.02190885E8</v>
      </c>
      <c r="B424" s="59" t="s">
        <v>4340</v>
      </c>
      <c r="C424" s="60">
        <v>53.0</v>
      </c>
      <c r="D424" s="59" t="s">
        <v>3807</v>
      </c>
      <c r="E424" s="59" t="s">
        <v>3808</v>
      </c>
      <c r="F424" s="59" t="s">
        <v>3919</v>
      </c>
      <c r="G424" s="59" t="s">
        <v>3858</v>
      </c>
      <c r="H424" s="59" t="s">
        <v>3886</v>
      </c>
      <c r="I424" s="61"/>
    </row>
    <row r="425">
      <c r="A425" s="59">
        <v>1.06211437E8</v>
      </c>
      <c r="B425" s="59" t="s">
        <v>4341</v>
      </c>
      <c r="C425" s="60">
        <v>41.0</v>
      </c>
      <c r="D425" s="59" t="s">
        <v>3807</v>
      </c>
      <c r="E425" s="59" t="s">
        <v>3808</v>
      </c>
      <c r="F425" s="59" t="s">
        <v>3911</v>
      </c>
      <c r="G425" s="59" t="s">
        <v>3829</v>
      </c>
      <c r="H425" s="63" t="b">
        <v>0</v>
      </c>
      <c r="I425" s="61"/>
    </row>
    <row r="426">
      <c r="A426" s="59">
        <v>4.07230004E8</v>
      </c>
      <c r="B426" s="59" t="s">
        <v>4342</v>
      </c>
      <c r="C426" s="60">
        <v>0.0</v>
      </c>
      <c r="D426" s="61"/>
      <c r="E426" s="59" t="s">
        <v>3808</v>
      </c>
      <c r="F426" s="59" t="s">
        <v>4036</v>
      </c>
      <c r="G426" s="59" t="s">
        <v>3815</v>
      </c>
      <c r="H426" s="59" t="s">
        <v>3943</v>
      </c>
      <c r="I426" s="61"/>
    </row>
    <row r="427">
      <c r="A427" s="59">
        <v>2.08231822E8</v>
      </c>
      <c r="B427" s="59" t="s">
        <v>4343</v>
      </c>
      <c r="C427" s="60">
        <v>27.0</v>
      </c>
      <c r="D427" s="59" t="s">
        <v>3841</v>
      </c>
      <c r="E427" s="59" t="s">
        <v>3817</v>
      </c>
      <c r="F427" s="59" t="s">
        <v>3919</v>
      </c>
      <c r="G427" s="59" t="s">
        <v>3858</v>
      </c>
      <c r="H427" s="59" t="s">
        <v>3859</v>
      </c>
      <c r="I427" s="61"/>
    </row>
    <row r="428">
      <c r="A428" s="59">
        <v>2.11201268E8</v>
      </c>
      <c r="B428" s="59" t="s">
        <v>4344</v>
      </c>
      <c r="C428" s="60">
        <v>37.0</v>
      </c>
      <c r="D428" s="59" t="s">
        <v>3841</v>
      </c>
      <c r="E428" s="59" t="s">
        <v>3817</v>
      </c>
      <c r="F428" s="59" t="s">
        <v>3832</v>
      </c>
      <c r="G428" s="59" t="s">
        <v>3819</v>
      </c>
      <c r="H428" s="59" t="s">
        <v>3820</v>
      </c>
      <c r="I428" s="62">
        <v>33532.0</v>
      </c>
    </row>
    <row r="429">
      <c r="A429" s="61"/>
      <c r="B429" s="59" t="s">
        <v>4345</v>
      </c>
      <c r="C429" s="60">
        <v>0.0</v>
      </c>
      <c r="D429" s="61"/>
      <c r="E429" s="59" t="s">
        <v>3808</v>
      </c>
      <c r="F429" s="63" t="b">
        <v>0</v>
      </c>
      <c r="G429" s="63" t="b">
        <v>0</v>
      </c>
      <c r="H429" s="63" t="b">
        <v>0</v>
      </c>
      <c r="I429" s="61"/>
    </row>
    <row r="430">
      <c r="A430" s="59">
        <v>1.09201224E8</v>
      </c>
      <c r="B430" s="59" t="s">
        <v>4346</v>
      </c>
      <c r="C430" s="60">
        <v>42.0</v>
      </c>
      <c r="D430" s="59" t="s">
        <v>3841</v>
      </c>
      <c r="E430" s="59" t="s">
        <v>3808</v>
      </c>
      <c r="F430" s="59" t="s">
        <v>4012</v>
      </c>
      <c r="G430" s="59" t="s">
        <v>3829</v>
      </c>
      <c r="H430" s="59" t="s">
        <v>3830</v>
      </c>
      <c r="I430" s="62">
        <v>31877.0</v>
      </c>
    </row>
    <row r="431">
      <c r="A431" s="59">
        <v>2.06211441E8</v>
      </c>
      <c r="B431" s="59" t="s">
        <v>4347</v>
      </c>
      <c r="C431" s="60">
        <v>28.0</v>
      </c>
      <c r="D431" s="59" t="s">
        <v>3841</v>
      </c>
      <c r="E431" s="59" t="s">
        <v>3817</v>
      </c>
      <c r="F431" s="59" t="s">
        <v>3866</v>
      </c>
      <c r="G431" s="59" t="s">
        <v>3829</v>
      </c>
      <c r="H431" s="59" t="s">
        <v>3830</v>
      </c>
      <c r="I431" s="61"/>
    </row>
    <row r="432">
      <c r="A432" s="59">
        <v>2.03241904E8</v>
      </c>
      <c r="B432" s="59" t="s">
        <v>4348</v>
      </c>
      <c r="C432" s="60">
        <v>0.0</v>
      </c>
      <c r="D432" s="61"/>
      <c r="E432" s="59" t="s">
        <v>3817</v>
      </c>
      <c r="F432" s="59" t="s">
        <v>3883</v>
      </c>
      <c r="G432" s="59" t="s">
        <v>3810</v>
      </c>
      <c r="H432" s="59" t="s">
        <v>3811</v>
      </c>
      <c r="I432" s="61"/>
    </row>
    <row r="433">
      <c r="A433" s="59">
        <v>1.0521139E8</v>
      </c>
      <c r="B433" s="59" t="s">
        <v>4349</v>
      </c>
      <c r="C433" s="60">
        <v>29.0</v>
      </c>
      <c r="D433" s="59" t="s">
        <v>3813</v>
      </c>
      <c r="E433" s="59" t="s">
        <v>3808</v>
      </c>
      <c r="F433" s="59" t="s">
        <v>3866</v>
      </c>
      <c r="G433" s="59" t="s">
        <v>3829</v>
      </c>
      <c r="H433" s="63" t="b">
        <v>0</v>
      </c>
      <c r="I433" s="61"/>
    </row>
    <row r="434">
      <c r="A434" s="59">
        <v>1.12180618E8</v>
      </c>
      <c r="B434" s="59" t="s">
        <v>4350</v>
      </c>
      <c r="C434" s="60">
        <v>53.0</v>
      </c>
      <c r="D434" s="59" t="s">
        <v>3807</v>
      </c>
      <c r="E434" s="59" t="s">
        <v>3808</v>
      </c>
      <c r="F434" s="59" t="s">
        <v>3911</v>
      </c>
      <c r="G434" s="59" t="s">
        <v>3829</v>
      </c>
      <c r="H434" s="63" t="b">
        <v>0</v>
      </c>
      <c r="I434" s="61"/>
    </row>
    <row r="435">
      <c r="A435" s="59">
        <v>2.02231721E8</v>
      </c>
      <c r="B435" s="59" t="s">
        <v>4351</v>
      </c>
      <c r="C435" s="60">
        <v>26.0</v>
      </c>
      <c r="D435" s="59" t="s">
        <v>3807</v>
      </c>
      <c r="E435" s="59" t="s">
        <v>3817</v>
      </c>
      <c r="F435" s="59" t="s">
        <v>3898</v>
      </c>
      <c r="G435" s="59" t="s">
        <v>3819</v>
      </c>
      <c r="H435" s="59" t="s">
        <v>3820</v>
      </c>
      <c r="I435" s="62">
        <v>34167.0</v>
      </c>
    </row>
    <row r="436">
      <c r="A436" s="59">
        <v>2.07231798E8</v>
      </c>
      <c r="B436" s="59" t="s">
        <v>4352</v>
      </c>
      <c r="C436" s="60">
        <v>0.0</v>
      </c>
      <c r="D436" s="61"/>
      <c r="E436" s="59" t="s">
        <v>3817</v>
      </c>
      <c r="F436" s="59" t="s">
        <v>3822</v>
      </c>
      <c r="G436" s="59" t="s">
        <v>3823</v>
      </c>
      <c r="H436" s="59" t="s">
        <v>3824</v>
      </c>
      <c r="I436" s="61"/>
    </row>
    <row r="437">
      <c r="A437" s="59">
        <v>1.08120252E8</v>
      </c>
      <c r="B437" s="59" t="s">
        <v>4353</v>
      </c>
      <c r="C437" s="60">
        <v>54.0</v>
      </c>
      <c r="D437" s="59" t="s">
        <v>3841</v>
      </c>
      <c r="E437" s="59" t="s">
        <v>3808</v>
      </c>
      <c r="F437" s="59" t="s">
        <v>3878</v>
      </c>
      <c r="G437" s="59" t="s">
        <v>3819</v>
      </c>
      <c r="H437" s="59" t="s">
        <v>3820</v>
      </c>
      <c r="I437" s="61"/>
    </row>
    <row r="438">
      <c r="A438" s="59">
        <v>2.06211433E8</v>
      </c>
      <c r="B438" s="59" t="s">
        <v>4354</v>
      </c>
      <c r="C438" s="60">
        <v>49.0</v>
      </c>
      <c r="D438" s="59" t="s">
        <v>3807</v>
      </c>
      <c r="E438" s="59" t="s">
        <v>3817</v>
      </c>
      <c r="F438" s="59" t="s">
        <v>3828</v>
      </c>
      <c r="G438" s="59" t="s">
        <v>3829</v>
      </c>
      <c r="H438" s="63" t="b">
        <v>0</v>
      </c>
      <c r="I438" s="61"/>
    </row>
    <row r="439">
      <c r="A439" s="59">
        <v>1.02180376E8</v>
      </c>
      <c r="B439" s="59" t="s">
        <v>4355</v>
      </c>
      <c r="C439" s="60">
        <v>30.0</v>
      </c>
      <c r="D439" s="59" t="s">
        <v>3807</v>
      </c>
      <c r="E439" s="59" t="s">
        <v>3808</v>
      </c>
      <c r="F439" s="59" t="s">
        <v>3911</v>
      </c>
      <c r="G439" s="59" t="s">
        <v>3829</v>
      </c>
      <c r="H439" s="59" t="s">
        <v>3830</v>
      </c>
      <c r="I439" s="62">
        <v>34798.0</v>
      </c>
    </row>
    <row r="440">
      <c r="A440" s="59" t="s">
        <v>4356</v>
      </c>
      <c r="B440" s="59" t="s">
        <v>4357</v>
      </c>
      <c r="C440" s="60">
        <v>27.0</v>
      </c>
      <c r="D440" s="59" t="s">
        <v>3807</v>
      </c>
      <c r="E440" s="59" t="s">
        <v>3834</v>
      </c>
      <c r="F440" s="59" t="s">
        <v>4120</v>
      </c>
      <c r="G440" s="59" t="s">
        <v>3881</v>
      </c>
      <c r="H440" s="59" t="s">
        <v>3904</v>
      </c>
      <c r="I440" s="61"/>
    </row>
    <row r="441">
      <c r="A441" s="59">
        <v>1.11201302E8</v>
      </c>
      <c r="B441" s="59" t="s">
        <v>4358</v>
      </c>
      <c r="C441" s="60">
        <v>30.0</v>
      </c>
      <c r="D441" s="59" t="s">
        <v>3841</v>
      </c>
      <c r="E441" s="59" t="s">
        <v>3808</v>
      </c>
      <c r="F441" s="59" t="s">
        <v>4288</v>
      </c>
      <c r="G441" s="59" t="s">
        <v>3810</v>
      </c>
      <c r="H441" s="59" t="s">
        <v>4098</v>
      </c>
      <c r="I441" s="61"/>
    </row>
    <row r="442">
      <c r="A442" s="59">
        <v>2.0719103E8</v>
      </c>
      <c r="B442" s="59" t="s">
        <v>4359</v>
      </c>
      <c r="C442" s="60">
        <v>73.0</v>
      </c>
      <c r="D442" s="59" t="s">
        <v>3807</v>
      </c>
      <c r="E442" s="59" t="s">
        <v>3817</v>
      </c>
      <c r="F442" s="59" t="s">
        <v>3878</v>
      </c>
      <c r="G442" s="59" t="s">
        <v>3819</v>
      </c>
      <c r="H442" s="59" t="s">
        <v>3820</v>
      </c>
      <c r="I442" s="62">
        <v>28040.0</v>
      </c>
    </row>
    <row r="443">
      <c r="A443" s="59">
        <v>1.03201149E8</v>
      </c>
      <c r="B443" s="59" t="s">
        <v>4360</v>
      </c>
      <c r="C443" s="60">
        <v>0.0</v>
      </c>
      <c r="D443" s="61"/>
      <c r="E443" s="59" t="s">
        <v>3808</v>
      </c>
      <c r="F443" s="59" t="s">
        <v>4361</v>
      </c>
      <c r="G443" s="59" t="s">
        <v>3823</v>
      </c>
      <c r="H443" s="59" t="s">
        <v>3989</v>
      </c>
      <c r="I443" s="61"/>
    </row>
    <row r="444">
      <c r="A444" s="59">
        <v>2.04231748E8</v>
      </c>
      <c r="B444" s="59" t="s">
        <v>4362</v>
      </c>
      <c r="C444" s="60">
        <v>23.0</v>
      </c>
      <c r="D444" s="59" t="s">
        <v>3813</v>
      </c>
      <c r="E444" s="59" t="s">
        <v>3817</v>
      </c>
      <c r="F444" s="59" t="s">
        <v>3915</v>
      </c>
      <c r="G444" s="59" t="s">
        <v>3810</v>
      </c>
      <c r="H444" s="59" t="s">
        <v>3811</v>
      </c>
      <c r="I444" s="61"/>
    </row>
    <row r="445">
      <c r="A445" s="59">
        <v>2.07231799E8</v>
      </c>
      <c r="B445" s="59" t="s">
        <v>4363</v>
      </c>
      <c r="C445" s="60">
        <v>23.0</v>
      </c>
      <c r="D445" s="59" t="s">
        <v>3841</v>
      </c>
      <c r="E445" s="59" t="s">
        <v>3817</v>
      </c>
      <c r="F445" s="59" t="s">
        <v>3883</v>
      </c>
      <c r="G445" s="59" t="s">
        <v>3810</v>
      </c>
      <c r="H445" s="59" t="s">
        <v>3811</v>
      </c>
      <c r="I445" s="61"/>
    </row>
    <row r="446">
      <c r="A446" s="59">
        <v>1.09221681E8</v>
      </c>
      <c r="B446" s="59" t="s">
        <v>4364</v>
      </c>
      <c r="C446" s="60">
        <v>24.0</v>
      </c>
      <c r="D446" s="59" t="s">
        <v>3841</v>
      </c>
      <c r="E446" s="59" t="s">
        <v>3808</v>
      </c>
      <c r="F446" s="59" t="s">
        <v>3885</v>
      </c>
      <c r="G446" s="59" t="s">
        <v>3858</v>
      </c>
      <c r="H446" s="59" t="s">
        <v>3886</v>
      </c>
      <c r="I446" s="61"/>
    </row>
    <row r="447">
      <c r="A447" s="59">
        <v>4.008219003</v>
      </c>
      <c r="B447" s="59" t="s">
        <v>4365</v>
      </c>
      <c r="C447" s="60">
        <v>0.0</v>
      </c>
      <c r="D447" s="61"/>
      <c r="E447" s="59" t="s">
        <v>3817</v>
      </c>
      <c r="F447" s="59" t="s">
        <v>4120</v>
      </c>
      <c r="G447" s="59" t="s">
        <v>3881</v>
      </c>
      <c r="H447" s="63" t="b">
        <v>0</v>
      </c>
      <c r="I447" s="61"/>
    </row>
    <row r="448">
      <c r="A448" s="59">
        <v>1.06190909E8</v>
      </c>
      <c r="B448" s="59" t="s">
        <v>4366</v>
      </c>
      <c r="C448" s="60">
        <v>0.0</v>
      </c>
      <c r="D448" s="61"/>
      <c r="E448" s="59" t="s">
        <v>3808</v>
      </c>
      <c r="F448" s="59" t="s">
        <v>3832</v>
      </c>
      <c r="G448" s="59" t="s">
        <v>3819</v>
      </c>
      <c r="H448" s="59" t="s">
        <v>3820</v>
      </c>
      <c r="I448" s="61"/>
    </row>
    <row r="449">
      <c r="A449" s="59">
        <v>1.08211466E8</v>
      </c>
      <c r="B449" s="59" t="s">
        <v>4367</v>
      </c>
      <c r="C449" s="60">
        <v>1.0</v>
      </c>
      <c r="D449" s="59" t="s">
        <v>3807</v>
      </c>
      <c r="E449" s="59" t="s">
        <v>3808</v>
      </c>
      <c r="F449" s="59" t="s">
        <v>3853</v>
      </c>
      <c r="G449" s="59" t="s">
        <v>3823</v>
      </c>
      <c r="H449" s="59" t="s">
        <v>3854</v>
      </c>
      <c r="I449" s="61"/>
    </row>
    <row r="450">
      <c r="A450" s="59">
        <v>1.04211379E8</v>
      </c>
      <c r="B450" s="59" t="s">
        <v>4368</v>
      </c>
      <c r="C450" s="60">
        <v>24.0</v>
      </c>
      <c r="D450" s="59" t="s">
        <v>3841</v>
      </c>
      <c r="E450" s="59" t="s">
        <v>3808</v>
      </c>
      <c r="F450" s="59" t="s">
        <v>3832</v>
      </c>
      <c r="G450" s="59" t="s">
        <v>3819</v>
      </c>
      <c r="H450" s="59" t="s">
        <v>3820</v>
      </c>
      <c r="I450" s="61"/>
    </row>
    <row r="451">
      <c r="A451" s="59">
        <v>2.04150699E8</v>
      </c>
      <c r="B451" s="59" t="s">
        <v>4369</v>
      </c>
      <c r="C451" s="60">
        <v>63.0</v>
      </c>
      <c r="D451" s="59" t="s">
        <v>3807</v>
      </c>
      <c r="E451" s="59" t="s">
        <v>3817</v>
      </c>
      <c r="F451" s="59" t="s">
        <v>4288</v>
      </c>
      <c r="G451" s="59" t="s">
        <v>3810</v>
      </c>
      <c r="H451" s="59" t="s">
        <v>4098</v>
      </c>
      <c r="I451" s="62">
        <v>26015.0</v>
      </c>
    </row>
    <row r="452">
      <c r="A452" s="59">
        <v>2.01241875E8</v>
      </c>
      <c r="B452" s="59" t="s">
        <v>4370</v>
      </c>
      <c r="C452" s="60">
        <v>22.0</v>
      </c>
      <c r="D452" s="59" t="s">
        <v>3807</v>
      </c>
      <c r="E452" s="59" t="s">
        <v>3817</v>
      </c>
      <c r="F452" s="59" t="s">
        <v>3957</v>
      </c>
      <c r="G452" s="59" t="s">
        <v>3858</v>
      </c>
      <c r="H452" s="59" t="s">
        <v>3859</v>
      </c>
      <c r="I452" s="61"/>
    </row>
    <row r="453">
      <c r="A453" s="59">
        <v>2.08231827E8</v>
      </c>
      <c r="B453" s="59" t="s">
        <v>4371</v>
      </c>
      <c r="C453" s="60">
        <v>33.0</v>
      </c>
      <c r="D453" s="59" t="s">
        <v>3807</v>
      </c>
      <c r="E453" s="59" t="s">
        <v>3817</v>
      </c>
      <c r="F453" s="59" t="s">
        <v>3866</v>
      </c>
      <c r="G453" s="59" t="s">
        <v>3829</v>
      </c>
      <c r="H453" s="59" t="s">
        <v>3830</v>
      </c>
      <c r="I453" s="61"/>
    </row>
    <row r="454">
      <c r="A454" s="59">
        <v>2.12211557E8</v>
      </c>
      <c r="B454" s="59" t="s">
        <v>4372</v>
      </c>
      <c r="C454" s="60">
        <v>46.0</v>
      </c>
      <c r="D454" s="59" t="s">
        <v>3807</v>
      </c>
      <c r="E454" s="59" t="s">
        <v>3817</v>
      </c>
      <c r="F454" s="59" t="s">
        <v>3828</v>
      </c>
      <c r="G454" s="59" t="s">
        <v>3829</v>
      </c>
      <c r="H454" s="63" t="b">
        <v>0</v>
      </c>
      <c r="I454" s="61"/>
    </row>
    <row r="455">
      <c r="A455" s="59">
        <v>2.08201175E8</v>
      </c>
      <c r="B455" s="59" t="s">
        <v>4373</v>
      </c>
      <c r="C455" s="60">
        <v>48.0</v>
      </c>
      <c r="D455" s="59" t="s">
        <v>3807</v>
      </c>
      <c r="E455" s="59" t="s">
        <v>3817</v>
      </c>
      <c r="F455" s="59" t="s">
        <v>3832</v>
      </c>
      <c r="G455" s="59" t="s">
        <v>3819</v>
      </c>
      <c r="H455" s="59" t="s">
        <v>3820</v>
      </c>
      <c r="I455" s="62">
        <v>27433.0</v>
      </c>
    </row>
    <row r="456">
      <c r="A456" s="59">
        <v>2.01211333E8</v>
      </c>
      <c r="B456" s="59" t="s">
        <v>4374</v>
      </c>
      <c r="C456" s="60">
        <v>29.0</v>
      </c>
      <c r="D456" s="59" t="s">
        <v>3841</v>
      </c>
      <c r="E456" s="59" t="s">
        <v>3817</v>
      </c>
      <c r="F456" s="59" t="s">
        <v>3866</v>
      </c>
      <c r="G456" s="59" t="s">
        <v>3829</v>
      </c>
      <c r="H456" s="59" t="s">
        <v>3830</v>
      </c>
      <c r="I456" s="61"/>
    </row>
    <row r="457">
      <c r="A457" s="59">
        <v>1.07211451E8</v>
      </c>
      <c r="B457" s="59" t="s">
        <v>4374</v>
      </c>
      <c r="C457" s="60">
        <v>48.0</v>
      </c>
      <c r="D457" s="59" t="s">
        <v>3807</v>
      </c>
      <c r="E457" s="59" t="s">
        <v>3808</v>
      </c>
      <c r="F457" s="59" t="s">
        <v>3832</v>
      </c>
      <c r="G457" s="59" t="s">
        <v>3819</v>
      </c>
      <c r="H457" s="59" t="s">
        <v>3820</v>
      </c>
      <c r="I457" s="61"/>
    </row>
    <row r="458">
      <c r="A458" s="59">
        <v>1.08201196E8</v>
      </c>
      <c r="B458" s="59" t="s">
        <v>4375</v>
      </c>
      <c r="C458" s="60">
        <v>60.0</v>
      </c>
      <c r="D458" s="59" t="s">
        <v>3807</v>
      </c>
      <c r="E458" s="59" t="s">
        <v>3808</v>
      </c>
      <c r="F458" s="59" t="s">
        <v>3832</v>
      </c>
      <c r="G458" s="59" t="s">
        <v>3819</v>
      </c>
      <c r="H458" s="59" t="s">
        <v>3820</v>
      </c>
      <c r="I458" s="61"/>
    </row>
    <row r="459">
      <c r="A459" s="59">
        <v>2.09201235E8</v>
      </c>
      <c r="B459" s="59" t="s">
        <v>4376</v>
      </c>
      <c r="C459" s="60">
        <v>0.0</v>
      </c>
      <c r="D459" s="59" t="s">
        <v>3807</v>
      </c>
      <c r="E459" s="59" t="s">
        <v>3817</v>
      </c>
      <c r="F459" s="59" t="s">
        <v>4148</v>
      </c>
      <c r="G459" s="59" t="s">
        <v>3829</v>
      </c>
      <c r="H459" s="63" t="b">
        <v>0</v>
      </c>
      <c r="I459" s="62">
        <v>27466.0</v>
      </c>
    </row>
    <row r="460">
      <c r="A460" s="59">
        <v>2.11211543E8</v>
      </c>
      <c r="B460" s="59" t="s">
        <v>4377</v>
      </c>
      <c r="C460" s="60">
        <v>28.0</v>
      </c>
      <c r="D460" s="59" t="s">
        <v>3841</v>
      </c>
      <c r="E460" s="59" t="s">
        <v>3817</v>
      </c>
      <c r="F460" s="59" t="s">
        <v>3832</v>
      </c>
      <c r="G460" s="59" t="s">
        <v>3819</v>
      </c>
      <c r="H460" s="59" t="s">
        <v>4378</v>
      </c>
      <c r="I460" s="62">
        <v>34441.0</v>
      </c>
    </row>
    <row r="461">
      <c r="A461" s="59">
        <v>2.0122158E8</v>
      </c>
      <c r="B461" s="59" t="s">
        <v>4379</v>
      </c>
      <c r="C461" s="60">
        <v>30.0</v>
      </c>
      <c r="D461" s="59" t="s">
        <v>3807</v>
      </c>
      <c r="E461" s="59" t="s">
        <v>3817</v>
      </c>
      <c r="F461" s="59" t="s">
        <v>3832</v>
      </c>
      <c r="G461" s="59" t="s">
        <v>3819</v>
      </c>
      <c r="H461" s="59" t="s">
        <v>3820</v>
      </c>
      <c r="I461" s="62">
        <v>33154.0</v>
      </c>
    </row>
    <row r="462">
      <c r="A462" s="59">
        <v>2.12211558E8</v>
      </c>
      <c r="B462" s="59" t="s">
        <v>4380</v>
      </c>
      <c r="C462" s="60">
        <v>43.0</v>
      </c>
      <c r="D462" s="59" t="s">
        <v>3807</v>
      </c>
      <c r="E462" s="59" t="s">
        <v>3817</v>
      </c>
      <c r="F462" s="59" t="s">
        <v>3832</v>
      </c>
      <c r="G462" s="59" t="s">
        <v>3819</v>
      </c>
      <c r="H462" s="59" t="s">
        <v>3820</v>
      </c>
      <c r="I462" s="62">
        <v>30420.0</v>
      </c>
    </row>
    <row r="463">
      <c r="A463" s="59">
        <v>2.05241915E8</v>
      </c>
      <c r="B463" s="59" t="s">
        <v>4381</v>
      </c>
      <c r="C463" s="60">
        <v>0.0</v>
      </c>
      <c r="D463" s="61"/>
      <c r="E463" s="59" t="s">
        <v>3817</v>
      </c>
      <c r="F463" s="59" t="s">
        <v>3853</v>
      </c>
      <c r="G463" s="59" t="s">
        <v>3823</v>
      </c>
      <c r="H463" s="59" t="s">
        <v>3824</v>
      </c>
      <c r="I463" s="61"/>
    </row>
    <row r="464">
      <c r="A464" s="59">
        <v>2.09211495E8</v>
      </c>
      <c r="B464" s="59" t="s">
        <v>4382</v>
      </c>
      <c r="C464" s="60">
        <v>36.0</v>
      </c>
      <c r="D464" s="59" t="s">
        <v>3807</v>
      </c>
      <c r="E464" s="59" t="s">
        <v>3817</v>
      </c>
      <c r="F464" s="59" t="s">
        <v>3866</v>
      </c>
      <c r="G464" s="59" t="s">
        <v>3829</v>
      </c>
      <c r="H464" s="63" t="b">
        <v>0</v>
      </c>
      <c r="I464" s="62">
        <v>31967.0</v>
      </c>
    </row>
    <row r="465">
      <c r="A465" s="59">
        <v>1.08201195E8</v>
      </c>
      <c r="B465" s="59" t="s">
        <v>4383</v>
      </c>
      <c r="C465" s="60">
        <v>32.0</v>
      </c>
      <c r="D465" s="59" t="s">
        <v>3807</v>
      </c>
      <c r="E465" s="59" t="s">
        <v>3808</v>
      </c>
      <c r="F465" s="59" t="s">
        <v>3828</v>
      </c>
      <c r="G465" s="59" t="s">
        <v>3829</v>
      </c>
      <c r="H465" s="59" t="s">
        <v>3830</v>
      </c>
      <c r="I465" s="62">
        <v>31028.0</v>
      </c>
    </row>
    <row r="466">
      <c r="A466" s="59">
        <v>1.12201307E8</v>
      </c>
      <c r="B466" s="59" t="s">
        <v>4384</v>
      </c>
      <c r="C466" s="60">
        <v>49.0</v>
      </c>
      <c r="D466" s="59" t="s">
        <v>3841</v>
      </c>
      <c r="E466" s="59" t="s">
        <v>3808</v>
      </c>
      <c r="F466" s="59" t="s">
        <v>4385</v>
      </c>
      <c r="G466" s="59" t="s">
        <v>3823</v>
      </c>
      <c r="H466" s="59" t="s">
        <v>3824</v>
      </c>
      <c r="I466" s="62">
        <v>29987.0</v>
      </c>
    </row>
    <row r="467">
      <c r="A467" s="59">
        <v>2.06231779E8</v>
      </c>
      <c r="B467" s="59" t="s">
        <v>4386</v>
      </c>
      <c r="C467" s="60">
        <v>21.0</v>
      </c>
      <c r="D467" s="59" t="s">
        <v>3807</v>
      </c>
      <c r="E467" s="59" t="s">
        <v>3817</v>
      </c>
      <c r="F467" s="59" t="s">
        <v>3853</v>
      </c>
      <c r="G467" s="59" t="s">
        <v>3823</v>
      </c>
      <c r="H467" s="59" t="s">
        <v>3824</v>
      </c>
      <c r="I467" s="61"/>
    </row>
    <row r="468">
      <c r="A468" s="59">
        <v>1.07190949E8</v>
      </c>
      <c r="B468" s="59" t="s">
        <v>4387</v>
      </c>
      <c r="C468" s="60">
        <v>24.0</v>
      </c>
      <c r="D468" s="59" t="s">
        <v>3807</v>
      </c>
      <c r="E468" s="59" t="s">
        <v>3808</v>
      </c>
      <c r="F468" s="59" t="s">
        <v>3851</v>
      </c>
      <c r="G468" s="59" t="s">
        <v>3819</v>
      </c>
      <c r="H468" s="59" t="s">
        <v>3820</v>
      </c>
      <c r="I468" s="61"/>
    </row>
    <row r="469">
      <c r="A469" s="59">
        <v>1.04211382E8</v>
      </c>
      <c r="B469" s="59" t="s">
        <v>4388</v>
      </c>
      <c r="C469" s="60">
        <v>55.0</v>
      </c>
      <c r="D469" s="59" t="s">
        <v>3841</v>
      </c>
      <c r="E469" s="59" t="s">
        <v>3808</v>
      </c>
      <c r="F469" s="59" t="s">
        <v>3832</v>
      </c>
      <c r="G469" s="59" t="s">
        <v>3819</v>
      </c>
      <c r="H469" s="59" t="s">
        <v>3820</v>
      </c>
      <c r="I469" s="61"/>
    </row>
    <row r="470">
      <c r="A470" s="59">
        <v>1.05211411E8</v>
      </c>
      <c r="B470" s="59" t="s">
        <v>4389</v>
      </c>
      <c r="C470" s="60">
        <v>25.0</v>
      </c>
      <c r="D470" s="59" t="s">
        <v>3841</v>
      </c>
      <c r="E470" s="59" t="s">
        <v>3808</v>
      </c>
      <c r="F470" s="59" t="s">
        <v>3933</v>
      </c>
      <c r="G470" s="59" t="s">
        <v>3823</v>
      </c>
      <c r="H470" s="63" t="b">
        <v>0</v>
      </c>
      <c r="I470" s="61"/>
    </row>
    <row r="471">
      <c r="A471" s="59">
        <v>2.07160685E8</v>
      </c>
      <c r="B471" s="59" t="s">
        <v>4390</v>
      </c>
      <c r="C471" s="60">
        <v>49.0</v>
      </c>
      <c r="D471" s="59" t="s">
        <v>3813</v>
      </c>
      <c r="E471" s="59" t="s">
        <v>3817</v>
      </c>
      <c r="F471" s="59" t="s">
        <v>3828</v>
      </c>
      <c r="G471" s="59" t="s">
        <v>3829</v>
      </c>
      <c r="H471" s="59" t="s">
        <v>3830</v>
      </c>
      <c r="I471" s="62">
        <v>28775.0</v>
      </c>
    </row>
    <row r="472">
      <c r="A472" s="61"/>
      <c r="B472" s="59" t="s">
        <v>4391</v>
      </c>
      <c r="C472" s="60">
        <v>23.0</v>
      </c>
      <c r="D472" s="59" t="s">
        <v>3807</v>
      </c>
      <c r="E472" s="59" t="s">
        <v>3808</v>
      </c>
      <c r="F472" s="63" t="b">
        <v>0</v>
      </c>
      <c r="G472" s="63" t="b">
        <v>0</v>
      </c>
      <c r="H472" s="63" t="b">
        <v>0</v>
      </c>
      <c r="I472" s="61"/>
    </row>
    <row r="473">
      <c r="A473" s="59">
        <v>2.06221653E8</v>
      </c>
      <c r="B473" s="59" t="s">
        <v>4392</v>
      </c>
      <c r="C473" s="60">
        <v>41.0</v>
      </c>
      <c r="D473" s="59" t="s">
        <v>3841</v>
      </c>
      <c r="E473" s="59" t="s">
        <v>3817</v>
      </c>
      <c r="F473" s="59" t="s">
        <v>3832</v>
      </c>
      <c r="G473" s="59" t="s">
        <v>3819</v>
      </c>
      <c r="H473" s="59" t="s">
        <v>3820</v>
      </c>
      <c r="I473" s="62">
        <v>32288.0</v>
      </c>
    </row>
    <row r="474">
      <c r="A474" s="59">
        <v>1.09211493E8</v>
      </c>
      <c r="B474" s="59" t="s">
        <v>4393</v>
      </c>
      <c r="C474" s="60">
        <v>32.0</v>
      </c>
      <c r="D474" s="59" t="s">
        <v>3841</v>
      </c>
      <c r="E474" s="59" t="s">
        <v>3808</v>
      </c>
      <c r="F474" s="59" t="s">
        <v>3853</v>
      </c>
      <c r="G474" s="59" t="s">
        <v>3823</v>
      </c>
      <c r="H474" s="59" t="s">
        <v>3854</v>
      </c>
      <c r="I474" s="61"/>
    </row>
    <row r="475">
      <c r="A475" s="59">
        <v>1.06160285E8</v>
      </c>
      <c r="B475" s="59" t="s">
        <v>4394</v>
      </c>
      <c r="C475" s="60">
        <v>28.0</v>
      </c>
      <c r="D475" s="59" t="s">
        <v>3841</v>
      </c>
      <c r="E475" s="59" t="s">
        <v>3808</v>
      </c>
      <c r="F475" s="59" t="s">
        <v>3861</v>
      </c>
      <c r="G475" s="59" t="s">
        <v>3829</v>
      </c>
      <c r="H475" s="63" t="b">
        <v>0</v>
      </c>
      <c r="I475" s="61"/>
    </row>
    <row r="476">
      <c r="A476" s="61"/>
      <c r="B476" s="59" t="s">
        <v>4395</v>
      </c>
      <c r="C476" s="60">
        <v>0.0</v>
      </c>
      <c r="D476" s="61"/>
      <c r="E476" s="59" t="s">
        <v>3817</v>
      </c>
      <c r="F476" s="63" t="b">
        <v>0</v>
      </c>
      <c r="G476" s="63" t="b">
        <v>0</v>
      </c>
      <c r="H476" s="63" t="b">
        <v>0</v>
      </c>
      <c r="I476" s="61"/>
    </row>
    <row r="477">
      <c r="A477" s="59">
        <v>1.11231858E8</v>
      </c>
      <c r="B477" s="59" t="s">
        <v>4396</v>
      </c>
      <c r="C477" s="60">
        <v>0.0</v>
      </c>
      <c r="D477" s="61"/>
      <c r="E477" s="59" t="s">
        <v>3808</v>
      </c>
      <c r="F477" s="59" t="s">
        <v>3883</v>
      </c>
      <c r="G477" s="59" t="s">
        <v>3810</v>
      </c>
      <c r="H477" s="59" t="s">
        <v>3811</v>
      </c>
      <c r="I477" s="61"/>
    </row>
    <row r="478">
      <c r="A478" s="59">
        <v>2.11180649E8</v>
      </c>
      <c r="B478" s="59" t="s">
        <v>4397</v>
      </c>
      <c r="C478" s="60">
        <v>30.0</v>
      </c>
      <c r="D478" s="59" t="s">
        <v>3807</v>
      </c>
      <c r="E478" s="59" t="s">
        <v>3817</v>
      </c>
      <c r="F478" s="59" t="s">
        <v>4398</v>
      </c>
      <c r="G478" s="59" t="s">
        <v>3815</v>
      </c>
      <c r="H478" s="59" t="s">
        <v>3943</v>
      </c>
      <c r="I478" s="61"/>
    </row>
    <row r="479">
      <c r="A479" s="59">
        <v>2.09231833E8</v>
      </c>
      <c r="B479" s="59" t="s">
        <v>4399</v>
      </c>
      <c r="C479" s="60">
        <v>0.0</v>
      </c>
      <c r="D479" s="59" t="s">
        <v>3841</v>
      </c>
      <c r="E479" s="59" t="s">
        <v>3817</v>
      </c>
      <c r="F479" s="59" t="s">
        <v>3851</v>
      </c>
      <c r="G479" s="59" t="s">
        <v>3819</v>
      </c>
      <c r="H479" s="59" t="s">
        <v>3820</v>
      </c>
      <c r="I479" s="62">
        <v>30929.0</v>
      </c>
    </row>
    <row r="480">
      <c r="A480" s="59">
        <v>2.04190812E8</v>
      </c>
      <c r="B480" s="59" t="s">
        <v>4400</v>
      </c>
      <c r="C480" s="60">
        <v>55.0</v>
      </c>
      <c r="D480" s="59" t="s">
        <v>3841</v>
      </c>
      <c r="E480" s="59" t="s">
        <v>3817</v>
      </c>
      <c r="F480" s="59" t="s">
        <v>3832</v>
      </c>
      <c r="G480" s="59" t="s">
        <v>3819</v>
      </c>
      <c r="H480" s="59" t="s">
        <v>3820</v>
      </c>
      <c r="I480" s="62">
        <v>25127.0</v>
      </c>
    </row>
    <row r="481">
      <c r="A481" s="59">
        <v>2.10191092E8</v>
      </c>
      <c r="B481" s="59" t="s">
        <v>4401</v>
      </c>
      <c r="C481" s="60">
        <v>26.0</v>
      </c>
      <c r="D481" s="59" t="s">
        <v>3841</v>
      </c>
      <c r="E481" s="59" t="s">
        <v>3817</v>
      </c>
      <c r="F481" s="59" t="s">
        <v>3828</v>
      </c>
      <c r="G481" s="59" t="s">
        <v>3829</v>
      </c>
      <c r="H481" s="59" t="s">
        <v>3830</v>
      </c>
      <c r="I481" s="61"/>
    </row>
    <row r="482">
      <c r="A482" s="59">
        <v>2.02221593E8</v>
      </c>
      <c r="B482" s="59" t="s">
        <v>4402</v>
      </c>
      <c r="C482" s="60">
        <v>25.0</v>
      </c>
      <c r="D482" s="59" t="s">
        <v>3841</v>
      </c>
      <c r="E482" s="59" t="s">
        <v>3817</v>
      </c>
      <c r="F482" s="59" t="s">
        <v>3851</v>
      </c>
      <c r="G482" s="59" t="s">
        <v>3819</v>
      </c>
      <c r="H482" s="59" t="s">
        <v>3820</v>
      </c>
      <c r="I482" s="61"/>
    </row>
    <row r="483">
      <c r="A483" s="59">
        <v>2.10180648E8</v>
      </c>
      <c r="B483" s="59" t="s">
        <v>4403</v>
      </c>
      <c r="C483" s="60">
        <v>23.0</v>
      </c>
      <c r="D483" s="59" t="s">
        <v>3841</v>
      </c>
      <c r="E483" s="59" t="s">
        <v>3817</v>
      </c>
      <c r="F483" s="59" t="s">
        <v>4404</v>
      </c>
      <c r="G483" s="59" t="s">
        <v>3810</v>
      </c>
      <c r="H483" s="59" t="s">
        <v>4075</v>
      </c>
      <c r="I483" s="61"/>
    </row>
    <row r="484">
      <c r="A484" s="59">
        <v>1.09191065E8</v>
      </c>
      <c r="B484" s="59" t="s">
        <v>4405</v>
      </c>
      <c r="C484" s="60">
        <v>35.0</v>
      </c>
      <c r="D484" s="59" t="s">
        <v>3841</v>
      </c>
      <c r="E484" s="59" t="s">
        <v>3808</v>
      </c>
      <c r="F484" s="59" t="s">
        <v>3866</v>
      </c>
      <c r="G484" s="59" t="s">
        <v>3829</v>
      </c>
      <c r="H484" s="63" t="b">
        <v>0</v>
      </c>
      <c r="I484" s="61"/>
    </row>
    <row r="485">
      <c r="A485" s="59">
        <v>2.12231874E8</v>
      </c>
      <c r="B485" s="59" t="s">
        <v>4406</v>
      </c>
      <c r="C485" s="60">
        <v>45.0</v>
      </c>
      <c r="D485" s="59" t="s">
        <v>3807</v>
      </c>
      <c r="E485" s="59" t="s">
        <v>3817</v>
      </c>
      <c r="F485" s="59" t="s">
        <v>4036</v>
      </c>
      <c r="G485" s="59" t="s">
        <v>3815</v>
      </c>
      <c r="H485" s="59" t="s">
        <v>3943</v>
      </c>
      <c r="I485" s="62">
        <v>32162.0</v>
      </c>
    </row>
    <row r="486">
      <c r="A486" s="59">
        <v>2.05241931E8</v>
      </c>
      <c r="B486" s="59" t="s">
        <v>4407</v>
      </c>
      <c r="C486" s="60">
        <v>0.0</v>
      </c>
      <c r="D486" s="61"/>
      <c r="E486" s="59" t="s">
        <v>3817</v>
      </c>
      <c r="F486" s="59" t="s">
        <v>3828</v>
      </c>
      <c r="G486" s="59" t="s">
        <v>3829</v>
      </c>
      <c r="H486" s="59" t="s">
        <v>3830</v>
      </c>
      <c r="I486" s="61"/>
    </row>
    <row r="487">
      <c r="A487" s="59">
        <v>3.12200034E8</v>
      </c>
      <c r="B487" s="59" t="s">
        <v>4407</v>
      </c>
      <c r="C487" s="60">
        <v>37.0</v>
      </c>
      <c r="D487" s="59" t="s">
        <v>3841</v>
      </c>
      <c r="E487" s="59" t="s">
        <v>3834</v>
      </c>
      <c r="F487" s="59" t="s">
        <v>3828</v>
      </c>
      <c r="G487" s="59" t="s">
        <v>3829</v>
      </c>
      <c r="H487" s="63" t="b">
        <v>0</v>
      </c>
      <c r="I487" s="61"/>
    </row>
    <row r="488">
      <c r="A488" s="59">
        <v>2.10221685E8</v>
      </c>
      <c r="B488" s="59" t="s">
        <v>4408</v>
      </c>
      <c r="C488" s="60">
        <v>26.0</v>
      </c>
      <c r="D488" s="59" t="s">
        <v>3807</v>
      </c>
      <c r="E488" s="59" t="s">
        <v>3817</v>
      </c>
      <c r="F488" s="59" t="s">
        <v>4404</v>
      </c>
      <c r="G488" s="59" t="s">
        <v>3810</v>
      </c>
      <c r="H488" s="59" t="s">
        <v>3811</v>
      </c>
      <c r="I488" s="61"/>
    </row>
    <row r="489">
      <c r="A489" s="59">
        <v>1.0619092E8</v>
      </c>
      <c r="B489" s="59" t="s">
        <v>4409</v>
      </c>
      <c r="C489" s="60">
        <v>29.0</v>
      </c>
      <c r="D489" s="59" t="s">
        <v>3807</v>
      </c>
      <c r="E489" s="59" t="s">
        <v>3808</v>
      </c>
      <c r="F489" s="59" t="s">
        <v>3866</v>
      </c>
      <c r="G489" s="59" t="s">
        <v>3829</v>
      </c>
      <c r="H489" s="63" t="b">
        <v>0</v>
      </c>
      <c r="I489" s="62">
        <v>35554.0</v>
      </c>
    </row>
    <row r="490">
      <c r="A490" s="59">
        <v>2.0321135E8</v>
      </c>
      <c r="B490" s="59" t="s">
        <v>4410</v>
      </c>
      <c r="C490" s="60">
        <v>43.0</v>
      </c>
      <c r="D490" s="59" t="s">
        <v>3807</v>
      </c>
      <c r="E490" s="59" t="s">
        <v>3817</v>
      </c>
      <c r="F490" s="59" t="s">
        <v>3866</v>
      </c>
      <c r="G490" s="59" t="s">
        <v>3829</v>
      </c>
      <c r="H490" s="63" t="b">
        <v>0</v>
      </c>
      <c r="I490" s="61"/>
    </row>
    <row r="491">
      <c r="A491" s="59">
        <v>2.06231789E8</v>
      </c>
      <c r="B491" s="59" t="s">
        <v>4411</v>
      </c>
      <c r="C491" s="60">
        <v>40.0</v>
      </c>
      <c r="D491" s="59" t="s">
        <v>3841</v>
      </c>
      <c r="E491" s="59" t="s">
        <v>3817</v>
      </c>
      <c r="F491" s="59" t="s">
        <v>3866</v>
      </c>
      <c r="G491" s="59" t="s">
        <v>3829</v>
      </c>
      <c r="H491" s="59" t="s">
        <v>3830</v>
      </c>
      <c r="I491" s="62">
        <v>31397.0</v>
      </c>
    </row>
    <row r="492">
      <c r="A492" s="59">
        <v>1.11211529E8</v>
      </c>
      <c r="B492" s="59" t="s">
        <v>4412</v>
      </c>
      <c r="C492" s="60">
        <v>38.0</v>
      </c>
      <c r="D492" s="59" t="s">
        <v>3807</v>
      </c>
      <c r="E492" s="59" t="s">
        <v>3808</v>
      </c>
      <c r="F492" s="59" t="s">
        <v>3898</v>
      </c>
      <c r="G492" s="59" t="s">
        <v>3819</v>
      </c>
      <c r="H492" s="59" t="s">
        <v>3820</v>
      </c>
      <c r="I492" s="62">
        <v>31466.0</v>
      </c>
    </row>
    <row r="493">
      <c r="A493" s="59">
        <v>1.04190916E8</v>
      </c>
      <c r="B493" s="59" t="s">
        <v>4413</v>
      </c>
      <c r="C493" s="60">
        <v>49.0</v>
      </c>
      <c r="D493" s="59" t="s">
        <v>3807</v>
      </c>
      <c r="E493" s="59" t="s">
        <v>3808</v>
      </c>
      <c r="F493" s="59" t="s">
        <v>3846</v>
      </c>
      <c r="G493" s="59" t="s">
        <v>3823</v>
      </c>
      <c r="H493" s="63" t="b">
        <v>0</v>
      </c>
      <c r="I493" s="62">
        <v>29407.0</v>
      </c>
    </row>
    <row r="494">
      <c r="A494" s="59">
        <v>1.01211334E8</v>
      </c>
      <c r="B494" s="59" t="s">
        <v>4414</v>
      </c>
      <c r="C494" s="60">
        <v>51.0</v>
      </c>
      <c r="D494" s="59" t="s">
        <v>3813</v>
      </c>
      <c r="E494" s="59" t="s">
        <v>3808</v>
      </c>
      <c r="F494" s="59" t="s">
        <v>3832</v>
      </c>
      <c r="G494" s="59" t="s">
        <v>3819</v>
      </c>
      <c r="H494" s="59" t="s">
        <v>3820</v>
      </c>
      <c r="I494" s="62">
        <v>27956.0</v>
      </c>
    </row>
    <row r="495">
      <c r="A495" s="59">
        <v>2.05241922E8</v>
      </c>
      <c r="B495" s="59" t="s">
        <v>4415</v>
      </c>
      <c r="C495" s="60">
        <v>0.0</v>
      </c>
      <c r="D495" s="61"/>
      <c r="E495" s="59" t="s">
        <v>3817</v>
      </c>
      <c r="F495" s="59" t="s">
        <v>3933</v>
      </c>
      <c r="G495" s="59" t="s">
        <v>3823</v>
      </c>
      <c r="H495" s="59" t="s">
        <v>3824</v>
      </c>
      <c r="I495" s="61"/>
    </row>
    <row r="496">
      <c r="A496" s="61"/>
      <c r="B496" s="59" t="s">
        <v>4416</v>
      </c>
      <c r="C496" s="60">
        <v>0.0</v>
      </c>
      <c r="D496" s="61"/>
      <c r="E496" s="59" t="s">
        <v>3808</v>
      </c>
      <c r="F496" s="63" t="b">
        <v>0</v>
      </c>
      <c r="G496" s="63" t="b">
        <v>0</v>
      </c>
      <c r="H496" s="63" t="b">
        <v>0</v>
      </c>
      <c r="I496" s="61"/>
    </row>
    <row r="497">
      <c r="A497" s="59">
        <v>1.02211345E8</v>
      </c>
      <c r="B497" s="59" t="s">
        <v>4417</v>
      </c>
      <c r="C497" s="60">
        <v>60.0</v>
      </c>
      <c r="D497" s="59" t="s">
        <v>3841</v>
      </c>
      <c r="E497" s="59" t="s">
        <v>3808</v>
      </c>
      <c r="F497" s="59" t="s">
        <v>3919</v>
      </c>
      <c r="G497" s="59" t="s">
        <v>3858</v>
      </c>
      <c r="H497" s="59" t="s">
        <v>3886</v>
      </c>
      <c r="I497" s="62">
        <v>25569.0</v>
      </c>
    </row>
    <row r="498">
      <c r="A498" s="59">
        <v>1.0920124E8</v>
      </c>
      <c r="B498" s="59" t="s">
        <v>4418</v>
      </c>
      <c r="C498" s="60">
        <v>30.0</v>
      </c>
      <c r="D498" s="59" t="s">
        <v>3841</v>
      </c>
      <c r="E498" s="59" t="s">
        <v>3808</v>
      </c>
      <c r="F498" s="59" t="s">
        <v>3892</v>
      </c>
      <c r="G498" s="59" t="s">
        <v>3819</v>
      </c>
      <c r="H498" s="59" t="s">
        <v>3820</v>
      </c>
      <c r="I498" s="61"/>
    </row>
    <row r="499">
      <c r="A499" s="59">
        <v>1.05211397E8</v>
      </c>
      <c r="B499" s="59" t="s">
        <v>4419</v>
      </c>
      <c r="C499" s="60">
        <v>35.0</v>
      </c>
      <c r="D499" s="59" t="s">
        <v>3841</v>
      </c>
      <c r="E499" s="59" t="s">
        <v>3808</v>
      </c>
      <c r="F499" s="59" t="s">
        <v>3822</v>
      </c>
      <c r="G499" s="59" t="s">
        <v>3823</v>
      </c>
      <c r="H499" s="59" t="s">
        <v>3824</v>
      </c>
      <c r="I499" s="62">
        <v>31820.0</v>
      </c>
    </row>
    <row r="500">
      <c r="A500" s="59">
        <v>1.10221688E8</v>
      </c>
      <c r="B500" s="59" t="s">
        <v>4420</v>
      </c>
      <c r="C500" s="60">
        <v>23.0</v>
      </c>
      <c r="D500" s="59" t="s">
        <v>3813</v>
      </c>
      <c r="E500" s="59" t="s">
        <v>3808</v>
      </c>
      <c r="F500" s="59" t="s">
        <v>3933</v>
      </c>
      <c r="G500" s="59" t="s">
        <v>3823</v>
      </c>
      <c r="H500" s="59" t="s">
        <v>3824</v>
      </c>
      <c r="I500" s="61"/>
    </row>
    <row r="501">
      <c r="A501" s="59">
        <v>2.02221591E8</v>
      </c>
      <c r="B501" s="59" t="s">
        <v>4421</v>
      </c>
      <c r="C501" s="60">
        <v>36.0</v>
      </c>
      <c r="D501" s="59" t="s">
        <v>3813</v>
      </c>
      <c r="E501" s="59" t="s">
        <v>3817</v>
      </c>
      <c r="F501" s="59" t="s">
        <v>3832</v>
      </c>
      <c r="G501" s="59" t="s">
        <v>3819</v>
      </c>
      <c r="H501" s="59" t="s">
        <v>3820</v>
      </c>
      <c r="I501" s="61"/>
    </row>
    <row r="502">
      <c r="A502" s="59">
        <v>2.06221646E8</v>
      </c>
      <c r="B502" s="59" t="s">
        <v>4422</v>
      </c>
      <c r="C502" s="60">
        <v>43.0</v>
      </c>
      <c r="D502" s="59" t="s">
        <v>3841</v>
      </c>
      <c r="E502" s="59" t="s">
        <v>3817</v>
      </c>
      <c r="F502" s="59" t="s">
        <v>3878</v>
      </c>
      <c r="G502" s="59" t="s">
        <v>3819</v>
      </c>
      <c r="H502" s="59" t="s">
        <v>3820</v>
      </c>
      <c r="I502" s="62">
        <v>30919.0</v>
      </c>
    </row>
    <row r="503">
      <c r="A503" s="59">
        <v>3.04230113E8</v>
      </c>
      <c r="B503" s="59" t="s">
        <v>4423</v>
      </c>
      <c r="C503" s="60">
        <v>20.0</v>
      </c>
      <c r="D503" s="59" t="s">
        <v>3813</v>
      </c>
      <c r="E503" s="59" t="s">
        <v>3834</v>
      </c>
      <c r="F503" s="63" t="b">
        <v>0</v>
      </c>
      <c r="G503" s="59" t="s">
        <v>4051</v>
      </c>
      <c r="H503" s="63" t="b">
        <v>0</v>
      </c>
      <c r="I503" s="61"/>
    </row>
    <row r="504">
      <c r="A504" s="59">
        <v>2.11221701E8</v>
      </c>
      <c r="B504" s="59" t="s">
        <v>4424</v>
      </c>
      <c r="C504" s="60">
        <v>36.0</v>
      </c>
      <c r="D504" s="59" t="s">
        <v>3813</v>
      </c>
      <c r="E504" s="59" t="s">
        <v>3817</v>
      </c>
      <c r="F504" s="59" t="s">
        <v>3898</v>
      </c>
      <c r="G504" s="59" t="s">
        <v>3819</v>
      </c>
      <c r="H504" s="59" t="s">
        <v>3820</v>
      </c>
      <c r="I504" s="62">
        <v>35200.0</v>
      </c>
    </row>
    <row r="505">
      <c r="A505" s="59">
        <v>2.07211447E8</v>
      </c>
      <c r="B505" s="59" t="s">
        <v>4425</v>
      </c>
      <c r="C505" s="60">
        <v>28.0</v>
      </c>
      <c r="D505" s="59" t="s">
        <v>3841</v>
      </c>
      <c r="E505" s="59" t="s">
        <v>3817</v>
      </c>
      <c r="F505" s="59" t="s">
        <v>3866</v>
      </c>
      <c r="G505" s="59" t="s">
        <v>3829</v>
      </c>
      <c r="H505" s="59" t="s">
        <v>3830</v>
      </c>
      <c r="I505" s="61"/>
    </row>
    <row r="506">
      <c r="A506" s="59">
        <v>2.07130696E8</v>
      </c>
      <c r="B506" s="59" t="s">
        <v>4426</v>
      </c>
      <c r="C506" s="60">
        <v>34.0</v>
      </c>
      <c r="D506" s="59" t="s">
        <v>3813</v>
      </c>
      <c r="E506" s="59" t="s">
        <v>3817</v>
      </c>
      <c r="F506" s="59" t="s">
        <v>3911</v>
      </c>
      <c r="G506" s="59" t="s">
        <v>3829</v>
      </c>
      <c r="H506" s="59" t="s">
        <v>3830</v>
      </c>
      <c r="I506" s="61"/>
    </row>
    <row r="507">
      <c r="A507" s="59">
        <v>3.07200009E8</v>
      </c>
      <c r="B507" s="59" t="s">
        <v>4427</v>
      </c>
      <c r="C507" s="60">
        <v>49.0</v>
      </c>
      <c r="D507" s="59" t="s">
        <v>3841</v>
      </c>
      <c r="E507" s="59" t="s">
        <v>3834</v>
      </c>
      <c r="F507" s="59" t="s">
        <v>3919</v>
      </c>
      <c r="G507" s="59" t="s">
        <v>3858</v>
      </c>
      <c r="H507" s="59" t="s">
        <v>3886</v>
      </c>
      <c r="I507" s="61"/>
    </row>
    <row r="508">
      <c r="A508" s="59">
        <v>1.08160304E8</v>
      </c>
      <c r="B508" s="59" t="s">
        <v>4428</v>
      </c>
      <c r="C508" s="60">
        <v>46.0</v>
      </c>
      <c r="D508" s="59" t="s">
        <v>3813</v>
      </c>
      <c r="E508" s="59" t="s">
        <v>3808</v>
      </c>
      <c r="F508" s="59" t="s">
        <v>3828</v>
      </c>
      <c r="G508" s="59" t="s">
        <v>3829</v>
      </c>
      <c r="H508" s="63" t="b">
        <v>0</v>
      </c>
      <c r="I508" s="61"/>
    </row>
    <row r="509">
      <c r="A509" s="59">
        <v>2.06190933E8</v>
      </c>
      <c r="B509" s="59" t="s">
        <v>4429</v>
      </c>
      <c r="C509" s="60">
        <v>59.0</v>
      </c>
      <c r="D509" s="59" t="s">
        <v>3807</v>
      </c>
      <c r="E509" s="59" t="s">
        <v>3817</v>
      </c>
      <c r="F509" s="59" t="s">
        <v>3828</v>
      </c>
      <c r="G509" s="59" t="s">
        <v>3829</v>
      </c>
      <c r="H509" s="59" t="s">
        <v>3830</v>
      </c>
      <c r="I509" s="62">
        <v>24134.0</v>
      </c>
    </row>
    <row r="510">
      <c r="A510" s="59">
        <v>1.10211502E8</v>
      </c>
      <c r="B510" s="59" t="s">
        <v>4430</v>
      </c>
      <c r="C510" s="60">
        <v>47.0</v>
      </c>
      <c r="D510" s="59" t="s">
        <v>3841</v>
      </c>
      <c r="E510" s="59" t="s">
        <v>3808</v>
      </c>
      <c r="F510" s="59" t="s">
        <v>3919</v>
      </c>
      <c r="G510" s="59" t="s">
        <v>3858</v>
      </c>
      <c r="H510" s="59" t="s">
        <v>3886</v>
      </c>
      <c r="I510" s="61"/>
    </row>
    <row r="511">
      <c r="A511" s="59">
        <v>2.02231725E8</v>
      </c>
      <c r="B511" s="59" t="s">
        <v>4431</v>
      </c>
      <c r="C511" s="60">
        <v>29.0</v>
      </c>
      <c r="D511" s="59" t="s">
        <v>3841</v>
      </c>
      <c r="E511" s="59" t="s">
        <v>3817</v>
      </c>
      <c r="F511" s="59" t="s">
        <v>4432</v>
      </c>
      <c r="G511" s="59" t="s">
        <v>3823</v>
      </c>
      <c r="H511" s="59" t="s">
        <v>3824</v>
      </c>
      <c r="I511" s="61"/>
    </row>
    <row r="512">
      <c r="A512" s="59">
        <v>1.11211526E8</v>
      </c>
      <c r="B512" s="59" t="s">
        <v>4433</v>
      </c>
      <c r="C512" s="60">
        <v>44.0</v>
      </c>
      <c r="D512" s="59" t="s">
        <v>3807</v>
      </c>
      <c r="E512" s="59" t="s">
        <v>3808</v>
      </c>
      <c r="F512" s="59" t="s">
        <v>3913</v>
      </c>
      <c r="G512" s="59" t="s">
        <v>3819</v>
      </c>
      <c r="H512" s="59" t="s">
        <v>3820</v>
      </c>
      <c r="I512" s="61"/>
    </row>
    <row r="513">
      <c r="A513" s="59">
        <v>2.04241909E8</v>
      </c>
      <c r="B513" s="59" t="s">
        <v>4434</v>
      </c>
      <c r="C513" s="60">
        <v>0.0</v>
      </c>
      <c r="D513" s="61"/>
      <c r="E513" s="59" t="s">
        <v>3817</v>
      </c>
      <c r="F513" s="59" t="s">
        <v>3851</v>
      </c>
      <c r="G513" s="59" t="s">
        <v>3819</v>
      </c>
      <c r="H513" s="59" t="s">
        <v>3820</v>
      </c>
      <c r="I513" s="61"/>
    </row>
    <row r="514">
      <c r="A514" s="59">
        <v>1.05190838E8</v>
      </c>
      <c r="B514" s="59" t="s">
        <v>4435</v>
      </c>
      <c r="C514" s="60">
        <v>24.0</v>
      </c>
      <c r="D514" s="59" t="s">
        <v>3841</v>
      </c>
      <c r="E514" s="59" t="s">
        <v>3808</v>
      </c>
      <c r="F514" s="59" t="s">
        <v>4090</v>
      </c>
      <c r="G514" s="59" t="s">
        <v>4057</v>
      </c>
      <c r="H514" s="59" t="s">
        <v>4058</v>
      </c>
      <c r="I514" s="61"/>
    </row>
    <row r="515">
      <c r="A515" s="59">
        <v>2.02150673E8</v>
      </c>
      <c r="B515" s="59" t="s">
        <v>4436</v>
      </c>
      <c r="C515" s="60">
        <v>30.0</v>
      </c>
      <c r="D515" s="59" t="s">
        <v>3841</v>
      </c>
      <c r="E515" s="59" t="s">
        <v>3817</v>
      </c>
      <c r="F515" s="59" t="s">
        <v>3866</v>
      </c>
      <c r="G515" s="59" t="s">
        <v>3829</v>
      </c>
      <c r="H515" s="63" t="b">
        <v>0</v>
      </c>
      <c r="I515" s="62">
        <v>30911.0</v>
      </c>
    </row>
    <row r="516">
      <c r="A516" s="59">
        <v>2.12231869E8</v>
      </c>
      <c r="B516" s="59" t="s">
        <v>4437</v>
      </c>
      <c r="C516" s="60">
        <v>0.0</v>
      </c>
      <c r="D516" s="61"/>
      <c r="E516" s="59" t="s">
        <v>3817</v>
      </c>
      <c r="F516" s="59" t="s">
        <v>3878</v>
      </c>
      <c r="G516" s="59" t="s">
        <v>3819</v>
      </c>
      <c r="H516" s="59" t="s">
        <v>3820</v>
      </c>
      <c r="I516" s="61"/>
    </row>
    <row r="517">
      <c r="A517" s="59">
        <v>2.07231797E8</v>
      </c>
      <c r="B517" s="59" t="s">
        <v>4438</v>
      </c>
      <c r="C517" s="60">
        <v>22.0</v>
      </c>
      <c r="D517" s="59" t="s">
        <v>3841</v>
      </c>
      <c r="E517" s="59" t="s">
        <v>3817</v>
      </c>
      <c r="F517" s="59" t="s">
        <v>3868</v>
      </c>
      <c r="G517" s="59" t="s">
        <v>3823</v>
      </c>
      <c r="H517" s="59" t="s">
        <v>3824</v>
      </c>
      <c r="I517" s="61"/>
    </row>
    <row r="518">
      <c r="A518" s="59">
        <v>1.08201194E8</v>
      </c>
      <c r="B518" s="59" t="s">
        <v>4439</v>
      </c>
      <c r="C518" s="60">
        <v>27.0</v>
      </c>
      <c r="D518" s="59" t="s">
        <v>3807</v>
      </c>
      <c r="E518" s="59" t="s">
        <v>3808</v>
      </c>
      <c r="F518" s="59" t="s">
        <v>4012</v>
      </c>
      <c r="G518" s="59" t="s">
        <v>3829</v>
      </c>
      <c r="H518" s="59" t="s">
        <v>3830</v>
      </c>
      <c r="I518" s="61"/>
    </row>
    <row r="519">
      <c r="A519" s="59">
        <v>2.0624194E8</v>
      </c>
      <c r="B519" s="59" t="s">
        <v>4440</v>
      </c>
      <c r="C519" s="60">
        <v>28.0</v>
      </c>
      <c r="D519" s="59" t="s">
        <v>3807</v>
      </c>
      <c r="E519" s="59" t="s">
        <v>3817</v>
      </c>
      <c r="F519" s="59" t="s">
        <v>3863</v>
      </c>
      <c r="G519" s="59" t="s">
        <v>3819</v>
      </c>
      <c r="H519" s="59" t="s">
        <v>3820</v>
      </c>
      <c r="I519" s="61"/>
    </row>
    <row r="520">
      <c r="A520" s="61"/>
      <c r="B520" s="59" t="s">
        <v>4441</v>
      </c>
      <c r="C520" s="60">
        <v>0.0</v>
      </c>
      <c r="D520" s="61"/>
      <c r="E520" s="59" t="s">
        <v>3817</v>
      </c>
      <c r="F520" s="63" t="b">
        <v>0</v>
      </c>
      <c r="G520" s="63" t="b">
        <v>0</v>
      </c>
      <c r="H520" s="63" t="b">
        <v>0</v>
      </c>
      <c r="I520" s="6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75"/>
    <col customWidth="1" min="2" max="2" width="44.0"/>
    <col customWidth="1" min="3" max="3" width="25.75"/>
    <col customWidth="1" min="5" max="5" width="23.5"/>
    <col customWidth="1" min="6" max="6" width="23.75"/>
    <col customWidth="1" min="7" max="7" width="28.25"/>
    <col customWidth="1" min="8" max="8" width="38.25"/>
    <col customWidth="1" min="9" max="9" width="21.25"/>
    <col customWidth="1" min="10" max="10" width="53.75"/>
    <col customWidth="1" min="11" max="25" width="19.88"/>
  </cols>
  <sheetData>
    <row r="1" ht="27.75" customHeight="1">
      <c r="A1" s="64" t="str">
        <f>IFERROR(__xludf.DUMMYFUNCTION("query('tbl driver 1'!A1:I1000)"),"NIK")</f>
        <v>NIK</v>
      </c>
      <c r="B1" s="64" t="str">
        <f>IFERROR(__xludf.DUMMYFUNCTION("""COMPUTED_VALUE"""),"Employee Name")</f>
        <v>Employee Name</v>
      </c>
      <c r="C1" s="64" t="str">
        <f>IFERROR(__xludf.DUMMYFUNCTION("""COMPUTED_VALUE"""),"Age")</f>
        <v>Age</v>
      </c>
      <c r="D1" s="64" t="str">
        <f>IFERROR(__xludf.DUMMYFUNCTION("""COMPUTED_VALUE"""),"Agama")</f>
        <v>Agama</v>
      </c>
      <c r="E1" s="65" t="str">
        <f>IFERROR(__xludf.DUMMYFUNCTION("""COMPUTED_VALUE"""),"Company")</f>
        <v>Company</v>
      </c>
      <c r="F1" s="64" t="str">
        <f>IFERROR(__xludf.DUMMYFUNCTION("""COMPUTED_VALUE"""),"Job Position")</f>
        <v>Job Position</v>
      </c>
      <c r="G1" s="64" t="str">
        <f>IFERROR(__xludf.DUMMYFUNCTION("""COMPUTED_VALUE"""),"Department")</f>
        <v>Department</v>
      </c>
      <c r="H1" s="64" t="str">
        <f>IFERROR(__xludf.DUMMYFUNCTION("""COMPUTED_VALUE"""),"Manager")</f>
        <v>Manager</v>
      </c>
      <c r="I1" s="64" t="str">
        <f>IFERROR(__xludf.DUMMYFUNCTION("""COMPUTED_VALUE"""),"Spouse Birthdate")</f>
        <v>Spouse Birthdate</v>
      </c>
      <c r="J1" s="66" t="s">
        <v>4442</v>
      </c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</row>
    <row r="2">
      <c r="A2" s="67">
        <f>IFERROR(__xludf.DUMMYFUNCTION("""COMPUTED_VALUE"""),1.07231813E8)</f>
        <v>107231813</v>
      </c>
      <c r="B2" s="67" t="str">
        <f>IFERROR(__xludf.DUMMYFUNCTION("""COMPUTED_VALUE"""),"A FADIL NUGRAHA PRATAMA")</f>
        <v>A FADIL NUGRAHA PRATAMA</v>
      </c>
      <c r="C2" s="67">
        <f>IFERROR(__xludf.DUMMYFUNCTION("""COMPUTED_VALUE"""),24.0)</f>
        <v>24</v>
      </c>
      <c r="D2" s="68" t="str">
        <f>IFERROR(__xludf.DUMMYFUNCTION("""COMPUTED_VALUE"""),"Islam")</f>
        <v>Islam</v>
      </c>
      <c r="E2" s="67" t="str">
        <f>IFERROR(__xludf.DUMMYFUNCTION("""COMPUTED_VALUE"""),"CV. SENTOSA ABADI")</f>
        <v>CV. SENTOSA ABADI</v>
      </c>
      <c r="F2" s="67" t="str">
        <f>IFERROR(__xludf.DUMMYFUNCTION("""COMPUTED_VALUE"""),"JUNIOR MPE")</f>
        <v>JUNIOR MPE</v>
      </c>
      <c r="G2" s="67" t="str">
        <f>IFERROR(__xludf.DUMMYFUNCTION("""COMPUTED_VALUE"""),"MPE")</f>
        <v>MPE</v>
      </c>
      <c r="H2" s="67" t="str">
        <f>IFERROR(__xludf.DUMMYFUNCTION("""COMPUTED_VALUE"""),"[0102150007] EKY SIDIK PRATAMA, ST")</f>
        <v>[0102150007] EKY SIDIK PRATAMA, ST</v>
      </c>
      <c r="I2" s="69"/>
      <c r="J2" s="70" t="str">
        <f t="shared" ref="J2:J557" si="1">IFERROR(IF(B2="","",CONCAT(CONCAT(CONCAT("[",A2),"] "),B2)),"")</f>
        <v>[107231813] A FADIL NUGRAHA PRATAMA</v>
      </c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</row>
    <row r="3">
      <c r="A3" s="67">
        <f>IFERROR(__xludf.DUMMYFUNCTION("""COMPUTED_VALUE"""),1.07201164E8)</f>
        <v>107201164</v>
      </c>
      <c r="B3" s="67" t="str">
        <f>IFERROR(__xludf.DUMMYFUNCTION("""COMPUTED_VALUE"""),"A.CHRISTI ARI WIBOWO")</f>
        <v>A.CHRISTI ARI WIBOWO</v>
      </c>
      <c r="C3" s="67">
        <f>IFERROR(__xludf.DUMMYFUNCTION("""COMPUTED_VALUE"""),46.0)</f>
        <v>46</v>
      </c>
      <c r="D3" s="68" t="str">
        <f>IFERROR(__xludf.DUMMYFUNCTION("""COMPUTED_VALUE"""),"Kristen Khatolik")</f>
        <v>Kristen Khatolik</v>
      </c>
      <c r="E3" s="67" t="str">
        <f>IFERROR(__xludf.DUMMYFUNCTION("""COMPUTED_VALUE"""),"CV. SENTOSA ABADI")</f>
        <v>CV. SENTOSA ABADI</v>
      </c>
      <c r="F3" s="67" t="str">
        <f>IFERROR(__xludf.DUMMYFUNCTION("""COMPUTED_VALUE"""),"HEAD OF GRADE CONTROL")</f>
        <v>HEAD OF GRADE CONTROL</v>
      </c>
      <c r="G3" s="67" t="str">
        <f>IFERROR(__xludf.DUMMYFUNCTION("""COMPUTED_VALUE"""),"GRADE CONTROL")</f>
        <v>GRADE CONTROL</v>
      </c>
      <c r="H3" s="67" t="str">
        <f>IFERROR(__xludf.DUMMYFUNCTION("""COMPUTED_VALUE"""),"[0102150007] EKY SIDIK PRATAMA, ST")</f>
        <v>[0102150007] EKY SIDIK PRATAMA, ST</v>
      </c>
      <c r="I3" s="69">
        <f>IFERROR(__xludf.DUMMYFUNCTION("""COMPUTED_VALUE"""),28339.0)</f>
        <v>28339</v>
      </c>
      <c r="J3" s="70" t="str">
        <f t="shared" si="1"/>
        <v>[107201164] A.CHRISTI ARI WIBOWO</v>
      </c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</row>
    <row r="4">
      <c r="A4" s="67">
        <f>IFERROR(__xludf.DUMMYFUNCTION("""COMPUTED_VALUE"""),2.032419E8)</f>
        <v>203241900</v>
      </c>
      <c r="B4" s="67" t="str">
        <f>IFERROR(__xludf.DUMMYFUNCTION("""COMPUTED_VALUE"""),"ABD DJALIL")</f>
        <v>ABD DJALIL</v>
      </c>
      <c r="C4" s="67">
        <f>IFERROR(__xludf.DUMMYFUNCTION("""COMPUTED_VALUE"""),0.0)</f>
        <v>0</v>
      </c>
      <c r="D4" s="68"/>
      <c r="E4" s="67" t="str">
        <f>IFERROR(__xludf.DUMMYFUNCTION("""COMPUTED_VALUE"""),"CV. Adil Prima Perkasa")</f>
        <v>CV. Adil Prima Perkasa</v>
      </c>
      <c r="F4" s="67" t="str">
        <f>IFERROR(__xludf.DUMMYFUNCTION("""COMPUTED_VALUE"""),"DRIVER LT")</f>
        <v>DRIVER LT</v>
      </c>
      <c r="G4" s="67" t="str">
        <f>IFERROR(__xludf.DUMMYFUNCTION("""COMPUTED_VALUE"""),"KENDARAAN &amp; UNIT SUPPORT")</f>
        <v>KENDARAAN &amp; UNIT SUPPORT</v>
      </c>
      <c r="H4" s="67" t="str">
        <f>IFERROR(__xludf.DUMMYFUNCTION("""COMPUTED_VALUE"""),"[0102150004] NAFTALI RARE'A, ST")</f>
        <v>[0102150004] NAFTALI RARE'A, ST</v>
      </c>
      <c r="I4" s="69"/>
      <c r="J4" s="70" t="str">
        <f t="shared" si="1"/>
        <v>[203241900] ABD DJALIL</v>
      </c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</row>
    <row r="5">
      <c r="A5" s="67">
        <f>IFERROR(__xludf.DUMMYFUNCTION("""COMPUTED_VALUE"""),2.04241906E8)</f>
        <v>204241906</v>
      </c>
      <c r="B5" s="67" t="str">
        <f>IFERROR(__xludf.DUMMYFUNCTION("""COMPUTED_VALUE"""),"ABD HAKIM AZIS")</f>
        <v>ABD HAKIM AZIS</v>
      </c>
      <c r="C5" s="67">
        <f>IFERROR(__xludf.DUMMYFUNCTION("""COMPUTED_VALUE"""),21.0)</f>
        <v>21</v>
      </c>
      <c r="D5" s="68" t="str">
        <f>IFERROR(__xludf.DUMMYFUNCTION("""COMPUTED_VALUE"""),"Islam")</f>
        <v>Islam</v>
      </c>
      <c r="E5" s="67" t="str">
        <f>IFERROR(__xludf.DUMMYFUNCTION("""COMPUTED_VALUE"""),"CV. Adil Prima Perkasa")</f>
        <v>CV. Adil Prima Perkasa</v>
      </c>
      <c r="F5" s="67" t="str">
        <f>IFERROR(__xludf.DUMMYFUNCTION("""COMPUTED_VALUE"""),"HELPER MEKANIK ALAT BERAT")</f>
        <v>HELPER MEKANIK ALAT BERAT</v>
      </c>
      <c r="G5" s="67" t="str">
        <f>IFERROR(__xludf.DUMMYFUNCTION("""COMPUTED_VALUE"""),"WORKSHOP")</f>
        <v>WORKSHOP</v>
      </c>
      <c r="H5" s="67" t="str">
        <f>IFERROR(__xludf.DUMMYFUNCTION("""COMPUTED_VALUE"""),"[0106190928] NATAN KONDO")</f>
        <v>[0106190928] NATAN KONDO</v>
      </c>
      <c r="I5" s="69"/>
      <c r="J5" s="70" t="str">
        <f t="shared" si="1"/>
        <v>[204241906] ABD HAKIM AZIS</v>
      </c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</row>
    <row r="6">
      <c r="A6" s="67">
        <f>IFERROR(__xludf.DUMMYFUNCTION("""COMPUTED_VALUE"""),1.05211389E8)</f>
        <v>105211389</v>
      </c>
      <c r="B6" s="67" t="str">
        <f>IFERROR(__xludf.DUMMYFUNCTION("""COMPUTED_VALUE"""),"ABD. ASIS")</f>
        <v>ABD. ASIS</v>
      </c>
      <c r="C6" s="67">
        <f>IFERROR(__xludf.DUMMYFUNCTION("""COMPUTED_VALUE"""),30.0)</f>
        <v>30</v>
      </c>
      <c r="D6" s="68" t="str">
        <f>IFERROR(__xludf.DUMMYFUNCTION("""COMPUTED_VALUE"""),"Islam")</f>
        <v>Islam</v>
      </c>
      <c r="E6" s="67" t="str">
        <f>IFERROR(__xludf.DUMMYFUNCTION("""COMPUTED_VALUE"""),"CV. SENTOSA ABADI")</f>
        <v>CV. SENTOSA ABADI</v>
      </c>
      <c r="F6" s="67" t="str">
        <f>IFERROR(__xludf.DUMMYFUNCTION("""COMPUTED_VALUE"""),"MEKANIK ALAT BERAT")</f>
        <v>MEKANIK ALAT BERAT</v>
      </c>
      <c r="G6" s="67" t="str">
        <f>IFERROR(__xludf.DUMMYFUNCTION("""COMPUTED_VALUE"""),"WORKSHOP")</f>
        <v>WORKSHOP</v>
      </c>
      <c r="H6" s="67" t="str">
        <f>IFERROR(__xludf.DUMMYFUNCTION("""COMPUTED_VALUE"""),"[0106190928] NATAN KONDO")</f>
        <v>[0106190928] NATAN KONDO</v>
      </c>
      <c r="I6" s="69">
        <f>IFERROR(__xludf.DUMMYFUNCTION("""COMPUTED_VALUE"""),36412.0)</f>
        <v>36412</v>
      </c>
      <c r="J6" s="70" t="str">
        <f t="shared" si="1"/>
        <v>[105211389] ABD. ASIS</v>
      </c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</row>
    <row r="7">
      <c r="A7" s="67">
        <f>IFERROR(__xludf.DUMMYFUNCTION("""COMPUTED_VALUE"""),2.02201128E8)</f>
        <v>202201128</v>
      </c>
      <c r="B7" s="67" t="str">
        <f>IFERROR(__xludf.DUMMYFUNCTION("""COMPUTED_VALUE"""),"ABD. RIFAI")</f>
        <v>ABD. RIFAI</v>
      </c>
      <c r="C7" s="67">
        <f>IFERROR(__xludf.DUMMYFUNCTION("""COMPUTED_VALUE"""),54.0)</f>
        <v>54</v>
      </c>
      <c r="D7" s="68" t="str">
        <f>IFERROR(__xludf.DUMMYFUNCTION("""COMPUTED_VALUE"""),"Islam")</f>
        <v>Islam</v>
      </c>
      <c r="E7" s="67" t="str">
        <f>IFERROR(__xludf.DUMMYFUNCTION("""COMPUTED_VALUE"""),"CV. Adil Prima Perkasa")</f>
        <v>CV. Adil Prima Perkasa</v>
      </c>
      <c r="F7" s="67" t="str">
        <f>IFERROR(__xludf.DUMMYFUNCTION("""COMPUTED_VALUE"""),"OPERATOR BULLDOZER")</f>
        <v>OPERATOR BULLDOZER</v>
      </c>
      <c r="G7" s="67" t="str">
        <f>IFERROR(__xludf.DUMMYFUNCTION("""COMPUTED_VALUE"""),"PRODUKSI")</f>
        <v>PRODUKSI</v>
      </c>
      <c r="H7" s="67" t="str">
        <f>IFERROR(__xludf.DUMMYFUNCTION("""COMPUTED_VALUE"""),"[0102130003] PURNAWAN")</f>
        <v>[0102130003] PURNAWAN</v>
      </c>
      <c r="I7" s="69">
        <f>IFERROR(__xludf.DUMMYFUNCTION("""COMPUTED_VALUE"""),26160.0)</f>
        <v>26160</v>
      </c>
      <c r="J7" s="70" t="str">
        <f t="shared" si="1"/>
        <v>[202201128] ABD. RIFAI</v>
      </c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</row>
    <row r="8">
      <c r="A8" s="67">
        <f>IFERROR(__xludf.DUMMYFUNCTION("""COMPUTED_VALUE"""),1.09201236E8)</f>
        <v>109201236</v>
      </c>
      <c r="B8" s="67" t="str">
        <f>IFERROR(__xludf.DUMMYFUNCTION("""COMPUTED_VALUE"""),"ABDUL")</f>
        <v>ABDUL</v>
      </c>
      <c r="C8" s="67">
        <f>IFERROR(__xludf.DUMMYFUNCTION("""COMPUTED_VALUE"""),44.0)</f>
        <v>44</v>
      </c>
      <c r="D8" s="68" t="str">
        <f>IFERROR(__xludf.DUMMYFUNCTION("""COMPUTED_VALUE"""),"Islam")</f>
        <v>Islam</v>
      </c>
      <c r="E8" s="67" t="str">
        <f>IFERROR(__xludf.DUMMYFUNCTION("""COMPUTED_VALUE"""),"CV. SENTOSA ABADI")</f>
        <v>CV. SENTOSA ABADI</v>
      </c>
      <c r="F8" s="67" t="str">
        <f>IFERROR(__xludf.DUMMYFUNCTION("""COMPUTED_VALUE"""),"DRIVER DT H700ZY")</f>
        <v>DRIVER DT H700ZY</v>
      </c>
      <c r="G8" s="67" t="str">
        <f>IFERROR(__xludf.DUMMYFUNCTION("""COMPUTED_VALUE"""),"KENDARAAN &amp; UNIT SUPPORT")</f>
        <v>KENDARAAN &amp; UNIT SUPPORT</v>
      </c>
      <c r="H8" s="67" t="str">
        <f>IFERROR(__xludf.DUMMYFUNCTION("""COMPUTED_VALUE"""),"[0102150004] NAFTALI RARE'A, ST")</f>
        <v>[0102150004] NAFTALI RARE'A, ST</v>
      </c>
      <c r="I8" s="69">
        <f>IFERROR(__xludf.DUMMYFUNCTION("""COMPUTED_VALUE"""),31567.0)</f>
        <v>31567</v>
      </c>
      <c r="J8" s="70" t="str">
        <f t="shared" si="1"/>
        <v>[109201236] ABDUL</v>
      </c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</row>
    <row r="9">
      <c r="A9" s="67">
        <f>IFERROR(__xludf.DUMMYFUNCTION("""COMPUTED_VALUE"""),3.04210058E8)</f>
        <v>304210058</v>
      </c>
      <c r="B9" s="67" t="str">
        <f>IFERROR(__xludf.DUMMYFUNCTION("""COMPUTED_VALUE"""),"ABDUL HALIM")</f>
        <v>ABDUL HALIM</v>
      </c>
      <c r="C9" s="67">
        <f>IFERROR(__xludf.DUMMYFUNCTION("""COMPUTED_VALUE"""),28.0)</f>
        <v>28</v>
      </c>
      <c r="D9" s="68" t="str">
        <f>IFERROR(__xludf.DUMMYFUNCTION("""COMPUTED_VALUE"""),"Islam")</f>
        <v>Islam</v>
      </c>
      <c r="E9" s="67" t="str">
        <f>IFERROR(__xludf.DUMMYFUNCTION("""COMPUTED_VALUE"""),"CV. Monalisa")</f>
        <v>CV. Monalisa</v>
      </c>
      <c r="F9" s="67" t="str">
        <f>IFERROR(__xludf.DUMMYFUNCTION("""COMPUTED_VALUE"""),"SAFETY OFFICER")</f>
        <v>SAFETY OFFICER</v>
      </c>
      <c r="G9" s="67" t="str">
        <f>IFERROR(__xludf.DUMMYFUNCTION("""COMPUTED_VALUE"""),"HSE")</f>
        <v>HSE</v>
      </c>
      <c r="H9" s="67" t="str">
        <f>IFERROR(__xludf.DUMMYFUNCTION("""COMPUTED_VALUE"""),"[0409230007] SLAMET WAHYUDI SAPUTRA")</f>
        <v>[0409230007] SLAMET WAHYUDI SAPUTRA</v>
      </c>
      <c r="I9" s="69">
        <f>IFERROR(__xludf.DUMMYFUNCTION("""COMPUTED_VALUE"""),35150.0)</f>
        <v>35150</v>
      </c>
      <c r="J9" s="70" t="str">
        <f t="shared" si="1"/>
        <v>[304210058] ABDUL HALIM</v>
      </c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</row>
    <row r="10">
      <c r="A10" s="67">
        <f>IFERROR(__xludf.DUMMYFUNCTION("""COMPUTED_VALUE"""),1.1221156E8)</f>
        <v>112211560</v>
      </c>
      <c r="B10" s="67" t="str">
        <f>IFERROR(__xludf.DUMMYFUNCTION("""COMPUTED_VALUE"""),"ABDUL MUTTAQIEN")</f>
        <v>ABDUL MUTTAQIEN</v>
      </c>
      <c r="C10" s="67">
        <f>IFERROR(__xludf.DUMMYFUNCTION("""COMPUTED_VALUE"""),24.0)</f>
        <v>24</v>
      </c>
      <c r="D10" s="68" t="str">
        <f>IFERROR(__xludf.DUMMYFUNCTION("""COMPUTED_VALUE"""),"Islam")</f>
        <v>Islam</v>
      </c>
      <c r="E10" s="67" t="str">
        <f>IFERROR(__xludf.DUMMYFUNCTION("""COMPUTED_VALUE"""),"CV. SENTOSA ABADI")</f>
        <v>CV. SENTOSA ABADI</v>
      </c>
      <c r="F10" s="67" t="str">
        <f>IFERROR(__xludf.DUMMYFUNCTION("""COMPUTED_VALUE"""),"CHECKER PRODUKSI")</f>
        <v>CHECKER PRODUKSI</v>
      </c>
      <c r="G10" s="67" t="str">
        <f>IFERROR(__xludf.DUMMYFUNCTION("""COMPUTED_VALUE"""),"PRODUKSI")</f>
        <v>PRODUKSI</v>
      </c>
      <c r="H10" s="67" t="str">
        <f>IFERROR(__xludf.DUMMYFUNCTION("""COMPUTED_VALUE"""),"[0102130003] PURNAWAN")</f>
        <v>[0102130003] PURNAWAN</v>
      </c>
      <c r="I10" s="69"/>
      <c r="J10" s="70" t="str">
        <f t="shared" si="1"/>
        <v>[112211560] ABDUL MUTTAQIEN</v>
      </c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</row>
    <row r="11">
      <c r="A11" s="67">
        <f>IFERROR(__xludf.DUMMYFUNCTION("""COMPUTED_VALUE"""),1.09201217E8)</f>
        <v>109201217</v>
      </c>
      <c r="B11" s="67" t="str">
        <f>IFERROR(__xludf.DUMMYFUNCTION("""COMPUTED_VALUE"""),"ADE ILHAMZAH SALAM")</f>
        <v>ADE ILHAMZAH SALAM</v>
      </c>
      <c r="C11" s="67">
        <f>IFERROR(__xludf.DUMMYFUNCTION("""COMPUTED_VALUE"""),40.0)</f>
        <v>40</v>
      </c>
      <c r="D11" s="68" t="str">
        <f>IFERROR(__xludf.DUMMYFUNCTION("""COMPUTED_VALUE"""),"Kristen Protestan")</f>
        <v>Kristen Protestan</v>
      </c>
      <c r="E11" s="67" t="str">
        <f>IFERROR(__xludf.DUMMYFUNCTION("""COMPUTED_VALUE"""),"CV. SENTOSA ABADI")</f>
        <v>CV. SENTOSA ABADI</v>
      </c>
      <c r="F11" s="67" t="str">
        <f>IFERROR(__xludf.DUMMYFUNCTION("""COMPUTED_VALUE"""),"ASISTEN FOREMAN PRODUKSI")</f>
        <v>ASISTEN FOREMAN PRODUKSI</v>
      </c>
      <c r="G11" s="67" t="str">
        <f>IFERROR(__xludf.DUMMYFUNCTION("""COMPUTED_VALUE"""),"PRODUKSI")</f>
        <v>PRODUKSI</v>
      </c>
      <c r="H11" s="67" t="str">
        <f>IFERROR(__xludf.DUMMYFUNCTION("""COMPUTED_VALUE"""),"[0102130003] PURNAWAN")</f>
        <v>[0102130003] PURNAWAN</v>
      </c>
      <c r="I11" s="69">
        <f>IFERROR(__xludf.DUMMYFUNCTION("""COMPUTED_VALUE"""),32708.0)</f>
        <v>32708</v>
      </c>
      <c r="J11" s="70" t="str">
        <f t="shared" si="1"/>
        <v>[109201217] ADE ILHAMZAH SALAM</v>
      </c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</row>
    <row r="12">
      <c r="A12" s="67">
        <f>IFERROR(__xludf.DUMMYFUNCTION("""COMPUTED_VALUE"""),2.10201258E8)</f>
        <v>210201258</v>
      </c>
      <c r="B12" s="67" t="str">
        <f>IFERROR(__xludf.DUMMYFUNCTION("""COMPUTED_VALUE"""),"ADHI PRANATA")</f>
        <v>ADHI PRANATA</v>
      </c>
      <c r="C12" s="67">
        <f>IFERROR(__xludf.DUMMYFUNCTION("""COMPUTED_VALUE"""),29.0)</f>
        <v>29</v>
      </c>
      <c r="D12" s="68" t="str">
        <f>IFERROR(__xludf.DUMMYFUNCTION("""COMPUTED_VALUE"""),"Hindu")</f>
        <v>Hindu</v>
      </c>
      <c r="E12" s="67" t="str">
        <f>IFERROR(__xludf.DUMMYFUNCTION("""COMPUTED_VALUE"""),"CV. Adil Prima Perkasa")</f>
        <v>CV. Adil Prima Perkasa</v>
      </c>
      <c r="F12" s="67" t="str">
        <f>IFERROR(__xludf.DUMMYFUNCTION("""COMPUTED_VALUE"""),"OPERATOR BULLDOZER")</f>
        <v>OPERATOR BULLDOZER</v>
      </c>
      <c r="G12" s="67" t="str">
        <f>IFERROR(__xludf.DUMMYFUNCTION("""COMPUTED_VALUE"""),"PRODUKSI")</f>
        <v>PRODUKSI</v>
      </c>
      <c r="H12" s="67" t="str">
        <f>IFERROR(__xludf.DUMMYFUNCTION("""COMPUTED_VALUE"""),"[0102130003] PURNAWAN")</f>
        <v>[0102130003] PURNAWAN</v>
      </c>
      <c r="I12" s="69"/>
      <c r="J12" s="70" t="str">
        <f t="shared" si="1"/>
        <v>[210201258] ADHI PRANATA</v>
      </c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</row>
    <row r="13">
      <c r="A13" s="67">
        <f>IFERROR(__xludf.DUMMYFUNCTION("""COMPUTED_VALUE"""),2.10231841E8)</f>
        <v>210231841</v>
      </c>
      <c r="B13" s="67" t="str">
        <f>IFERROR(__xludf.DUMMYFUNCTION("""COMPUTED_VALUE"""),"ADI PANGREKSO")</f>
        <v>ADI PANGREKSO</v>
      </c>
      <c r="C13" s="67">
        <f>IFERROR(__xludf.DUMMYFUNCTION("""COMPUTED_VALUE"""),51.0)</f>
        <v>51</v>
      </c>
      <c r="D13" s="68" t="str">
        <f>IFERROR(__xludf.DUMMYFUNCTION("""COMPUTED_VALUE"""),"Kristen Protestan")</f>
        <v>Kristen Protestan</v>
      </c>
      <c r="E13" s="67" t="str">
        <f>IFERROR(__xludf.DUMMYFUNCTION("""COMPUTED_VALUE"""),"CV. Adil Prima Perkasa")</f>
        <v>CV. Adil Prima Perkasa</v>
      </c>
      <c r="F13" s="67" t="str">
        <f>IFERROR(__xludf.DUMMYFUNCTION("""COMPUTED_VALUE"""),"MEKANIK")</f>
        <v>MEKANIK</v>
      </c>
      <c r="G13" s="67" t="str">
        <f>IFERROR(__xludf.DUMMYFUNCTION("""COMPUTED_VALUE"""),"WORKSHOP")</f>
        <v>WORKSHOP</v>
      </c>
      <c r="H13" s="67" t="str">
        <f>IFERROR(__xludf.DUMMYFUNCTION("""COMPUTED_VALUE"""),"[0106190928] NATAN KONDO")</f>
        <v>[0106190928] NATAN KONDO</v>
      </c>
      <c r="I13" s="69">
        <f>IFERROR(__xludf.DUMMYFUNCTION("""COMPUTED_VALUE"""),29567.0)</f>
        <v>29567</v>
      </c>
      <c r="J13" s="70" t="str">
        <f t="shared" si="1"/>
        <v>[210231841] ADI PANGREKSO</v>
      </c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</row>
    <row r="14">
      <c r="A14" s="67">
        <f>IFERROR(__xludf.DUMMYFUNCTION("""COMPUTED_VALUE"""),2.11221703E8)</f>
        <v>211221703</v>
      </c>
      <c r="B14" s="67" t="str">
        <f>IFERROR(__xludf.DUMMYFUNCTION("""COMPUTED_VALUE"""),"ADI PAWATAK")</f>
        <v>ADI PAWATAK</v>
      </c>
      <c r="C14" s="67">
        <f>IFERROR(__xludf.DUMMYFUNCTION("""COMPUTED_VALUE"""),21.0)</f>
        <v>21</v>
      </c>
      <c r="D14" s="68" t="str">
        <f>IFERROR(__xludf.DUMMYFUNCTION("""COMPUTED_VALUE"""),"Islam")</f>
        <v>Islam</v>
      </c>
      <c r="E14" s="67" t="str">
        <f>IFERROR(__xludf.DUMMYFUNCTION("""COMPUTED_VALUE"""),"CV. Adil Prima Perkasa")</f>
        <v>CV. Adil Prima Perkasa</v>
      </c>
      <c r="F14" s="67" t="str">
        <f>IFERROR(__xludf.DUMMYFUNCTION("""COMPUTED_VALUE"""),"HELPER MEKANIK LV")</f>
        <v>HELPER MEKANIK LV</v>
      </c>
      <c r="G14" s="67" t="str">
        <f>IFERROR(__xludf.DUMMYFUNCTION("""COMPUTED_VALUE"""),"WORKSHOP")</f>
        <v>WORKSHOP</v>
      </c>
      <c r="H14" s="67" t="str">
        <f>IFERROR(__xludf.DUMMYFUNCTION("""COMPUTED_VALUE"""),"[0106190928] NATAN KONDO")</f>
        <v>[0106190928] NATAN KONDO</v>
      </c>
      <c r="I14" s="69"/>
      <c r="J14" s="70" t="str">
        <f t="shared" si="1"/>
        <v>[211221703] ADI PAWATAK</v>
      </c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</row>
    <row r="15">
      <c r="A15" s="67"/>
      <c r="B15" s="67" t="str">
        <f>IFERROR(__xludf.DUMMYFUNCTION("""COMPUTED_VALUE"""),"ADRI")</f>
        <v>ADRI</v>
      </c>
      <c r="C15" s="67"/>
      <c r="D15" s="68"/>
      <c r="E15" s="67" t="str">
        <f>IFERROR(__xludf.DUMMYFUNCTION("""COMPUTED_VALUE"""),"CV. SENTOSA ABADI")</f>
        <v>CV. SENTOSA ABADI</v>
      </c>
      <c r="F15" s="67"/>
      <c r="G15" s="67"/>
      <c r="H15" s="67"/>
      <c r="I15" s="69"/>
      <c r="J15" s="70" t="str">
        <f t="shared" si="1"/>
        <v>[] ADRI</v>
      </c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</row>
    <row r="16">
      <c r="A16" s="67">
        <f>IFERROR(__xludf.DUMMYFUNCTION("""COMPUTED_VALUE"""),1.10211515E8)</f>
        <v>110211515</v>
      </c>
      <c r="B16" s="67" t="str">
        <f>IFERROR(__xludf.DUMMYFUNCTION("""COMPUTED_VALUE"""),"ADRIANUS PATI OPENG")</f>
        <v>ADRIANUS PATI OPENG</v>
      </c>
      <c r="C16" s="67">
        <f>IFERROR(__xludf.DUMMYFUNCTION("""COMPUTED_VALUE"""),34.0)</f>
        <v>34</v>
      </c>
      <c r="D16" s="68" t="str">
        <f>IFERROR(__xludf.DUMMYFUNCTION("""COMPUTED_VALUE"""),"Kristen Protestan")</f>
        <v>Kristen Protestan</v>
      </c>
      <c r="E16" s="67" t="str">
        <f>IFERROR(__xludf.DUMMYFUNCTION("""COMPUTED_VALUE"""),"CV. SENTOSA ABADI")</f>
        <v>CV. SENTOSA ABADI</v>
      </c>
      <c r="F16" s="67" t="str">
        <f>IFERROR(__xludf.DUMMYFUNCTION("""COMPUTED_VALUE"""),"DRIVER LV")</f>
        <v>DRIVER LV</v>
      </c>
      <c r="G16" s="67" t="str">
        <f>IFERROR(__xludf.DUMMYFUNCTION("""COMPUTED_VALUE"""),"KENDARAAN &amp; UNIT SUPPORT")</f>
        <v>KENDARAAN &amp; UNIT SUPPORT</v>
      </c>
      <c r="H16" s="67" t="str">
        <f>IFERROR(__xludf.DUMMYFUNCTION("""COMPUTED_VALUE"""),"[0102150004] NAFTALI RARE'A, ST")</f>
        <v>[0102150004] NAFTALI RARE'A, ST</v>
      </c>
      <c r="I16" s="69"/>
      <c r="J16" s="70" t="str">
        <f t="shared" si="1"/>
        <v>[110211515] ADRIANUS PATI OPENG</v>
      </c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</row>
    <row r="17">
      <c r="A17" s="67">
        <f>IFERROR(__xludf.DUMMYFUNCTION("""COMPUTED_VALUE"""),1.11211534E8)</f>
        <v>111211534</v>
      </c>
      <c r="B17" s="67" t="str">
        <f>IFERROR(__xludf.DUMMYFUNCTION("""COMPUTED_VALUE"""),"ADRIAWAN")</f>
        <v>ADRIAWAN</v>
      </c>
      <c r="C17" s="67">
        <f>IFERROR(__xludf.DUMMYFUNCTION("""COMPUTED_VALUE"""),24.0)</f>
        <v>24</v>
      </c>
      <c r="D17" s="68" t="str">
        <f>IFERROR(__xludf.DUMMYFUNCTION("""COMPUTED_VALUE"""),"Islam")</f>
        <v>Islam</v>
      </c>
      <c r="E17" s="67" t="str">
        <f>IFERROR(__xludf.DUMMYFUNCTION("""COMPUTED_VALUE"""),"CV. SENTOSA ABADI")</f>
        <v>CV. SENTOSA ABADI</v>
      </c>
      <c r="F17" s="67" t="str">
        <f>IFERROR(__xludf.DUMMYFUNCTION("""COMPUTED_VALUE"""),"HELPER TYRE")</f>
        <v>HELPER TYRE</v>
      </c>
      <c r="G17" s="67" t="str">
        <f>IFERROR(__xludf.DUMMYFUNCTION("""COMPUTED_VALUE"""),"WORKSHOP")</f>
        <v>WORKSHOP</v>
      </c>
      <c r="H17" s="67" t="str">
        <f>IFERROR(__xludf.DUMMYFUNCTION("""COMPUTED_VALUE"""),"[0102120144] JUFRY KOMALING")</f>
        <v>[0102120144] JUFRY KOMALING</v>
      </c>
      <c r="I17" s="69"/>
      <c r="J17" s="70" t="str">
        <f t="shared" si="1"/>
        <v>[111211534] ADRIAWAN</v>
      </c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</row>
    <row r="18">
      <c r="A18" s="67">
        <f>IFERROR(__xludf.DUMMYFUNCTION("""COMPUTED_VALUE"""),1.09211475E8)</f>
        <v>109211475</v>
      </c>
      <c r="B18" s="67" t="str">
        <f>IFERROR(__xludf.DUMMYFUNCTION("""COMPUTED_VALUE"""),"AGRIAWAN")</f>
        <v>AGRIAWAN</v>
      </c>
      <c r="C18" s="67">
        <f>IFERROR(__xludf.DUMMYFUNCTION("""COMPUTED_VALUE"""),22.0)</f>
        <v>22</v>
      </c>
      <c r="D18" s="68" t="str">
        <f>IFERROR(__xludf.DUMMYFUNCTION("""COMPUTED_VALUE"""),"Islam")</f>
        <v>Islam</v>
      </c>
      <c r="E18" s="67" t="str">
        <f>IFERROR(__xludf.DUMMYFUNCTION("""COMPUTED_VALUE"""),"CV. SENTOSA ABADI")</f>
        <v>CV. SENTOSA ABADI</v>
      </c>
      <c r="F18" s="67" t="str">
        <f>IFERROR(__xludf.DUMMYFUNCTION("""COMPUTED_VALUE"""),"HELPER TYRE")</f>
        <v>HELPER TYRE</v>
      </c>
      <c r="G18" s="67" t="str">
        <f>IFERROR(__xludf.DUMMYFUNCTION("""COMPUTED_VALUE"""),"WORKSHOP")</f>
        <v>WORKSHOP</v>
      </c>
      <c r="H18" s="67" t="str">
        <f>IFERROR(__xludf.DUMMYFUNCTION("""COMPUTED_VALUE"""),"[0106190928] NATAN KONDO")</f>
        <v>[0106190928] NATAN KONDO</v>
      </c>
      <c r="I18" s="69"/>
      <c r="J18" s="70" t="str">
        <f t="shared" si="1"/>
        <v>[109211475] AGRIAWAN</v>
      </c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</row>
    <row r="19">
      <c r="A19" s="67">
        <f>IFERROR(__xludf.DUMMYFUNCTION("""COMPUTED_VALUE"""),1.04211384E8)</f>
        <v>104211384</v>
      </c>
      <c r="B19" s="67" t="str">
        <f>IFERROR(__xludf.DUMMYFUNCTION("""COMPUTED_VALUE"""),"AGUNG YOGA PRATAMA")</f>
        <v>AGUNG YOGA PRATAMA</v>
      </c>
      <c r="C19" s="67">
        <f>IFERROR(__xludf.DUMMYFUNCTION("""COMPUTED_VALUE"""),27.0)</f>
        <v>27</v>
      </c>
      <c r="D19" s="68" t="str">
        <f>IFERROR(__xludf.DUMMYFUNCTION("""COMPUTED_VALUE"""),"Islam")</f>
        <v>Islam</v>
      </c>
      <c r="E19" s="67" t="str">
        <f>IFERROR(__xludf.DUMMYFUNCTION("""COMPUTED_VALUE"""),"CV. SENTOSA ABADI")</f>
        <v>CV. SENTOSA ABADI</v>
      </c>
      <c r="F19" s="67" t="str">
        <f>IFERROR(__xludf.DUMMYFUNCTION("""COMPUTED_VALUE"""),"STAFF HRD")</f>
        <v>STAFF HRD</v>
      </c>
      <c r="G19" s="67" t="str">
        <f>IFERROR(__xludf.DUMMYFUNCTION("""COMPUTED_VALUE"""),"HRD &amp; GA")</f>
        <v>HRD &amp; GA</v>
      </c>
      <c r="H19" s="67" t="str">
        <f>IFERROR(__xludf.DUMMYFUNCTION("""COMPUTED_VALUE"""),"[0108191037] ERNIE FRISLIA")</f>
        <v>[0108191037] ERNIE FRISLIA</v>
      </c>
      <c r="I19" s="69"/>
      <c r="J19" s="70" t="str">
        <f t="shared" si="1"/>
        <v>[104211384] AGUNG YOGA PRATAMA</v>
      </c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</row>
    <row r="20">
      <c r="A20" s="67">
        <f>IFERROR(__xludf.DUMMYFUNCTION("""COMPUTED_VALUE"""),2.04150633E8)</f>
        <v>204150633</v>
      </c>
      <c r="B20" s="67" t="str">
        <f>IFERROR(__xludf.DUMMYFUNCTION("""COMPUTED_VALUE"""),"AGUS AMIRUDDIN")</f>
        <v>AGUS AMIRUDDIN</v>
      </c>
      <c r="C20" s="67">
        <f>IFERROR(__xludf.DUMMYFUNCTION("""COMPUTED_VALUE"""),52.0)</f>
        <v>52</v>
      </c>
      <c r="D20" s="68" t="str">
        <f>IFERROR(__xludf.DUMMYFUNCTION("""COMPUTED_VALUE"""),"Islam")</f>
        <v>Islam</v>
      </c>
      <c r="E20" s="67" t="str">
        <f>IFERROR(__xludf.DUMMYFUNCTION("""COMPUTED_VALUE"""),"CV. Adil Prima Perkasa")</f>
        <v>CV. Adil Prima Perkasa</v>
      </c>
      <c r="F20" s="67" t="str">
        <f>IFERROR(__xludf.DUMMYFUNCTION("""COMPUTED_VALUE"""),"FOREMAN PRODUKSI")</f>
        <v>FOREMAN PRODUKSI</v>
      </c>
      <c r="G20" s="67" t="str">
        <f>IFERROR(__xludf.DUMMYFUNCTION("""COMPUTED_VALUE"""),"PRODUKSI")</f>
        <v>PRODUKSI</v>
      </c>
      <c r="H20" s="67" t="str">
        <f>IFERROR(__xludf.DUMMYFUNCTION("""COMPUTED_VALUE"""),"[0102130003] PURNAWAN")</f>
        <v>[0102130003] PURNAWAN</v>
      </c>
      <c r="I20" s="69"/>
      <c r="J20" s="70" t="str">
        <f t="shared" si="1"/>
        <v>[204150633] AGUS AMIRUDDIN</v>
      </c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</row>
    <row r="21">
      <c r="A21" s="67">
        <f>IFERROR(__xludf.DUMMYFUNCTION("""COMPUTED_VALUE"""),1.02190759E8)</f>
        <v>102190759</v>
      </c>
      <c r="B21" s="67" t="str">
        <f>IFERROR(__xludf.DUMMYFUNCTION("""COMPUTED_VALUE"""),"AGUS MULYADI")</f>
        <v>AGUS MULYADI</v>
      </c>
      <c r="C21" s="67">
        <f>IFERROR(__xludf.DUMMYFUNCTION("""COMPUTED_VALUE"""),31.0)</f>
        <v>31</v>
      </c>
      <c r="D21" s="68" t="str">
        <f>IFERROR(__xludf.DUMMYFUNCTION("""COMPUTED_VALUE"""),"Islam")</f>
        <v>Islam</v>
      </c>
      <c r="E21" s="67" t="str">
        <f>IFERROR(__xludf.DUMMYFUNCTION("""COMPUTED_VALUE"""),"CV. SENTOSA ABADI")</f>
        <v>CV. SENTOSA ABADI</v>
      </c>
      <c r="F21" s="67" t="str">
        <f>IFERROR(__xludf.DUMMYFUNCTION("""COMPUTED_VALUE"""),"CHECKER KENDARAAN")</f>
        <v>CHECKER KENDARAAN</v>
      </c>
      <c r="G21" s="67" t="str">
        <f>IFERROR(__xludf.DUMMYFUNCTION("""COMPUTED_VALUE"""),"KENDARAAN &amp; UNIT SUPPORT")</f>
        <v>KENDARAAN &amp; UNIT SUPPORT</v>
      </c>
      <c r="H21" s="67" t="str">
        <f>IFERROR(__xludf.DUMMYFUNCTION("""COMPUTED_VALUE"""),"[0102150004] NAFTALI RARE'A, ST")</f>
        <v>[0102150004] NAFTALI RARE'A, ST</v>
      </c>
      <c r="I21" s="69">
        <f>IFERROR(__xludf.DUMMYFUNCTION("""COMPUTED_VALUE"""),34858.0)</f>
        <v>34858</v>
      </c>
      <c r="J21" s="70" t="str">
        <f t="shared" si="1"/>
        <v>[102190759] AGUS MULYADI</v>
      </c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</row>
    <row r="22">
      <c r="A22" s="67">
        <f>IFERROR(__xludf.DUMMYFUNCTION("""COMPUTED_VALUE"""),2.04241907E8)</f>
        <v>204241907</v>
      </c>
      <c r="B22" s="67" t="str">
        <f>IFERROR(__xludf.DUMMYFUNCTION("""COMPUTED_VALUE"""),"AGUSMAN")</f>
        <v>AGUSMAN</v>
      </c>
      <c r="C22" s="67">
        <f>IFERROR(__xludf.DUMMYFUNCTION("""COMPUTED_VALUE"""),0.0)</f>
        <v>0</v>
      </c>
      <c r="D22" s="68" t="str">
        <f>IFERROR(__xludf.DUMMYFUNCTION("""COMPUTED_VALUE"""),"Islam")</f>
        <v>Islam</v>
      </c>
      <c r="E22" s="67" t="str">
        <f>IFERROR(__xludf.DUMMYFUNCTION("""COMPUTED_VALUE"""),"CV. Adil Prima Perkasa")</f>
        <v>CV. Adil Prima Perkasa</v>
      </c>
      <c r="F22" s="67" t="str">
        <f>IFERROR(__xludf.DUMMYFUNCTION("""COMPUTED_VALUE"""),"HELPER MEKANIK ALAT BERAT")</f>
        <v>HELPER MEKANIK ALAT BERAT</v>
      </c>
      <c r="G22" s="67" t="str">
        <f>IFERROR(__xludf.DUMMYFUNCTION("""COMPUTED_VALUE"""),"WORKSHOP")</f>
        <v>WORKSHOP</v>
      </c>
      <c r="H22" s="67" t="str">
        <f>IFERROR(__xludf.DUMMYFUNCTION("""COMPUTED_VALUE"""),"[0106190928] NATAN KONDO")</f>
        <v>[0106190928] NATAN KONDO</v>
      </c>
      <c r="I22" s="69"/>
      <c r="J22" s="70" t="str">
        <f t="shared" si="1"/>
        <v>[204241907] AGUSMAN</v>
      </c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</row>
    <row r="23">
      <c r="A23" s="67">
        <f>IFERROR(__xludf.DUMMYFUNCTION("""COMPUTED_VALUE"""),2.02190768E8)</f>
        <v>202190768</v>
      </c>
      <c r="B23" s="67" t="str">
        <f>IFERROR(__xludf.DUMMYFUNCTION("""COMPUTED_VALUE"""),"AGUSTINUS WIRIANA")</f>
        <v>AGUSTINUS WIRIANA</v>
      </c>
      <c r="C23" s="67">
        <f>IFERROR(__xludf.DUMMYFUNCTION("""COMPUTED_VALUE"""),24.0)</f>
        <v>24</v>
      </c>
      <c r="D23" s="68" t="str">
        <f>IFERROR(__xludf.DUMMYFUNCTION("""COMPUTED_VALUE"""),"Kristen Khatolik")</f>
        <v>Kristen Khatolik</v>
      </c>
      <c r="E23" s="67" t="str">
        <f>IFERROR(__xludf.DUMMYFUNCTION("""COMPUTED_VALUE"""),"CV. Adil Prima Perkasa")</f>
        <v>CV. Adil Prima Perkasa</v>
      </c>
      <c r="F23" s="67" t="str">
        <f>IFERROR(__xludf.DUMMYFUNCTION("""COMPUTED_VALUE"""),"OPERATOR EXCAVATOR")</f>
        <v>OPERATOR EXCAVATOR</v>
      </c>
      <c r="G23" s="67" t="str">
        <f>IFERROR(__xludf.DUMMYFUNCTION("""COMPUTED_VALUE"""),"PRODUKSI")</f>
        <v>PRODUKSI</v>
      </c>
      <c r="H23" s="67" t="str">
        <f>IFERROR(__xludf.DUMMYFUNCTION("""COMPUTED_VALUE"""),"[0102130003] PURNAWAN")</f>
        <v>[0102130003] PURNAWAN</v>
      </c>
      <c r="I23" s="69"/>
      <c r="J23" s="70" t="str">
        <f t="shared" si="1"/>
        <v>[202190768] AGUSTINUS WIRIANA</v>
      </c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</row>
    <row r="24">
      <c r="A24" s="67">
        <f>IFERROR(__xludf.DUMMYFUNCTION("""COMPUTED_VALUE"""),1.04211363E8)</f>
        <v>104211363</v>
      </c>
      <c r="B24" s="67" t="str">
        <f>IFERROR(__xludf.DUMMYFUNCTION("""COMPUTED_VALUE"""),"AHIRABIN TENGE")</f>
        <v>AHIRABIN TENGE</v>
      </c>
      <c r="C24" s="67">
        <f>IFERROR(__xludf.DUMMYFUNCTION("""COMPUTED_VALUE"""),51.0)</f>
        <v>51</v>
      </c>
      <c r="D24" s="68" t="str">
        <f>IFERROR(__xludf.DUMMYFUNCTION("""COMPUTED_VALUE"""),"Islam")</f>
        <v>Islam</v>
      </c>
      <c r="E24" s="67" t="str">
        <f>IFERROR(__xludf.DUMMYFUNCTION("""COMPUTED_VALUE"""),"CV. SENTOSA ABADI")</f>
        <v>CV. SENTOSA ABADI</v>
      </c>
      <c r="F24" s="67" t="str">
        <f>IFERROR(__xludf.DUMMYFUNCTION("""COMPUTED_VALUE"""),"HELPER MECHANIC DT OTR")</f>
        <v>HELPER MECHANIC DT OTR</v>
      </c>
      <c r="G24" s="67" t="str">
        <f>IFERROR(__xludf.DUMMYFUNCTION("""COMPUTED_VALUE"""),"WORKSHOP")</f>
        <v>WORKSHOP</v>
      </c>
      <c r="H24" s="67" t="str">
        <f>IFERROR(__xludf.DUMMYFUNCTION("""COMPUTED_VALUE"""),"[0104211387] MIRZAL")</f>
        <v>[0104211387] MIRZAL</v>
      </c>
      <c r="I24" s="69">
        <f>IFERROR(__xludf.DUMMYFUNCTION("""COMPUTED_VALUE"""),30272.0)</f>
        <v>30272</v>
      </c>
      <c r="J24" s="70" t="str">
        <f t="shared" si="1"/>
        <v>[104211363] AHIRABIN TENGE</v>
      </c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</row>
    <row r="25">
      <c r="A25" s="67">
        <f>IFERROR(__xludf.DUMMYFUNCTION("""COMPUTED_VALUE"""),2.11211538E8)</f>
        <v>211211538</v>
      </c>
      <c r="B25" s="67" t="str">
        <f>IFERROR(__xludf.DUMMYFUNCTION("""COMPUTED_VALUE"""),"AHMAD ALFIAN LUBIS")</f>
        <v>AHMAD ALFIAN LUBIS</v>
      </c>
      <c r="C25" s="67">
        <f>IFERROR(__xludf.DUMMYFUNCTION("""COMPUTED_VALUE"""),29.0)</f>
        <v>29</v>
      </c>
      <c r="D25" s="68" t="str">
        <f>IFERROR(__xludf.DUMMYFUNCTION("""COMPUTED_VALUE"""),"Islam")</f>
        <v>Islam</v>
      </c>
      <c r="E25" s="67" t="str">
        <f>IFERROR(__xludf.DUMMYFUNCTION("""COMPUTED_VALUE"""),"CV. Adil Prima Perkasa")</f>
        <v>CV. Adil Prima Perkasa</v>
      </c>
      <c r="F25" s="67" t="str">
        <f>IFERROR(__xludf.DUMMYFUNCTION("""COMPUTED_VALUE"""),"HELPER MEKANIK ALAT BERAT")</f>
        <v>HELPER MEKANIK ALAT BERAT</v>
      </c>
      <c r="G25" s="67" t="str">
        <f>IFERROR(__xludf.DUMMYFUNCTION("""COMPUTED_VALUE"""),"WORKSHOP")</f>
        <v>WORKSHOP</v>
      </c>
      <c r="H25" s="67" t="str">
        <f>IFERROR(__xludf.DUMMYFUNCTION("""COMPUTED_VALUE"""),"[0106190928] NATAN KONDO")</f>
        <v>[0106190928] NATAN KONDO</v>
      </c>
      <c r="I25" s="69"/>
      <c r="J25" s="70" t="str">
        <f t="shared" si="1"/>
        <v>[211211538] AHMAD ALFIAN LUBIS</v>
      </c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</row>
    <row r="26">
      <c r="A26" s="67">
        <f>IFERROR(__xludf.DUMMYFUNCTION("""COMPUTED_VALUE"""),2.06241946E8)</f>
        <v>206241946</v>
      </c>
      <c r="B26" s="67" t="str">
        <f>IFERROR(__xludf.DUMMYFUNCTION("""COMPUTED_VALUE"""),"AHMAD ATKONI")</f>
        <v>AHMAD ATKONI</v>
      </c>
      <c r="C26" s="67">
        <f>IFERROR(__xludf.DUMMYFUNCTION("""COMPUTED_VALUE"""),24.0)</f>
        <v>24</v>
      </c>
      <c r="D26" s="68" t="str">
        <f>IFERROR(__xludf.DUMMYFUNCTION("""COMPUTED_VALUE"""),"Islam")</f>
        <v>Islam</v>
      </c>
      <c r="E26" s="67" t="str">
        <f>IFERROR(__xludf.DUMMYFUNCTION("""COMPUTED_VALUE"""),"CV. Adil Prima Perkasa")</f>
        <v>CV. Adil Prima Perkasa</v>
      </c>
      <c r="F26" s="67" t="str">
        <f>IFERROR(__xludf.DUMMYFUNCTION("""COMPUTED_VALUE"""),"DRIVER LT")</f>
        <v>DRIVER LT</v>
      </c>
      <c r="G26" s="67" t="str">
        <f>IFERROR(__xludf.DUMMYFUNCTION("""COMPUTED_VALUE"""),"KENDARAAN &amp; UNIT SUPPORT")</f>
        <v>KENDARAAN &amp; UNIT SUPPORT</v>
      </c>
      <c r="H26" s="67" t="str">
        <f>IFERROR(__xludf.DUMMYFUNCTION("""COMPUTED_VALUE"""),"[0102150004] NAFTALI RARE'A, ST")</f>
        <v>[0102150004] NAFTALI RARE'A, ST</v>
      </c>
      <c r="I26" s="69"/>
      <c r="J26" s="70" t="str">
        <f t="shared" si="1"/>
        <v>[206241946] AHMAD ATKONI</v>
      </c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</row>
    <row r="27">
      <c r="A27" s="67">
        <f>IFERROR(__xludf.DUMMYFUNCTION("""COMPUTED_VALUE"""),2.06241981E8)</f>
        <v>206241981</v>
      </c>
      <c r="B27" s="67" t="str">
        <f>IFERROR(__xludf.DUMMYFUNCTION("""COMPUTED_VALUE"""),"AHMAD ATKONI - 3566/APP/HRD/PKWT/VI/2024")</f>
        <v>AHMAD ATKONI - 3566/APP/HRD/PKWT/VI/2024</v>
      </c>
      <c r="C27" s="67">
        <f>IFERROR(__xludf.DUMMYFUNCTION("""COMPUTED_VALUE"""),0.0)</f>
        <v>0</v>
      </c>
      <c r="D27" s="68"/>
      <c r="E27" s="67" t="str">
        <f>IFERROR(__xludf.DUMMYFUNCTION("""COMPUTED_VALUE"""),"CV. Adil Prima Perkasa")</f>
        <v>CV. Adil Prima Perkasa</v>
      </c>
      <c r="F27" s="67" t="str">
        <f>IFERROR(__xludf.DUMMYFUNCTION("""COMPUTED_VALUE"""),"FALSE")</f>
        <v>FALSE</v>
      </c>
      <c r="G27" s="67" t="str">
        <f>IFERROR(__xludf.DUMMYFUNCTION("""COMPUTED_VALUE"""),"KENDARAAN &amp; UNIT SUPPORT")</f>
        <v>KENDARAAN &amp; UNIT SUPPORT</v>
      </c>
      <c r="H27" s="67" t="str">
        <f>IFERROR(__xludf.DUMMYFUNCTION("""COMPUTED_VALUE"""),"FALSE")</f>
        <v>FALSE</v>
      </c>
      <c r="I27" s="69"/>
      <c r="J27" s="70" t="str">
        <f t="shared" si="1"/>
        <v>[206241981] AHMAD ATKONI - 3566/APP/HRD/PKWT/VI/2024</v>
      </c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</row>
    <row r="28">
      <c r="A28" s="67">
        <f>IFERROR(__xludf.DUMMYFUNCTION("""COMPUTED_VALUE"""),1.02150022E8)</f>
        <v>102150022</v>
      </c>
      <c r="B28" s="67" t="str">
        <f>IFERROR(__xludf.DUMMYFUNCTION("""COMPUTED_VALUE"""),"AHMAD SERANG")</f>
        <v>AHMAD SERANG</v>
      </c>
      <c r="C28" s="67">
        <f>IFERROR(__xludf.DUMMYFUNCTION("""COMPUTED_VALUE"""),36.0)</f>
        <v>36</v>
      </c>
      <c r="D28" s="68" t="str">
        <f>IFERROR(__xludf.DUMMYFUNCTION("""COMPUTED_VALUE"""),"Islam")</f>
        <v>Islam</v>
      </c>
      <c r="E28" s="67" t="str">
        <f>IFERROR(__xludf.DUMMYFUNCTION("""COMPUTED_VALUE"""),"CV. SENTOSA ABADI")</f>
        <v>CV. SENTOSA ABADI</v>
      </c>
      <c r="F28" s="67" t="str">
        <f>IFERROR(__xludf.DUMMYFUNCTION("""COMPUTED_VALUE"""),"OPERATOR EXCAVATOR")</f>
        <v>OPERATOR EXCAVATOR</v>
      </c>
      <c r="G28" s="67" t="str">
        <f>IFERROR(__xludf.DUMMYFUNCTION("""COMPUTED_VALUE"""),"PRODUKSI")</f>
        <v>PRODUKSI</v>
      </c>
      <c r="H28" s="67" t="str">
        <f>IFERROR(__xludf.DUMMYFUNCTION("""COMPUTED_VALUE"""),"[0102130003] PURNAWAN")</f>
        <v>[0102130003] PURNAWAN</v>
      </c>
      <c r="I28" s="69">
        <f>IFERROR(__xludf.DUMMYFUNCTION("""COMPUTED_VALUE"""),34060.0)</f>
        <v>34060</v>
      </c>
      <c r="J28" s="70" t="str">
        <f t="shared" si="1"/>
        <v>[102150022] AHMAD SERANG</v>
      </c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</row>
    <row r="29">
      <c r="A29" s="67">
        <f>IFERROR(__xludf.DUMMYFUNCTION("""COMPUTED_VALUE"""),2.11211542E8)</f>
        <v>211211542</v>
      </c>
      <c r="B29" s="67" t="str">
        <f>IFERROR(__xludf.DUMMYFUNCTION("""COMPUTED_VALUE"""),"AIDIL L. SARANANI")</f>
        <v>AIDIL L. SARANANI</v>
      </c>
      <c r="C29" s="67">
        <f>IFERROR(__xludf.DUMMYFUNCTION("""COMPUTED_VALUE"""),41.0)</f>
        <v>41</v>
      </c>
      <c r="D29" s="68" t="str">
        <f>IFERROR(__xludf.DUMMYFUNCTION("""COMPUTED_VALUE"""),"Islam")</f>
        <v>Islam</v>
      </c>
      <c r="E29" s="67" t="str">
        <f>IFERROR(__xludf.DUMMYFUNCTION("""COMPUTED_VALUE"""),"CV. Adil Prima Perkasa")</f>
        <v>CV. Adil Prima Perkasa</v>
      </c>
      <c r="F29" s="67" t="str">
        <f>IFERROR(__xludf.DUMMYFUNCTION("""COMPUTED_VALUE"""),"DRIVER DT H700ZY")</f>
        <v>DRIVER DT H700ZY</v>
      </c>
      <c r="G29" s="67" t="str">
        <f>IFERROR(__xludf.DUMMYFUNCTION("""COMPUTED_VALUE"""),"KENDARAAN &amp; UNIT SUPPORT")</f>
        <v>KENDARAAN &amp; UNIT SUPPORT</v>
      </c>
      <c r="H29" s="67" t="str">
        <f>IFERROR(__xludf.DUMMYFUNCTION("""COMPUTED_VALUE"""),"[0102150004] NAFTALI RARE'A, ST")</f>
        <v>[0102150004] NAFTALI RARE'A, ST</v>
      </c>
      <c r="I29" s="69">
        <f>IFERROR(__xludf.DUMMYFUNCTION("""COMPUTED_VALUE"""),30380.0)</f>
        <v>30380</v>
      </c>
      <c r="J29" s="70" t="str">
        <f t="shared" si="1"/>
        <v>[211211542] AIDIL L. SARANANI</v>
      </c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</row>
    <row r="30">
      <c r="A30" s="67">
        <f>IFERROR(__xludf.DUMMYFUNCTION("""COMPUTED_VALUE"""),1.101911E8)</f>
        <v>110191100</v>
      </c>
      <c r="B30" s="67" t="str">
        <f>IFERROR(__xludf.DUMMYFUNCTION("""COMPUTED_VALUE"""),"AKMAL")</f>
        <v>AKMAL</v>
      </c>
      <c r="C30" s="67">
        <f>IFERROR(__xludf.DUMMYFUNCTION("""COMPUTED_VALUE"""),41.0)</f>
        <v>41</v>
      </c>
      <c r="D30" s="68" t="str">
        <f>IFERROR(__xludf.DUMMYFUNCTION("""COMPUTED_VALUE"""),"Islam")</f>
        <v>Islam</v>
      </c>
      <c r="E30" s="67" t="str">
        <f>IFERROR(__xludf.DUMMYFUNCTION("""COMPUTED_VALUE"""),"CV. SENTOSA ABADI")</f>
        <v>CV. SENTOSA ABADI</v>
      </c>
      <c r="F30" s="67" t="str">
        <f>IFERROR(__xludf.DUMMYFUNCTION("""COMPUTED_VALUE"""),"DRIVER DT H700ZY")</f>
        <v>DRIVER DT H700ZY</v>
      </c>
      <c r="G30" s="67" t="str">
        <f>IFERROR(__xludf.DUMMYFUNCTION("""COMPUTED_VALUE"""),"KENDARAAN &amp; UNIT SUPPORT")</f>
        <v>KENDARAAN &amp; UNIT SUPPORT</v>
      </c>
      <c r="H30" s="67" t="str">
        <f>IFERROR(__xludf.DUMMYFUNCTION("""COMPUTED_VALUE"""),"[0102150004] NAFTALI RARE'A, ST")</f>
        <v>[0102150004] NAFTALI RARE'A, ST</v>
      </c>
      <c r="I30" s="69">
        <f>IFERROR(__xludf.DUMMYFUNCTION("""COMPUTED_VALUE"""),30744.0)</f>
        <v>30744</v>
      </c>
      <c r="J30" s="70" t="str">
        <f t="shared" si="1"/>
        <v>[110191100] AKMAL</v>
      </c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</row>
    <row r="31">
      <c r="A31" s="67">
        <f>IFERROR(__xludf.DUMMYFUNCTION("""COMPUTED_VALUE"""),2.05241933E8)</f>
        <v>205241933</v>
      </c>
      <c r="B31" s="67" t="str">
        <f>IFERROR(__xludf.DUMMYFUNCTION("""COMPUTED_VALUE"""),"AKMAL ENHAS")</f>
        <v>AKMAL ENHAS</v>
      </c>
      <c r="C31" s="67">
        <f>IFERROR(__xludf.DUMMYFUNCTION("""COMPUTED_VALUE"""),0.0)</f>
        <v>0</v>
      </c>
      <c r="D31" s="68"/>
      <c r="E31" s="67" t="str">
        <f>IFERROR(__xludf.DUMMYFUNCTION("""COMPUTED_VALUE"""),"CV. Adil Prima Perkasa")</f>
        <v>CV. Adil Prima Perkasa</v>
      </c>
      <c r="F31" s="67" t="str">
        <f>IFERROR(__xludf.DUMMYFUNCTION("""COMPUTED_VALUE"""),"DRIVER LV")</f>
        <v>DRIVER LV</v>
      </c>
      <c r="G31" s="67" t="str">
        <f>IFERROR(__xludf.DUMMYFUNCTION("""COMPUTED_VALUE"""),"KENDARAAN &amp; UNIT SUPPORT")</f>
        <v>KENDARAAN &amp; UNIT SUPPORT</v>
      </c>
      <c r="H31" s="67" t="str">
        <f>IFERROR(__xludf.DUMMYFUNCTION("""COMPUTED_VALUE"""),"[0102150004] NAFTALI RARE'A, ST")</f>
        <v>[0102150004] NAFTALI RARE'A, ST</v>
      </c>
      <c r="I31" s="69"/>
      <c r="J31" s="70" t="str">
        <f t="shared" si="1"/>
        <v>[205241933] AKMAL ENHAS</v>
      </c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</row>
    <row r="32">
      <c r="A32" s="67">
        <f>IFERROR(__xludf.DUMMYFUNCTION("""COMPUTED_VALUE"""),1.12231862E8)</f>
        <v>112231862</v>
      </c>
      <c r="B32" s="67" t="str">
        <f>IFERROR(__xludf.DUMMYFUNCTION("""COMPUTED_VALUE"""),"ALAM")</f>
        <v>ALAM</v>
      </c>
      <c r="C32" s="67">
        <f>IFERROR(__xludf.DUMMYFUNCTION("""COMPUTED_VALUE"""),0.0)</f>
        <v>0</v>
      </c>
      <c r="D32" s="68"/>
      <c r="E32" s="67" t="str">
        <f>IFERROR(__xludf.DUMMYFUNCTION("""COMPUTED_VALUE"""),"CV. SENTOSA ABADI")</f>
        <v>CV. SENTOSA ABADI</v>
      </c>
      <c r="F32" s="67" t="str">
        <f>IFERROR(__xludf.DUMMYFUNCTION("""COMPUTED_VALUE"""),"DRIVER DT H500")</f>
        <v>DRIVER DT H500</v>
      </c>
      <c r="G32" s="67" t="str">
        <f>IFERROR(__xludf.DUMMYFUNCTION("""COMPUTED_VALUE"""),"KENDARAAN &amp; UNIT SUPPORT")</f>
        <v>KENDARAAN &amp; UNIT SUPPORT</v>
      </c>
      <c r="H32" s="67" t="str">
        <f>IFERROR(__xludf.DUMMYFUNCTION("""COMPUTED_VALUE"""),"[0102150004] NAFTALI RARE'A, ST")</f>
        <v>[0102150004] NAFTALI RARE'A, ST</v>
      </c>
      <c r="I32" s="69"/>
      <c r="J32" s="70" t="str">
        <f t="shared" si="1"/>
        <v>[112231862] ALAM</v>
      </c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</row>
    <row r="33">
      <c r="A33" s="67">
        <f>IFERROR(__xludf.DUMMYFUNCTION("""COMPUTED_VALUE"""),2.03221605E8)</f>
        <v>203221605</v>
      </c>
      <c r="B33" s="67" t="str">
        <f>IFERROR(__xludf.DUMMYFUNCTION("""COMPUTED_VALUE"""),"ALBERT PALABURU")</f>
        <v>ALBERT PALABURU</v>
      </c>
      <c r="C33" s="67">
        <f>IFERROR(__xludf.DUMMYFUNCTION("""COMPUTED_VALUE"""),46.0)</f>
        <v>46</v>
      </c>
      <c r="D33" s="68" t="str">
        <f>IFERROR(__xludf.DUMMYFUNCTION("""COMPUTED_VALUE"""),"Kristen Khatolik")</f>
        <v>Kristen Khatolik</v>
      </c>
      <c r="E33" s="67" t="str">
        <f>IFERROR(__xludf.DUMMYFUNCTION("""COMPUTED_VALUE"""),"CV. Adil Prima Perkasa")</f>
        <v>CV. Adil Prima Perkasa</v>
      </c>
      <c r="F33" s="67" t="str">
        <f>IFERROR(__xludf.DUMMYFUNCTION("""COMPUTED_VALUE"""),"DRIVER DT H700ZY")</f>
        <v>DRIVER DT H700ZY</v>
      </c>
      <c r="G33" s="67" t="str">
        <f>IFERROR(__xludf.DUMMYFUNCTION("""COMPUTED_VALUE"""),"KENDARAAN &amp; UNIT SUPPORT")</f>
        <v>KENDARAAN &amp; UNIT SUPPORT</v>
      </c>
      <c r="H33" s="67" t="str">
        <f>IFERROR(__xludf.DUMMYFUNCTION("""COMPUTED_VALUE"""),"[0102150004] NAFTALI RARE'A, ST")</f>
        <v>[0102150004] NAFTALI RARE'A, ST</v>
      </c>
      <c r="I33" s="69">
        <f>IFERROR(__xludf.DUMMYFUNCTION("""COMPUTED_VALUE"""),29983.0)</f>
        <v>29983</v>
      </c>
      <c r="J33" s="70" t="str">
        <f t="shared" si="1"/>
        <v>[203221605] ALBERT PALABURU</v>
      </c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</row>
    <row r="34">
      <c r="A34" s="67"/>
      <c r="B34" s="67" t="str">
        <f>IFERROR(__xludf.DUMMYFUNCTION("""COMPUTED_VALUE"""),"ALBERTUS KAPONG")</f>
        <v>ALBERTUS KAPONG</v>
      </c>
      <c r="C34" s="67">
        <f>IFERROR(__xludf.DUMMYFUNCTION("""COMPUTED_VALUE"""),0.0)</f>
        <v>0</v>
      </c>
      <c r="D34" s="68"/>
      <c r="E34" s="67" t="str">
        <f>IFERROR(__xludf.DUMMYFUNCTION("""COMPUTED_VALUE"""),"CV. Adil Prima Perkasa")</f>
        <v>CV. Adil Prima Perkasa</v>
      </c>
      <c r="F34" s="67" t="str">
        <f>IFERROR(__xludf.DUMMYFUNCTION("""COMPUTED_VALUE"""),"FALSE")</f>
        <v>FALSE</v>
      </c>
      <c r="G34" s="67" t="str">
        <f>IFERROR(__xludf.DUMMYFUNCTION("""COMPUTED_VALUE"""),"FINANCE")</f>
        <v>FINANCE</v>
      </c>
      <c r="H34" s="67" t="str">
        <f>IFERROR(__xludf.DUMMYFUNCTION("""COMPUTED_VALUE"""),"FALSE")</f>
        <v>FALSE</v>
      </c>
      <c r="I34" s="69"/>
      <c r="J34" s="70" t="str">
        <f t="shared" si="1"/>
        <v>[] ALBERTUS KAPONG</v>
      </c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</row>
    <row r="35">
      <c r="A35" s="67">
        <f>IFERROR(__xludf.DUMMYFUNCTION("""COMPUTED_VALUE"""),2.03241894E8)</f>
        <v>203241894</v>
      </c>
      <c r="B35" s="67" t="str">
        <f>IFERROR(__xludf.DUMMYFUNCTION("""COMPUTED_VALUE"""),"ALDY JIBRIEL PANE")</f>
        <v>ALDY JIBRIEL PANE</v>
      </c>
      <c r="C35" s="67">
        <f>IFERROR(__xludf.DUMMYFUNCTION("""COMPUTED_VALUE"""),0.0)</f>
        <v>0</v>
      </c>
      <c r="D35" s="68"/>
      <c r="E35" s="67" t="str">
        <f>IFERROR(__xludf.DUMMYFUNCTION("""COMPUTED_VALUE"""),"CV. Adil Prima Perkasa")</f>
        <v>CV. Adil Prima Perkasa</v>
      </c>
      <c r="F35" s="67" t="str">
        <f>IFERROR(__xludf.DUMMYFUNCTION("""COMPUTED_VALUE"""),"CREW SURVEY")</f>
        <v>CREW SURVEY</v>
      </c>
      <c r="G35" s="67" t="str">
        <f>IFERROR(__xludf.DUMMYFUNCTION("""COMPUTED_VALUE"""),"MPE")</f>
        <v>MPE</v>
      </c>
      <c r="H35" s="67" t="str">
        <f>IFERROR(__xludf.DUMMYFUNCTION("""COMPUTED_VALUE"""),"[0102150007] EKY SIDIK PRATAMA, ST")</f>
        <v>[0102150007] EKY SIDIK PRATAMA, ST</v>
      </c>
      <c r="I35" s="69"/>
      <c r="J35" s="70" t="str">
        <f t="shared" si="1"/>
        <v>[203241894] ALDY JIBRIEL PANE</v>
      </c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</row>
    <row r="36">
      <c r="A36" s="67">
        <f>IFERROR(__xludf.DUMMYFUNCTION("""COMPUTED_VALUE"""),2.02221583E8)</f>
        <v>202221583</v>
      </c>
      <c r="B36" s="67" t="str">
        <f>IFERROR(__xludf.DUMMYFUNCTION("""COMPUTED_VALUE"""),"ALFI SAHRIN")</f>
        <v>ALFI SAHRIN</v>
      </c>
      <c r="C36" s="67">
        <f>IFERROR(__xludf.DUMMYFUNCTION("""COMPUTED_VALUE"""),22.0)</f>
        <v>22</v>
      </c>
      <c r="D36" s="68" t="str">
        <f>IFERROR(__xludf.DUMMYFUNCTION("""COMPUTED_VALUE"""),"Islam")</f>
        <v>Islam</v>
      </c>
      <c r="E36" s="67" t="str">
        <f>IFERROR(__xludf.DUMMYFUNCTION("""COMPUTED_VALUE"""),"CV. Adil Prima Perkasa")</f>
        <v>CV. Adil Prima Perkasa</v>
      </c>
      <c r="F36" s="67" t="str">
        <f>IFERROR(__xludf.DUMMYFUNCTION("""COMPUTED_VALUE"""),"BAGIAN UMUM")</f>
        <v>BAGIAN UMUM</v>
      </c>
      <c r="G36" s="67" t="str">
        <f>IFERROR(__xludf.DUMMYFUNCTION("""COMPUTED_VALUE"""),"HRD &amp; GA")</f>
        <v>HRD &amp; GA</v>
      </c>
      <c r="H36" s="67" t="str">
        <f>IFERROR(__xludf.DUMMYFUNCTION("""COMPUTED_VALUE"""),"[0103231738] MARYA SUSAN SIMBANGU")</f>
        <v>[0103231738] MARYA SUSAN SIMBANGU</v>
      </c>
      <c r="I36" s="69"/>
      <c r="J36" s="70" t="str">
        <f t="shared" si="1"/>
        <v>[202221583] ALFI SAHRIN</v>
      </c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</row>
    <row r="37">
      <c r="A37" s="67">
        <f>IFERROR(__xludf.DUMMYFUNCTION("""COMPUTED_VALUE"""),2.07211444E8)</f>
        <v>207211444</v>
      </c>
      <c r="B37" s="67" t="str">
        <f>IFERROR(__xludf.DUMMYFUNCTION("""COMPUTED_VALUE"""),"ALFRENDI LEONARD TANGGI")</f>
        <v>ALFRENDI LEONARD TANGGI</v>
      </c>
      <c r="C37" s="67">
        <f>IFERROR(__xludf.DUMMYFUNCTION("""COMPUTED_VALUE"""),24.0)</f>
        <v>24</v>
      </c>
      <c r="D37" s="68" t="str">
        <f>IFERROR(__xludf.DUMMYFUNCTION("""COMPUTED_VALUE"""),"Kristen Protestan")</f>
        <v>Kristen Protestan</v>
      </c>
      <c r="E37" s="67" t="str">
        <f>IFERROR(__xludf.DUMMYFUNCTION("""COMPUTED_VALUE"""),"CV. Adil Prima Perkasa")</f>
        <v>CV. Adil Prima Perkasa</v>
      </c>
      <c r="F37" s="67" t="str">
        <f>IFERROR(__xludf.DUMMYFUNCTION("""COMPUTED_VALUE"""),"WASHING MAN")</f>
        <v>WASHING MAN</v>
      </c>
      <c r="G37" s="67" t="str">
        <f>IFERROR(__xludf.DUMMYFUNCTION("""COMPUTED_VALUE"""),"WORKSHOP")</f>
        <v>WORKSHOP</v>
      </c>
      <c r="H37" s="67" t="str">
        <f>IFERROR(__xludf.DUMMYFUNCTION("""COMPUTED_VALUE"""),"[0106190928] NATAN KONDO")</f>
        <v>[0106190928] NATAN KONDO</v>
      </c>
      <c r="I37" s="69"/>
      <c r="J37" s="70" t="str">
        <f t="shared" si="1"/>
        <v>[207211444] ALFRENDI LEONARD TANGGI</v>
      </c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</row>
    <row r="38">
      <c r="A38" s="67">
        <f>IFERROR(__xludf.DUMMYFUNCTION("""COMPUTED_VALUE"""),2.06189004E8)</f>
        <v>206189004</v>
      </c>
      <c r="B38" s="67" t="str">
        <f>IFERROR(__xludf.DUMMYFUNCTION("""COMPUTED_VALUE"""),"ALFRETH ALVIAN TIAKI")</f>
        <v>ALFRETH ALVIAN TIAKI</v>
      </c>
      <c r="C38" s="67">
        <f>IFERROR(__xludf.DUMMYFUNCTION("""COMPUTED_VALUE"""),0.0)</f>
        <v>0</v>
      </c>
      <c r="D38" s="68"/>
      <c r="E38" s="67" t="str">
        <f>IFERROR(__xludf.DUMMYFUNCTION("""COMPUTED_VALUE"""),"CV. Adil Prima Perkasa")</f>
        <v>CV. Adil Prima Perkasa</v>
      </c>
      <c r="F38" s="67" t="str">
        <f>IFERROR(__xludf.DUMMYFUNCTION("""COMPUTED_VALUE"""),"FALSE")</f>
        <v>FALSE</v>
      </c>
      <c r="G38" s="67" t="str">
        <f>IFERROR(__xludf.DUMMYFUNCTION("""COMPUTED_VALUE"""),"FINANCE")</f>
        <v>FINANCE</v>
      </c>
      <c r="H38" s="67" t="str">
        <f>IFERROR(__xludf.DUMMYFUNCTION("""COMPUTED_VALUE"""),"[0101199001] Monita Febyanti")</f>
        <v>[0101199001] Monita Febyanti</v>
      </c>
      <c r="I38" s="69"/>
      <c r="J38" s="70" t="str">
        <f t="shared" si="1"/>
        <v>[206189004] ALFRETH ALVIAN TIAKI</v>
      </c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</row>
    <row r="39">
      <c r="A39" s="67">
        <f>IFERROR(__xludf.DUMMYFUNCTION("""COMPUTED_VALUE"""),1.03180405E8)</f>
        <v>103180405</v>
      </c>
      <c r="B39" s="67" t="str">
        <f>IFERROR(__xludf.DUMMYFUNCTION("""COMPUTED_VALUE"""),"ALKHISER M. LUMIMPUO")</f>
        <v>ALKHISER M. LUMIMPUO</v>
      </c>
      <c r="C39" s="67">
        <f>IFERROR(__xludf.DUMMYFUNCTION("""COMPUTED_VALUE"""),48.0)</f>
        <v>48</v>
      </c>
      <c r="D39" s="68" t="str">
        <f>IFERROR(__xludf.DUMMYFUNCTION("""COMPUTED_VALUE"""),"Kristen Protestan")</f>
        <v>Kristen Protestan</v>
      </c>
      <c r="E39" s="67" t="str">
        <f>IFERROR(__xludf.DUMMYFUNCTION("""COMPUTED_VALUE"""),"CV. SENTOSA ABADI")</f>
        <v>CV. SENTOSA ABADI</v>
      </c>
      <c r="F39" s="67" t="str">
        <f>IFERROR(__xludf.DUMMYFUNCTION("""COMPUTED_VALUE"""),"FOREMAN KENDARAAN")</f>
        <v>FOREMAN KENDARAAN</v>
      </c>
      <c r="G39" s="67" t="str">
        <f>IFERROR(__xludf.DUMMYFUNCTION("""COMPUTED_VALUE"""),"KENDARAAN &amp; UNIT SUPPORT")</f>
        <v>KENDARAAN &amp; UNIT SUPPORT</v>
      </c>
      <c r="H39" s="67" t="str">
        <f>IFERROR(__xludf.DUMMYFUNCTION("""COMPUTED_VALUE"""),"[0102150004] NAFTALI RARE'A, ST")</f>
        <v>[0102150004] NAFTALI RARE'A, ST</v>
      </c>
      <c r="I39" s="69">
        <f>IFERROR(__xludf.DUMMYFUNCTION("""COMPUTED_VALUE"""),27424.0)</f>
        <v>27424</v>
      </c>
      <c r="J39" s="70" t="str">
        <f t="shared" si="1"/>
        <v>[103180405] ALKHISER M. LUMIMPUO</v>
      </c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</row>
    <row r="40">
      <c r="A40" s="67">
        <f>IFERROR(__xludf.DUMMYFUNCTION("""COMPUTED_VALUE"""),2.02211339E8)</f>
        <v>202211339</v>
      </c>
      <c r="B40" s="67" t="str">
        <f>IFERROR(__xludf.DUMMYFUNCTION("""COMPUTED_VALUE"""),"ALVIANUS DUMA'")</f>
        <v>ALVIANUS DUMA'</v>
      </c>
      <c r="C40" s="67">
        <f>IFERROR(__xludf.DUMMYFUNCTION("""COMPUTED_VALUE"""),27.0)</f>
        <v>27</v>
      </c>
      <c r="D40" s="68" t="str">
        <f>IFERROR(__xludf.DUMMYFUNCTION("""COMPUTED_VALUE"""),"Kristen Khatolik")</f>
        <v>Kristen Khatolik</v>
      </c>
      <c r="E40" s="67" t="str">
        <f>IFERROR(__xludf.DUMMYFUNCTION("""COMPUTED_VALUE"""),"CV. Adil Prima Perkasa")</f>
        <v>CV. Adil Prima Perkasa</v>
      </c>
      <c r="F40" s="67" t="str">
        <f>IFERROR(__xludf.DUMMYFUNCTION("""COMPUTED_VALUE"""),"OPERATOR EXCAVATOR")</f>
        <v>OPERATOR EXCAVATOR</v>
      </c>
      <c r="G40" s="67" t="str">
        <f>IFERROR(__xludf.DUMMYFUNCTION("""COMPUTED_VALUE"""),"PRODUKSI")</f>
        <v>PRODUKSI</v>
      </c>
      <c r="H40" s="67" t="str">
        <f>IFERROR(__xludf.DUMMYFUNCTION("""COMPUTED_VALUE"""),"[0102130003] PURNAWAN")</f>
        <v>[0102130003] PURNAWAN</v>
      </c>
      <c r="I40" s="69"/>
      <c r="J40" s="70" t="str">
        <f t="shared" si="1"/>
        <v>[202211339] ALVIANUS DUMA'</v>
      </c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</row>
    <row r="41">
      <c r="A41" s="67">
        <f>IFERROR(__xludf.DUMMYFUNCTION("""COMPUTED_VALUE"""),2.03190787E8)</f>
        <v>203190787</v>
      </c>
      <c r="B41" s="67" t="str">
        <f>IFERROR(__xludf.DUMMYFUNCTION("""COMPUTED_VALUE"""),"ALYMUDDIN TAMBA")</f>
        <v>ALYMUDDIN TAMBA</v>
      </c>
      <c r="C41" s="67">
        <f>IFERROR(__xludf.DUMMYFUNCTION("""COMPUTED_VALUE"""),43.0)</f>
        <v>43</v>
      </c>
      <c r="D41" s="68" t="str">
        <f>IFERROR(__xludf.DUMMYFUNCTION("""COMPUTED_VALUE"""),"Islam")</f>
        <v>Islam</v>
      </c>
      <c r="E41" s="67" t="str">
        <f>IFERROR(__xludf.DUMMYFUNCTION("""COMPUTED_VALUE"""),"CV. Adil Prima Perkasa")</f>
        <v>CV. Adil Prima Perkasa</v>
      </c>
      <c r="F41" s="67" t="str">
        <f>IFERROR(__xludf.DUMMYFUNCTION("""COMPUTED_VALUE"""),"DRIVER DT H700ZY")</f>
        <v>DRIVER DT H700ZY</v>
      </c>
      <c r="G41" s="67" t="str">
        <f>IFERROR(__xludf.DUMMYFUNCTION("""COMPUTED_VALUE"""),"KENDARAAN &amp; UNIT SUPPORT")</f>
        <v>KENDARAAN &amp; UNIT SUPPORT</v>
      </c>
      <c r="H41" s="67" t="str">
        <f>IFERROR(__xludf.DUMMYFUNCTION("""COMPUTED_VALUE"""),"[0102150004] NAFTALI RARE'A, ST")</f>
        <v>[0102150004] NAFTALI RARE'A, ST</v>
      </c>
      <c r="I41" s="69"/>
      <c r="J41" s="70" t="str">
        <f t="shared" si="1"/>
        <v>[203190787] ALYMUDDIN TAMBA</v>
      </c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</row>
    <row r="42">
      <c r="A42" s="67">
        <f>IFERROR(__xludf.DUMMYFUNCTION("""COMPUTED_VALUE"""),2.0122157E8)</f>
        <v>201221570</v>
      </c>
      <c r="B42" s="67" t="str">
        <f>IFERROR(__xludf.DUMMYFUNCTION("""COMPUTED_VALUE"""),"AMAL RAIS")</f>
        <v>AMAL RAIS</v>
      </c>
      <c r="C42" s="67">
        <f>IFERROR(__xludf.DUMMYFUNCTION("""COMPUTED_VALUE"""),28.0)</f>
        <v>28</v>
      </c>
      <c r="D42" s="68" t="str">
        <f>IFERROR(__xludf.DUMMYFUNCTION("""COMPUTED_VALUE"""),"Islam")</f>
        <v>Islam</v>
      </c>
      <c r="E42" s="67" t="str">
        <f>IFERROR(__xludf.DUMMYFUNCTION("""COMPUTED_VALUE"""),"CV. Adil Prima Perkasa")</f>
        <v>CV. Adil Prima Perkasa</v>
      </c>
      <c r="F42" s="67" t="str">
        <f>IFERROR(__xludf.DUMMYFUNCTION("""COMPUTED_VALUE"""),"DRIVER DT H700ZY")</f>
        <v>DRIVER DT H700ZY</v>
      </c>
      <c r="G42" s="67" t="str">
        <f>IFERROR(__xludf.DUMMYFUNCTION("""COMPUTED_VALUE"""),"KENDARAAN &amp; UNIT SUPPORT")</f>
        <v>KENDARAAN &amp; UNIT SUPPORT</v>
      </c>
      <c r="H42" s="67" t="str">
        <f>IFERROR(__xludf.DUMMYFUNCTION("""COMPUTED_VALUE"""),"[0102150004] NAFTALI RARE'A, ST")</f>
        <v>[0102150004] NAFTALI RARE'A, ST</v>
      </c>
      <c r="I42" s="69"/>
      <c r="J42" s="70" t="str">
        <f t="shared" si="1"/>
        <v>[201221570] AMAL RAIS</v>
      </c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</row>
    <row r="43">
      <c r="A43" s="67">
        <f>IFERROR(__xludf.DUMMYFUNCTION("""COMPUTED_VALUE"""),2.11180653E8)</f>
        <v>211180653</v>
      </c>
      <c r="B43" s="67" t="str">
        <f>IFERROR(__xludf.DUMMYFUNCTION("""COMPUTED_VALUE"""),"AMBO IRI")</f>
        <v>AMBO IRI</v>
      </c>
      <c r="C43" s="67">
        <f>IFERROR(__xludf.DUMMYFUNCTION("""COMPUTED_VALUE"""),52.0)</f>
        <v>52</v>
      </c>
      <c r="D43" s="68" t="str">
        <f>IFERROR(__xludf.DUMMYFUNCTION("""COMPUTED_VALUE"""),"Islam")</f>
        <v>Islam</v>
      </c>
      <c r="E43" s="67" t="str">
        <f>IFERROR(__xludf.DUMMYFUNCTION("""COMPUTED_VALUE"""),"CV. Adil Prima Perkasa")</f>
        <v>CV. Adil Prima Perkasa</v>
      </c>
      <c r="F43" s="67" t="str">
        <f>IFERROR(__xludf.DUMMYFUNCTION("""COMPUTED_VALUE"""),"OPERATOR EXCAVATOR")</f>
        <v>OPERATOR EXCAVATOR</v>
      </c>
      <c r="G43" s="67" t="str">
        <f>IFERROR(__xludf.DUMMYFUNCTION("""COMPUTED_VALUE"""),"PRODUKSI")</f>
        <v>PRODUKSI</v>
      </c>
      <c r="H43" s="67" t="str">
        <f>IFERROR(__xludf.DUMMYFUNCTION("""COMPUTED_VALUE"""),"[0102130003] PURNAWAN")</f>
        <v>[0102130003] PURNAWAN</v>
      </c>
      <c r="I43" s="69">
        <f>IFERROR(__xludf.DUMMYFUNCTION("""COMPUTED_VALUE"""),31031.0)</f>
        <v>31031</v>
      </c>
      <c r="J43" s="70" t="str">
        <f t="shared" si="1"/>
        <v>[211180653] AMBO IRI</v>
      </c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</row>
    <row r="44">
      <c r="A44" s="67">
        <f>IFERROR(__xludf.DUMMYFUNCTION("""COMPUTED_VALUE"""),2.05231763E8)</f>
        <v>205231763</v>
      </c>
      <c r="B44" s="67" t="str">
        <f>IFERROR(__xludf.DUMMYFUNCTION("""COMPUTED_VALUE"""),"AMBO ULENG")</f>
        <v>AMBO ULENG</v>
      </c>
      <c r="C44" s="67">
        <f>IFERROR(__xludf.DUMMYFUNCTION("""COMPUTED_VALUE"""),0.0)</f>
        <v>0</v>
      </c>
      <c r="D44" s="68"/>
      <c r="E44" s="67" t="str">
        <f>IFERROR(__xludf.DUMMYFUNCTION("""COMPUTED_VALUE"""),"CV. Adil Prima Perkasa")</f>
        <v>CV. Adil Prima Perkasa</v>
      </c>
      <c r="F44" s="67" t="str">
        <f>IFERROR(__xludf.DUMMYFUNCTION("""COMPUTED_VALUE"""),"DRIVER DT H700ZS")</f>
        <v>DRIVER DT H700ZS</v>
      </c>
      <c r="G44" s="67" t="str">
        <f>IFERROR(__xludf.DUMMYFUNCTION("""COMPUTED_VALUE"""),"KENDARAAN &amp; UNIT SUPPORT")</f>
        <v>KENDARAAN &amp; UNIT SUPPORT</v>
      </c>
      <c r="H44" s="67" t="str">
        <f>IFERROR(__xludf.DUMMYFUNCTION("""COMPUTED_VALUE"""),"[0102150004] NAFTALI RARE'A, ST")</f>
        <v>[0102150004] NAFTALI RARE'A, ST</v>
      </c>
      <c r="I44" s="69"/>
      <c r="J44" s="70" t="str">
        <f t="shared" si="1"/>
        <v>[205231763] AMBO ULENG</v>
      </c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</row>
    <row r="45">
      <c r="A45" s="67">
        <f>IFERROR(__xludf.DUMMYFUNCTION("""COMPUTED_VALUE"""),3.08210087E8)</f>
        <v>308210087</v>
      </c>
      <c r="B45" s="67" t="str">
        <f>IFERROR(__xludf.DUMMYFUNCTION("""COMPUTED_VALUE"""),"AMINUDDIN")</f>
        <v>AMINUDDIN</v>
      </c>
      <c r="C45" s="67">
        <f>IFERROR(__xludf.DUMMYFUNCTION("""COMPUTED_VALUE"""),47.0)</f>
        <v>47</v>
      </c>
      <c r="D45" s="68" t="str">
        <f>IFERROR(__xludf.DUMMYFUNCTION("""COMPUTED_VALUE"""),"Islam")</f>
        <v>Islam</v>
      </c>
      <c r="E45" s="67" t="str">
        <f>IFERROR(__xludf.DUMMYFUNCTION("""COMPUTED_VALUE"""),"CV. Monalisa")</f>
        <v>CV. Monalisa</v>
      </c>
      <c r="F45" s="67" t="str">
        <f>IFERROR(__xludf.DUMMYFUNCTION("""COMPUTED_VALUE"""),"OPERATOR EXCAVATOR")</f>
        <v>OPERATOR EXCAVATOR</v>
      </c>
      <c r="G45" s="67" t="str">
        <f>IFERROR(__xludf.DUMMYFUNCTION("""COMPUTED_VALUE"""),"PRODUKSI")</f>
        <v>PRODUKSI</v>
      </c>
      <c r="H45" s="67" t="str">
        <f>IFERROR(__xludf.DUMMYFUNCTION("""COMPUTED_VALUE"""),"[0305210064] JACKSON MATHINDAS")</f>
        <v>[0305210064] JACKSON MATHINDAS</v>
      </c>
      <c r="I45" s="69">
        <f>IFERROR(__xludf.DUMMYFUNCTION("""COMPUTED_VALUE"""),29476.0)</f>
        <v>29476</v>
      </c>
      <c r="J45" s="70" t="str">
        <f t="shared" si="1"/>
        <v>[308210087] AMINUDDIN</v>
      </c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</row>
    <row r="46">
      <c r="A46" s="67">
        <f>IFERROR(__xludf.DUMMYFUNCTION("""COMPUTED_VALUE"""),2.04190824E8)</f>
        <v>204190824</v>
      </c>
      <c r="B46" s="67" t="str">
        <f>IFERROR(__xludf.DUMMYFUNCTION("""COMPUTED_VALUE"""),"AMIRUDDIN")</f>
        <v>AMIRUDDIN</v>
      </c>
      <c r="C46" s="67">
        <f>IFERROR(__xludf.DUMMYFUNCTION("""COMPUTED_VALUE"""),43.0)</f>
        <v>43</v>
      </c>
      <c r="D46" s="68" t="str">
        <f>IFERROR(__xludf.DUMMYFUNCTION("""COMPUTED_VALUE"""),"Islam")</f>
        <v>Islam</v>
      </c>
      <c r="E46" s="67" t="str">
        <f>IFERROR(__xludf.DUMMYFUNCTION("""COMPUTED_VALUE"""),"CV. Adil Prima Perkasa")</f>
        <v>CV. Adil Prima Perkasa</v>
      </c>
      <c r="F46" s="67" t="str">
        <f>IFERROR(__xludf.DUMMYFUNCTION("""COMPUTED_VALUE"""),"DRIVER DT H700ZY")</f>
        <v>DRIVER DT H700ZY</v>
      </c>
      <c r="G46" s="67" t="str">
        <f>IFERROR(__xludf.DUMMYFUNCTION("""COMPUTED_VALUE"""),"KENDARAAN &amp; UNIT SUPPORT")</f>
        <v>KENDARAAN &amp; UNIT SUPPORT</v>
      </c>
      <c r="H46" s="67" t="str">
        <f>IFERROR(__xludf.DUMMYFUNCTION("""COMPUTED_VALUE"""),"[0102150004] NAFTALI RARE'A, ST")</f>
        <v>[0102150004] NAFTALI RARE'A, ST</v>
      </c>
      <c r="I46" s="69">
        <f>IFERROR(__xludf.DUMMYFUNCTION("""COMPUTED_VALUE"""),30682.0)</f>
        <v>30682</v>
      </c>
      <c r="J46" s="70" t="str">
        <f t="shared" si="1"/>
        <v>[204190824] AMIRUDDIN</v>
      </c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</row>
    <row r="47">
      <c r="A47" s="67"/>
      <c r="B47" s="67" t="str">
        <f>IFERROR(__xludf.DUMMYFUNCTION("""COMPUTED_VALUE"""),"ANDHIKA RATNASARI POBELA")</f>
        <v>ANDHIKA RATNASARI POBELA</v>
      </c>
      <c r="C47" s="67">
        <f>IFERROR(__xludf.DUMMYFUNCTION("""COMPUTED_VALUE"""),0.0)</f>
        <v>0</v>
      </c>
      <c r="D47" s="68"/>
      <c r="E47" s="67" t="str">
        <f>IFERROR(__xludf.DUMMYFUNCTION("""COMPUTED_VALUE"""),"CV. SENTOSA ABADI")</f>
        <v>CV. SENTOSA ABADI</v>
      </c>
      <c r="F47" s="67" t="str">
        <f>IFERROR(__xludf.DUMMYFUNCTION("""COMPUTED_VALUE"""),"FALSE")</f>
        <v>FALSE</v>
      </c>
      <c r="G47" s="67" t="str">
        <f>IFERROR(__xludf.DUMMYFUNCTION("""COMPUTED_VALUE"""),"FINANCE")</f>
        <v>FINANCE</v>
      </c>
      <c r="H47" s="67" t="str">
        <f>IFERROR(__xludf.DUMMYFUNCTION("""COMPUTED_VALUE"""),"[0206189004] ALFRETH ALVIAN TIAKI")</f>
        <v>[0206189004] ALFRETH ALVIAN TIAKI</v>
      </c>
      <c r="I47" s="69"/>
      <c r="J47" s="70" t="str">
        <f t="shared" si="1"/>
        <v>[] ANDHIKA RATNASARI POBELA</v>
      </c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</row>
    <row r="48">
      <c r="A48" s="67">
        <f>IFERROR(__xludf.DUMMYFUNCTION("""COMPUTED_VALUE"""),2.04241905E8)</f>
        <v>204241905</v>
      </c>
      <c r="B48" s="67" t="str">
        <f>IFERROR(__xludf.DUMMYFUNCTION("""COMPUTED_VALUE"""),"ANDI")</f>
        <v>ANDI</v>
      </c>
      <c r="C48" s="67">
        <f>IFERROR(__xludf.DUMMYFUNCTION("""COMPUTED_VALUE"""),29.0)</f>
        <v>29</v>
      </c>
      <c r="D48" s="68" t="str">
        <f>IFERROR(__xludf.DUMMYFUNCTION("""COMPUTED_VALUE"""),"Islam")</f>
        <v>Islam</v>
      </c>
      <c r="E48" s="67" t="str">
        <f>IFERROR(__xludf.DUMMYFUNCTION("""COMPUTED_VALUE"""),"CV. Adil Prima Perkasa")</f>
        <v>CV. Adil Prima Perkasa</v>
      </c>
      <c r="F48" s="67" t="str">
        <f>IFERROR(__xludf.DUMMYFUNCTION("""COMPUTED_VALUE"""),"CREW SURVEY")</f>
        <v>CREW SURVEY</v>
      </c>
      <c r="G48" s="67" t="str">
        <f>IFERROR(__xludf.DUMMYFUNCTION("""COMPUTED_VALUE"""),"MPE")</f>
        <v>MPE</v>
      </c>
      <c r="H48" s="67" t="str">
        <f>IFERROR(__xludf.DUMMYFUNCTION("""COMPUTED_VALUE"""),"[0102150007] EKY SIDIK PRATAMA, ST")</f>
        <v>[0102150007] EKY SIDIK PRATAMA, ST</v>
      </c>
      <c r="I48" s="69"/>
      <c r="J48" s="70" t="str">
        <f t="shared" si="1"/>
        <v>[204241905] ANDI</v>
      </c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</row>
    <row r="49">
      <c r="A49" s="67">
        <f>IFERROR(__xludf.DUMMYFUNCTION("""COMPUTED_VALUE"""),2.07221661E8)</f>
        <v>207221661</v>
      </c>
      <c r="B49" s="67" t="str">
        <f>IFERROR(__xludf.DUMMYFUNCTION("""COMPUTED_VALUE"""),"ANDI ARIFIN")</f>
        <v>ANDI ARIFIN</v>
      </c>
      <c r="C49" s="67">
        <f>IFERROR(__xludf.DUMMYFUNCTION("""COMPUTED_VALUE"""),65.0)</f>
        <v>65</v>
      </c>
      <c r="D49" s="68" t="str">
        <f>IFERROR(__xludf.DUMMYFUNCTION("""COMPUTED_VALUE"""),"Islam")</f>
        <v>Islam</v>
      </c>
      <c r="E49" s="67" t="str">
        <f>IFERROR(__xludf.DUMMYFUNCTION("""COMPUTED_VALUE"""),"CV. SENTOSA ABADI")</f>
        <v>CV. SENTOSA ABADI</v>
      </c>
      <c r="F49" s="67" t="str">
        <f>IFERROR(__xludf.DUMMYFUNCTION("""COMPUTED_VALUE"""),"DRIVER DT H700ZY")</f>
        <v>DRIVER DT H700ZY</v>
      </c>
      <c r="G49" s="67" t="str">
        <f>IFERROR(__xludf.DUMMYFUNCTION("""COMPUTED_VALUE"""),"KENDARAAN &amp; UNIT SUPPORT")</f>
        <v>KENDARAAN &amp; UNIT SUPPORT</v>
      </c>
      <c r="H49" s="67" t="str">
        <f>IFERROR(__xludf.DUMMYFUNCTION("""COMPUTED_VALUE"""),"[0102150004] NAFTALI RARE'A, ST")</f>
        <v>[0102150004] NAFTALI RARE'A, ST</v>
      </c>
      <c r="I49" s="69">
        <f>IFERROR(__xludf.DUMMYFUNCTION("""COMPUTED_VALUE"""),26481.0)</f>
        <v>26481</v>
      </c>
      <c r="J49" s="70" t="str">
        <f t="shared" si="1"/>
        <v>[207221661] ANDI ARIFIN</v>
      </c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</row>
    <row r="50">
      <c r="A50" s="67">
        <f>IFERROR(__xludf.DUMMYFUNCTION("""COMPUTED_VALUE"""),1.07221659E8)</f>
        <v>107221659</v>
      </c>
      <c r="B50" s="67" t="str">
        <f>IFERROR(__xludf.DUMMYFUNCTION("""COMPUTED_VALUE"""),"ANDI B.")</f>
        <v>ANDI B.</v>
      </c>
      <c r="C50" s="67">
        <f>IFERROR(__xludf.DUMMYFUNCTION("""COMPUTED_VALUE"""),47.0)</f>
        <v>47</v>
      </c>
      <c r="D50" s="68" t="str">
        <f>IFERROR(__xludf.DUMMYFUNCTION("""COMPUTED_VALUE"""),"Islam")</f>
        <v>Islam</v>
      </c>
      <c r="E50" s="67" t="str">
        <f>IFERROR(__xludf.DUMMYFUNCTION("""COMPUTED_VALUE"""),"CV. SENTOSA ABADI")</f>
        <v>CV. SENTOSA ABADI</v>
      </c>
      <c r="F50" s="67" t="str">
        <f>IFERROR(__xludf.DUMMYFUNCTION("""COMPUTED_VALUE"""),"DRIVER DT H700ZY")</f>
        <v>DRIVER DT H700ZY</v>
      </c>
      <c r="G50" s="67" t="str">
        <f>IFERROR(__xludf.DUMMYFUNCTION("""COMPUTED_VALUE"""),"KENDARAAN &amp; UNIT SUPPORT")</f>
        <v>KENDARAAN &amp; UNIT SUPPORT</v>
      </c>
      <c r="H50" s="67" t="str">
        <f>IFERROR(__xludf.DUMMYFUNCTION("""COMPUTED_VALUE"""),"[0102150004] NAFTALI RARE'A, ST")</f>
        <v>[0102150004] NAFTALI RARE'A, ST</v>
      </c>
      <c r="I50" s="69">
        <f>IFERROR(__xludf.DUMMYFUNCTION("""COMPUTED_VALUE"""),32690.0)</f>
        <v>32690</v>
      </c>
      <c r="J50" s="70" t="str">
        <f t="shared" si="1"/>
        <v>[107221659] ANDI B.</v>
      </c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</row>
    <row r="51">
      <c r="A51" s="67">
        <f>IFERROR(__xludf.DUMMYFUNCTION("""COMPUTED_VALUE"""),2.09120697E8)</f>
        <v>209120697</v>
      </c>
      <c r="B51" s="67" t="str">
        <f>IFERROR(__xludf.DUMMYFUNCTION("""COMPUTED_VALUE"""),"ANDI HAMRIN")</f>
        <v>ANDI HAMRIN</v>
      </c>
      <c r="C51" s="67">
        <f>IFERROR(__xludf.DUMMYFUNCTION("""COMPUTED_VALUE"""),47.0)</f>
        <v>47</v>
      </c>
      <c r="D51" s="68" t="str">
        <f>IFERROR(__xludf.DUMMYFUNCTION("""COMPUTED_VALUE"""),"Islam")</f>
        <v>Islam</v>
      </c>
      <c r="E51" s="67" t="str">
        <f>IFERROR(__xludf.DUMMYFUNCTION("""COMPUTED_VALUE"""),"CV. Adil Prima Perkasa")</f>
        <v>CV. Adil Prima Perkasa</v>
      </c>
      <c r="F51" s="67" t="str">
        <f>IFERROR(__xludf.DUMMYFUNCTION("""COMPUTED_VALUE"""),"DRIVER DT H700ZY")</f>
        <v>DRIVER DT H700ZY</v>
      </c>
      <c r="G51" s="67" t="str">
        <f>IFERROR(__xludf.DUMMYFUNCTION("""COMPUTED_VALUE"""),"KENDARAAN &amp; UNIT SUPPORT")</f>
        <v>KENDARAAN &amp; UNIT SUPPORT</v>
      </c>
      <c r="H51" s="67" t="str">
        <f>IFERROR(__xludf.DUMMYFUNCTION("""COMPUTED_VALUE"""),"[0102150004] NAFTALI RARE'A, ST")</f>
        <v>[0102150004] NAFTALI RARE'A, ST</v>
      </c>
      <c r="I51" s="69"/>
      <c r="J51" s="70" t="str">
        <f t="shared" si="1"/>
        <v>[209120697] ANDI HAMRIN</v>
      </c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</row>
    <row r="52">
      <c r="A52" s="67">
        <f>IFERROR(__xludf.DUMMYFUNCTION("""COMPUTED_VALUE"""),1.07201159E8)</f>
        <v>107201159</v>
      </c>
      <c r="B52" s="67" t="str">
        <f>IFERROR(__xludf.DUMMYFUNCTION("""COMPUTED_VALUE"""),"ANDI WISANDI")</f>
        <v>ANDI WISANDI</v>
      </c>
      <c r="C52" s="67">
        <f>IFERROR(__xludf.DUMMYFUNCTION("""COMPUTED_VALUE"""),38.0)</f>
        <v>38</v>
      </c>
      <c r="D52" s="68" t="str">
        <f>IFERROR(__xludf.DUMMYFUNCTION("""COMPUTED_VALUE"""),"Islam")</f>
        <v>Islam</v>
      </c>
      <c r="E52" s="67" t="str">
        <f>IFERROR(__xludf.DUMMYFUNCTION("""COMPUTED_VALUE"""),"CV. SENTOSA ABADI")</f>
        <v>CV. SENTOSA ABADI</v>
      </c>
      <c r="F52" s="67" t="str">
        <f>IFERROR(__xludf.DUMMYFUNCTION("""COMPUTED_VALUE"""),"MEKANIK ALAT BERAT")</f>
        <v>MEKANIK ALAT BERAT</v>
      </c>
      <c r="G52" s="67" t="str">
        <f>IFERROR(__xludf.DUMMYFUNCTION("""COMPUTED_VALUE"""),"WORKSHOP")</f>
        <v>WORKSHOP</v>
      </c>
      <c r="H52" s="67" t="str">
        <f>IFERROR(__xludf.DUMMYFUNCTION("""COMPUTED_VALUE"""),"[0106190928] NATAN KONDO")</f>
        <v>[0106190928] NATAN KONDO</v>
      </c>
      <c r="I52" s="69"/>
      <c r="J52" s="70" t="str">
        <f t="shared" si="1"/>
        <v>[107201159] ANDI WISANDI</v>
      </c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</row>
    <row r="53">
      <c r="A53" s="67">
        <f>IFERROR(__xludf.DUMMYFUNCTION("""COMPUTED_VALUE"""),1.08201201E8)</f>
        <v>108201201</v>
      </c>
      <c r="B53" s="67" t="str">
        <f>IFERROR(__xludf.DUMMYFUNCTION("""COMPUTED_VALUE"""),"ANDILLA")</f>
        <v>ANDILLA</v>
      </c>
      <c r="C53" s="67">
        <f>IFERROR(__xludf.DUMMYFUNCTION("""COMPUTED_VALUE"""),27.0)</f>
        <v>27</v>
      </c>
      <c r="D53" s="68" t="str">
        <f>IFERROR(__xludf.DUMMYFUNCTION("""COMPUTED_VALUE"""),"Islam")</f>
        <v>Islam</v>
      </c>
      <c r="E53" s="67" t="str">
        <f>IFERROR(__xludf.DUMMYFUNCTION("""COMPUTED_VALUE"""),"CV. SENTOSA ABADI")</f>
        <v>CV. SENTOSA ABADI</v>
      </c>
      <c r="F53" s="67" t="str">
        <f>IFERROR(__xludf.DUMMYFUNCTION("""COMPUTED_VALUE"""),"OPERATOR ADT")</f>
        <v>OPERATOR ADT</v>
      </c>
      <c r="G53" s="67" t="str">
        <f>IFERROR(__xludf.DUMMYFUNCTION("""COMPUTED_VALUE"""),"PRODUKSI")</f>
        <v>PRODUKSI</v>
      </c>
      <c r="H53" s="67" t="str">
        <f>IFERROR(__xludf.DUMMYFUNCTION("""COMPUTED_VALUE"""),"[0102130003] PURNAWAN")</f>
        <v>[0102130003] PURNAWAN</v>
      </c>
      <c r="I53" s="69"/>
      <c r="J53" s="70" t="str">
        <f t="shared" si="1"/>
        <v>[108201201] ANDILLA</v>
      </c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</row>
    <row r="54">
      <c r="A54" s="67">
        <f>IFERROR(__xludf.DUMMYFUNCTION("""COMPUTED_VALUE"""),2.05231759E8)</f>
        <v>205231759</v>
      </c>
      <c r="B54" s="67" t="str">
        <f>IFERROR(__xludf.DUMMYFUNCTION("""COMPUTED_VALUE"""),"ANDRE MINTI")</f>
        <v>ANDRE MINTI</v>
      </c>
      <c r="C54" s="67">
        <f>IFERROR(__xludf.DUMMYFUNCTION("""COMPUTED_VALUE"""),27.0)</f>
        <v>27</v>
      </c>
      <c r="D54" s="68" t="str">
        <f>IFERROR(__xludf.DUMMYFUNCTION("""COMPUTED_VALUE"""),"Kristen Protestan")</f>
        <v>Kristen Protestan</v>
      </c>
      <c r="E54" s="67" t="str">
        <f>IFERROR(__xludf.DUMMYFUNCTION("""COMPUTED_VALUE"""),"CV. Adil Prima Perkasa")</f>
        <v>CV. Adil Prima Perkasa</v>
      </c>
      <c r="F54" s="67" t="str">
        <f>IFERROR(__xludf.DUMMYFUNCTION("""COMPUTED_VALUE"""),"DRIVER DT")</f>
        <v>DRIVER DT</v>
      </c>
      <c r="G54" s="67" t="str">
        <f>IFERROR(__xludf.DUMMYFUNCTION("""COMPUTED_VALUE"""),"KENDARAAN &amp; UNIT SUPPORT")</f>
        <v>KENDARAAN &amp; UNIT SUPPORT</v>
      </c>
      <c r="H54" s="67" t="str">
        <f>IFERROR(__xludf.DUMMYFUNCTION("""COMPUTED_VALUE"""),"[0102150004] NAFTALI RARE'A, ST")</f>
        <v>[0102150004] NAFTALI RARE'A, ST</v>
      </c>
      <c r="I54" s="69"/>
      <c r="J54" s="70" t="str">
        <f t="shared" si="1"/>
        <v>[205231759] ANDRE MINTI</v>
      </c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</row>
    <row r="55">
      <c r="A55" s="67">
        <f>IFERROR(__xludf.DUMMYFUNCTION("""COMPUTED_VALUE"""),2.06231787E8)</f>
        <v>206231787</v>
      </c>
      <c r="B55" s="67" t="str">
        <f>IFERROR(__xludf.DUMMYFUNCTION("""COMPUTED_VALUE"""),"ANDRE WILLIAM MANUSIWA")</f>
        <v>ANDRE WILLIAM MANUSIWA</v>
      </c>
      <c r="C55" s="67">
        <f>IFERROR(__xludf.DUMMYFUNCTION("""COMPUTED_VALUE"""),20.0)</f>
        <v>20</v>
      </c>
      <c r="D55" s="68" t="str">
        <f>IFERROR(__xludf.DUMMYFUNCTION("""COMPUTED_VALUE"""),"Kristen Protestan")</f>
        <v>Kristen Protestan</v>
      </c>
      <c r="E55" s="67" t="str">
        <f>IFERROR(__xludf.DUMMYFUNCTION("""COMPUTED_VALUE"""),"CV. Adil Prima Perkasa")</f>
        <v>CV. Adil Prima Perkasa</v>
      </c>
      <c r="F55" s="67" t="str">
        <f>IFERROR(__xludf.DUMMYFUNCTION("""COMPUTED_VALUE"""),"HELPER FUEL")</f>
        <v>HELPER FUEL</v>
      </c>
      <c r="G55" s="67" t="str">
        <f>IFERROR(__xludf.DUMMYFUNCTION("""COMPUTED_VALUE"""),"MPE")</f>
        <v>MPE</v>
      </c>
      <c r="H55" s="67" t="str">
        <f>IFERROR(__xludf.DUMMYFUNCTION("""COMPUTED_VALUE"""),"[0102150007] EKY SIDIK PRATAMA, ST")</f>
        <v>[0102150007] EKY SIDIK PRATAMA, ST</v>
      </c>
      <c r="I55" s="69"/>
      <c r="J55" s="70" t="str">
        <f t="shared" si="1"/>
        <v>[206231787] ANDRE WILLIAM MANUSIWA</v>
      </c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</row>
    <row r="56">
      <c r="A56" s="67">
        <f>IFERROR(__xludf.DUMMYFUNCTION("""COMPUTED_VALUE"""),1.11180596E8)</f>
        <v>111180596</v>
      </c>
      <c r="B56" s="67" t="str">
        <f>IFERROR(__xludf.DUMMYFUNCTION("""COMPUTED_VALUE"""),"ANDRI S. TARIFUDDIN")</f>
        <v>ANDRI S. TARIFUDDIN</v>
      </c>
      <c r="C56" s="67">
        <f>IFERROR(__xludf.DUMMYFUNCTION("""COMPUTED_VALUE"""),28.0)</f>
        <v>28</v>
      </c>
      <c r="D56" s="68" t="str">
        <f>IFERROR(__xludf.DUMMYFUNCTION("""COMPUTED_VALUE"""),"Islam")</f>
        <v>Islam</v>
      </c>
      <c r="E56" s="67" t="str">
        <f>IFERROR(__xludf.DUMMYFUNCTION("""COMPUTED_VALUE"""),"CV. SENTOSA ABADI")</f>
        <v>CV. SENTOSA ABADI</v>
      </c>
      <c r="F56" s="67" t="str">
        <f>IFERROR(__xludf.DUMMYFUNCTION("""COMPUTED_VALUE"""),"OPERATOR ADT")</f>
        <v>OPERATOR ADT</v>
      </c>
      <c r="G56" s="67" t="str">
        <f>IFERROR(__xludf.DUMMYFUNCTION("""COMPUTED_VALUE"""),"PRODUKSI")</f>
        <v>PRODUKSI</v>
      </c>
      <c r="H56" s="67" t="str">
        <f>IFERROR(__xludf.DUMMYFUNCTION("""COMPUTED_VALUE"""),"[0102130003] PURNAWAN")</f>
        <v>[0102130003] PURNAWAN</v>
      </c>
      <c r="I56" s="69"/>
      <c r="J56" s="70" t="str">
        <f t="shared" si="1"/>
        <v>[111180596] ANDRI S. TARIFUDDIN</v>
      </c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</row>
    <row r="57">
      <c r="A57" s="67">
        <f>IFERROR(__xludf.DUMMYFUNCTION("""COMPUTED_VALUE"""),2.09231831E8)</f>
        <v>209231831</v>
      </c>
      <c r="B57" s="67" t="str">
        <f>IFERROR(__xludf.DUMMYFUNCTION("""COMPUTED_VALUE"""),"ANGGI SIR HERYANTO")</f>
        <v>ANGGI SIR HERYANTO</v>
      </c>
      <c r="C57" s="67">
        <f>IFERROR(__xludf.DUMMYFUNCTION("""COMPUTED_VALUE"""),0.0)</f>
        <v>0</v>
      </c>
      <c r="D57" s="68"/>
      <c r="E57" s="67" t="str">
        <f>IFERROR(__xludf.DUMMYFUNCTION("""COMPUTED_VALUE"""),"CV. Adil Prima Perkasa")</f>
        <v>CV. Adil Prima Perkasa</v>
      </c>
      <c r="F57" s="67" t="str">
        <f>IFERROR(__xludf.DUMMYFUNCTION("""COMPUTED_VALUE"""),"DRIVER DT H500")</f>
        <v>DRIVER DT H500</v>
      </c>
      <c r="G57" s="67" t="str">
        <f>IFERROR(__xludf.DUMMYFUNCTION("""COMPUTED_VALUE"""),"KENDARAAN &amp; UNIT SUPPORT")</f>
        <v>KENDARAAN &amp; UNIT SUPPORT</v>
      </c>
      <c r="H57" s="67" t="str">
        <f>IFERROR(__xludf.DUMMYFUNCTION("""COMPUTED_VALUE"""),"[0102150004] NAFTALI RARE'A, ST")</f>
        <v>[0102150004] NAFTALI RARE'A, ST</v>
      </c>
      <c r="I57" s="69"/>
      <c r="J57" s="70" t="str">
        <f t="shared" si="1"/>
        <v>[209231831] ANGGI SIR HERYANTO</v>
      </c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</row>
    <row r="58">
      <c r="A58" s="67">
        <f>IFERROR(__xludf.DUMMYFUNCTION("""COMPUTED_VALUE"""),1.09211492E8)</f>
        <v>109211492</v>
      </c>
      <c r="B58" s="67" t="str">
        <f>IFERROR(__xludf.DUMMYFUNCTION("""COMPUTED_VALUE"""),"ANI NURAINI")</f>
        <v>ANI NURAINI</v>
      </c>
      <c r="C58" s="67">
        <f>IFERROR(__xludf.DUMMYFUNCTION("""COMPUTED_VALUE"""),43.0)</f>
        <v>43</v>
      </c>
      <c r="D58" s="68" t="str">
        <f>IFERROR(__xludf.DUMMYFUNCTION("""COMPUTED_VALUE"""),"Islam")</f>
        <v>Islam</v>
      </c>
      <c r="E58" s="67" t="str">
        <f>IFERROR(__xludf.DUMMYFUNCTION("""COMPUTED_VALUE"""),"CV. SENTOSA ABADI")</f>
        <v>CV. SENTOSA ABADI</v>
      </c>
      <c r="F58" s="67" t="str">
        <f>IFERROR(__xludf.DUMMYFUNCTION("""COMPUTED_VALUE"""),"STOCKER")</f>
        <v>STOCKER</v>
      </c>
      <c r="G58" s="67" t="str">
        <f>IFERROR(__xludf.DUMMYFUNCTION("""COMPUTED_VALUE"""),"HRD &amp; GA")</f>
        <v>HRD &amp; GA</v>
      </c>
      <c r="H58" s="67" t="str">
        <f>IFERROR(__xludf.DUMMYFUNCTION("""COMPUTED_VALUE"""),"[0103231738] MARYA SUSAN SIMBANGU")</f>
        <v>[0103231738] MARYA SUSAN SIMBANGU</v>
      </c>
      <c r="I58" s="69">
        <f>IFERROR(__xludf.DUMMYFUNCTION("""COMPUTED_VALUE"""),34304.0)</f>
        <v>34304</v>
      </c>
      <c r="J58" s="70" t="str">
        <f t="shared" si="1"/>
        <v>[109211492] ANI NURAINI</v>
      </c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</row>
    <row r="59">
      <c r="A59" s="67">
        <f>IFERROR(__xludf.DUMMYFUNCTION("""COMPUTED_VALUE"""),2.01241876E8)</f>
        <v>201241876</v>
      </c>
      <c r="B59" s="67" t="str">
        <f>IFERROR(__xludf.DUMMYFUNCTION("""COMPUTED_VALUE"""),"ANIL")</f>
        <v>ANIL</v>
      </c>
      <c r="C59" s="67">
        <f>IFERROR(__xludf.DUMMYFUNCTION("""COMPUTED_VALUE"""),1.0)</f>
        <v>1</v>
      </c>
      <c r="D59" s="68" t="str">
        <f>IFERROR(__xludf.DUMMYFUNCTION("""COMPUTED_VALUE"""),"Islam")</f>
        <v>Islam</v>
      </c>
      <c r="E59" s="67" t="str">
        <f>IFERROR(__xludf.DUMMYFUNCTION("""COMPUTED_VALUE"""),"CV. Adil Prima Perkasa")</f>
        <v>CV. Adil Prima Perkasa</v>
      </c>
      <c r="F59" s="67" t="str">
        <f>IFERROR(__xludf.DUMMYFUNCTION("""COMPUTED_VALUE"""),"OFFICE BOY")</f>
        <v>OFFICE BOY</v>
      </c>
      <c r="G59" s="67" t="str">
        <f>IFERROR(__xludf.DUMMYFUNCTION("""COMPUTED_VALUE"""),"HRD &amp; GA")</f>
        <v>HRD &amp; GA</v>
      </c>
      <c r="H59" s="67" t="str">
        <f>IFERROR(__xludf.DUMMYFUNCTION("""COMPUTED_VALUE"""),"[0108191037] ERNIE FRISLIA")</f>
        <v>[0108191037] ERNIE FRISLIA</v>
      </c>
      <c r="I59" s="69"/>
      <c r="J59" s="70" t="str">
        <f t="shared" si="1"/>
        <v>[201241876] ANIL</v>
      </c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</row>
    <row r="60">
      <c r="A60" s="67">
        <f>IFERROR(__xludf.DUMMYFUNCTION("""COMPUTED_VALUE"""),2.01221577E8)</f>
        <v>201221577</v>
      </c>
      <c r="B60" s="67" t="str">
        <f>IFERROR(__xludf.DUMMYFUNCTION("""COMPUTED_VALUE"""),"ANNA GLORIA SOMALINGGI")</f>
        <v>ANNA GLORIA SOMALINGGI</v>
      </c>
      <c r="C60" s="67">
        <f>IFERROR(__xludf.DUMMYFUNCTION("""COMPUTED_VALUE"""),30.0)</f>
        <v>30</v>
      </c>
      <c r="D60" s="68" t="str">
        <f>IFERROR(__xludf.DUMMYFUNCTION("""COMPUTED_VALUE"""),"Kristen Protestan")</f>
        <v>Kristen Protestan</v>
      </c>
      <c r="E60" s="67" t="str">
        <f>IFERROR(__xludf.DUMMYFUNCTION("""COMPUTED_VALUE"""),"CV. Adil Prima Perkasa")</f>
        <v>CV. Adil Prima Perkasa</v>
      </c>
      <c r="F60" s="67" t="str">
        <f>IFERROR(__xludf.DUMMYFUNCTION("""COMPUTED_VALUE"""),"ADMIN MPE")</f>
        <v>ADMIN MPE</v>
      </c>
      <c r="G60" s="67" t="str">
        <f>IFERROR(__xludf.DUMMYFUNCTION("""COMPUTED_VALUE"""),"MPE")</f>
        <v>MPE</v>
      </c>
      <c r="H60" s="67" t="str">
        <f>IFERROR(__xludf.DUMMYFUNCTION("""COMPUTED_VALUE"""),"[0102150007] EKY SIDIK PRATAMA, ST")</f>
        <v>[0102150007] EKY SIDIK PRATAMA, ST</v>
      </c>
      <c r="I60" s="69">
        <f>IFERROR(__xludf.DUMMYFUNCTION("""COMPUTED_VALUE"""),33335.0)</f>
        <v>33335</v>
      </c>
      <c r="J60" s="70" t="str">
        <f t="shared" si="1"/>
        <v>[201221577] ANNA GLORIA SOMALINGGI</v>
      </c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</row>
    <row r="61">
      <c r="A61" s="67">
        <f>IFERROR(__xludf.DUMMYFUNCTION("""COMPUTED_VALUE"""),1.07201158E8)</f>
        <v>107201158</v>
      </c>
      <c r="B61" s="67" t="str">
        <f>IFERROR(__xludf.DUMMYFUNCTION("""COMPUTED_VALUE"""),"ANSHAR")</f>
        <v>ANSHAR</v>
      </c>
      <c r="C61" s="67">
        <f>IFERROR(__xludf.DUMMYFUNCTION("""COMPUTED_VALUE"""),55.0)</f>
        <v>55</v>
      </c>
      <c r="D61" s="68" t="str">
        <f>IFERROR(__xludf.DUMMYFUNCTION("""COMPUTED_VALUE"""),"Islam")</f>
        <v>Islam</v>
      </c>
      <c r="E61" s="67" t="str">
        <f>IFERROR(__xludf.DUMMYFUNCTION("""COMPUTED_VALUE"""),"CV. SENTOSA ABADI")</f>
        <v>CV. SENTOSA ABADI</v>
      </c>
      <c r="F61" s="67" t="str">
        <f>IFERROR(__xludf.DUMMYFUNCTION("""COMPUTED_VALUE"""),"DRIVER DT H700ZY")</f>
        <v>DRIVER DT H700ZY</v>
      </c>
      <c r="G61" s="67" t="str">
        <f>IFERROR(__xludf.DUMMYFUNCTION("""COMPUTED_VALUE"""),"KENDARAAN &amp; UNIT SUPPORT")</f>
        <v>KENDARAAN &amp; UNIT SUPPORT</v>
      </c>
      <c r="H61" s="67" t="str">
        <f>IFERROR(__xludf.DUMMYFUNCTION("""COMPUTED_VALUE"""),"[0102150004] NAFTALI RARE'A, ST")</f>
        <v>[0102150004] NAFTALI RARE'A, ST</v>
      </c>
      <c r="I61" s="69"/>
      <c r="J61" s="70" t="str">
        <f t="shared" si="1"/>
        <v>[107201158] ANSHAR</v>
      </c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</row>
    <row r="62">
      <c r="A62" s="67">
        <f>IFERROR(__xludf.DUMMYFUNCTION("""COMPUTED_VALUE"""),2.06211414E8)</f>
        <v>206211414</v>
      </c>
      <c r="B62" s="67" t="str">
        <f>IFERROR(__xludf.DUMMYFUNCTION("""COMPUTED_VALUE"""),"ANTONIUS")</f>
        <v>ANTONIUS</v>
      </c>
      <c r="C62" s="67">
        <f>IFERROR(__xludf.DUMMYFUNCTION("""COMPUTED_VALUE"""),38.0)</f>
        <v>38</v>
      </c>
      <c r="D62" s="68" t="str">
        <f>IFERROR(__xludf.DUMMYFUNCTION("""COMPUTED_VALUE"""),"Kristen Protestan")</f>
        <v>Kristen Protestan</v>
      </c>
      <c r="E62" s="67" t="str">
        <f>IFERROR(__xludf.DUMMYFUNCTION("""COMPUTED_VALUE"""),"CV. Adil Prima Perkasa")</f>
        <v>CV. Adil Prima Perkasa</v>
      </c>
      <c r="F62" s="67" t="str">
        <f>IFERROR(__xludf.DUMMYFUNCTION("""COMPUTED_VALUE"""),"OPERATOR BULLDOZER")</f>
        <v>OPERATOR BULLDOZER</v>
      </c>
      <c r="G62" s="67" t="str">
        <f>IFERROR(__xludf.DUMMYFUNCTION("""COMPUTED_VALUE"""),"PRODUKSI")</f>
        <v>PRODUKSI</v>
      </c>
      <c r="H62" s="67" t="str">
        <f>IFERROR(__xludf.DUMMYFUNCTION("""COMPUTED_VALUE"""),"[0102130003] PURNAWAN")</f>
        <v>[0102130003] PURNAWAN</v>
      </c>
      <c r="I62" s="69"/>
      <c r="J62" s="70" t="str">
        <f t="shared" si="1"/>
        <v>[206211414] ANTONIUS</v>
      </c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</row>
    <row r="63">
      <c r="A63" s="67">
        <f>IFERROR(__xludf.DUMMYFUNCTION("""COMPUTED_VALUE"""),2.03211348E8)</f>
        <v>203211348</v>
      </c>
      <c r="B63" s="67" t="str">
        <f>IFERROR(__xludf.DUMMYFUNCTION("""COMPUTED_VALUE"""),"ANTONIUS RUPANG")</f>
        <v>ANTONIUS RUPANG</v>
      </c>
      <c r="C63" s="67">
        <f>IFERROR(__xludf.DUMMYFUNCTION("""COMPUTED_VALUE"""),30.0)</f>
        <v>30</v>
      </c>
      <c r="D63" s="68" t="str">
        <f>IFERROR(__xludf.DUMMYFUNCTION("""COMPUTED_VALUE"""),"Kristen Khatolik")</f>
        <v>Kristen Khatolik</v>
      </c>
      <c r="E63" s="67" t="str">
        <f>IFERROR(__xludf.DUMMYFUNCTION("""COMPUTED_VALUE"""),"CV. Adil Prima Perkasa")</f>
        <v>CV. Adil Prima Perkasa</v>
      </c>
      <c r="F63" s="67" t="str">
        <f>IFERROR(__xludf.DUMMYFUNCTION("""COMPUTED_VALUE"""),"OPERATOR EXCAVATOR")</f>
        <v>OPERATOR EXCAVATOR</v>
      </c>
      <c r="G63" s="67" t="str">
        <f>IFERROR(__xludf.DUMMYFUNCTION("""COMPUTED_VALUE"""),"PRODUKSI")</f>
        <v>PRODUKSI</v>
      </c>
      <c r="H63" s="67" t="str">
        <f>IFERROR(__xludf.DUMMYFUNCTION("""COMPUTED_VALUE"""),"[0102130003] PURNAWAN")</f>
        <v>[0102130003] PURNAWAN</v>
      </c>
      <c r="I63" s="69">
        <f>IFERROR(__xludf.DUMMYFUNCTION("""COMPUTED_VALUE"""),33488.0)</f>
        <v>33488</v>
      </c>
      <c r="J63" s="70" t="str">
        <f t="shared" si="1"/>
        <v>[203211348] ANTONIUS RUPANG</v>
      </c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</row>
    <row r="64">
      <c r="A64" s="67">
        <f>IFERROR(__xludf.DUMMYFUNCTION("""COMPUTED_VALUE"""),1.0720116E8)</f>
        <v>107201160</v>
      </c>
      <c r="B64" s="67" t="str">
        <f>IFERROR(__xludf.DUMMYFUNCTION("""COMPUTED_VALUE"""),"APENDI")</f>
        <v>APENDI</v>
      </c>
      <c r="C64" s="67">
        <f>IFERROR(__xludf.DUMMYFUNCTION("""COMPUTED_VALUE"""),39.0)</f>
        <v>39</v>
      </c>
      <c r="D64" s="68" t="str">
        <f>IFERROR(__xludf.DUMMYFUNCTION("""COMPUTED_VALUE"""),"Islam")</f>
        <v>Islam</v>
      </c>
      <c r="E64" s="67" t="str">
        <f>IFERROR(__xludf.DUMMYFUNCTION("""COMPUTED_VALUE"""),"CV. SENTOSA ABADI")</f>
        <v>CV. SENTOSA ABADI</v>
      </c>
      <c r="F64" s="67" t="str">
        <f>IFERROR(__xludf.DUMMYFUNCTION("""COMPUTED_VALUE"""),"OPERATOR EXCAVATOR")</f>
        <v>OPERATOR EXCAVATOR</v>
      </c>
      <c r="G64" s="67" t="str">
        <f>IFERROR(__xludf.DUMMYFUNCTION("""COMPUTED_VALUE"""),"PRODUKSI")</f>
        <v>PRODUKSI</v>
      </c>
      <c r="H64" s="67" t="str">
        <f>IFERROR(__xludf.DUMMYFUNCTION("""COMPUTED_VALUE"""),"[0102130003] PURNAWAN")</f>
        <v>[0102130003] PURNAWAN</v>
      </c>
      <c r="I64" s="69"/>
      <c r="J64" s="70" t="str">
        <f t="shared" si="1"/>
        <v>[107201160] APENDI</v>
      </c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</row>
    <row r="65">
      <c r="A65" s="67">
        <f>IFERROR(__xludf.DUMMYFUNCTION("""COMPUTED_VALUE"""),2.04231744E8)</f>
        <v>204231744</v>
      </c>
      <c r="B65" s="67" t="str">
        <f>IFERROR(__xludf.DUMMYFUNCTION("""COMPUTED_VALUE"""),"AQIL")</f>
        <v>AQIL</v>
      </c>
      <c r="C65" s="67">
        <f>IFERROR(__xludf.DUMMYFUNCTION("""COMPUTED_VALUE"""),22.0)</f>
        <v>22</v>
      </c>
      <c r="D65" s="68" t="str">
        <f>IFERROR(__xludf.DUMMYFUNCTION("""COMPUTED_VALUE"""),"Islam")</f>
        <v>Islam</v>
      </c>
      <c r="E65" s="67" t="str">
        <f>IFERROR(__xludf.DUMMYFUNCTION("""COMPUTED_VALUE"""),"CV. Adil Prima Perkasa")</f>
        <v>CV. Adil Prima Perkasa</v>
      </c>
      <c r="F65" s="67" t="str">
        <f>IFERROR(__xludf.DUMMYFUNCTION("""COMPUTED_VALUE"""),"OFFICE BOY")</f>
        <v>OFFICE BOY</v>
      </c>
      <c r="G65" s="67" t="str">
        <f>IFERROR(__xludf.DUMMYFUNCTION("""COMPUTED_VALUE"""),"HRD &amp; GA")</f>
        <v>HRD &amp; GA</v>
      </c>
      <c r="H65" s="67" t="str">
        <f>IFERROR(__xludf.DUMMYFUNCTION("""COMPUTED_VALUE"""),"FALSE")</f>
        <v>FALSE</v>
      </c>
      <c r="I65" s="69">
        <f>IFERROR(__xludf.DUMMYFUNCTION("""COMPUTED_VALUE"""),37325.0)</f>
        <v>37325</v>
      </c>
      <c r="J65" s="70" t="str">
        <f t="shared" si="1"/>
        <v>[204231744] AQIL</v>
      </c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</row>
    <row r="66">
      <c r="A66" s="67">
        <f>IFERROR(__xludf.DUMMYFUNCTION("""COMPUTED_VALUE"""),1.08201187E8)</f>
        <v>108201187</v>
      </c>
      <c r="B66" s="67" t="str">
        <f>IFERROR(__xludf.DUMMYFUNCTION("""COMPUTED_VALUE"""),"ARAFNAL")</f>
        <v>ARAFNAL</v>
      </c>
      <c r="C66" s="67">
        <f>IFERROR(__xludf.DUMMYFUNCTION("""COMPUTED_VALUE"""),27.0)</f>
        <v>27</v>
      </c>
      <c r="D66" s="68" t="str">
        <f>IFERROR(__xludf.DUMMYFUNCTION("""COMPUTED_VALUE"""),"Islam")</f>
        <v>Islam</v>
      </c>
      <c r="E66" s="67" t="str">
        <f>IFERROR(__xludf.DUMMYFUNCTION("""COMPUTED_VALUE"""),"CV. SENTOSA ABADI")</f>
        <v>CV. SENTOSA ABADI</v>
      </c>
      <c r="F66" s="67" t="str">
        <f>IFERROR(__xludf.DUMMYFUNCTION("""COMPUTED_VALUE"""),"DRIVER DT H700ZS")</f>
        <v>DRIVER DT H700ZS</v>
      </c>
      <c r="G66" s="67" t="str">
        <f>IFERROR(__xludf.DUMMYFUNCTION("""COMPUTED_VALUE"""),"KENDARAAN &amp; UNIT SUPPORT")</f>
        <v>KENDARAAN &amp; UNIT SUPPORT</v>
      </c>
      <c r="H66" s="67" t="str">
        <f>IFERROR(__xludf.DUMMYFUNCTION("""COMPUTED_VALUE"""),"[0102150004] NAFTALI RARE'A, ST")</f>
        <v>[0102150004] NAFTALI RARE'A, ST</v>
      </c>
      <c r="I66" s="69"/>
      <c r="J66" s="70" t="str">
        <f t="shared" si="1"/>
        <v>[108201187] ARAFNAL</v>
      </c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</row>
    <row r="67">
      <c r="A67" s="67">
        <f>IFERROR(__xludf.DUMMYFUNCTION("""COMPUTED_VALUE"""),2.03241898E8)</f>
        <v>203241898</v>
      </c>
      <c r="B67" s="67" t="str">
        <f>IFERROR(__xludf.DUMMYFUNCTION("""COMPUTED_VALUE"""),"ARDI")</f>
        <v>ARDI</v>
      </c>
      <c r="C67" s="67">
        <f>IFERROR(__xludf.DUMMYFUNCTION("""COMPUTED_VALUE"""),0.0)</f>
        <v>0</v>
      </c>
      <c r="D67" s="68"/>
      <c r="E67" s="67" t="str">
        <f>IFERROR(__xludf.DUMMYFUNCTION("""COMPUTED_VALUE"""),"CV. Adil Prima Perkasa")</f>
        <v>CV. Adil Prima Perkasa</v>
      </c>
      <c r="F67" s="67" t="str">
        <f>IFERROR(__xludf.DUMMYFUNCTION("""COMPUTED_VALUE"""),"CREW SURVEY")</f>
        <v>CREW SURVEY</v>
      </c>
      <c r="G67" s="67" t="str">
        <f>IFERROR(__xludf.DUMMYFUNCTION("""COMPUTED_VALUE"""),"MPE")</f>
        <v>MPE</v>
      </c>
      <c r="H67" s="67" t="str">
        <f>IFERROR(__xludf.DUMMYFUNCTION("""COMPUTED_VALUE"""),"[0102150007] EKY SIDIK PRATAMA, ST")</f>
        <v>[0102150007] EKY SIDIK PRATAMA, ST</v>
      </c>
      <c r="I67" s="69"/>
      <c r="J67" s="70" t="str">
        <f t="shared" si="1"/>
        <v>[203241898] ARDI</v>
      </c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</row>
    <row r="68">
      <c r="A68" s="67">
        <f>IFERROR(__xludf.DUMMYFUNCTION("""COMPUTED_VALUE"""),2.03221614E8)</f>
        <v>203221614</v>
      </c>
      <c r="B68" s="67" t="str">
        <f>IFERROR(__xludf.DUMMYFUNCTION("""COMPUTED_VALUE"""),"ARDIAN")</f>
        <v>ARDIAN</v>
      </c>
      <c r="C68" s="67">
        <f>IFERROR(__xludf.DUMMYFUNCTION("""COMPUTED_VALUE"""),24.0)</f>
        <v>24</v>
      </c>
      <c r="D68" s="68" t="str">
        <f>IFERROR(__xludf.DUMMYFUNCTION("""COMPUTED_VALUE"""),"Islam")</f>
        <v>Islam</v>
      </c>
      <c r="E68" s="67" t="str">
        <f>IFERROR(__xludf.DUMMYFUNCTION("""COMPUTED_VALUE"""),"CV. Adil Prima Perkasa")</f>
        <v>CV. Adil Prima Perkasa</v>
      </c>
      <c r="F68" s="67" t="str">
        <f>IFERROR(__xludf.DUMMYFUNCTION("""COMPUTED_VALUE"""),"OPERATOR EXCAVATOR")</f>
        <v>OPERATOR EXCAVATOR</v>
      </c>
      <c r="G68" s="67" t="str">
        <f>IFERROR(__xludf.DUMMYFUNCTION("""COMPUTED_VALUE"""),"PRODUKSI")</f>
        <v>PRODUKSI</v>
      </c>
      <c r="H68" s="67" t="str">
        <f>IFERROR(__xludf.DUMMYFUNCTION("""COMPUTED_VALUE"""),"[0102130003] PURNAWAN")</f>
        <v>[0102130003] PURNAWAN</v>
      </c>
      <c r="I68" s="69"/>
      <c r="J68" s="70" t="str">
        <f t="shared" si="1"/>
        <v>[203221614] ARDIAN</v>
      </c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</row>
    <row r="69">
      <c r="A69" s="67">
        <f>IFERROR(__xludf.DUMMYFUNCTION("""COMPUTED_VALUE"""),2.05241921E8)</f>
        <v>205241921</v>
      </c>
      <c r="B69" s="67" t="str">
        <f>IFERROR(__xludf.DUMMYFUNCTION("""COMPUTED_VALUE"""),"ARDIANSYAH")</f>
        <v>ARDIANSYAH</v>
      </c>
      <c r="C69" s="67">
        <f>IFERROR(__xludf.DUMMYFUNCTION("""COMPUTED_VALUE"""),0.0)</f>
        <v>0</v>
      </c>
      <c r="D69" s="68"/>
      <c r="E69" s="67" t="str">
        <f>IFERROR(__xludf.DUMMYFUNCTION("""COMPUTED_VALUE"""),"CV. Adil Prima Perkasa")</f>
        <v>CV. Adil Prima Perkasa</v>
      </c>
      <c r="F69" s="67" t="str">
        <f>IFERROR(__xludf.DUMMYFUNCTION("""COMPUTED_VALUE"""),"HELPER MECHANIC MAINTENANCE")</f>
        <v>HELPER MECHANIC MAINTENANCE</v>
      </c>
      <c r="G69" s="67" t="str">
        <f>IFERROR(__xludf.DUMMYFUNCTION("""COMPUTED_VALUE"""),"WORKSHOP")</f>
        <v>WORKSHOP</v>
      </c>
      <c r="H69" s="67" t="str">
        <f>IFERROR(__xludf.DUMMYFUNCTION("""COMPUTED_VALUE"""),"[0106190928] NATAN KONDO")</f>
        <v>[0106190928] NATAN KONDO</v>
      </c>
      <c r="I69" s="69"/>
      <c r="J69" s="70" t="str">
        <f t="shared" si="1"/>
        <v>[205241921] ARDIANSYAH</v>
      </c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</row>
    <row r="70">
      <c r="A70" s="67">
        <f>IFERROR(__xludf.DUMMYFUNCTION("""COMPUTED_VALUE"""),2.04241911E8)</f>
        <v>204241911</v>
      </c>
      <c r="B70" s="67" t="str">
        <f>IFERROR(__xludf.DUMMYFUNCTION("""COMPUTED_VALUE"""),"ARHAM")</f>
        <v>ARHAM</v>
      </c>
      <c r="C70" s="67">
        <f>IFERROR(__xludf.DUMMYFUNCTION("""COMPUTED_VALUE"""),0.0)</f>
        <v>0</v>
      </c>
      <c r="D70" s="68"/>
      <c r="E70" s="67" t="str">
        <f>IFERROR(__xludf.DUMMYFUNCTION("""COMPUTED_VALUE"""),"CV. Adil Prima Perkasa")</f>
        <v>CV. Adil Prima Perkasa</v>
      </c>
      <c r="F70" s="67" t="str">
        <f>IFERROR(__xludf.DUMMYFUNCTION("""COMPUTED_VALUE"""),"HELPER MEKANIK")</f>
        <v>HELPER MEKANIK</v>
      </c>
      <c r="G70" s="67" t="str">
        <f>IFERROR(__xludf.DUMMYFUNCTION("""COMPUTED_VALUE"""),"WORKSHOP")</f>
        <v>WORKSHOP</v>
      </c>
      <c r="H70" s="67" t="str">
        <f>IFERROR(__xludf.DUMMYFUNCTION("""COMPUTED_VALUE"""),"[0106190928] NATAN KONDO")</f>
        <v>[0106190928] NATAN KONDO</v>
      </c>
      <c r="I70" s="69"/>
      <c r="J70" s="70" t="str">
        <f t="shared" si="1"/>
        <v>[204241911] ARHAM</v>
      </c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</row>
    <row r="71">
      <c r="A71" s="67">
        <f>IFERROR(__xludf.DUMMYFUNCTION("""COMPUTED_VALUE"""),2.01241879E8)</f>
        <v>201241879</v>
      </c>
      <c r="B71" s="67" t="str">
        <f>IFERROR(__xludf.DUMMYFUNCTION("""COMPUTED_VALUE"""),"ARIADI TURUSI")</f>
        <v>ARIADI TURUSI</v>
      </c>
      <c r="C71" s="67">
        <f>IFERROR(__xludf.DUMMYFUNCTION("""COMPUTED_VALUE"""),0.0)</f>
        <v>0</v>
      </c>
      <c r="D71" s="68"/>
      <c r="E71" s="67" t="str">
        <f>IFERROR(__xludf.DUMMYFUNCTION("""COMPUTED_VALUE"""),"CV. Adil Prima Perkasa")</f>
        <v>CV. Adil Prima Perkasa</v>
      </c>
      <c r="F71" s="67" t="str">
        <f>IFERROR(__xludf.DUMMYFUNCTION("""COMPUTED_VALUE"""),"HELPER FUEL")</f>
        <v>HELPER FUEL</v>
      </c>
      <c r="G71" s="67" t="str">
        <f>IFERROR(__xludf.DUMMYFUNCTION("""COMPUTED_VALUE"""),"MPE")</f>
        <v>MPE</v>
      </c>
      <c r="H71" s="67" t="str">
        <f>IFERROR(__xludf.DUMMYFUNCTION("""COMPUTED_VALUE"""),"[0102150007] EKY SIDIK PRATAMA, ST")</f>
        <v>[0102150007] EKY SIDIK PRATAMA, ST</v>
      </c>
      <c r="I71" s="69"/>
      <c r="J71" s="70" t="str">
        <f t="shared" si="1"/>
        <v>[201241879] ARIADI TURUSI</v>
      </c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</row>
    <row r="72">
      <c r="A72" s="67"/>
      <c r="B72" s="67" t="str">
        <f>IFERROR(__xludf.DUMMYFUNCTION("""COMPUTED_VALUE"""),"ARIAI")</f>
        <v>ARIAI</v>
      </c>
      <c r="C72" s="67">
        <f>IFERROR(__xludf.DUMMYFUNCTION("""COMPUTED_VALUE"""),0.0)</f>
        <v>0</v>
      </c>
      <c r="D72" s="68"/>
      <c r="E72" s="67" t="str">
        <f>IFERROR(__xludf.DUMMYFUNCTION("""COMPUTED_VALUE"""),"CV. Adil Prima Perkasa")</f>
        <v>CV. Adil Prima Perkasa</v>
      </c>
      <c r="F72" s="67" t="str">
        <f>IFERROR(__xludf.DUMMYFUNCTION("""COMPUTED_VALUE"""),"FALSE")</f>
        <v>FALSE</v>
      </c>
      <c r="G72" s="67" t="str">
        <f>IFERROR(__xludf.DUMMYFUNCTION("""COMPUTED_VALUE"""),"FALSE")</f>
        <v>FALSE</v>
      </c>
      <c r="H72" s="67" t="str">
        <f>IFERROR(__xludf.DUMMYFUNCTION("""COMPUTED_VALUE"""),"FALSE")</f>
        <v>FALSE</v>
      </c>
      <c r="I72" s="69"/>
      <c r="J72" s="70" t="str">
        <f t="shared" si="1"/>
        <v>[] ARIAI</v>
      </c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</row>
    <row r="73">
      <c r="A73" s="67">
        <f>IFERROR(__xludf.DUMMYFUNCTION("""COMPUTED_VALUE"""),2.12231868E8)</f>
        <v>212231868</v>
      </c>
      <c r="B73" s="67" t="str">
        <f>IFERROR(__xludf.DUMMYFUNCTION("""COMPUTED_VALUE"""),"ARIEF MOWOSE")</f>
        <v>ARIEF MOWOSE</v>
      </c>
      <c r="C73" s="67">
        <f>IFERROR(__xludf.DUMMYFUNCTION("""COMPUTED_VALUE"""),0.0)</f>
        <v>0</v>
      </c>
      <c r="D73" s="68"/>
      <c r="E73" s="67" t="str">
        <f>IFERROR(__xludf.DUMMYFUNCTION("""COMPUTED_VALUE"""),"CV. Adil Prima Perkasa")</f>
        <v>CV. Adil Prima Perkasa</v>
      </c>
      <c r="F73" s="67" t="str">
        <f>IFERROR(__xludf.DUMMYFUNCTION("""COMPUTED_VALUE"""),"DRIVER DT H500")</f>
        <v>DRIVER DT H500</v>
      </c>
      <c r="G73" s="67" t="str">
        <f>IFERROR(__xludf.DUMMYFUNCTION("""COMPUTED_VALUE"""),"KENDARAAN &amp; UNIT SUPPORT")</f>
        <v>KENDARAAN &amp; UNIT SUPPORT</v>
      </c>
      <c r="H73" s="67" t="str">
        <f>IFERROR(__xludf.DUMMYFUNCTION("""COMPUTED_VALUE"""),"[0102150004] NAFTALI RARE'A, ST")</f>
        <v>[0102150004] NAFTALI RARE'A, ST</v>
      </c>
      <c r="I73" s="69"/>
      <c r="J73" s="70" t="str">
        <f t="shared" si="1"/>
        <v>[212231868] ARIEF MOWOSE</v>
      </c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</row>
    <row r="74">
      <c r="A74" s="67">
        <f>IFERROR(__xludf.DUMMYFUNCTION("""COMPUTED_VALUE"""),2.12180734E8)</f>
        <v>212180734</v>
      </c>
      <c r="B74" s="67" t="str">
        <f>IFERROR(__xludf.DUMMYFUNCTION("""COMPUTED_VALUE"""),"ARIS")</f>
        <v>ARIS</v>
      </c>
      <c r="C74" s="67">
        <f>IFERROR(__xludf.DUMMYFUNCTION("""COMPUTED_VALUE"""),31.0)</f>
        <v>31</v>
      </c>
      <c r="D74" s="68" t="str">
        <f>IFERROR(__xludf.DUMMYFUNCTION("""COMPUTED_VALUE"""),"Islam")</f>
        <v>Islam</v>
      </c>
      <c r="E74" s="67" t="str">
        <f>IFERROR(__xludf.DUMMYFUNCTION("""COMPUTED_VALUE"""),"CV. Adil Prima Perkasa")</f>
        <v>CV. Adil Prima Perkasa</v>
      </c>
      <c r="F74" s="67" t="str">
        <f>IFERROR(__xludf.DUMMYFUNCTION("""COMPUTED_VALUE"""),"OPERATOR EXCAVATOR")</f>
        <v>OPERATOR EXCAVATOR</v>
      </c>
      <c r="G74" s="67" t="str">
        <f>IFERROR(__xludf.DUMMYFUNCTION("""COMPUTED_VALUE"""),"PRODUKSI")</f>
        <v>PRODUKSI</v>
      </c>
      <c r="H74" s="67" t="str">
        <f>IFERROR(__xludf.DUMMYFUNCTION("""COMPUTED_VALUE"""),"[0102130003] PURNAWAN")</f>
        <v>[0102130003] PURNAWAN</v>
      </c>
      <c r="I74" s="69">
        <f>IFERROR(__xludf.DUMMYFUNCTION("""COMPUTED_VALUE"""),35057.0)</f>
        <v>35057</v>
      </c>
      <c r="J74" s="70" t="str">
        <f t="shared" si="1"/>
        <v>[212180734] ARIS</v>
      </c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</row>
    <row r="75">
      <c r="A75" s="67">
        <f>IFERROR(__xludf.DUMMYFUNCTION("""COMPUTED_VALUE"""),2.1223187E8)</f>
        <v>212231870</v>
      </c>
      <c r="B75" s="67" t="str">
        <f>IFERROR(__xludf.DUMMYFUNCTION("""COMPUTED_VALUE"""),"ARIZAL")</f>
        <v>ARIZAL</v>
      </c>
      <c r="C75" s="67">
        <f>IFERROR(__xludf.DUMMYFUNCTION("""COMPUTED_VALUE"""),0.0)</f>
        <v>0</v>
      </c>
      <c r="D75" s="68"/>
      <c r="E75" s="67" t="str">
        <f>IFERROR(__xludf.DUMMYFUNCTION("""COMPUTED_VALUE"""),"CV. Adil Prima Perkasa")</f>
        <v>CV. Adil Prima Perkasa</v>
      </c>
      <c r="F75" s="67" t="str">
        <f>IFERROR(__xludf.DUMMYFUNCTION("""COMPUTED_VALUE"""),"DRIVER DT H500")</f>
        <v>DRIVER DT H500</v>
      </c>
      <c r="G75" s="67" t="str">
        <f>IFERROR(__xludf.DUMMYFUNCTION("""COMPUTED_VALUE"""),"KENDARAAN &amp; UNIT SUPPORT")</f>
        <v>KENDARAAN &amp; UNIT SUPPORT</v>
      </c>
      <c r="H75" s="67" t="str">
        <f>IFERROR(__xludf.DUMMYFUNCTION("""COMPUTED_VALUE"""),"[0102150004] NAFTALI RARE'A, ST")</f>
        <v>[0102150004] NAFTALI RARE'A, ST</v>
      </c>
      <c r="I75" s="69"/>
      <c r="J75" s="70" t="str">
        <f t="shared" si="1"/>
        <v>[212231870] ARIZAL</v>
      </c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</row>
    <row r="76">
      <c r="A76" s="67">
        <f>IFERROR(__xludf.DUMMYFUNCTION("""COMPUTED_VALUE"""),2.02221582E8)</f>
        <v>202221582</v>
      </c>
      <c r="B76" s="67" t="str">
        <f>IFERROR(__xludf.DUMMYFUNCTION("""COMPUTED_VALUE"""),"ARLIANUS DAGUL")</f>
        <v>ARLIANUS DAGUL</v>
      </c>
      <c r="C76" s="67">
        <f>IFERROR(__xludf.DUMMYFUNCTION("""COMPUTED_VALUE"""),21.0)</f>
        <v>21</v>
      </c>
      <c r="D76" s="68" t="str">
        <f>IFERROR(__xludf.DUMMYFUNCTION("""COMPUTED_VALUE"""),"Kristen Khatolik")</f>
        <v>Kristen Khatolik</v>
      </c>
      <c r="E76" s="67" t="str">
        <f>IFERROR(__xludf.DUMMYFUNCTION("""COMPUTED_VALUE"""),"CV. Adil Prima Perkasa")</f>
        <v>CV. Adil Prima Perkasa</v>
      </c>
      <c r="F76" s="67" t="str">
        <f>IFERROR(__xludf.DUMMYFUNCTION("""COMPUTED_VALUE"""),"CREW PREPARASI")</f>
        <v>CREW PREPARASI</v>
      </c>
      <c r="G76" s="67" t="str">
        <f>IFERROR(__xludf.DUMMYFUNCTION("""COMPUTED_VALUE"""),"GRADE CONTROL")</f>
        <v>GRADE CONTROL</v>
      </c>
      <c r="H76" s="67" t="str">
        <f>IFERROR(__xludf.DUMMYFUNCTION("""COMPUTED_VALUE"""),"[0107201164] A.CHRISTI ARI WIBOWO")</f>
        <v>[0107201164] A.CHRISTI ARI WIBOWO</v>
      </c>
      <c r="I76" s="69"/>
      <c r="J76" s="70" t="str">
        <f t="shared" si="1"/>
        <v>[202221582] ARLIANUS DAGUL</v>
      </c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</row>
    <row r="77">
      <c r="A77" s="67">
        <f>IFERROR(__xludf.DUMMYFUNCTION("""COMPUTED_VALUE"""),2.09221672E8)</f>
        <v>209221672</v>
      </c>
      <c r="B77" s="67" t="str">
        <f>IFERROR(__xludf.DUMMYFUNCTION("""COMPUTED_VALUE"""),"ARMANSYAH")</f>
        <v>ARMANSYAH</v>
      </c>
      <c r="C77" s="67">
        <f>IFERROR(__xludf.DUMMYFUNCTION("""COMPUTED_VALUE"""),33.0)</f>
        <v>33</v>
      </c>
      <c r="D77" s="68" t="str">
        <f>IFERROR(__xludf.DUMMYFUNCTION("""COMPUTED_VALUE"""),"Islam")</f>
        <v>Islam</v>
      </c>
      <c r="E77" s="67" t="str">
        <f>IFERROR(__xludf.DUMMYFUNCTION("""COMPUTED_VALUE"""),"CV. Adil Prima Perkasa")</f>
        <v>CV. Adil Prima Perkasa</v>
      </c>
      <c r="F77" s="67" t="str">
        <f>IFERROR(__xludf.DUMMYFUNCTION("""COMPUTED_VALUE"""),"DRIVER LV")</f>
        <v>DRIVER LV</v>
      </c>
      <c r="G77" s="67" t="str">
        <f>IFERROR(__xludf.DUMMYFUNCTION("""COMPUTED_VALUE"""),"KENDARAAN &amp; UNIT SUPPORT")</f>
        <v>KENDARAAN &amp; UNIT SUPPORT</v>
      </c>
      <c r="H77" s="67" t="str">
        <f>IFERROR(__xludf.DUMMYFUNCTION("""COMPUTED_VALUE"""),"[0102150004] NAFTALI RARE'A, ST")</f>
        <v>[0102150004] NAFTALI RARE'A, ST</v>
      </c>
      <c r="I77" s="69">
        <f>IFERROR(__xludf.DUMMYFUNCTION("""COMPUTED_VALUE"""),29386.0)</f>
        <v>29386</v>
      </c>
      <c r="J77" s="70" t="str">
        <f t="shared" si="1"/>
        <v>[209221672] ARMANSYAH</v>
      </c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</row>
    <row r="78">
      <c r="A78" s="67">
        <f>IFERROR(__xludf.DUMMYFUNCTION("""COMPUTED_VALUE"""),2.03221612E8)</f>
        <v>203221612</v>
      </c>
      <c r="B78" s="67" t="str">
        <f>IFERROR(__xludf.DUMMYFUNCTION("""COMPUTED_VALUE"""),"ARSYAD")</f>
        <v>ARSYAD</v>
      </c>
      <c r="C78" s="67">
        <f>IFERROR(__xludf.DUMMYFUNCTION("""COMPUTED_VALUE"""),42.0)</f>
        <v>42</v>
      </c>
      <c r="D78" s="68" t="str">
        <f>IFERROR(__xludf.DUMMYFUNCTION("""COMPUTED_VALUE"""),"Islam")</f>
        <v>Islam</v>
      </c>
      <c r="E78" s="67" t="str">
        <f>IFERROR(__xludf.DUMMYFUNCTION("""COMPUTED_VALUE"""),"CV. Adil Prima Perkasa")</f>
        <v>CV. Adil Prima Perkasa</v>
      </c>
      <c r="F78" s="67" t="str">
        <f>IFERROR(__xludf.DUMMYFUNCTION("""COMPUTED_VALUE"""),"OPERATOR EXCAVATOR")</f>
        <v>OPERATOR EXCAVATOR</v>
      </c>
      <c r="G78" s="67" t="str">
        <f>IFERROR(__xludf.DUMMYFUNCTION("""COMPUTED_VALUE"""),"PRODUKSI")</f>
        <v>PRODUKSI</v>
      </c>
      <c r="H78" s="67" t="str">
        <f>IFERROR(__xludf.DUMMYFUNCTION("""COMPUTED_VALUE"""),"[0102130003] PURNAWAN")</f>
        <v>[0102130003] PURNAWAN</v>
      </c>
      <c r="I78" s="69">
        <f>IFERROR(__xludf.DUMMYFUNCTION("""COMPUTED_VALUE"""),30839.0)</f>
        <v>30839</v>
      </c>
      <c r="J78" s="70" t="str">
        <f t="shared" si="1"/>
        <v>[203221612] ARSYAD</v>
      </c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</row>
    <row r="79">
      <c r="A79" s="67"/>
      <c r="B79" s="67" t="str">
        <f>IFERROR(__xludf.DUMMYFUNCTION("""COMPUTED_VALUE"""),"ASKRA")</f>
        <v>ASKRA</v>
      </c>
      <c r="C79" s="67">
        <f>IFERROR(__xludf.DUMMYFUNCTION("""COMPUTED_VALUE"""),0.0)</f>
        <v>0</v>
      </c>
      <c r="D79" s="68"/>
      <c r="E79" s="67" t="str">
        <f>IFERROR(__xludf.DUMMYFUNCTION("""COMPUTED_VALUE"""),"CV. Adil Prima Perkasa")</f>
        <v>CV. Adil Prima Perkasa</v>
      </c>
      <c r="F79" s="67" t="str">
        <f>IFERROR(__xludf.DUMMYFUNCTION("""COMPUTED_VALUE"""),"FALSE")</f>
        <v>FALSE</v>
      </c>
      <c r="G79" s="67" t="str">
        <f>IFERROR(__xludf.DUMMYFUNCTION("""COMPUTED_VALUE"""),"FALSE")</f>
        <v>FALSE</v>
      </c>
      <c r="H79" s="67" t="str">
        <f>IFERROR(__xludf.DUMMYFUNCTION("""COMPUTED_VALUE"""),"FALSE")</f>
        <v>FALSE</v>
      </c>
      <c r="I79" s="69"/>
      <c r="J79" s="70" t="str">
        <f t="shared" si="1"/>
        <v>[] ASKRA</v>
      </c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</row>
    <row r="80">
      <c r="A80" s="67">
        <f>IFERROR(__xludf.DUMMYFUNCTION("""COMPUTED_VALUE"""),2.08201189E8)</f>
        <v>208201189</v>
      </c>
      <c r="B80" s="67" t="str">
        <f>IFERROR(__xludf.DUMMYFUNCTION("""COMPUTED_VALUE"""),"ASRIADY")</f>
        <v>ASRIADY</v>
      </c>
      <c r="C80" s="67">
        <f>IFERROR(__xludf.DUMMYFUNCTION("""COMPUTED_VALUE"""),32.0)</f>
        <v>32</v>
      </c>
      <c r="D80" s="68" t="str">
        <f>IFERROR(__xludf.DUMMYFUNCTION("""COMPUTED_VALUE"""),"Islam")</f>
        <v>Islam</v>
      </c>
      <c r="E80" s="67" t="str">
        <f>IFERROR(__xludf.DUMMYFUNCTION("""COMPUTED_VALUE"""),"CV. Adil Prima Perkasa")</f>
        <v>CV. Adil Prima Perkasa</v>
      </c>
      <c r="F80" s="67" t="str">
        <f>IFERROR(__xludf.DUMMYFUNCTION("""COMPUTED_VALUE"""),"OPERATOR EXCAVATOR")</f>
        <v>OPERATOR EXCAVATOR</v>
      </c>
      <c r="G80" s="67" t="str">
        <f>IFERROR(__xludf.DUMMYFUNCTION("""COMPUTED_VALUE"""),"PRODUKSI")</f>
        <v>PRODUKSI</v>
      </c>
      <c r="H80" s="67" t="str">
        <f>IFERROR(__xludf.DUMMYFUNCTION("""COMPUTED_VALUE"""),"[0102130003] PURNAWAN")</f>
        <v>[0102130003] PURNAWAN</v>
      </c>
      <c r="I80" s="69">
        <f>IFERROR(__xludf.DUMMYFUNCTION("""COMPUTED_VALUE"""),30628.0)</f>
        <v>30628</v>
      </c>
      <c r="J80" s="70" t="str">
        <f t="shared" si="1"/>
        <v>[208201189] ASRIADY</v>
      </c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</row>
    <row r="81">
      <c r="A81" s="67">
        <f>IFERROR(__xludf.DUMMYFUNCTION("""COMPUTED_VALUE"""),2.12221712E8)</f>
        <v>212221712</v>
      </c>
      <c r="B81" s="67" t="str">
        <f>IFERROR(__xludf.DUMMYFUNCTION("""COMPUTED_VALUE"""),"ASRIANTO")</f>
        <v>ASRIANTO</v>
      </c>
      <c r="C81" s="67">
        <f>IFERROR(__xludf.DUMMYFUNCTION("""COMPUTED_VALUE"""),30.0)</f>
        <v>30</v>
      </c>
      <c r="D81" s="68" t="str">
        <f>IFERROR(__xludf.DUMMYFUNCTION("""COMPUTED_VALUE"""),"Islam")</f>
        <v>Islam</v>
      </c>
      <c r="E81" s="67" t="str">
        <f>IFERROR(__xludf.DUMMYFUNCTION("""COMPUTED_VALUE"""),"CV. Adil Prima Perkasa")</f>
        <v>CV. Adil Prima Perkasa</v>
      </c>
      <c r="F81" s="67" t="str">
        <f>IFERROR(__xludf.DUMMYFUNCTION("""COMPUTED_VALUE"""),"DRIVER DT H700ZS")</f>
        <v>DRIVER DT H700ZS</v>
      </c>
      <c r="G81" s="67" t="str">
        <f>IFERROR(__xludf.DUMMYFUNCTION("""COMPUTED_VALUE"""),"KENDARAAN &amp; UNIT SUPPORT")</f>
        <v>KENDARAAN &amp; UNIT SUPPORT</v>
      </c>
      <c r="H81" s="67" t="str">
        <f>IFERROR(__xludf.DUMMYFUNCTION("""COMPUTED_VALUE"""),"[0102150004] NAFTALI RARE'A, ST")</f>
        <v>[0102150004] NAFTALI RARE'A, ST</v>
      </c>
      <c r="I81" s="69">
        <f>IFERROR(__xludf.DUMMYFUNCTION("""COMPUTED_VALUE"""),36828.0)</f>
        <v>36828</v>
      </c>
      <c r="J81" s="70" t="str">
        <f t="shared" si="1"/>
        <v>[212221712] ASRIANTO</v>
      </c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</row>
    <row r="82">
      <c r="A82" s="67">
        <f>IFERROR(__xludf.DUMMYFUNCTION("""COMPUTED_VALUE"""),1.12180619E8)</f>
        <v>112180619</v>
      </c>
      <c r="B82" s="67" t="str">
        <f>IFERROR(__xludf.DUMMYFUNCTION("""COMPUTED_VALUE"""),"ASRIN AHIMA")</f>
        <v>ASRIN AHIMA</v>
      </c>
      <c r="C82" s="67">
        <f>IFERROR(__xludf.DUMMYFUNCTION("""COMPUTED_VALUE"""),44.0)</f>
        <v>44</v>
      </c>
      <c r="D82" s="68" t="str">
        <f>IFERROR(__xludf.DUMMYFUNCTION("""COMPUTED_VALUE"""),"Islam")</f>
        <v>Islam</v>
      </c>
      <c r="E82" s="67" t="str">
        <f>IFERROR(__xludf.DUMMYFUNCTION("""COMPUTED_VALUE"""),"CV. SENTOSA ABADI")</f>
        <v>CV. SENTOSA ABADI</v>
      </c>
      <c r="F82" s="67" t="str">
        <f>IFERROR(__xludf.DUMMYFUNCTION("""COMPUTED_VALUE"""),"FOREMAN PRODUKSI")</f>
        <v>FOREMAN PRODUKSI</v>
      </c>
      <c r="G82" s="67" t="str">
        <f>IFERROR(__xludf.DUMMYFUNCTION("""COMPUTED_VALUE"""),"PRODUKSI")</f>
        <v>PRODUKSI</v>
      </c>
      <c r="H82" s="67" t="str">
        <f>IFERROR(__xludf.DUMMYFUNCTION("""COMPUTED_VALUE"""),"[0102130003] PURNAWAN")</f>
        <v>[0102130003] PURNAWAN</v>
      </c>
      <c r="I82" s="69"/>
      <c r="J82" s="70" t="str">
        <f t="shared" si="1"/>
        <v>[112180619] ASRIN AHIMA</v>
      </c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</row>
    <row r="83">
      <c r="A83" s="67">
        <f>IFERROR(__xludf.DUMMYFUNCTION("""COMPUTED_VALUE"""),2.02211342E8)</f>
        <v>202211342</v>
      </c>
      <c r="B83" s="67" t="str">
        <f>IFERROR(__xludf.DUMMYFUNCTION("""COMPUTED_VALUE"""),"ASRUL")</f>
        <v>ASRUL</v>
      </c>
      <c r="C83" s="67">
        <f>IFERROR(__xludf.DUMMYFUNCTION("""COMPUTED_VALUE"""),33.0)</f>
        <v>33</v>
      </c>
      <c r="D83" s="68" t="str">
        <f>IFERROR(__xludf.DUMMYFUNCTION("""COMPUTED_VALUE"""),"Islam")</f>
        <v>Islam</v>
      </c>
      <c r="E83" s="67" t="str">
        <f>IFERROR(__xludf.DUMMYFUNCTION("""COMPUTED_VALUE"""),"CV. Adil Prima Perkasa")</f>
        <v>CV. Adil Prima Perkasa</v>
      </c>
      <c r="F83" s="67" t="str">
        <f>IFERROR(__xludf.DUMMYFUNCTION("""COMPUTED_VALUE"""),"OPERATOR EXCAVATOR")</f>
        <v>OPERATOR EXCAVATOR</v>
      </c>
      <c r="G83" s="67" t="str">
        <f>IFERROR(__xludf.DUMMYFUNCTION("""COMPUTED_VALUE"""),"PRODUKSI")</f>
        <v>PRODUKSI</v>
      </c>
      <c r="H83" s="67" t="str">
        <f>IFERROR(__xludf.DUMMYFUNCTION("""COMPUTED_VALUE"""),"[0102130003] PURNAWAN")</f>
        <v>[0102130003] PURNAWAN</v>
      </c>
      <c r="I83" s="69">
        <f>IFERROR(__xludf.DUMMYFUNCTION("""COMPUTED_VALUE"""),31738.0)</f>
        <v>31738</v>
      </c>
      <c r="J83" s="70" t="str">
        <f t="shared" si="1"/>
        <v>[202211342] ASRUL</v>
      </c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</row>
    <row r="84">
      <c r="A84" s="67">
        <f>IFERROR(__xludf.DUMMYFUNCTION("""COMPUTED_VALUE"""),1.09201214E8)</f>
        <v>109201214</v>
      </c>
      <c r="B84" s="67" t="str">
        <f>IFERROR(__xludf.DUMMYFUNCTION("""COMPUTED_VALUE"""),"ASRUL SANDI")</f>
        <v>ASRUL SANDI</v>
      </c>
      <c r="C84" s="67">
        <f>IFERROR(__xludf.DUMMYFUNCTION("""COMPUTED_VALUE"""),28.0)</f>
        <v>28</v>
      </c>
      <c r="D84" s="68" t="str">
        <f>IFERROR(__xludf.DUMMYFUNCTION("""COMPUTED_VALUE"""),"Islam")</f>
        <v>Islam</v>
      </c>
      <c r="E84" s="67" t="str">
        <f>IFERROR(__xludf.DUMMYFUNCTION("""COMPUTED_VALUE"""),"CV. SENTOSA ABADI")</f>
        <v>CV. SENTOSA ABADI</v>
      </c>
      <c r="F84" s="67" t="str">
        <f>IFERROR(__xludf.DUMMYFUNCTION("""COMPUTED_VALUE"""),"OPERATOR EXCAVATOR")</f>
        <v>OPERATOR EXCAVATOR</v>
      </c>
      <c r="G84" s="67" t="str">
        <f>IFERROR(__xludf.DUMMYFUNCTION("""COMPUTED_VALUE"""),"PRODUKSI")</f>
        <v>PRODUKSI</v>
      </c>
      <c r="H84" s="67" t="str">
        <f>IFERROR(__xludf.DUMMYFUNCTION("""COMPUTED_VALUE"""),"[0102130003] PURNAWAN")</f>
        <v>[0102130003] PURNAWAN</v>
      </c>
      <c r="I84" s="69">
        <f>IFERROR(__xludf.DUMMYFUNCTION("""COMPUTED_VALUE"""),34990.0)</f>
        <v>34990</v>
      </c>
      <c r="J84" s="70" t="str">
        <f t="shared" si="1"/>
        <v>[109201214] ASRUL SANDI</v>
      </c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</row>
    <row r="85">
      <c r="A85" s="67">
        <f>IFERROR(__xludf.DUMMYFUNCTION("""COMPUTED_VALUE"""),2.12211551E8)</f>
        <v>212211551</v>
      </c>
      <c r="B85" s="67" t="str">
        <f>IFERROR(__xludf.DUMMYFUNCTION("""COMPUTED_VALUE"""),"ASSE")</f>
        <v>ASSE</v>
      </c>
      <c r="C85" s="67">
        <f>IFERROR(__xludf.DUMMYFUNCTION("""COMPUTED_VALUE"""),42.0)</f>
        <v>42</v>
      </c>
      <c r="D85" s="68" t="str">
        <f>IFERROR(__xludf.DUMMYFUNCTION("""COMPUTED_VALUE"""),"Islam")</f>
        <v>Islam</v>
      </c>
      <c r="E85" s="67" t="str">
        <f>IFERROR(__xludf.DUMMYFUNCTION("""COMPUTED_VALUE"""),"CV. Adil Prima Perkasa")</f>
        <v>CV. Adil Prima Perkasa</v>
      </c>
      <c r="F85" s="67" t="str">
        <f>IFERROR(__xludf.DUMMYFUNCTION("""COMPUTED_VALUE"""),"DRIVER DT H700ZY")</f>
        <v>DRIVER DT H700ZY</v>
      </c>
      <c r="G85" s="67" t="str">
        <f>IFERROR(__xludf.DUMMYFUNCTION("""COMPUTED_VALUE"""),"KENDARAAN &amp; UNIT SUPPORT")</f>
        <v>KENDARAAN &amp; UNIT SUPPORT</v>
      </c>
      <c r="H85" s="67" t="str">
        <f>IFERROR(__xludf.DUMMYFUNCTION("""COMPUTED_VALUE"""),"[0102150004] NAFTALI RARE'A, ST")</f>
        <v>[0102150004] NAFTALI RARE'A, ST</v>
      </c>
      <c r="I85" s="69">
        <f>IFERROR(__xludf.DUMMYFUNCTION("""COMPUTED_VALUE"""),31575.0)</f>
        <v>31575</v>
      </c>
      <c r="J85" s="70" t="str">
        <f t="shared" si="1"/>
        <v>[212211551] ASSE</v>
      </c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</row>
    <row r="86">
      <c r="A86" s="67">
        <f>IFERROR(__xludf.DUMMYFUNCTION("""COMPUTED_VALUE"""),1.12201311E8)</f>
        <v>112201311</v>
      </c>
      <c r="B86" s="67" t="str">
        <f>IFERROR(__xludf.DUMMYFUNCTION("""COMPUTED_VALUE"""),"ASTITI RAHAYU")</f>
        <v>ASTITI RAHAYU</v>
      </c>
      <c r="C86" s="67">
        <f>IFERROR(__xludf.DUMMYFUNCTION("""COMPUTED_VALUE"""),26.0)</f>
        <v>26</v>
      </c>
      <c r="D86" s="68" t="str">
        <f>IFERROR(__xludf.DUMMYFUNCTION("""COMPUTED_VALUE"""),"Islam")</f>
        <v>Islam</v>
      </c>
      <c r="E86" s="67" t="str">
        <f>IFERROR(__xludf.DUMMYFUNCTION("""COMPUTED_VALUE"""),"CV. SENTOSA ABADI")</f>
        <v>CV. SENTOSA ABADI</v>
      </c>
      <c r="F86" s="67" t="str">
        <f>IFERROR(__xludf.DUMMYFUNCTION("""COMPUTED_VALUE"""),"TREASURY (KASIR)")</f>
        <v>TREASURY (KASIR)</v>
      </c>
      <c r="G86" s="67" t="str">
        <f>IFERROR(__xludf.DUMMYFUNCTION("""COMPUTED_VALUE"""),"FINANCE")</f>
        <v>FINANCE</v>
      </c>
      <c r="H86" s="67" t="str">
        <f>IFERROR(__xludf.DUMMYFUNCTION("""COMPUTED_VALUE"""),"[0206189004] ALFRETH ALVIAN TIAKI")</f>
        <v>[0206189004] ALFRETH ALVIAN TIAKI</v>
      </c>
      <c r="I86" s="69"/>
      <c r="J86" s="70" t="str">
        <f t="shared" si="1"/>
        <v>[112201311] ASTITI RAHAYU</v>
      </c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</row>
    <row r="87">
      <c r="A87" s="67">
        <f>IFERROR(__xludf.DUMMYFUNCTION("""COMPUTED_VALUE"""),1.04211367E8)</f>
        <v>104211367</v>
      </c>
      <c r="B87" s="67" t="str">
        <f>IFERROR(__xludf.DUMMYFUNCTION("""COMPUTED_VALUE"""),"AWALUDIN")</f>
        <v>AWALUDIN</v>
      </c>
      <c r="C87" s="67">
        <f>IFERROR(__xludf.DUMMYFUNCTION("""COMPUTED_VALUE"""),28.0)</f>
        <v>28</v>
      </c>
      <c r="D87" s="68" t="str">
        <f>IFERROR(__xludf.DUMMYFUNCTION("""COMPUTED_VALUE"""),"Islam")</f>
        <v>Islam</v>
      </c>
      <c r="E87" s="67" t="str">
        <f>IFERROR(__xludf.DUMMYFUNCTION("""COMPUTED_VALUE"""),"CV. SENTOSA ABADI")</f>
        <v>CV. SENTOSA ABADI</v>
      </c>
      <c r="F87" s="67" t="str">
        <f>IFERROR(__xludf.DUMMYFUNCTION("""COMPUTED_VALUE"""),"DRIVER DT H700ZY")</f>
        <v>DRIVER DT H700ZY</v>
      </c>
      <c r="G87" s="67" t="str">
        <f>IFERROR(__xludf.DUMMYFUNCTION("""COMPUTED_VALUE"""),"KENDARAAN &amp; UNIT SUPPORT")</f>
        <v>KENDARAAN &amp; UNIT SUPPORT</v>
      </c>
      <c r="H87" s="67" t="str">
        <f>IFERROR(__xludf.DUMMYFUNCTION("""COMPUTED_VALUE"""),"[0102150004] NAFTALI RARE'A, ST")</f>
        <v>[0102150004] NAFTALI RARE'A, ST</v>
      </c>
      <c r="I87" s="69"/>
      <c r="J87" s="70" t="str">
        <f t="shared" si="1"/>
        <v>[104211367] AWALUDIN</v>
      </c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</row>
    <row r="88">
      <c r="A88" s="67">
        <f>IFERROR(__xludf.DUMMYFUNCTION("""COMPUTED_VALUE"""),1.072318E8)</f>
        <v>107231800</v>
      </c>
      <c r="B88" s="67" t="str">
        <f>IFERROR(__xludf.DUMMYFUNCTION("""COMPUTED_VALUE"""),"AWALUDIN MASAHENGKE")</f>
        <v>AWALUDIN MASAHENGKE</v>
      </c>
      <c r="C88" s="67">
        <f>IFERROR(__xludf.DUMMYFUNCTION("""COMPUTED_VALUE"""),47.0)</f>
        <v>47</v>
      </c>
      <c r="D88" s="68" t="str">
        <f>IFERROR(__xludf.DUMMYFUNCTION("""COMPUTED_VALUE"""),"Islam")</f>
        <v>Islam</v>
      </c>
      <c r="E88" s="67" t="str">
        <f>IFERROR(__xludf.DUMMYFUNCTION("""COMPUTED_VALUE"""),"CV. SENTOSA ABADI")</f>
        <v>CV. SENTOSA ABADI</v>
      </c>
      <c r="F88" s="67" t="str">
        <f>IFERROR(__xludf.DUMMYFUNCTION("""COMPUTED_VALUE"""),"SECURITY")</f>
        <v>SECURITY</v>
      </c>
      <c r="G88" s="67" t="str">
        <f>IFERROR(__xludf.DUMMYFUNCTION("""COMPUTED_VALUE"""),"HRD &amp; GA")</f>
        <v>HRD &amp; GA</v>
      </c>
      <c r="H88" s="67" t="str">
        <f>IFERROR(__xludf.DUMMYFUNCTION("""COMPUTED_VALUE"""),"[0108221664] DEVI SIMAN")</f>
        <v>[0108221664] DEVI SIMAN</v>
      </c>
      <c r="I88" s="69"/>
      <c r="J88" s="70" t="str">
        <f t="shared" si="1"/>
        <v>[107231800] AWALUDIN MASAHENGKE</v>
      </c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</row>
    <row r="89">
      <c r="A89" s="67">
        <f>IFERROR(__xludf.DUMMYFUNCTION("""COMPUTED_VALUE"""),2.05241936E8)</f>
        <v>205241936</v>
      </c>
      <c r="B89" s="67" t="str">
        <f>IFERROR(__xludf.DUMMYFUNCTION("""COMPUTED_VALUE"""),"AYUB")</f>
        <v>AYUB</v>
      </c>
      <c r="C89" s="67">
        <f>IFERROR(__xludf.DUMMYFUNCTION("""COMPUTED_VALUE"""),18.0)</f>
        <v>18</v>
      </c>
      <c r="D89" s="68" t="str">
        <f>IFERROR(__xludf.DUMMYFUNCTION("""COMPUTED_VALUE"""),"Islam")</f>
        <v>Islam</v>
      </c>
      <c r="E89" s="67" t="str">
        <f>IFERROR(__xludf.DUMMYFUNCTION("""COMPUTED_VALUE"""),"CV. Adil Prima Perkasa")</f>
        <v>CV. Adil Prima Perkasa</v>
      </c>
      <c r="F89" s="67" t="str">
        <f>IFERROR(__xludf.DUMMYFUNCTION("""COMPUTED_VALUE"""),"OFFICE BOY")</f>
        <v>OFFICE BOY</v>
      </c>
      <c r="G89" s="67" t="str">
        <f>IFERROR(__xludf.DUMMYFUNCTION("""COMPUTED_VALUE"""),"HRD &amp; GA")</f>
        <v>HRD &amp; GA</v>
      </c>
      <c r="H89" s="67" t="str">
        <f>IFERROR(__xludf.DUMMYFUNCTION("""COMPUTED_VALUE"""),"[0108191037] ERNIE FRISLIA")</f>
        <v>[0108191037] ERNIE FRISLIA</v>
      </c>
      <c r="I89" s="69"/>
      <c r="J89" s="70" t="str">
        <f t="shared" si="1"/>
        <v>[205241936] AYUB</v>
      </c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</row>
    <row r="90">
      <c r="A90" s="67"/>
      <c r="B90" s="67" t="str">
        <f>IFERROR(__xludf.DUMMYFUNCTION("""COMPUTED_VALUE"""),"Administrator")</f>
        <v>Administrator</v>
      </c>
      <c r="C90" s="67">
        <f>IFERROR(__xludf.DUMMYFUNCTION("""COMPUTED_VALUE"""),0.0)</f>
        <v>0</v>
      </c>
      <c r="D90" s="68"/>
      <c r="E90" s="67" t="str">
        <f>IFERROR(__xludf.DUMMYFUNCTION("""COMPUTED_VALUE"""),"CV. SENTOSA ABADI")</f>
        <v>CV. SENTOSA ABADI</v>
      </c>
      <c r="F90" s="67" t="str">
        <f>IFERROR(__xludf.DUMMYFUNCTION("""COMPUTED_VALUE"""),"FALSE")</f>
        <v>FALSE</v>
      </c>
      <c r="G90" s="67" t="str">
        <f>IFERROR(__xludf.DUMMYFUNCTION("""COMPUTED_VALUE"""),"FALSE")</f>
        <v>FALSE</v>
      </c>
      <c r="H90" s="67" t="str">
        <f>IFERROR(__xludf.DUMMYFUNCTION("""COMPUTED_VALUE"""),"FALSE")</f>
        <v>FALSE</v>
      </c>
      <c r="I90" s="69"/>
      <c r="J90" s="70" t="str">
        <f t="shared" si="1"/>
        <v>[] Administrator</v>
      </c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</row>
    <row r="91">
      <c r="A91" s="67">
        <f>IFERROR(__xludf.DUMMYFUNCTION("""COMPUTED_VALUE"""),2.08201204E8)</f>
        <v>208201204</v>
      </c>
      <c r="B91" s="67" t="str">
        <f>IFERROR(__xludf.DUMMYFUNCTION("""COMPUTED_VALUE"""),"BAHARUDDIN")</f>
        <v>BAHARUDDIN</v>
      </c>
      <c r="C91" s="67">
        <f>IFERROR(__xludf.DUMMYFUNCTION("""COMPUTED_VALUE"""),46.0)</f>
        <v>46</v>
      </c>
      <c r="D91" s="68" t="str">
        <f>IFERROR(__xludf.DUMMYFUNCTION("""COMPUTED_VALUE"""),"Islam")</f>
        <v>Islam</v>
      </c>
      <c r="E91" s="67" t="str">
        <f>IFERROR(__xludf.DUMMYFUNCTION("""COMPUTED_VALUE"""),"CV. Adil Prima Perkasa")</f>
        <v>CV. Adil Prima Perkasa</v>
      </c>
      <c r="F91" s="67" t="str">
        <f>IFERROR(__xludf.DUMMYFUNCTION("""COMPUTED_VALUE"""),"DRIVER DT H700ZY")</f>
        <v>DRIVER DT H700ZY</v>
      </c>
      <c r="G91" s="67" t="str">
        <f>IFERROR(__xludf.DUMMYFUNCTION("""COMPUTED_VALUE"""),"KENDARAAN &amp; UNIT SUPPORT")</f>
        <v>KENDARAAN &amp; UNIT SUPPORT</v>
      </c>
      <c r="H91" s="67" t="str">
        <f>IFERROR(__xludf.DUMMYFUNCTION("""COMPUTED_VALUE"""),"[0102150004] NAFTALI RARE'A, ST")</f>
        <v>[0102150004] NAFTALI RARE'A, ST</v>
      </c>
      <c r="I91" s="69">
        <f>IFERROR(__xludf.DUMMYFUNCTION("""COMPUTED_VALUE"""),28668.0)</f>
        <v>28668</v>
      </c>
      <c r="J91" s="70" t="str">
        <f t="shared" si="1"/>
        <v>[208201204] BAHARUDDIN</v>
      </c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</row>
    <row r="92">
      <c r="A92" s="67">
        <f>IFERROR(__xludf.DUMMYFUNCTION("""COMPUTED_VALUE"""),2.02221585E8)</f>
        <v>202221585</v>
      </c>
      <c r="B92" s="67" t="str">
        <f>IFERROR(__xludf.DUMMYFUNCTION("""COMPUTED_VALUE"""),"BAHARUDDIN")</f>
        <v>BAHARUDDIN</v>
      </c>
      <c r="C92" s="67">
        <f>IFERROR(__xludf.DUMMYFUNCTION("""COMPUTED_VALUE"""),30.0)</f>
        <v>30</v>
      </c>
      <c r="D92" s="68" t="str">
        <f>IFERROR(__xludf.DUMMYFUNCTION("""COMPUTED_VALUE"""),"Islam")</f>
        <v>Islam</v>
      </c>
      <c r="E92" s="67" t="str">
        <f>IFERROR(__xludf.DUMMYFUNCTION("""COMPUTED_VALUE"""),"CV. Adil Prima Perkasa")</f>
        <v>CV. Adil Prima Perkasa</v>
      </c>
      <c r="F92" s="67" t="str">
        <f>IFERROR(__xludf.DUMMYFUNCTION("""COMPUTED_VALUE"""),"CREW PREPARASI")</f>
        <v>CREW PREPARASI</v>
      </c>
      <c r="G92" s="67" t="str">
        <f>IFERROR(__xludf.DUMMYFUNCTION("""COMPUTED_VALUE"""),"GRADE CONTROL")</f>
        <v>GRADE CONTROL</v>
      </c>
      <c r="H92" s="67" t="str">
        <f>IFERROR(__xludf.DUMMYFUNCTION("""COMPUTED_VALUE"""),"[0107201164] A.CHRISTI ARI WIBOWO")</f>
        <v>[0107201164] A.CHRISTI ARI WIBOWO</v>
      </c>
      <c r="I92" s="69">
        <f>IFERROR(__xludf.DUMMYFUNCTION("""COMPUTED_VALUE"""),34447.0)</f>
        <v>34447</v>
      </c>
      <c r="J92" s="70" t="str">
        <f t="shared" si="1"/>
        <v>[202221585] BAHARUDDIN</v>
      </c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</row>
    <row r="93">
      <c r="A93" s="67">
        <f>IFERROR(__xludf.DUMMYFUNCTION("""COMPUTED_VALUE"""),1.04211366E8)</f>
        <v>104211366</v>
      </c>
      <c r="B93" s="67" t="str">
        <f>IFERROR(__xludf.DUMMYFUNCTION("""COMPUTED_VALUE"""),"BAHARUDIN")</f>
        <v>BAHARUDIN</v>
      </c>
      <c r="C93" s="67">
        <f>IFERROR(__xludf.DUMMYFUNCTION("""COMPUTED_VALUE"""),63.0)</f>
        <v>63</v>
      </c>
      <c r="D93" s="68" t="str">
        <f>IFERROR(__xludf.DUMMYFUNCTION("""COMPUTED_VALUE"""),"Islam")</f>
        <v>Islam</v>
      </c>
      <c r="E93" s="67" t="str">
        <f>IFERROR(__xludf.DUMMYFUNCTION("""COMPUTED_VALUE"""),"CV. SENTOSA ABADI")</f>
        <v>CV. SENTOSA ABADI</v>
      </c>
      <c r="F93" s="67" t="str">
        <f>IFERROR(__xludf.DUMMYFUNCTION("""COMPUTED_VALUE"""),"DRIVER DT")</f>
        <v>DRIVER DT</v>
      </c>
      <c r="G93" s="67" t="str">
        <f>IFERROR(__xludf.DUMMYFUNCTION("""COMPUTED_VALUE"""),"KENDARAAN &amp; UNIT SUPPORT")</f>
        <v>KENDARAAN &amp; UNIT SUPPORT</v>
      </c>
      <c r="H93" s="67" t="str">
        <f>IFERROR(__xludf.DUMMYFUNCTION("""COMPUTED_VALUE"""),"[0102150004] NAFTALI RARE'A, ST")</f>
        <v>[0102150004] NAFTALI RARE'A, ST</v>
      </c>
      <c r="I93" s="69">
        <f>IFERROR(__xludf.DUMMYFUNCTION("""COMPUTED_VALUE"""),26455.0)</f>
        <v>26455</v>
      </c>
      <c r="J93" s="70" t="str">
        <f t="shared" si="1"/>
        <v>[104211366] BAHARUDIN</v>
      </c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</row>
    <row r="94">
      <c r="A94" s="67">
        <f>IFERROR(__xludf.DUMMYFUNCTION("""COMPUTED_VALUE"""),2.08231826E8)</f>
        <v>208231826</v>
      </c>
      <c r="B94" s="67" t="str">
        <f>IFERROR(__xludf.DUMMYFUNCTION("""COMPUTED_VALUE"""),"BAHRI")</f>
        <v>BAHRI</v>
      </c>
      <c r="C94" s="67">
        <f>IFERROR(__xludf.DUMMYFUNCTION("""COMPUTED_VALUE"""),31.0)</f>
        <v>31</v>
      </c>
      <c r="D94" s="68" t="str">
        <f>IFERROR(__xludf.DUMMYFUNCTION("""COMPUTED_VALUE"""),"Islam")</f>
        <v>Islam</v>
      </c>
      <c r="E94" s="67" t="str">
        <f>IFERROR(__xludf.DUMMYFUNCTION("""COMPUTED_VALUE"""),"CV. Adil Prima Perkasa")</f>
        <v>CV. Adil Prima Perkasa</v>
      </c>
      <c r="F94" s="67" t="str">
        <f>IFERROR(__xludf.DUMMYFUNCTION("""COMPUTED_VALUE"""),"DRIVER DT H500")</f>
        <v>DRIVER DT H500</v>
      </c>
      <c r="G94" s="67" t="str">
        <f>IFERROR(__xludf.DUMMYFUNCTION("""COMPUTED_VALUE"""),"KENDARAAN &amp; UNIT SUPPORT")</f>
        <v>KENDARAAN &amp; UNIT SUPPORT</v>
      </c>
      <c r="H94" s="67" t="str">
        <f>IFERROR(__xludf.DUMMYFUNCTION("""COMPUTED_VALUE"""),"[0102150004] NAFTALI RARE'A, ST")</f>
        <v>[0102150004] NAFTALI RARE'A, ST</v>
      </c>
      <c r="I94" s="69">
        <f>IFERROR(__xludf.DUMMYFUNCTION("""COMPUTED_VALUE"""),31361.0)</f>
        <v>31361</v>
      </c>
      <c r="J94" s="70" t="str">
        <f t="shared" si="1"/>
        <v>[208231826] BAHRI</v>
      </c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</row>
    <row r="95">
      <c r="A95" s="67">
        <f>IFERROR(__xludf.DUMMYFUNCTION("""COMPUTED_VALUE"""),2.03231734E8)</f>
        <v>203231734</v>
      </c>
      <c r="B95" s="67" t="str">
        <f>IFERROR(__xludf.DUMMYFUNCTION("""COMPUTED_VALUE"""),"BAKRI")</f>
        <v>BAKRI</v>
      </c>
      <c r="C95" s="67">
        <f>IFERROR(__xludf.DUMMYFUNCTION("""COMPUTED_VALUE"""),27.0)</f>
        <v>27</v>
      </c>
      <c r="D95" s="68" t="str">
        <f>IFERROR(__xludf.DUMMYFUNCTION("""COMPUTED_VALUE"""),"Islam")</f>
        <v>Islam</v>
      </c>
      <c r="E95" s="67" t="str">
        <f>IFERROR(__xludf.DUMMYFUNCTION("""COMPUTED_VALUE"""),"CV. Adil Prima Perkasa")</f>
        <v>CV. Adil Prima Perkasa</v>
      </c>
      <c r="F95" s="67" t="str">
        <f>IFERROR(__xludf.DUMMYFUNCTION("""COMPUTED_VALUE"""),"DRIVER DT H700ZS")</f>
        <v>DRIVER DT H700ZS</v>
      </c>
      <c r="G95" s="67" t="str">
        <f>IFERROR(__xludf.DUMMYFUNCTION("""COMPUTED_VALUE"""),"KENDARAAN &amp; UNIT SUPPORT")</f>
        <v>KENDARAAN &amp; UNIT SUPPORT</v>
      </c>
      <c r="H95" s="67" t="str">
        <f>IFERROR(__xludf.DUMMYFUNCTION("""COMPUTED_VALUE"""),"[0102150004] NAFTALI RARE'A, ST")</f>
        <v>[0102150004] NAFTALI RARE'A, ST</v>
      </c>
      <c r="I95" s="69">
        <f>IFERROR(__xludf.DUMMYFUNCTION("""COMPUTED_VALUE"""),35795.0)</f>
        <v>35795</v>
      </c>
      <c r="J95" s="70" t="str">
        <f t="shared" si="1"/>
        <v>[203231734] BAKRI</v>
      </c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</row>
    <row r="96">
      <c r="A96" s="67">
        <f>IFERROR(__xludf.DUMMYFUNCTION("""COMPUTED_VALUE"""),3.01210042E8)</f>
        <v>301210042</v>
      </c>
      <c r="B96" s="67" t="str">
        <f>IFERROR(__xludf.DUMMYFUNCTION("""COMPUTED_VALUE"""),"BAMBANG")</f>
        <v>BAMBANG</v>
      </c>
      <c r="C96" s="67">
        <f>IFERROR(__xludf.DUMMYFUNCTION("""COMPUTED_VALUE"""),45.0)</f>
        <v>45</v>
      </c>
      <c r="D96" s="68" t="str">
        <f>IFERROR(__xludf.DUMMYFUNCTION("""COMPUTED_VALUE"""),"Islam")</f>
        <v>Islam</v>
      </c>
      <c r="E96" s="67" t="str">
        <f>IFERROR(__xludf.DUMMYFUNCTION("""COMPUTED_VALUE"""),"CV. Monalisa")</f>
        <v>CV. Monalisa</v>
      </c>
      <c r="F96" s="67" t="str">
        <f>IFERROR(__xludf.DUMMYFUNCTION("""COMPUTED_VALUE"""),"OPERATOR EXCAVATOR")</f>
        <v>OPERATOR EXCAVATOR</v>
      </c>
      <c r="G96" s="67" t="str">
        <f>IFERROR(__xludf.DUMMYFUNCTION("""COMPUTED_VALUE"""),"PRODUKSI")</f>
        <v>PRODUKSI</v>
      </c>
      <c r="H96" s="67" t="str">
        <f>IFERROR(__xludf.DUMMYFUNCTION("""COMPUTED_VALUE"""),"[0102130003] PURNAWAN")</f>
        <v>[0102130003] PURNAWAN</v>
      </c>
      <c r="I96" s="69">
        <f>IFERROR(__xludf.DUMMYFUNCTION("""COMPUTED_VALUE"""),32486.0)</f>
        <v>32486</v>
      </c>
      <c r="J96" s="70" t="str">
        <f t="shared" si="1"/>
        <v>[301210042] BAMBANG</v>
      </c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</row>
    <row r="97">
      <c r="A97" s="67">
        <f>IFERROR(__xludf.DUMMYFUNCTION("""COMPUTED_VALUE"""),2.11201297E8)</f>
        <v>211201297</v>
      </c>
      <c r="B97" s="67" t="str">
        <f>IFERROR(__xludf.DUMMYFUNCTION("""COMPUTED_VALUE"""),"BARTOLOMEUS")</f>
        <v>BARTOLOMEUS</v>
      </c>
      <c r="C97" s="67">
        <f>IFERROR(__xludf.DUMMYFUNCTION("""COMPUTED_VALUE"""),39.0)</f>
        <v>39</v>
      </c>
      <c r="D97" s="68" t="str">
        <f>IFERROR(__xludf.DUMMYFUNCTION("""COMPUTED_VALUE"""),"Kristen Khatolik")</f>
        <v>Kristen Khatolik</v>
      </c>
      <c r="E97" s="67" t="str">
        <f>IFERROR(__xludf.DUMMYFUNCTION("""COMPUTED_VALUE"""),"CV. Adil Prima Perkasa")</f>
        <v>CV. Adil Prima Perkasa</v>
      </c>
      <c r="F97" s="67" t="str">
        <f>IFERROR(__xludf.DUMMYFUNCTION("""COMPUTED_VALUE"""),"DRIVER DT H700ZY")</f>
        <v>DRIVER DT H700ZY</v>
      </c>
      <c r="G97" s="67" t="str">
        <f>IFERROR(__xludf.DUMMYFUNCTION("""COMPUTED_VALUE"""),"KENDARAAN &amp; UNIT SUPPORT")</f>
        <v>KENDARAAN &amp; UNIT SUPPORT</v>
      </c>
      <c r="H97" s="67" t="str">
        <f>IFERROR(__xludf.DUMMYFUNCTION("""COMPUTED_VALUE"""),"[0102150004] NAFTALI RARE'A, ST")</f>
        <v>[0102150004] NAFTALI RARE'A, ST</v>
      </c>
      <c r="I97" s="69"/>
      <c r="J97" s="70" t="str">
        <f t="shared" si="1"/>
        <v>[211201297] BARTOLOMEUS</v>
      </c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</row>
    <row r="98">
      <c r="A98" s="67">
        <f>IFERROR(__xludf.DUMMYFUNCTION("""COMPUTED_VALUE"""),2.08231814E8)</f>
        <v>208231814</v>
      </c>
      <c r="B98" s="67" t="str">
        <f>IFERROR(__xludf.DUMMYFUNCTION("""COMPUTED_VALUE"""),"BENO SANDA TODING")</f>
        <v>BENO SANDA TODING</v>
      </c>
      <c r="C98" s="67">
        <f>IFERROR(__xludf.DUMMYFUNCTION("""COMPUTED_VALUE"""),32.0)</f>
        <v>32</v>
      </c>
      <c r="D98" s="68" t="str">
        <f>IFERROR(__xludf.DUMMYFUNCTION("""COMPUTED_VALUE"""),"Kristen Khatolik")</f>
        <v>Kristen Khatolik</v>
      </c>
      <c r="E98" s="67" t="str">
        <f>IFERROR(__xludf.DUMMYFUNCTION("""COMPUTED_VALUE"""),"CV. Adil Prima Perkasa")</f>
        <v>CV. Adil Prima Perkasa</v>
      </c>
      <c r="F98" s="67" t="str">
        <f>IFERROR(__xludf.DUMMYFUNCTION("""COMPUTED_VALUE"""),"OPERATOR EXCAVATOR")</f>
        <v>OPERATOR EXCAVATOR</v>
      </c>
      <c r="G98" s="67" t="str">
        <f>IFERROR(__xludf.DUMMYFUNCTION("""COMPUTED_VALUE"""),"PRODUKSI")</f>
        <v>PRODUKSI</v>
      </c>
      <c r="H98" s="67" t="str">
        <f>IFERROR(__xludf.DUMMYFUNCTION("""COMPUTED_VALUE"""),"[0102130003] PURNAWAN")</f>
        <v>[0102130003] PURNAWAN</v>
      </c>
      <c r="I98" s="69"/>
      <c r="J98" s="70" t="str">
        <f t="shared" si="1"/>
        <v>[208231814] BENO SANDA TODING</v>
      </c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</row>
    <row r="99">
      <c r="A99" s="67">
        <f>IFERROR(__xludf.DUMMYFUNCTION("""COMPUTED_VALUE"""),2.03231739E8)</f>
        <v>203231739</v>
      </c>
      <c r="B99" s="67" t="str">
        <f>IFERROR(__xludf.DUMMYFUNCTION("""COMPUTED_VALUE"""),"BENYAMIN BUTTU")</f>
        <v>BENYAMIN BUTTU</v>
      </c>
      <c r="C99" s="67">
        <f>IFERROR(__xludf.DUMMYFUNCTION("""COMPUTED_VALUE"""),50.0)</f>
        <v>50</v>
      </c>
      <c r="D99" s="68" t="str">
        <f>IFERROR(__xludf.DUMMYFUNCTION("""COMPUTED_VALUE"""),"Kristen Protestan")</f>
        <v>Kristen Protestan</v>
      </c>
      <c r="E99" s="67" t="str">
        <f>IFERROR(__xludf.DUMMYFUNCTION("""COMPUTED_VALUE"""),"CV. Adil Prima Perkasa")</f>
        <v>CV. Adil Prima Perkasa</v>
      </c>
      <c r="F99" s="67" t="str">
        <f>IFERROR(__xludf.DUMMYFUNCTION("""COMPUTED_VALUE"""),"MEKANIK")</f>
        <v>MEKANIK</v>
      </c>
      <c r="G99" s="67" t="str">
        <f>IFERROR(__xludf.DUMMYFUNCTION("""COMPUTED_VALUE"""),"WORKSHOP")</f>
        <v>WORKSHOP</v>
      </c>
      <c r="H99" s="67" t="str">
        <f>IFERROR(__xludf.DUMMYFUNCTION("""COMPUTED_VALUE"""),"[0106190928] NATAN KONDO")</f>
        <v>[0106190928] NATAN KONDO</v>
      </c>
      <c r="I99" s="69">
        <f>IFERROR(__xludf.DUMMYFUNCTION("""COMPUTED_VALUE"""),28843.0)</f>
        <v>28843</v>
      </c>
      <c r="J99" s="70" t="str">
        <f t="shared" si="1"/>
        <v>[203231739] BENYAMIN BUTTU</v>
      </c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</row>
    <row r="100">
      <c r="A100" s="67">
        <f>IFERROR(__xludf.DUMMYFUNCTION("""COMPUTED_VALUE"""),1.08211459E8)</f>
        <v>108211459</v>
      </c>
      <c r="B100" s="67" t="str">
        <f>IFERROR(__xludf.DUMMYFUNCTION("""COMPUTED_VALUE"""),"BOBBY TUMBOL")</f>
        <v>BOBBY TUMBOL</v>
      </c>
      <c r="C100" s="67">
        <f>IFERROR(__xludf.DUMMYFUNCTION("""COMPUTED_VALUE"""),53.0)</f>
        <v>53</v>
      </c>
      <c r="D100" s="68" t="str">
        <f>IFERROR(__xludf.DUMMYFUNCTION("""COMPUTED_VALUE"""),"Kristen Protestan")</f>
        <v>Kristen Protestan</v>
      </c>
      <c r="E100" s="67" t="str">
        <f>IFERROR(__xludf.DUMMYFUNCTION("""COMPUTED_VALUE"""),"CV. SENTOSA ABADI")</f>
        <v>CV. SENTOSA ABADI</v>
      </c>
      <c r="F100" s="67" t="str">
        <f>IFERROR(__xludf.DUMMYFUNCTION("""COMPUTED_VALUE"""),"DRIVER DT H700ZY")</f>
        <v>DRIVER DT H700ZY</v>
      </c>
      <c r="G100" s="67" t="str">
        <f>IFERROR(__xludf.DUMMYFUNCTION("""COMPUTED_VALUE"""),"KENDARAAN &amp; UNIT SUPPORT")</f>
        <v>KENDARAAN &amp; UNIT SUPPORT</v>
      </c>
      <c r="H100" s="67" t="str">
        <f>IFERROR(__xludf.DUMMYFUNCTION("""COMPUTED_VALUE"""),"[0102150004] NAFTALI RARE'A, ST")</f>
        <v>[0102150004] NAFTALI RARE'A, ST</v>
      </c>
      <c r="I100" s="69">
        <f>IFERROR(__xludf.DUMMYFUNCTION("""COMPUTED_VALUE"""),26435.0)</f>
        <v>26435</v>
      </c>
      <c r="J100" s="70" t="str">
        <f t="shared" si="1"/>
        <v>[108211459] BOBBY TUMBOL</v>
      </c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</row>
    <row r="101">
      <c r="A101" s="67">
        <f>IFERROR(__xludf.DUMMYFUNCTION("""COMPUTED_VALUE"""),1.05130051E8)</f>
        <v>105130051</v>
      </c>
      <c r="B101" s="67" t="str">
        <f>IFERROR(__xludf.DUMMYFUNCTION("""COMPUTED_VALUE"""),"BOBI YAENTU")</f>
        <v>BOBI YAENTU</v>
      </c>
      <c r="C101" s="67">
        <f>IFERROR(__xludf.DUMMYFUNCTION("""COMPUTED_VALUE"""),42.0)</f>
        <v>42</v>
      </c>
      <c r="D101" s="68" t="str">
        <f>IFERROR(__xludf.DUMMYFUNCTION("""COMPUTED_VALUE"""),"Kristen Protestan")</f>
        <v>Kristen Protestan</v>
      </c>
      <c r="E101" s="67" t="str">
        <f>IFERROR(__xludf.DUMMYFUNCTION("""COMPUTED_VALUE"""),"CV. SENTOSA ABADI")</f>
        <v>CV. SENTOSA ABADI</v>
      </c>
      <c r="F101" s="67" t="str">
        <f>IFERROR(__xludf.DUMMYFUNCTION("""COMPUTED_VALUE"""),"HEAD OF WELDER")</f>
        <v>HEAD OF WELDER</v>
      </c>
      <c r="G101" s="67" t="str">
        <f>IFERROR(__xludf.DUMMYFUNCTION("""COMPUTED_VALUE"""),"WORKSHOP")</f>
        <v>WORKSHOP</v>
      </c>
      <c r="H101" s="67" t="str">
        <f>IFERROR(__xludf.DUMMYFUNCTION("""COMPUTED_VALUE"""),"[0106190928] NATAN KONDO")</f>
        <v>[0106190928] NATAN KONDO</v>
      </c>
      <c r="I101" s="69"/>
      <c r="J101" s="70" t="str">
        <f t="shared" si="1"/>
        <v>[105130051] BOBI YAENTU</v>
      </c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</row>
    <row r="102">
      <c r="A102" s="67">
        <f>IFERROR(__xludf.DUMMYFUNCTION("""COMPUTED_VALUE"""),2.01221569E8)</f>
        <v>201221569</v>
      </c>
      <c r="B102" s="67" t="str">
        <f>IFERROR(__xludf.DUMMYFUNCTION("""COMPUTED_VALUE"""),"BUNASE")</f>
        <v>BUNASE</v>
      </c>
      <c r="C102" s="67">
        <f>IFERROR(__xludf.DUMMYFUNCTION("""COMPUTED_VALUE"""),45.0)</f>
        <v>45</v>
      </c>
      <c r="D102" s="68" t="str">
        <f>IFERROR(__xludf.DUMMYFUNCTION("""COMPUTED_VALUE"""),"Islam")</f>
        <v>Islam</v>
      </c>
      <c r="E102" s="67" t="str">
        <f>IFERROR(__xludf.DUMMYFUNCTION("""COMPUTED_VALUE"""),"CV. Adil Prima Perkasa")</f>
        <v>CV. Adil Prima Perkasa</v>
      </c>
      <c r="F102" s="67" t="str">
        <f>IFERROR(__xludf.DUMMYFUNCTION("""COMPUTED_VALUE"""),"DRIVER DT H700ZY")</f>
        <v>DRIVER DT H700ZY</v>
      </c>
      <c r="G102" s="67" t="str">
        <f>IFERROR(__xludf.DUMMYFUNCTION("""COMPUTED_VALUE"""),"KENDARAAN &amp; UNIT SUPPORT")</f>
        <v>KENDARAAN &amp; UNIT SUPPORT</v>
      </c>
      <c r="H102" s="67" t="str">
        <f>IFERROR(__xludf.DUMMYFUNCTION("""COMPUTED_VALUE"""),"[0102150004] NAFTALI RARE'A, ST")</f>
        <v>[0102150004] NAFTALI RARE'A, ST</v>
      </c>
      <c r="I102" s="69">
        <f>IFERROR(__xludf.DUMMYFUNCTION("""COMPUTED_VALUE"""),31763.0)</f>
        <v>31763</v>
      </c>
      <c r="J102" s="70" t="str">
        <f t="shared" si="1"/>
        <v>[201221569] BUNASE</v>
      </c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</row>
    <row r="103">
      <c r="A103" s="67">
        <f>IFERROR(__xludf.DUMMYFUNCTION("""COMPUTED_VALUE"""),1.12191115E8)</f>
        <v>112191115</v>
      </c>
      <c r="B103" s="67" t="str">
        <f>IFERROR(__xludf.DUMMYFUNCTION("""COMPUTED_VALUE"""),"BUSMAN")</f>
        <v>BUSMAN</v>
      </c>
      <c r="C103" s="67">
        <f>IFERROR(__xludf.DUMMYFUNCTION("""COMPUTED_VALUE"""),49.0)</f>
        <v>49</v>
      </c>
      <c r="D103" s="68" t="str">
        <f>IFERROR(__xludf.DUMMYFUNCTION("""COMPUTED_VALUE"""),"Islam")</f>
        <v>Islam</v>
      </c>
      <c r="E103" s="67" t="str">
        <f>IFERROR(__xludf.DUMMYFUNCTION("""COMPUTED_VALUE"""),"CV. SENTOSA ABADI")</f>
        <v>CV. SENTOSA ABADI</v>
      </c>
      <c r="F103" s="67" t="str">
        <f>IFERROR(__xludf.DUMMYFUNCTION("""COMPUTED_VALUE"""),"DRIVER DT H700ZY")</f>
        <v>DRIVER DT H700ZY</v>
      </c>
      <c r="G103" s="67" t="str">
        <f>IFERROR(__xludf.DUMMYFUNCTION("""COMPUTED_VALUE"""),"KENDARAAN &amp; UNIT SUPPORT")</f>
        <v>KENDARAAN &amp; UNIT SUPPORT</v>
      </c>
      <c r="H103" s="67" t="str">
        <f>IFERROR(__xludf.DUMMYFUNCTION("""COMPUTED_VALUE"""),"[0102150004] NAFTALI RARE'A, ST")</f>
        <v>[0102150004] NAFTALI RARE'A, ST</v>
      </c>
      <c r="I103" s="69"/>
      <c r="J103" s="70" t="str">
        <f t="shared" si="1"/>
        <v>[112191115] BUSMAN</v>
      </c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</row>
    <row r="104">
      <c r="A104" s="67">
        <f>IFERROR(__xludf.DUMMYFUNCTION("""COMPUTED_VALUE"""),2.09150698E8)</f>
        <v>209150698</v>
      </c>
      <c r="B104" s="67" t="str">
        <f>IFERROR(__xludf.DUMMYFUNCTION("""COMPUTED_VALUE"""),"BUSTAN")</f>
        <v>BUSTAN</v>
      </c>
      <c r="C104" s="67">
        <f>IFERROR(__xludf.DUMMYFUNCTION("""COMPUTED_VALUE"""),46.0)</f>
        <v>46</v>
      </c>
      <c r="D104" s="68" t="str">
        <f>IFERROR(__xludf.DUMMYFUNCTION("""COMPUTED_VALUE"""),"Islam")</f>
        <v>Islam</v>
      </c>
      <c r="E104" s="67" t="str">
        <f>IFERROR(__xludf.DUMMYFUNCTION("""COMPUTED_VALUE"""),"CV. Adil Prima Perkasa")</f>
        <v>CV. Adil Prima Perkasa</v>
      </c>
      <c r="F104" s="67" t="str">
        <f>IFERROR(__xludf.DUMMYFUNCTION("""COMPUTED_VALUE"""),"DRIVER DT H700ZY")</f>
        <v>DRIVER DT H700ZY</v>
      </c>
      <c r="G104" s="67" t="str">
        <f>IFERROR(__xludf.DUMMYFUNCTION("""COMPUTED_VALUE"""),"KENDARAAN &amp; UNIT SUPPORT")</f>
        <v>KENDARAAN &amp; UNIT SUPPORT</v>
      </c>
      <c r="H104" s="67" t="str">
        <f>IFERROR(__xludf.DUMMYFUNCTION("""COMPUTED_VALUE"""),"[0102150004] NAFTALI RARE'A, ST")</f>
        <v>[0102150004] NAFTALI RARE'A, ST</v>
      </c>
      <c r="I104" s="69">
        <f>IFERROR(__xludf.DUMMYFUNCTION("""COMPUTED_VALUE"""),29512.0)</f>
        <v>29512</v>
      </c>
      <c r="J104" s="70" t="str">
        <f t="shared" si="1"/>
        <v>[209150698] BUSTAN</v>
      </c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</row>
    <row r="105">
      <c r="A105" s="67">
        <f>IFERROR(__xludf.DUMMYFUNCTION("""COMPUTED_VALUE"""),2.07231812E8)</f>
        <v>207231812</v>
      </c>
      <c r="B105" s="67" t="str">
        <f>IFERROR(__xludf.DUMMYFUNCTION("""COMPUTED_VALUE"""),"CHANDRA KRISTOVEL LORE")</f>
        <v>CHANDRA KRISTOVEL LORE</v>
      </c>
      <c r="C105" s="67">
        <f>IFERROR(__xludf.DUMMYFUNCTION("""COMPUTED_VALUE"""),33.0)</f>
        <v>33</v>
      </c>
      <c r="D105" s="68" t="str">
        <f>IFERROR(__xludf.DUMMYFUNCTION("""COMPUTED_VALUE"""),"Kristen Protestan")</f>
        <v>Kristen Protestan</v>
      </c>
      <c r="E105" s="67" t="str">
        <f>IFERROR(__xludf.DUMMYFUNCTION("""COMPUTED_VALUE"""),"CV. Adil Prima Perkasa")</f>
        <v>CV. Adil Prima Perkasa</v>
      </c>
      <c r="F105" s="67" t="str">
        <f>IFERROR(__xludf.DUMMYFUNCTION("""COMPUTED_VALUE"""),"DRIVER LV")</f>
        <v>DRIVER LV</v>
      </c>
      <c r="G105" s="67" t="str">
        <f>IFERROR(__xludf.DUMMYFUNCTION("""COMPUTED_VALUE"""),"KENDARAAN &amp; UNIT SUPPORT")</f>
        <v>KENDARAAN &amp; UNIT SUPPORT</v>
      </c>
      <c r="H105" s="67" t="str">
        <f>IFERROR(__xludf.DUMMYFUNCTION("""COMPUTED_VALUE"""),"[0102150004] NAFTALI RARE'A, ST")</f>
        <v>[0102150004] NAFTALI RARE'A, ST</v>
      </c>
      <c r="I105" s="69"/>
      <c r="J105" s="70" t="str">
        <f t="shared" si="1"/>
        <v>[207231812] CHANDRA KRISTOVEL LORE</v>
      </c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</row>
    <row r="106">
      <c r="A106" s="67">
        <f>IFERROR(__xludf.DUMMYFUNCTION("""COMPUTED_VALUE"""),2.05241925E8)</f>
        <v>205241925</v>
      </c>
      <c r="B106" s="67" t="str">
        <f>IFERROR(__xludf.DUMMYFUNCTION("""COMPUTED_VALUE"""),"CORNELIUS RANNU RASYD")</f>
        <v>CORNELIUS RANNU RASYD</v>
      </c>
      <c r="C106" s="67">
        <f>IFERROR(__xludf.DUMMYFUNCTION("""COMPUTED_VALUE"""),37.0)</f>
        <v>37</v>
      </c>
      <c r="D106" s="68" t="str">
        <f>IFERROR(__xludf.DUMMYFUNCTION("""COMPUTED_VALUE"""),"Kristen Protestan")</f>
        <v>Kristen Protestan</v>
      </c>
      <c r="E106" s="67" t="str">
        <f>IFERROR(__xludf.DUMMYFUNCTION("""COMPUTED_VALUE"""),"CV. Adil Prima Perkasa")</f>
        <v>CV. Adil Prima Perkasa</v>
      </c>
      <c r="F106" s="67" t="str">
        <f>IFERROR(__xludf.DUMMYFUNCTION("""COMPUTED_VALUE"""),"DRIVER DT H500")</f>
        <v>DRIVER DT H500</v>
      </c>
      <c r="G106" s="67" t="str">
        <f>IFERROR(__xludf.DUMMYFUNCTION("""COMPUTED_VALUE"""),"KENDARAAN &amp; UNIT SUPPORT")</f>
        <v>KENDARAAN &amp; UNIT SUPPORT</v>
      </c>
      <c r="H106" s="67" t="str">
        <f>IFERROR(__xludf.DUMMYFUNCTION("""COMPUTED_VALUE"""),"[0102150004] NAFTALI RARE'A, ST")</f>
        <v>[0102150004] NAFTALI RARE'A, ST</v>
      </c>
      <c r="I106" s="69"/>
      <c r="J106" s="70" t="str">
        <f t="shared" si="1"/>
        <v>[205241925] CORNELIUS RANNU RASYD</v>
      </c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</row>
    <row r="107">
      <c r="A107" s="67">
        <f>IFERROR(__xludf.DUMMYFUNCTION("""COMPUTED_VALUE"""),2.07231802E8)</f>
        <v>207231802</v>
      </c>
      <c r="B107" s="67" t="str">
        <f>IFERROR(__xludf.DUMMYFUNCTION("""COMPUTED_VALUE"""),"CRISMAN PAMUSU")</f>
        <v>CRISMAN PAMUSU</v>
      </c>
      <c r="C107" s="67">
        <f>IFERROR(__xludf.DUMMYFUNCTION("""COMPUTED_VALUE"""),22.0)</f>
        <v>22</v>
      </c>
      <c r="D107" s="68" t="str">
        <f>IFERROR(__xludf.DUMMYFUNCTION("""COMPUTED_VALUE"""),"Kristen Protestan")</f>
        <v>Kristen Protestan</v>
      </c>
      <c r="E107" s="67" t="str">
        <f>IFERROR(__xludf.DUMMYFUNCTION("""COMPUTED_VALUE"""),"CV. Adil Prima Perkasa")</f>
        <v>CV. Adil Prima Perkasa</v>
      </c>
      <c r="F107" s="67" t="str">
        <f>IFERROR(__xludf.DUMMYFUNCTION("""COMPUTED_VALUE"""),"BAGIAN UMUM")</f>
        <v>BAGIAN UMUM</v>
      </c>
      <c r="G107" s="67" t="str">
        <f>IFERROR(__xludf.DUMMYFUNCTION("""COMPUTED_VALUE"""),"HRD &amp; GA")</f>
        <v>HRD &amp; GA</v>
      </c>
      <c r="H107" s="67" t="str">
        <f>IFERROR(__xludf.DUMMYFUNCTION("""COMPUTED_VALUE"""),"[0108191037] ERNIE FRISLIA")</f>
        <v>[0108191037] ERNIE FRISLIA</v>
      </c>
      <c r="I107" s="69"/>
      <c r="J107" s="70" t="str">
        <f t="shared" si="1"/>
        <v>[207231802] CRISMAN PAMUSU</v>
      </c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</row>
    <row r="108">
      <c r="A108" s="67">
        <f>IFERROR(__xludf.DUMMYFUNCTION("""COMPUTED_VALUE"""),1.10211509E8)</f>
        <v>110211509</v>
      </c>
      <c r="B108" s="67" t="str">
        <f>IFERROR(__xludf.DUMMYFUNCTION("""COMPUTED_VALUE"""),"DAHLAN BIN RABBI")</f>
        <v>DAHLAN BIN RABBI</v>
      </c>
      <c r="C108" s="67">
        <f>IFERROR(__xludf.DUMMYFUNCTION("""COMPUTED_VALUE"""),46.0)</f>
        <v>46</v>
      </c>
      <c r="D108" s="68" t="str">
        <f>IFERROR(__xludf.DUMMYFUNCTION("""COMPUTED_VALUE"""),"Islam")</f>
        <v>Islam</v>
      </c>
      <c r="E108" s="67" t="str">
        <f>IFERROR(__xludf.DUMMYFUNCTION("""COMPUTED_VALUE"""),"CV. SENTOSA ABADI")</f>
        <v>CV. SENTOSA ABADI</v>
      </c>
      <c r="F108" s="67" t="str">
        <f>IFERROR(__xludf.DUMMYFUNCTION("""COMPUTED_VALUE"""),"DRIVER DT H700ZY")</f>
        <v>DRIVER DT H700ZY</v>
      </c>
      <c r="G108" s="67" t="str">
        <f>IFERROR(__xludf.DUMMYFUNCTION("""COMPUTED_VALUE"""),"KENDARAAN &amp; UNIT SUPPORT")</f>
        <v>KENDARAAN &amp; UNIT SUPPORT</v>
      </c>
      <c r="H108" s="67" t="str">
        <f>IFERROR(__xludf.DUMMYFUNCTION("""COMPUTED_VALUE"""),"[0102150004] NAFTALI RARE'A, ST")</f>
        <v>[0102150004] NAFTALI RARE'A, ST</v>
      </c>
      <c r="I108" s="69">
        <f>IFERROR(__xludf.DUMMYFUNCTION("""COMPUTED_VALUE"""),29428.0)</f>
        <v>29428</v>
      </c>
      <c r="J108" s="70" t="str">
        <f t="shared" si="1"/>
        <v>[110211509] DAHLAN BIN RABBI</v>
      </c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</row>
    <row r="109">
      <c r="A109" s="67">
        <f>IFERROR(__xludf.DUMMYFUNCTION("""COMPUTED_VALUE"""),2.08231816E8)</f>
        <v>208231816</v>
      </c>
      <c r="B109" s="67" t="str">
        <f>IFERROR(__xludf.DUMMYFUNCTION("""COMPUTED_VALUE"""),"DANDI SAPUTRA")</f>
        <v>DANDI SAPUTRA</v>
      </c>
      <c r="C109" s="67">
        <f>IFERROR(__xludf.DUMMYFUNCTION("""COMPUTED_VALUE"""),22.0)</f>
        <v>22</v>
      </c>
      <c r="D109" s="68" t="str">
        <f>IFERROR(__xludf.DUMMYFUNCTION("""COMPUTED_VALUE"""),"Islam")</f>
        <v>Islam</v>
      </c>
      <c r="E109" s="67" t="str">
        <f>IFERROR(__xludf.DUMMYFUNCTION("""COMPUTED_VALUE"""),"CV. Adil Prima Perkasa")</f>
        <v>CV. Adil Prima Perkasa</v>
      </c>
      <c r="F109" s="67" t="str">
        <f>IFERROR(__xludf.DUMMYFUNCTION("""COMPUTED_VALUE"""),"HELPER MAINTENANCE")</f>
        <v>HELPER MAINTENANCE</v>
      </c>
      <c r="G109" s="67" t="str">
        <f>IFERROR(__xludf.DUMMYFUNCTION("""COMPUTED_VALUE"""),"WORKSHOP")</f>
        <v>WORKSHOP</v>
      </c>
      <c r="H109" s="67" t="str">
        <f>IFERROR(__xludf.DUMMYFUNCTION("""COMPUTED_VALUE"""),"[0106190928] NATAN KONDO")</f>
        <v>[0106190928] NATAN KONDO</v>
      </c>
      <c r="I109" s="69"/>
      <c r="J109" s="70" t="str">
        <f t="shared" si="1"/>
        <v>[208231816] DANDI SAPUTRA</v>
      </c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</row>
    <row r="110">
      <c r="A110" s="67">
        <f>IFERROR(__xludf.DUMMYFUNCTION("""COMPUTED_VALUE"""),3.11200015E8)</f>
        <v>311200015</v>
      </c>
      <c r="B110" s="67" t="str">
        <f>IFERROR(__xludf.DUMMYFUNCTION("""COMPUTED_VALUE"""),"DANIEL BENY MANTOUW")</f>
        <v>DANIEL BENY MANTOUW</v>
      </c>
      <c r="C110" s="67">
        <f>IFERROR(__xludf.DUMMYFUNCTION("""COMPUTED_VALUE"""),51.0)</f>
        <v>51</v>
      </c>
      <c r="D110" s="68" t="str">
        <f>IFERROR(__xludf.DUMMYFUNCTION("""COMPUTED_VALUE"""),"Kristen Protestan")</f>
        <v>Kristen Protestan</v>
      </c>
      <c r="E110" s="67" t="str">
        <f>IFERROR(__xludf.DUMMYFUNCTION("""COMPUTED_VALUE"""),"CV. Monalisa")</f>
        <v>CV. Monalisa</v>
      </c>
      <c r="F110" s="67" t="str">
        <f>IFERROR(__xludf.DUMMYFUNCTION("""COMPUTED_VALUE"""),"DRIVER DT")</f>
        <v>DRIVER DT</v>
      </c>
      <c r="G110" s="67" t="str">
        <f>IFERROR(__xludf.DUMMYFUNCTION("""COMPUTED_VALUE"""),"KENDARAAN &amp; UNIT SUPPORT")</f>
        <v>KENDARAAN &amp; UNIT SUPPORT</v>
      </c>
      <c r="H110" s="67" t="str">
        <f>IFERROR(__xludf.DUMMYFUNCTION("""COMPUTED_VALUE"""),"[0102150004] NAFTALI RARE'A, ST")</f>
        <v>[0102150004] NAFTALI RARE'A, ST</v>
      </c>
      <c r="I110" s="69"/>
      <c r="J110" s="70" t="str">
        <f t="shared" si="1"/>
        <v>[311200015] DANIEL BENY MANTOUW</v>
      </c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</row>
    <row r="111">
      <c r="A111" s="67">
        <f>IFERROR(__xludf.DUMMYFUNCTION("""COMPUTED_VALUE"""),3.01210044E8)</f>
        <v>301210044</v>
      </c>
      <c r="B111" s="67" t="str">
        <f>IFERROR(__xludf.DUMMYFUNCTION("""COMPUTED_VALUE"""),"DANIEL SAMPE TODING")</f>
        <v>DANIEL SAMPE TODING</v>
      </c>
      <c r="C111" s="67">
        <f>IFERROR(__xludf.DUMMYFUNCTION("""COMPUTED_VALUE"""),50.0)</f>
        <v>50</v>
      </c>
      <c r="D111" s="68" t="str">
        <f>IFERROR(__xludf.DUMMYFUNCTION("""COMPUTED_VALUE"""),"Kristen Protestan")</f>
        <v>Kristen Protestan</v>
      </c>
      <c r="E111" s="67" t="str">
        <f>IFERROR(__xludf.DUMMYFUNCTION("""COMPUTED_VALUE"""),"CV. Monalisa")</f>
        <v>CV. Monalisa</v>
      </c>
      <c r="F111" s="67" t="str">
        <f>IFERROR(__xludf.DUMMYFUNCTION("""COMPUTED_VALUE"""),"OPERATOR EXCAVATOR")</f>
        <v>OPERATOR EXCAVATOR</v>
      </c>
      <c r="G111" s="67" t="str">
        <f>IFERROR(__xludf.DUMMYFUNCTION("""COMPUTED_VALUE"""),"PRODUKSI")</f>
        <v>PRODUKSI</v>
      </c>
      <c r="H111" s="67" t="str">
        <f>IFERROR(__xludf.DUMMYFUNCTION("""COMPUTED_VALUE"""),"FALSE")</f>
        <v>FALSE</v>
      </c>
      <c r="I111" s="69">
        <f>IFERROR(__xludf.DUMMYFUNCTION("""COMPUTED_VALUE"""),30108.0)</f>
        <v>30108</v>
      </c>
      <c r="J111" s="70" t="str">
        <f t="shared" si="1"/>
        <v>[301210044] DANIEL SAMPE TODING</v>
      </c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</row>
    <row r="112">
      <c r="A112" s="67">
        <f>IFERROR(__xludf.DUMMYFUNCTION("""COMPUTED_VALUE"""),3.03210054E8)</f>
        <v>303210054</v>
      </c>
      <c r="B112" s="67" t="str">
        <f>IFERROR(__xludf.DUMMYFUNCTION("""COMPUTED_VALUE"""),"DANIEL TABANG")</f>
        <v>DANIEL TABANG</v>
      </c>
      <c r="C112" s="67">
        <f>IFERROR(__xludf.DUMMYFUNCTION("""COMPUTED_VALUE"""),34.0)</f>
        <v>34</v>
      </c>
      <c r="D112" s="68" t="str">
        <f>IFERROR(__xludf.DUMMYFUNCTION("""COMPUTED_VALUE"""),"Kristen Protestan")</f>
        <v>Kristen Protestan</v>
      </c>
      <c r="E112" s="67" t="str">
        <f>IFERROR(__xludf.DUMMYFUNCTION("""COMPUTED_VALUE"""),"CV. Monalisa")</f>
        <v>CV. Monalisa</v>
      </c>
      <c r="F112" s="67" t="str">
        <f>IFERROR(__xludf.DUMMYFUNCTION("""COMPUTED_VALUE"""),"DRIVER DT")</f>
        <v>DRIVER DT</v>
      </c>
      <c r="G112" s="67" t="str">
        <f>IFERROR(__xludf.DUMMYFUNCTION("""COMPUTED_VALUE"""),"KENDARAAN &amp; UNIT SUPPORT")</f>
        <v>KENDARAAN &amp; UNIT SUPPORT</v>
      </c>
      <c r="H112" s="67" t="str">
        <f>IFERROR(__xludf.DUMMYFUNCTION("""COMPUTED_VALUE"""),"[0102150004] NAFTALI RARE'A, ST")</f>
        <v>[0102150004] NAFTALI RARE'A, ST</v>
      </c>
      <c r="I112" s="69"/>
      <c r="J112" s="70" t="str">
        <f t="shared" si="1"/>
        <v>[303210054] DANIEL TABANG</v>
      </c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</row>
    <row r="113">
      <c r="A113" s="67">
        <f>IFERROR(__xludf.DUMMYFUNCTION("""COMPUTED_VALUE"""),2.03231733E8)</f>
        <v>203231733</v>
      </c>
      <c r="B113" s="67" t="str">
        <f>IFERROR(__xludf.DUMMYFUNCTION("""COMPUTED_VALUE"""),"DARMAN")</f>
        <v>DARMAN</v>
      </c>
      <c r="C113" s="67">
        <f>IFERROR(__xludf.DUMMYFUNCTION("""COMPUTED_VALUE"""),0.0)</f>
        <v>0</v>
      </c>
      <c r="D113" s="68"/>
      <c r="E113" s="67" t="str">
        <f>IFERROR(__xludf.DUMMYFUNCTION("""COMPUTED_VALUE"""),"CV. Adil Prima Perkasa")</f>
        <v>CV. Adil Prima Perkasa</v>
      </c>
      <c r="F113" s="67" t="str">
        <f>IFERROR(__xludf.DUMMYFUNCTION("""COMPUTED_VALUE"""),"DRIVER DT H700ZS")</f>
        <v>DRIVER DT H700ZS</v>
      </c>
      <c r="G113" s="67" t="str">
        <f>IFERROR(__xludf.DUMMYFUNCTION("""COMPUTED_VALUE"""),"KENDARAAN &amp; UNIT SUPPORT")</f>
        <v>KENDARAAN &amp; UNIT SUPPORT</v>
      </c>
      <c r="H113" s="67" t="str">
        <f>IFERROR(__xludf.DUMMYFUNCTION("""COMPUTED_VALUE"""),"[0102150004] NAFTALI RARE'A, ST")</f>
        <v>[0102150004] NAFTALI RARE'A, ST</v>
      </c>
      <c r="I113" s="69"/>
      <c r="J113" s="70" t="str">
        <f t="shared" si="1"/>
        <v>[203231733] DARMAN</v>
      </c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</row>
    <row r="114">
      <c r="A114" s="67">
        <f>IFERROR(__xludf.DUMMYFUNCTION("""COMPUTED_VALUE"""),2.08231829E8)</f>
        <v>208231829</v>
      </c>
      <c r="B114" s="67" t="str">
        <f>IFERROR(__xludf.DUMMYFUNCTION("""COMPUTED_VALUE"""),"DASNAL PUTRA LANGGARA")</f>
        <v>DASNAL PUTRA LANGGARA</v>
      </c>
      <c r="C114" s="67">
        <f>IFERROR(__xludf.DUMMYFUNCTION("""COMPUTED_VALUE"""),21.0)</f>
        <v>21</v>
      </c>
      <c r="D114" s="68" t="str">
        <f>IFERROR(__xludf.DUMMYFUNCTION("""COMPUTED_VALUE"""),"Kristen Protestan")</f>
        <v>Kristen Protestan</v>
      </c>
      <c r="E114" s="67" t="str">
        <f>IFERROR(__xludf.DUMMYFUNCTION("""COMPUTED_VALUE"""),"CV. Adil Prima Perkasa")</f>
        <v>CV. Adil Prima Perkasa</v>
      </c>
      <c r="F114" s="67" t="str">
        <f>IFERROR(__xludf.DUMMYFUNCTION("""COMPUTED_VALUE"""),"CHECKER PRODUKSI")</f>
        <v>CHECKER PRODUKSI</v>
      </c>
      <c r="G114" s="67" t="str">
        <f>IFERROR(__xludf.DUMMYFUNCTION("""COMPUTED_VALUE"""),"PRODUKSI")</f>
        <v>PRODUKSI</v>
      </c>
      <c r="H114" s="67" t="str">
        <f>IFERROR(__xludf.DUMMYFUNCTION("""COMPUTED_VALUE"""),"[0102130003] PURNAWAN")</f>
        <v>[0102130003] PURNAWAN</v>
      </c>
      <c r="I114" s="69"/>
      <c r="J114" s="70" t="str">
        <f t="shared" si="1"/>
        <v>[208231829] DASNAL PUTRA LANGGARA</v>
      </c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</row>
    <row r="115">
      <c r="A115" s="67">
        <f>IFERROR(__xludf.DUMMYFUNCTION("""COMPUTED_VALUE"""),2.06231778E8)</f>
        <v>206231778</v>
      </c>
      <c r="B115" s="67" t="str">
        <f>IFERROR(__xludf.DUMMYFUNCTION("""COMPUTED_VALUE"""),"DAVID")</f>
        <v>DAVID</v>
      </c>
      <c r="C115" s="67">
        <f>IFERROR(__xludf.DUMMYFUNCTION("""COMPUTED_VALUE"""),23.0)</f>
        <v>23</v>
      </c>
      <c r="D115" s="68" t="str">
        <f>IFERROR(__xludf.DUMMYFUNCTION("""COMPUTED_VALUE"""),"Kristen Protestan")</f>
        <v>Kristen Protestan</v>
      </c>
      <c r="E115" s="67" t="str">
        <f>IFERROR(__xludf.DUMMYFUNCTION("""COMPUTED_VALUE"""),"CV. Adil Prima Perkasa")</f>
        <v>CV. Adil Prima Perkasa</v>
      </c>
      <c r="F115" s="67" t="str">
        <f>IFERROR(__xludf.DUMMYFUNCTION("""COMPUTED_VALUE"""),"HELPER MECHANIC DT OTR")</f>
        <v>HELPER MECHANIC DT OTR</v>
      </c>
      <c r="G115" s="67" t="str">
        <f>IFERROR(__xludf.DUMMYFUNCTION("""COMPUTED_VALUE"""),"WORKSHOP")</f>
        <v>WORKSHOP</v>
      </c>
      <c r="H115" s="67" t="str">
        <f>IFERROR(__xludf.DUMMYFUNCTION("""COMPUTED_VALUE"""),"[0106190928] NATAN KONDO")</f>
        <v>[0106190928] NATAN KONDO</v>
      </c>
      <c r="I115" s="69"/>
      <c r="J115" s="70" t="str">
        <f t="shared" si="1"/>
        <v>[206231778] DAVID</v>
      </c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</row>
    <row r="116">
      <c r="A116" s="67">
        <f>IFERROR(__xludf.DUMMYFUNCTION("""COMPUTED_VALUE"""),1.09201221E8)</f>
        <v>109201221</v>
      </c>
      <c r="B116" s="67" t="str">
        <f>IFERROR(__xludf.DUMMYFUNCTION("""COMPUTED_VALUE"""),"DEDI YUDHA K. T")</f>
        <v>DEDI YUDHA K. T</v>
      </c>
      <c r="C116" s="67">
        <f>IFERROR(__xludf.DUMMYFUNCTION("""COMPUTED_VALUE"""),32.0)</f>
        <v>32</v>
      </c>
      <c r="D116" s="68" t="str">
        <f>IFERROR(__xludf.DUMMYFUNCTION("""COMPUTED_VALUE"""),"Kristen Protestan")</f>
        <v>Kristen Protestan</v>
      </c>
      <c r="E116" s="67" t="str">
        <f>IFERROR(__xludf.DUMMYFUNCTION("""COMPUTED_VALUE"""),"CV. SENTOSA ABADI")</f>
        <v>CV. SENTOSA ABADI</v>
      </c>
      <c r="F116" s="67" t="str">
        <f>IFERROR(__xludf.DUMMYFUNCTION("""COMPUTED_VALUE"""),"ADMIN WORKSHOP")</f>
        <v>ADMIN WORKSHOP</v>
      </c>
      <c r="G116" s="67" t="str">
        <f>IFERROR(__xludf.DUMMYFUNCTION("""COMPUTED_VALUE"""),"WORKSHOP")</f>
        <v>WORKSHOP</v>
      </c>
      <c r="H116" s="67" t="str">
        <f>IFERROR(__xludf.DUMMYFUNCTION("""COMPUTED_VALUE"""),"[0107150010] RINI PALINGGI,ST")</f>
        <v>[0107150010] RINI PALINGGI,ST</v>
      </c>
      <c r="I116" s="69"/>
      <c r="J116" s="70" t="str">
        <f t="shared" si="1"/>
        <v>[109201221] DEDI YUDHA K. T</v>
      </c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</row>
    <row r="117">
      <c r="A117" s="67">
        <f>IFERROR(__xludf.DUMMYFUNCTION("""COMPUTED_VALUE"""),2.02241881E8)</f>
        <v>202241881</v>
      </c>
      <c r="B117" s="67" t="str">
        <f>IFERROR(__xludf.DUMMYFUNCTION("""COMPUTED_VALUE"""),"DEFRI AFRIANSA RETEA")</f>
        <v>DEFRI AFRIANSA RETEA</v>
      </c>
      <c r="C117" s="67">
        <f>IFERROR(__xludf.DUMMYFUNCTION("""COMPUTED_VALUE"""),0.0)</f>
        <v>0</v>
      </c>
      <c r="D117" s="68"/>
      <c r="E117" s="67" t="str">
        <f>IFERROR(__xludf.DUMMYFUNCTION("""COMPUTED_VALUE"""),"CV. Adil Prima Perkasa")</f>
        <v>CV. Adil Prima Perkasa</v>
      </c>
      <c r="F117" s="67" t="str">
        <f>IFERROR(__xludf.DUMMYFUNCTION("""COMPUTED_VALUE"""),"HELPER TYRE")</f>
        <v>HELPER TYRE</v>
      </c>
      <c r="G117" s="67" t="str">
        <f>IFERROR(__xludf.DUMMYFUNCTION("""COMPUTED_VALUE"""),"WORKSHOP")</f>
        <v>WORKSHOP</v>
      </c>
      <c r="H117" s="67" t="str">
        <f>IFERROR(__xludf.DUMMYFUNCTION("""COMPUTED_VALUE"""),"[0106190928] NATAN KONDO")</f>
        <v>[0106190928] NATAN KONDO</v>
      </c>
      <c r="I117" s="69"/>
      <c r="J117" s="70" t="str">
        <f t="shared" si="1"/>
        <v>[202241881] DEFRI AFRIANSA RETEA</v>
      </c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</row>
    <row r="118">
      <c r="A118" s="67">
        <f>IFERROR(__xludf.DUMMYFUNCTION("""COMPUTED_VALUE"""),1.04211373E8)</f>
        <v>104211373</v>
      </c>
      <c r="B118" s="67" t="str">
        <f>IFERROR(__xludf.DUMMYFUNCTION("""COMPUTED_VALUE"""),"DELVIYANTO PERUPA")</f>
        <v>DELVIYANTO PERUPA</v>
      </c>
      <c r="C118" s="67">
        <f>IFERROR(__xludf.DUMMYFUNCTION("""COMPUTED_VALUE"""),44.0)</f>
        <v>44</v>
      </c>
      <c r="D118" s="68" t="str">
        <f>IFERROR(__xludf.DUMMYFUNCTION("""COMPUTED_VALUE"""),"Kristen Protestan")</f>
        <v>Kristen Protestan</v>
      </c>
      <c r="E118" s="67" t="str">
        <f>IFERROR(__xludf.DUMMYFUNCTION("""COMPUTED_VALUE"""),"CV. SENTOSA ABADI")</f>
        <v>CV. SENTOSA ABADI</v>
      </c>
      <c r="F118" s="67" t="str">
        <f>IFERROR(__xludf.DUMMYFUNCTION("""COMPUTED_VALUE"""),"OPERATOR ADT")</f>
        <v>OPERATOR ADT</v>
      </c>
      <c r="G118" s="67" t="str">
        <f>IFERROR(__xludf.DUMMYFUNCTION("""COMPUTED_VALUE"""),"PRODUKSI")</f>
        <v>PRODUKSI</v>
      </c>
      <c r="H118" s="67" t="str">
        <f>IFERROR(__xludf.DUMMYFUNCTION("""COMPUTED_VALUE"""),"FALSE")</f>
        <v>FALSE</v>
      </c>
      <c r="I118" s="69">
        <f>IFERROR(__xludf.DUMMYFUNCTION("""COMPUTED_VALUE"""),38528.0)</f>
        <v>38528</v>
      </c>
      <c r="J118" s="70" t="str">
        <f t="shared" si="1"/>
        <v>[104211373] DELVIYANTO PERUPA</v>
      </c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</row>
    <row r="119">
      <c r="A119" s="67">
        <f>IFERROR(__xludf.DUMMYFUNCTION("""COMPUTED_VALUE"""),2.07231801E8)</f>
        <v>207231801</v>
      </c>
      <c r="B119" s="67" t="str">
        <f>IFERROR(__xludf.DUMMYFUNCTION("""COMPUTED_VALUE"""),"DENI PENGKE")</f>
        <v>DENI PENGKE</v>
      </c>
      <c r="C119" s="67">
        <f>IFERROR(__xludf.DUMMYFUNCTION("""COMPUTED_VALUE"""),38.0)</f>
        <v>38</v>
      </c>
      <c r="D119" s="68" t="str">
        <f>IFERROR(__xludf.DUMMYFUNCTION("""COMPUTED_VALUE"""),"Kristen Protestan")</f>
        <v>Kristen Protestan</v>
      </c>
      <c r="E119" s="67" t="str">
        <f>IFERROR(__xludf.DUMMYFUNCTION("""COMPUTED_VALUE"""),"CV. Adil Prima Perkasa")</f>
        <v>CV. Adil Prima Perkasa</v>
      </c>
      <c r="F119" s="67" t="str">
        <f>IFERROR(__xludf.DUMMYFUNCTION("""COMPUTED_VALUE"""),"CHECKER KENDARAAN")</f>
        <v>CHECKER KENDARAAN</v>
      </c>
      <c r="G119" s="67" t="str">
        <f>IFERROR(__xludf.DUMMYFUNCTION("""COMPUTED_VALUE"""),"KENDARAAN &amp; UNIT SUPPORT")</f>
        <v>KENDARAAN &amp; UNIT SUPPORT</v>
      </c>
      <c r="H119" s="67" t="str">
        <f>IFERROR(__xludf.DUMMYFUNCTION("""COMPUTED_VALUE"""),"[0102150004] NAFTALI RARE'A, ST")</f>
        <v>[0102150004] NAFTALI RARE'A, ST</v>
      </c>
      <c r="I119" s="69">
        <f>IFERROR(__xludf.DUMMYFUNCTION("""COMPUTED_VALUE"""),29790.0)</f>
        <v>29790</v>
      </c>
      <c r="J119" s="70" t="str">
        <f t="shared" si="1"/>
        <v>[207231801] DENI PENGKE</v>
      </c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</row>
    <row r="120">
      <c r="A120" s="67">
        <f>IFERROR(__xludf.DUMMYFUNCTION("""COMPUTED_VALUE"""),3.12200028E8)</f>
        <v>312200028</v>
      </c>
      <c r="B120" s="67" t="str">
        <f>IFERROR(__xludf.DUMMYFUNCTION("""COMPUTED_VALUE"""),"DENIEL MOSIPATE")</f>
        <v>DENIEL MOSIPATE</v>
      </c>
      <c r="C120" s="67">
        <f>IFERROR(__xludf.DUMMYFUNCTION("""COMPUTED_VALUE"""),50.0)</f>
        <v>50</v>
      </c>
      <c r="D120" s="68" t="str">
        <f>IFERROR(__xludf.DUMMYFUNCTION("""COMPUTED_VALUE"""),"Kristen Protestan")</f>
        <v>Kristen Protestan</v>
      </c>
      <c r="E120" s="67" t="str">
        <f>IFERROR(__xludf.DUMMYFUNCTION("""COMPUTED_VALUE"""),"CV. Monalisa")</f>
        <v>CV. Monalisa</v>
      </c>
      <c r="F120" s="67" t="str">
        <f>IFERROR(__xludf.DUMMYFUNCTION("""COMPUTED_VALUE"""),"DRIVER DT")</f>
        <v>DRIVER DT</v>
      </c>
      <c r="G120" s="67" t="str">
        <f>IFERROR(__xludf.DUMMYFUNCTION("""COMPUTED_VALUE"""),"KENDARAAN &amp; UNIT SUPPORT")</f>
        <v>KENDARAAN &amp; UNIT SUPPORT</v>
      </c>
      <c r="H120" s="67" t="str">
        <f>IFERROR(__xludf.DUMMYFUNCTION("""COMPUTED_VALUE"""),"[0102150004] NAFTALI RARE'A, ST")</f>
        <v>[0102150004] NAFTALI RARE'A, ST</v>
      </c>
      <c r="I120" s="69">
        <f>IFERROR(__xludf.DUMMYFUNCTION("""COMPUTED_VALUE"""),28393.0)</f>
        <v>28393</v>
      </c>
      <c r="J120" s="70" t="str">
        <f t="shared" si="1"/>
        <v>[312200028] DENIEL MOSIPATE</v>
      </c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</row>
    <row r="121">
      <c r="A121" s="67">
        <f>IFERROR(__xludf.DUMMYFUNCTION("""COMPUTED_VALUE"""),1.03211354E8)</f>
        <v>103211354</v>
      </c>
      <c r="B121" s="67" t="str">
        <f>IFERROR(__xludf.DUMMYFUNCTION("""COMPUTED_VALUE"""),"DERIKSON LAUGI")</f>
        <v>DERIKSON LAUGI</v>
      </c>
      <c r="C121" s="67">
        <f>IFERROR(__xludf.DUMMYFUNCTION("""COMPUTED_VALUE"""),31.0)</f>
        <v>31</v>
      </c>
      <c r="D121" s="68" t="str">
        <f>IFERROR(__xludf.DUMMYFUNCTION("""COMPUTED_VALUE"""),"Kristen Protestan")</f>
        <v>Kristen Protestan</v>
      </c>
      <c r="E121" s="67" t="str">
        <f>IFERROR(__xludf.DUMMYFUNCTION("""COMPUTED_VALUE"""),"CV. SENTOSA ABADI")</f>
        <v>CV. SENTOSA ABADI</v>
      </c>
      <c r="F121" s="67" t="str">
        <f>IFERROR(__xludf.DUMMYFUNCTION("""COMPUTED_VALUE"""),"KOORDINATOR MAINTENANCE")</f>
        <v>KOORDINATOR MAINTENANCE</v>
      </c>
      <c r="G121" s="67" t="str">
        <f>IFERROR(__xludf.DUMMYFUNCTION("""COMPUTED_VALUE"""),"WORKSHOP")</f>
        <v>WORKSHOP</v>
      </c>
      <c r="H121" s="67" t="str">
        <f>IFERROR(__xludf.DUMMYFUNCTION("""COMPUTED_VALUE"""),"FALSE")</f>
        <v>FALSE</v>
      </c>
      <c r="I121" s="69"/>
      <c r="J121" s="70" t="str">
        <f t="shared" si="1"/>
        <v>[103211354] DERIKSON LAUGI</v>
      </c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</row>
    <row r="122">
      <c r="A122" s="67">
        <f>IFERROR(__xludf.DUMMYFUNCTION("""COMPUTED_VALUE"""),2.04241913E8)</f>
        <v>204241913</v>
      </c>
      <c r="B122" s="67" t="str">
        <f>IFERROR(__xludf.DUMMYFUNCTION("""COMPUTED_VALUE"""),"DEVERSON BUGI")</f>
        <v>DEVERSON BUGI</v>
      </c>
      <c r="C122" s="67">
        <f>IFERROR(__xludf.DUMMYFUNCTION("""COMPUTED_VALUE"""),0.0)</f>
        <v>0</v>
      </c>
      <c r="D122" s="68"/>
      <c r="E122" s="67" t="str">
        <f>IFERROR(__xludf.DUMMYFUNCTION("""COMPUTED_VALUE"""),"CV. Adil Prima Perkasa")</f>
        <v>CV. Adil Prima Perkasa</v>
      </c>
      <c r="F122" s="67" t="str">
        <f>IFERROR(__xludf.DUMMYFUNCTION("""COMPUTED_VALUE"""),"SECURITY")</f>
        <v>SECURITY</v>
      </c>
      <c r="G122" s="67" t="str">
        <f>IFERROR(__xludf.DUMMYFUNCTION("""COMPUTED_VALUE"""),"HRD &amp; GA")</f>
        <v>HRD &amp; GA</v>
      </c>
      <c r="H122" s="67" t="str">
        <f>IFERROR(__xludf.DUMMYFUNCTION("""COMPUTED_VALUE"""),"[0108191037] ERNIE FRISLIA")</f>
        <v>[0108191037] ERNIE FRISLIA</v>
      </c>
      <c r="I122" s="69"/>
      <c r="J122" s="70" t="str">
        <f t="shared" si="1"/>
        <v>[204241913] DEVERSON BUGI</v>
      </c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</row>
    <row r="123">
      <c r="A123" s="67">
        <f>IFERROR(__xludf.DUMMYFUNCTION("""COMPUTED_VALUE"""),1.08221664E8)</f>
        <v>108221664</v>
      </c>
      <c r="B123" s="67" t="str">
        <f>IFERROR(__xludf.DUMMYFUNCTION("""COMPUTED_VALUE"""),"DEVI SIMAN")</f>
        <v>DEVI SIMAN</v>
      </c>
      <c r="C123" s="67">
        <f>IFERROR(__xludf.DUMMYFUNCTION("""COMPUTED_VALUE"""),45.0)</f>
        <v>45</v>
      </c>
      <c r="D123" s="68" t="str">
        <f>IFERROR(__xludf.DUMMYFUNCTION("""COMPUTED_VALUE"""),"Islam")</f>
        <v>Islam</v>
      </c>
      <c r="E123" s="67" t="str">
        <f>IFERROR(__xludf.DUMMYFUNCTION("""COMPUTED_VALUE"""),"CV. SENTOSA ABADI")</f>
        <v>CV. SENTOSA ABADI</v>
      </c>
      <c r="F123" s="67" t="str">
        <f>IFERROR(__xludf.DUMMYFUNCTION("""COMPUTED_VALUE"""),"HEAD OF SECURITY")</f>
        <v>HEAD OF SECURITY</v>
      </c>
      <c r="G123" s="67" t="str">
        <f>IFERROR(__xludf.DUMMYFUNCTION("""COMPUTED_VALUE"""),"HRD &amp; GA")</f>
        <v>HRD &amp; GA</v>
      </c>
      <c r="H123" s="67" t="str">
        <f>IFERROR(__xludf.DUMMYFUNCTION("""COMPUTED_VALUE"""),"[0108191037] ERNIE FRISLIA")</f>
        <v>[0108191037] ERNIE FRISLIA</v>
      </c>
      <c r="I123" s="69">
        <f>IFERROR(__xludf.DUMMYFUNCTION("""COMPUTED_VALUE"""),29549.0)</f>
        <v>29549</v>
      </c>
      <c r="J123" s="70" t="str">
        <f t="shared" si="1"/>
        <v>[108221664] DEVI SIMAN</v>
      </c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</row>
    <row r="124">
      <c r="A124" s="67">
        <f>IFERROR(__xludf.DUMMYFUNCTION("""COMPUTED_VALUE"""),2.06241945E8)</f>
        <v>206241945</v>
      </c>
      <c r="B124" s="67" t="str">
        <f>IFERROR(__xludf.DUMMYFUNCTION("""COMPUTED_VALUE"""),"DEWA NYOMAN ARIWINATA")</f>
        <v>DEWA NYOMAN ARIWINATA</v>
      </c>
      <c r="C124" s="67">
        <f>IFERROR(__xludf.DUMMYFUNCTION("""COMPUTED_VALUE"""),23.0)</f>
        <v>23</v>
      </c>
      <c r="D124" s="68" t="str">
        <f>IFERROR(__xludf.DUMMYFUNCTION("""COMPUTED_VALUE"""),"Hindu")</f>
        <v>Hindu</v>
      </c>
      <c r="E124" s="67" t="str">
        <f>IFERROR(__xludf.DUMMYFUNCTION("""COMPUTED_VALUE"""),"CV. Adil Prima Perkasa")</f>
        <v>CV. Adil Prima Perkasa</v>
      </c>
      <c r="F124" s="67" t="str">
        <f>IFERROR(__xludf.DUMMYFUNCTION("""COMPUTED_VALUE"""),"SECURITY")</f>
        <v>SECURITY</v>
      </c>
      <c r="G124" s="67" t="str">
        <f>IFERROR(__xludf.DUMMYFUNCTION("""COMPUTED_VALUE"""),"HRD &amp; GA")</f>
        <v>HRD &amp; GA</v>
      </c>
      <c r="H124" s="67" t="str">
        <f>IFERROR(__xludf.DUMMYFUNCTION("""COMPUTED_VALUE"""),"[0108191037] ERNIE FRISLIA")</f>
        <v>[0108191037] ERNIE FRISLIA</v>
      </c>
      <c r="I124" s="69"/>
      <c r="J124" s="70" t="str">
        <f t="shared" si="1"/>
        <v>[206241945] DEWA NYOMAN ARIWINATA</v>
      </c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</row>
    <row r="125">
      <c r="A125" s="67">
        <f>IFERROR(__xludf.DUMMYFUNCTION("""COMPUTED_VALUE"""),2.05231757E8)</f>
        <v>205231757</v>
      </c>
      <c r="B125" s="67" t="str">
        <f>IFERROR(__xludf.DUMMYFUNCTION("""COMPUTED_VALUE"""),"DIVATD AGRISTO POLOWIWI")</f>
        <v>DIVATD AGRISTO POLOWIWI</v>
      </c>
      <c r="C125" s="67">
        <f>IFERROR(__xludf.DUMMYFUNCTION("""COMPUTED_VALUE"""),20.0)</f>
        <v>20</v>
      </c>
      <c r="D125" s="68" t="str">
        <f>IFERROR(__xludf.DUMMYFUNCTION("""COMPUTED_VALUE"""),"Kristen Protestan")</f>
        <v>Kristen Protestan</v>
      </c>
      <c r="E125" s="67" t="str">
        <f>IFERROR(__xludf.DUMMYFUNCTION("""COMPUTED_VALUE"""),"CV. Adil Prima Perkasa")</f>
        <v>CV. Adil Prima Perkasa</v>
      </c>
      <c r="F125" s="67" t="str">
        <f>IFERROR(__xludf.DUMMYFUNCTION("""COMPUTED_VALUE"""),"CHECKER PRODUKSI")</f>
        <v>CHECKER PRODUKSI</v>
      </c>
      <c r="G125" s="67" t="str">
        <f>IFERROR(__xludf.DUMMYFUNCTION("""COMPUTED_VALUE"""),"PRODUKSI")</f>
        <v>PRODUKSI</v>
      </c>
      <c r="H125" s="67" t="str">
        <f>IFERROR(__xludf.DUMMYFUNCTION("""COMPUTED_VALUE"""),"[0102130003] PURNAWAN")</f>
        <v>[0102130003] PURNAWAN</v>
      </c>
      <c r="I125" s="69"/>
      <c r="J125" s="70" t="str">
        <f t="shared" si="1"/>
        <v>[205231757] DIVATD AGRISTO POLOWIWI</v>
      </c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</row>
    <row r="126">
      <c r="A126" s="67">
        <f>IFERROR(__xludf.DUMMYFUNCTION("""COMPUTED_VALUE"""),2.08211463E8)</f>
        <v>208211463</v>
      </c>
      <c r="B126" s="67" t="str">
        <f>IFERROR(__xludf.DUMMYFUNCTION("""COMPUTED_VALUE"""),"DOMINGGUS")</f>
        <v>DOMINGGUS</v>
      </c>
      <c r="C126" s="67">
        <f>IFERROR(__xludf.DUMMYFUNCTION("""COMPUTED_VALUE"""),44.0)</f>
        <v>44</v>
      </c>
      <c r="D126" s="68" t="str">
        <f>IFERROR(__xludf.DUMMYFUNCTION("""COMPUTED_VALUE"""),"Kristen Protestan")</f>
        <v>Kristen Protestan</v>
      </c>
      <c r="E126" s="67" t="str">
        <f>IFERROR(__xludf.DUMMYFUNCTION("""COMPUTED_VALUE"""),"CV. Adil Prima Perkasa")</f>
        <v>CV. Adil Prima Perkasa</v>
      </c>
      <c r="F126" s="67" t="str">
        <f>IFERROR(__xludf.DUMMYFUNCTION("""COMPUTED_VALUE"""),"OPERATOR EXCAVATOR")</f>
        <v>OPERATOR EXCAVATOR</v>
      </c>
      <c r="G126" s="67" t="str">
        <f>IFERROR(__xludf.DUMMYFUNCTION("""COMPUTED_VALUE"""),"PRODUKSI")</f>
        <v>PRODUKSI</v>
      </c>
      <c r="H126" s="67" t="str">
        <f>IFERROR(__xludf.DUMMYFUNCTION("""COMPUTED_VALUE"""),"FALSE")</f>
        <v>FALSE</v>
      </c>
      <c r="I126" s="69"/>
      <c r="J126" s="70" t="str">
        <f t="shared" si="1"/>
        <v>[208211463] DOMINGGUS</v>
      </c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</row>
    <row r="127">
      <c r="A127" s="67">
        <f>IFERROR(__xludf.DUMMYFUNCTION("""COMPUTED_VALUE"""),2.04211376E8)</f>
        <v>204211376</v>
      </c>
      <c r="B127" s="67" t="str">
        <f>IFERROR(__xludf.DUMMYFUNCTION("""COMPUTED_VALUE"""),"DOMINGGUS PATIUNG")</f>
        <v>DOMINGGUS PATIUNG</v>
      </c>
      <c r="C127" s="67">
        <f>IFERROR(__xludf.DUMMYFUNCTION("""COMPUTED_VALUE"""),56.0)</f>
        <v>56</v>
      </c>
      <c r="D127" s="68" t="str">
        <f>IFERROR(__xludf.DUMMYFUNCTION("""COMPUTED_VALUE"""),"Kristen Protestan")</f>
        <v>Kristen Protestan</v>
      </c>
      <c r="E127" s="67" t="str">
        <f>IFERROR(__xludf.DUMMYFUNCTION("""COMPUTED_VALUE"""),"CV. Adil Prima Perkasa")</f>
        <v>CV. Adil Prima Perkasa</v>
      </c>
      <c r="F127" s="67" t="str">
        <f>IFERROR(__xludf.DUMMYFUNCTION("""COMPUTED_VALUE"""),"OPERATOR EXCAVATOR")</f>
        <v>OPERATOR EXCAVATOR</v>
      </c>
      <c r="G127" s="67" t="str">
        <f>IFERROR(__xludf.DUMMYFUNCTION("""COMPUTED_VALUE"""),"PRODUKSI")</f>
        <v>PRODUKSI</v>
      </c>
      <c r="H127" s="67" t="str">
        <f>IFERROR(__xludf.DUMMYFUNCTION("""COMPUTED_VALUE"""),"FALSE")</f>
        <v>FALSE</v>
      </c>
      <c r="I127" s="69"/>
      <c r="J127" s="70" t="str">
        <f t="shared" si="1"/>
        <v>[204211376] DOMINGGUS PATIUNG</v>
      </c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</row>
    <row r="128">
      <c r="A128" s="67">
        <f>IFERROR(__xludf.DUMMYFUNCTION("""COMPUTED_VALUE"""),1.03110065E8)</f>
        <v>103110065</v>
      </c>
      <c r="B128" s="67" t="str">
        <f>IFERROR(__xludf.DUMMYFUNCTION("""COMPUTED_VALUE"""),"DOMINIKUS MITEN LARANTUKAN")</f>
        <v>DOMINIKUS MITEN LARANTUKAN</v>
      </c>
      <c r="C128" s="67">
        <f>IFERROR(__xludf.DUMMYFUNCTION("""COMPUTED_VALUE"""),58.0)</f>
        <v>58</v>
      </c>
      <c r="D128" s="68" t="str">
        <f>IFERROR(__xludf.DUMMYFUNCTION("""COMPUTED_VALUE"""),"Kristen Protestan")</f>
        <v>Kristen Protestan</v>
      </c>
      <c r="E128" s="67" t="str">
        <f>IFERROR(__xludf.DUMMYFUNCTION("""COMPUTED_VALUE"""),"CV. SENTOSA ABADI")</f>
        <v>CV. SENTOSA ABADI</v>
      </c>
      <c r="F128" s="67" t="str">
        <f>IFERROR(__xludf.DUMMYFUNCTION("""COMPUTED_VALUE"""),"HEAD OF FUEL")</f>
        <v>HEAD OF FUEL</v>
      </c>
      <c r="G128" s="67" t="str">
        <f>IFERROR(__xludf.DUMMYFUNCTION("""COMPUTED_VALUE"""),"MPE")</f>
        <v>MPE</v>
      </c>
      <c r="H128" s="67" t="str">
        <f>IFERROR(__xludf.DUMMYFUNCTION("""COMPUTED_VALUE"""),"[0102150007] EKY SIDIK PRATAMA, ST")</f>
        <v>[0102150007] EKY SIDIK PRATAMA, ST</v>
      </c>
      <c r="I128" s="69"/>
      <c r="J128" s="70" t="str">
        <f t="shared" si="1"/>
        <v>[103110065] DOMINIKUS MITEN LARANTUKAN</v>
      </c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</row>
    <row r="129">
      <c r="A129" s="67">
        <f>IFERROR(__xludf.DUMMYFUNCTION("""COMPUTED_VALUE"""),1.12120067E8)</f>
        <v>112120067</v>
      </c>
      <c r="B129" s="67" t="str">
        <f>IFERROR(__xludf.DUMMYFUNCTION("""COMPUTED_VALUE"""),"DONI ARDIYANSAH")</f>
        <v>DONI ARDIYANSAH</v>
      </c>
      <c r="C129" s="67">
        <f>IFERROR(__xludf.DUMMYFUNCTION("""COMPUTED_VALUE"""),44.0)</f>
        <v>44</v>
      </c>
      <c r="D129" s="68" t="str">
        <f>IFERROR(__xludf.DUMMYFUNCTION("""COMPUTED_VALUE"""),"Islam")</f>
        <v>Islam</v>
      </c>
      <c r="E129" s="67" t="str">
        <f>IFERROR(__xludf.DUMMYFUNCTION("""COMPUTED_VALUE"""),"CV. SENTOSA ABADI")</f>
        <v>CV. SENTOSA ABADI</v>
      </c>
      <c r="F129" s="67" t="str">
        <f>IFERROR(__xludf.DUMMYFUNCTION("""COMPUTED_VALUE"""),"DRIVER DT H700ZY")</f>
        <v>DRIVER DT H700ZY</v>
      </c>
      <c r="G129" s="67" t="str">
        <f>IFERROR(__xludf.DUMMYFUNCTION("""COMPUTED_VALUE"""),"KENDARAAN &amp; UNIT SUPPORT")</f>
        <v>KENDARAAN &amp; UNIT SUPPORT</v>
      </c>
      <c r="H129" s="67" t="str">
        <f>IFERROR(__xludf.DUMMYFUNCTION("""COMPUTED_VALUE"""),"[0102150004] NAFTALI RARE'A, ST")</f>
        <v>[0102150004] NAFTALI RARE'A, ST</v>
      </c>
      <c r="I129" s="69">
        <f>IFERROR(__xludf.DUMMYFUNCTION("""COMPUTED_VALUE"""),35297.0)</f>
        <v>35297</v>
      </c>
      <c r="J129" s="70" t="str">
        <f t="shared" si="1"/>
        <v>[112120067] DONI ARDIYANSAH</v>
      </c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</row>
    <row r="130">
      <c r="A130" s="67">
        <f>IFERROR(__xludf.DUMMYFUNCTION("""COMPUTED_VALUE"""),2.03241899E8)</f>
        <v>203241899</v>
      </c>
      <c r="B130" s="67" t="str">
        <f>IFERROR(__xludf.DUMMYFUNCTION("""COMPUTED_VALUE"""),"DORIS TIKU PADANG")</f>
        <v>DORIS TIKU PADANG</v>
      </c>
      <c r="C130" s="67">
        <f>IFERROR(__xludf.DUMMYFUNCTION("""COMPUTED_VALUE"""),25.0)</f>
        <v>25</v>
      </c>
      <c r="D130" s="68" t="str">
        <f>IFERROR(__xludf.DUMMYFUNCTION("""COMPUTED_VALUE"""),"Kristen Protestan")</f>
        <v>Kristen Protestan</v>
      </c>
      <c r="E130" s="67" t="str">
        <f>IFERROR(__xludf.DUMMYFUNCTION("""COMPUTED_VALUE"""),"CV. Adil Prima Perkasa")</f>
        <v>CV. Adil Prima Perkasa</v>
      </c>
      <c r="F130" s="67" t="str">
        <f>IFERROR(__xludf.DUMMYFUNCTION("""COMPUTED_VALUE"""),"STAF HUBUNGAN INDUSTRIAL")</f>
        <v>STAF HUBUNGAN INDUSTRIAL</v>
      </c>
      <c r="G130" s="67" t="str">
        <f>IFERROR(__xludf.DUMMYFUNCTION("""COMPUTED_VALUE"""),"HRD &amp; GA")</f>
        <v>HRD &amp; GA</v>
      </c>
      <c r="H130" s="67" t="str">
        <f>IFERROR(__xludf.DUMMYFUNCTION("""COMPUTED_VALUE"""),"[0108191037] ERNIE FRISLIA")</f>
        <v>[0108191037] ERNIE FRISLIA</v>
      </c>
      <c r="I130" s="69"/>
      <c r="J130" s="70" t="str">
        <f t="shared" si="1"/>
        <v>[203241899] DORIS TIKU PADANG</v>
      </c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</row>
    <row r="131">
      <c r="A131" s="67"/>
      <c r="B131" s="67" t="str">
        <f>IFERROR(__xludf.DUMMYFUNCTION("""COMPUTED_VALUE"""),"DORIS TIKU PADANG")</f>
        <v>DORIS TIKU PADANG</v>
      </c>
      <c r="C131" s="67">
        <f>IFERROR(__xludf.DUMMYFUNCTION("""COMPUTED_VALUE"""),25.0)</f>
        <v>25</v>
      </c>
      <c r="D131" s="68"/>
      <c r="E131" s="67" t="str">
        <f>IFERROR(__xludf.DUMMYFUNCTION("""COMPUTED_VALUE"""),"CV. Adil Prima Perkasa")</f>
        <v>CV. Adil Prima Perkasa</v>
      </c>
      <c r="F131" s="67" t="str">
        <f>IFERROR(__xludf.DUMMYFUNCTION("""COMPUTED_VALUE"""),"FALSE")</f>
        <v>FALSE</v>
      </c>
      <c r="G131" s="67" t="str">
        <f>IFERROR(__xludf.DUMMYFUNCTION("""COMPUTED_VALUE"""),"HRD &amp; GA")</f>
        <v>HRD &amp; GA</v>
      </c>
      <c r="H131" s="67" t="str">
        <f>IFERROR(__xludf.DUMMYFUNCTION("""COMPUTED_VALUE"""),"[0108191037] ERNIE FRISLIA")</f>
        <v>[0108191037] ERNIE FRISLIA</v>
      </c>
      <c r="I131" s="69"/>
      <c r="J131" s="70" t="str">
        <f t="shared" si="1"/>
        <v>[] DORIS TIKU PADANG</v>
      </c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</row>
    <row r="132">
      <c r="A132" s="67">
        <f>IFERROR(__xludf.DUMMYFUNCTION("""COMPUTED_VALUE"""),2.05190879E8)</f>
        <v>205190879</v>
      </c>
      <c r="B132" s="67" t="str">
        <f>IFERROR(__xludf.DUMMYFUNCTION("""COMPUTED_VALUE"""),"DUAR KASWANDAR")</f>
        <v>DUAR KASWANDAR</v>
      </c>
      <c r="C132" s="67">
        <f>IFERROR(__xludf.DUMMYFUNCTION("""COMPUTED_VALUE"""),32.0)</f>
        <v>32</v>
      </c>
      <c r="D132" s="68" t="str">
        <f>IFERROR(__xludf.DUMMYFUNCTION("""COMPUTED_VALUE"""),"Islam")</f>
        <v>Islam</v>
      </c>
      <c r="E132" s="67" t="str">
        <f>IFERROR(__xludf.DUMMYFUNCTION("""COMPUTED_VALUE"""),"CV. Adil Prima Perkasa")</f>
        <v>CV. Adil Prima Perkasa</v>
      </c>
      <c r="F132" s="67" t="str">
        <f>IFERROR(__xludf.DUMMYFUNCTION("""COMPUTED_VALUE"""),"CHECKER KENDARAAN")</f>
        <v>CHECKER KENDARAAN</v>
      </c>
      <c r="G132" s="67" t="str">
        <f>IFERROR(__xludf.DUMMYFUNCTION("""COMPUTED_VALUE"""),"KENDARAAN &amp; UNIT SUPPORT")</f>
        <v>KENDARAAN &amp; UNIT SUPPORT</v>
      </c>
      <c r="H132" s="67" t="str">
        <f>IFERROR(__xludf.DUMMYFUNCTION("""COMPUTED_VALUE"""),"[0102150004] NAFTALI RARE'A, ST")</f>
        <v>[0102150004] NAFTALI RARE'A, ST</v>
      </c>
      <c r="I132" s="69"/>
      <c r="J132" s="70" t="str">
        <f t="shared" si="1"/>
        <v>[205190879] DUAR KASWANDAR</v>
      </c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</row>
    <row r="133">
      <c r="A133" s="67">
        <f>IFERROR(__xludf.DUMMYFUNCTION("""COMPUTED_VALUE"""),2.05231768E8)</f>
        <v>205231768</v>
      </c>
      <c r="B133" s="67" t="str">
        <f>IFERROR(__xludf.DUMMYFUNCTION("""COMPUTED_VALUE"""),"DWI RIANTO PANIDI PUTRA")</f>
        <v>DWI RIANTO PANIDI PUTRA</v>
      </c>
      <c r="C133" s="67">
        <f>IFERROR(__xludf.DUMMYFUNCTION("""COMPUTED_VALUE"""),0.0)</f>
        <v>0</v>
      </c>
      <c r="D133" s="68"/>
      <c r="E133" s="67" t="str">
        <f>IFERROR(__xludf.DUMMYFUNCTION("""COMPUTED_VALUE"""),"CV. Adil Prima Perkasa")</f>
        <v>CV. Adil Prima Perkasa</v>
      </c>
      <c r="F133" s="67" t="str">
        <f>IFERROR(__xludf.DUMMYFUNCTION("""COMPUTED_VALUE"""),"HELPER TYRE")</f>
        <v>HELPER TYRE</v>
      </c>
      <c r="G133" s="67" t="str">
        <f>IFERROR(__xludf.DUMMYFUNCTION("""COMPUTED_VALUE"""),"WORKSHOP")</f>
        <v>WORKSHOP</v>
      </c>
      <c r="H133" s="67" t="str">
        <f>IFERROR(__xludf.DUMMYFUNCTION("""COMPUTED_VALUE"""),"[0106190928] NATAN KONDO")</f>
        <v>[0106190928] NATAN KONDO</v>
      </c>
      <c r="I133" s="69"/>
      <c r="J133" s="70" t="str">
        <f t="shared" si="1"/>
        <v>[205231768] DWI RIANTO PANIDI PUTRA</v>
      </c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</row>
    <row r="134">
      <c r="A134" s="67">
        <f>IFERROR(__xludf.DUMMYFUNCTION("""COMPUTED_VALUE"""),1.12191117E8)</f>
        <v>112191117</v>
      </c>
      <c r="B134" s="67" t="str">
        <f>IFERROR(__xludf.DUMMYFUNCTION("""COMPUTED_VALUE"""),"EDUARDUS KUTENG")</f>
        <v>EDUARDUS KUTENG</v>
      </c>
      <c r="C134" s="67">
        <f>IFERROR(__xludf.DUMMYFUNCTION("""COMPUTED_VALUE"""),33.0)</f>
        <v>33</v>
      </c>
      <c r="D134" s="68" t="str">
        <f>IFERROR(__xludf.DUMMYFUNCTION("""COMPUTED_VALUE"""),"Kristen Khatolik")</f>
        <v>Kristen Khatolik</v>
      </c>
      <c r="E134" s="67" t="str">
        <f>IFERROR(__xludf.DUMMYFUNCTION("""COMPUTED_VALUE"""),"CV. SENTOSA ABADI")</f>
        <v>CV. SENTOSA ABADI</v>
      </c>
      <c r="F134" s="67" t="str">
        <f>IFERROR(__xludf.DUMMYFUNCTION("""COMPUTED_VALUE"""),"OPERATOR ADT")</f>
        <v>OPERATOR ADT</v>
      </c>
      <c r="G134" s="67" t="str">
        <f>IFERROR(__xludf.DUMMYFUNCTION("""COMPUTED_VALUE"""),"PRODUKSI")</f>
        <v>PRODUKSI</v>
      </c>
      <c r="H134" s="67" t="str">
        <f>IFERROR(__xludf.DUMMYFUNCTION("""COMPUTED_VALUE"""),"FALSE")</f>
        <v>FALSE</v>
      </c>
      <c r="I134" s="69"/>
      <c r="J134" s="70" t="str">
        <f t="shared" si="1"/>
        <v>[112191117] EDUARDUS KUTENG</v>
      </c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</row>
    <row r="135">
      <c r="A135" s="67">
        <f>IFERROR(__xludf.DUMMYFUNCTION("""COMPUTED_VALUE"""),2.08160688E8)</f>
        <v>208160688</v>
      </c>
      <c r="B135" s="67" t="str">
        <f>IFERROR(__xludf.DUMMYFUNCTION("""COMPUTED_VALUE"""),"EDUARDUS NARANG")</f>
        <v>EDUARDUS NARANG</v>
      </c>
      <c r="C135" s="67">
        <f>IFERROR(__xludf.DUMMYFUNCTION("""COMPUTED_VALUE"""),29.0)</f>
        <v>29</v>
      </c>
      <c r="D135" s="68" t="str">
        <f>IFERROR(__xludf.DUMMYFUNCTION("""COMPUTED_VALUE"""),"Kristen Khatolik")</f>
        <v>Kristen Khatolik</v>
      </c>
      <c r="E135" s="67" t="str">
        <f>IFERROR(__xludf.DUMMYFUNCTION("""COMPUTED_VALUE"""),"CV. Adil Prima Perkasa")</f>
        <v>CV. Adil Prima Perkasa</v>
      </c>
      <c r="F135" s="67" t="str">
        <f>IFERROR(__xludf.DUMMYFUNCTION("""COMPUTED_VALUE"""),"OPERATOR COMPACTOR")</f>
        <v>OPERATOR COMPACTOR</v>
      </c>
      <c r="G135" s="67" t="str">
        <f>IFERROR(__xludf.DUMMYFUNCTION("""COMPUTED_VALUE"""),"PRODUKSI")</f>
        <v>PRODUKSI</v>
      </c>
      <c r="H135" s="67" t="str">
        <f>IFERROR(__xludf.DUMMYFUNCTION("""COMPUTED_VALUE"""),"[0102130003] PURNAWAN")</f>
        <v>[0102130003] PURNAWAN</v>
      </c>
      <c r="I135" s="69">
        <f>IFERROR(__xludf.DUMMYFUNCTION("""COMPUTED_VALUE"""),36137.0)</f>
        <v>36137</v>
      </c>
      <c r="J135" s="70" t="str">
        <f t="shared" si="1"/>
        <v>[208160688] EDUARDUS NARANG</v>
      </c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</row>
    <row r="136">
      <c r="A136" s="67">
        <f>IFERROR(__xludf.DUMMYFUNCTION("""COMPUTED_VALUE"""),2.07231805E8)</f>
        <v>207231805</v>
      </c>
      <c r="B136" s="67" t="str">
        <f>IFERROR(__xludf.DUMMYFUNCTION("""COMPUTED_VALUE"""),"EFENDY")</f>
        <v>EFENDY</v>
      </c>
      <c r="C136" s="67">
        <f>IFERROR(__xludf.DUMMYFUNCTION("""COMPUTED_VALUE"""),31.0)</f>
        <v>31</v>
      </c>
      <c r="D136" s="68" t="str">
        <f>IFERROR(__xludf.DUMMYFUNCTION("""COMPUTED_VALUE"""),"Kristen Protestan")</f>
        <v>Kristen Protestan</v>
      </c>
      <c r="E136" s="67" t="str">
        <f>IFERROR(__xludf.DUMMYFUNCTION("""COMPUTED_VALUE"""),"CV. Adil Prima Perkasa")</f>
        <v>CV. Adil Prima Perkasa</v>
      </c>
      <c r="F136" s="67" t="str">
        <f>IFERROR(__xludf.DUMMYFUNCTION("""COMPUTED_VALUE"""),"DRIVER LV")</f>
        <v>DRIVER LV</v>
      </c>
      <c r="G136" s="67" t="str">
        <f>IFERROR(__xludf.DUMMYFUNCTION("""COMPUTED_VALUE"""),"KENDARAAN &amp; UNIT SUPPORT")</f>
        <v>KENDARAAN &amp; UNIT SUPPORT</v>
      </c>
      <c r="H136" s="67" t="str">
        <f>IFERROR(__xludf.DUMMYFUNCTION("""COMPUTED_VALUE"""),"[0102150004] NAFTALI RARE'A, ST")</f>
        <v>[0102150004] NAFTALI RARE'A, ST</v>
      </c>
      <c r="I136" s="69"/>
      <c r="J136" s="70" t="str">
        <f t="shared" si="1"/>
        <v>[207231805] EFENDY</v>
      </c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</row>
    <row r="137">
      <c r="A137" s="67">
        <f>IFERROR(__xludf.DUMMYFUNCTION("""COMPUTED_VALUE"""),1.05211401E8)</f>
        <v>105211401</v>
      </c>
      <c r="B137" s="67" t="str">
        <f>IFERROR(__xludf.DUMMYFUNCTION("""COMPUTED_VALUE"""),"EFRAN RARE'A")</f>
        <v>EFRAN RARE'A</v>
      </c>
      <c r="C137" s="67">
        <f>IFERROR(__xludf.DUMMYFUNCTION("""COMPUTED_VALUE"""),40.0)</f>
        <v>40</v>
      </c>
      <c r="D137" s="68" t="str">
        <f>IFERROR(__xludf.DUMMYFUNCTION("""COMPUTED_VALUE"""),"Kristen Protestan")</f>
        <v>Kristen Protestan</v>
      </c>
      <c r="E137" s="67" t="str">
        <f>IFERROR(__xludf.DUMMYFUNCTION("""COMPUTED_VALUE"""),"CV. SENTOSA ABADI")</f>
        <v>CV. SENTOSA ABADI</v>
      </c>
      <c r="F137" s="67" t="str">
        <f>IFERROR(__xludf.DUMMYFUNCTION("""COMPUTED_VALUE"""),"DRIVER DT H500")</f>
        <v>DRIVER DT H500</v>
      </c>
      <c r="G137" s="67" t="str">
        <f>IFERROR(__xludf.DUMMYFUNCTION("""COMPUTED_VALUE"""),"KENDARAAN &amp; UNIT SUPPORT")</f>
        <v>KENDARAAN &amp; UNIT SUPPORT</v>
      </c>
      <c r="H137" s="67" t="str">
        <f>IFERROR(__xludf.DUMMYFUNCTION("""COMPUTED_VALUE"""),"[0102150004] NAFTALI RARE'A, ST")</f>
        <v>[0102150004] NAFTALI RARE'A, ST</v>
      </c>
      <c r="I137" s="69">
        <f>IFERROR(__xludf.DUMMYFUNCTION("""COMPUTED_VALUE"""),28755.0)</f>
        <v>28755</v>
      </c>
      <c r="J137" s="70" t="str">
        <f t="shared" si="1"/>
        <v>[105211401] EFRAN RARE'A</v>
      </c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</row>
    <row r="138">
      <c r="A138" s="67">
        <f>IFERROR(__xludf.DUMMYFUNCTION("""COMPUTED_VALUE"""),1.01190626E8)</f>
        <v>101190626</v>
      </c>
      <c r="B138" s="67" t="str">
        <f>IFERROR(__xludf.DUMMYFUNCTION("""COMPUTED_VALUE"""),"EFRONIUS TEOK")</f>
        <v>EFRONIUS TEOK</v>
      </c>
      <c r="C138" s="67">
        <f>IFERROR(__xludf.DUMMYFUNCTION("""COMPUTED_VALUE"""),26.0)</f>
        <v>26</v>
      </c>
      <c r="D138" s="68" t="str">
        <f>IFERROR(__xludf.DUMMYFUNCTION("""COMPUTED_VALUE"""),"Kristen Khatolik")</f>
        <v>Kristen Khatolik</v>
      </c>
      <c r="E138" s="67" t="str">
        <f>IFERROR(__xludf.DUMMYFUNCTION("""COMPUTED_VALUE"""),"CV. SENTOSA ABADI")</f>
        <v>CV. SENTOSA ABADI</v>
      </c>
      <c r="F138" s="67" t="str">
        <f>IFERROR(__xludf.DUMMYFUNCTION("""COMPUTED_VALUE"""),"OPERATOR EXCAVATOR")</f>
        <v>OPERATOR EXCAVATOR</v>
      </c>
      <c r="G138" s="67" t="str">
        <f>IFERROR(__xludf.DUMMYFUNCTION("""COMPUTED_VALUE"""),"PRODUKSI")</f>
        <v>PRODUKSI</v>
      </c>
      <c r="H138" s="67" t="str">
        <f>IFERROR(__xludf.DUMMYFUNCTION("""COMPUTED_VALUE"""),"FALSE")</f>
        <v>FALSE</v>
      </c>
      <c r="I138" s="69"/>
      <c r="J138" s="70" t="str">
        <f t="shared" si="1"/>
        <v>[101190626] EFRONIUS TEOK</v>
      </c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</row>
    <row r="139">
      <c r="A139" s="67">
        <f>IFERROR(__xludf.DUMMYFUNCTION("""COMPUTED_VALUE"""),1.05190864E8)</f>
        <v>105190864</v>
      </c>
      <c r="B139" s="67" t="str">
        <f>IFERROR(__xludf.DUMMYFUNCTION("""COMPUTED_VALUE"""),"EKELESIA BALIGOMBO")</f>
        <v>EKELESIA BALIGOMBO</v>
      </c>
      <c r="C139" s="67">
        <f>IFERROR(__xludf.DUMMYFUNCTION("""COMPUTED_VALUE"""),57.0)</f>
        <v>57</v>
      </c>
      <c r="D139" s="68" t="str">
        <f>IFERROR(__xludf.DUMMYFUNCTION("""COMPUTED_VALUE"""),"Kristen Protestan")</f>
        <v>Kristen Protestan</v>
      </c>
      <c r="E139" s="67" t="str">
        <f>IFERROR(__xludf.DUMMYFUNCTION("""COMPUTED_VALUE"""),"CV. SENTOSA ABADI")</f>
        <v>CV. SENTOSA ABADI</v>
      </c>
      <c r="F139" s="67" t="str">
        <f>IFERROR(__xludf.DUMMYFUNCTION("""COMPUTED_VALUE"""),"DRIVER DT H700ZY")</f>
        <v>DRIVER DT H700ZY</v>
      </c>
      <c r="G139" s="67" t="str">
        <f>IFERROR(__xludf.DUMMYFUNCTION("""COMPUTED_VALUE"""),"KENDARAAN &amp; UNIT SUPPORT")</f>
        <v>KENDARAAN &amp; UNIT SUPPORT</v>
      </c>
      <c r="H139" s="67" t="str">
        <f>IFERROR(__xludf.DUMMYFUNCTION("""COMPUTED_VALUE"""),"[0102150004] NAFTALI RARE'A, ST")</f>
        <v>[0102150004] NAFTALI RARE'A, ST</v>
      </c>
      <c r="I139" s="69">
        <f>IFERROR(__xludf.DUMMYFUNCTION("""COMPUTED_VALUE"""),25969.0)</f>
        <v>25969</v>
      </c>
      <c r="J139" s="70" t="str">
        <f t="shared" si="1"/>
        <v>[105190864] EKELESIA BALIGOMBO</v>
      </c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</row>
    <row r="140">
      <c r="A140" s="67">
        <f>IFERROR(__xludf.DUMMYFUNCTION("""COMPUTED_VALUE"""),1.12211555E8)</f>
        <v>112211555</v>
      </c>
      <c r="B140" s="67" t="str">
        <f>IFERROR(__xludf.DUMMYFUNCTION("""COMPUTED_VALUE"""),"EKI SURAHMAN")</f>
        <v>EKI SURAHMAN</v>
      </c>
      <c r="C140" s="67">
        <f>IFERROR(__xludf.DUMMYFUNCTION("""COMPUTED_VALUE"""),27.0)</f>
        <v>27</v>
      </c>
      <c r="D140" s="68" t="str">
        <f>IFERROR(__xludf.DUMMYFUNCTION("""COMPUTED_VALUE"""),"Islam")</f>
        <v>Islam</v>
      </c>
      <c r="E140" s="67" t="str">
        <f>IFERROR(__xludf.DUMMYFUNCTION("""COMPUTED_VALUE"""),"CV. SENTOSA ABADI")</f>
        <v>CV. SENTOSA ABADI</v>
      </c>
      <c r="F140" s="67" t="str">
        <f>IFERROR(__xludf.DUMMYFUNCTION("""COMPUTED_VALUE"""),"HELPER TYRE")</f>
        <v>HELPER TYRE</v>
      </c>
      <c r="G140" s="67" t="str">
        <f>IFERROR(__xludf.DUMMYFUNCTION("""COMPUTED_VALUE"""),"WORKSHOP")</f>
        <v>WORKSHOP</v>
      </c>
      <c r="H140" s="67" t="str">
        <f>IFERROR(__xludf.DUMMYFUNCTION("""COMPUTED_VALUE"""),"[0102120144] JUFRY KOMALING")</f>
        <v>[0102120144] JUFRY KOMALING</v>
      </c>
      <c r="I140" s="69"/>
      <c r="J140" s="70" t="str">
        <f t="shared" si="1"/>
        <v>[112211555] EKI SURAHMAN</v>
      </c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</row>
    <row r="141">
      <c r="A141" s="67">
        <f>IFERROR(__xludf.DUMMYFUNCTION("""COMPUTED_VALUE"""),2.10180647E8)</f>
        <v>210180647</v>
      </c>
      <c r="B141" s="67" t="str">
        <f>IFERROR(__xludf.DUMMYFUNCTION("""COMPUTED_VALUE"""),"EKKI HIDIN")</f>
        <v>EKKI HIDIN</v>
      </c>
      <c r="C141" s="67">
        <f>IFERROR(__xludf.DUMMYFUNCTION("""COMPUTED_VALUE"""),26.0)</f>
        <v>26</v>
      </c>
      <c r="D141" s="68" t="str">
        <f>IFERROR(__xludf.DUMMYFUNCTION("""COMPUTED_VALUE"""),"Islam")</f>
        <v>Islam</v>
      </c>
      <c r="E141" s="67" t="str">
        <f>IFERROR(__xludf.DUMMYFUNCTION("""COMPUTED_VALUE"""),"CV. Adil Prima Perkasa")</f>
        <v>CV. Adil Prima Perkasa</v>
      </c>
      <c r="F141" s="67" t="str">
        <f>IFERROR(__xludf.DUMMYFUNCTION("""COMPUTED_VALUE"""),"OPERATOR EXCAVATOR")</f>
        <v>OPERATOR EXCAVATOR</v>
      </c>
      <c r="G141" s="67" t="str">
        <f>IFERROR(__xludf.DUMMYFUNCTION("""COMPUTED_VALUE"""),"PRODUKSI")</f>
        <v>PRODUKSI</v>
      </c>
      <c r="H141" s="67" t="str">
        <f>IFERROR(__xludf.DUMMYFUNCTION("""COMPUTED_VALUE"""),"FALSE")</f>
        <v>FALSE</v>
      </c>
      <c r="I141" s="69"/>
      <c r="J141" s="70" t="str">
        <f t="shared" si="1"/>
        <v>[210180647] EKKI HIDIN</v>
      </c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</row>
    <row r="142">
      <c r="A142" s="67">
        <f>IFERROR(__xludf.DUMMYFUNCTION("""COMPUTED_VALUE"""),1.02150007E8)</f>
        <v>102150007</v>
      </c>
      <c r="B142" s="67" t="str">
        <f>IFERROR(__xludf.DUMMYFUNCTION("""COMPUTED_VALUE"""),"EKY SIDIK PRATAMA, ST")</f>
        <v>EKY SIDIK PRATAMA, ST</v>
      </c>
      <c r="C142" s="67">
        <f>IFERROR(__xludf.DUMMYFUNCTION("""COMPUTED_VALUE"""),35.0)</f>
        <v>35</v>
      </c>
      <c r="D142" s="68" t="str">
        <f>IFERROR(__xludf.DUMMYFUNCTION("""COMPUTED_VALUE"""),"Islam")</f>
        <v>Islam</v>
      </c>
      <c r="E142" s="67" t="str">
        <f>IFERROR(__xludf.DUMMYFUNCTION("""COMPUTED_VALUE"""),"CV. SENTOSA ABADI")</f>
        <v>CV. SENTOSA ABADI</v>
      </c>
      <c r="F142" s="67" t="str">
        <f>IFERROR(__xludf.DUMMYFUNCTION("""COMPUTED_VALUE"""),"HEAD OF PPC")</f>
        <v>HEAD OF PPC</v>
      </c>
      <c r="G142" s="67" t="str">
        <f>IFERROR(__xludf.DUMMYFUNCTION("""COMPUTED_VALUE"""),"MPE")</f>
        <v>MPE</v>
      </c>
      <c r="H142" s="67" t="str">
        <f>IFERROR(__xludf.DUMMYFUNCTION("""COMPUTED_VALUE"""),"FALSE")</f>
        <v>FALSE</v>
      </c>
      <c r="I142" s="69">
        <f>IFERROR(__xludf.DUMMYFUNCTION("""COMPUTED_VALUE"""),34346.0)</f>
        <v>34346</v>
      </c>
      <c r="J142" s="70" t="str">
        <f t="shared" si="1"/>
        <v>[102150007] EKY SIDIK PRATAMA, ST</v>
      </c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</row>
    <row r="143">
      <c r="A143" s="67"/>
      <c r="B143" s="67" t="str">
        <f>IFERROR(__xludf.DUMMYFUNCTION("""COMPUTED_VALUE"""),"EL YASIB SAMAILI")</f>
        <v>EL YASIB SAMAILI</v>
      </c>
      <c r="C143" s="67">
        <f>IFERROR(__xludf.DUMMYFUNCTION("""COMPUTED_VALUE"""),0.0)</f>
        <v>0</v>
      </c>
      <c r="D143" s="68"/>
      <c r="E143" s="67" t="str">
        <f>IFERROR(__xludf.DUMMYFUNCTION("""COMPUTED_VALUE"""),"CV. Monalisa")</f>
        <v>CV. Monalisa</v>
      </c>
      <c r="F143" s="67" t="str">
        <f>IFERROR(__xludf.DUMMYFUNCTION("""COMPUTED_VALUE"""),"FALSE")</f>
        <v>FALSE</v>
      </c>
      <c r="G143" s="67" t="str">
        <f>IFERROR(__xludf.DUMMYFUNCTION("""COMPUTED_VALUE"""),"FINANCE")</f>
        <v>FINANCE</v>
      </c>
      <c r="H143" s="67" t="str">
        <f>IFERROR(__xludf.DUMMYFUNCTION("""COMPUTED_VALUE"""),"[0206189004] ALFRETH ALVIAN TIAKI")</f>
        <v>[0206189004] ALFRETH ALVIAN TIAKI</v>
      </c>
      <c r="I143" s="69"/>
      <c r="J143" s="70" t="str">
        <f t="shared" si="1"/>
        <v>[] EL YASIB SAMAILI</v>
      </c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</row>
    <row r="144">
      <c r="A144" s="67">
        <f>IFERROR(__xludf.DUMMYFUNCTION("""COMPUTED_VALUE"""),1.11231853E8)</f>
        <v>111231853</v>
      </c>
      <c r="B144" s="67" t="str">
        <f>IFERROR(__xludf.DUMMYFUNCTION("""COMPUTED_VALUE"""),"ELIM SIMON BIU")</f>
        <v>ELIM SIMON BIU</v>
      </c>
      <c r="C144" s="67">
        <f>IFERROR(__xludf.DUMMYFUNCTION("""COMPUTED_VALUE"""),42.0)</f>
        <v>42</v>
      </c>
      <c r="D144" s="68" t="str">
        <f>IFERROR(__xludf.DUMMYFUNCTION("""COMPUTED_VALUE"""),"Kristen Protestan")</f>
        <v>Kristen Protestan</v>
      </c>
      <c r="E144" s="67" t="str">
        <f>IFERROR(__xludf.DUMMYFUNCTION("""COMPUTED_VALUE"""),"CV. SENTOSA ABADI")</f>
        <v>CV. SENTOSA ABADI</v>
      </c>
      <c r="F144" s="67" t="str">
        <f>IFERROR(__xludf.DUMMYFUNCTION("""COMPUTED_VALUE"""),"DRIVER DT H500")</f>
        <v>DRIVER DT H500</v>
      </c>
      <c r="G144" s="67" t="str">
        <f>IFERROR(__xludf.DUMMYFUNCTION("""COMPUTED_VALUE"""),"KENDARAAN &amp; UNIT SUPPORT")</f>
        <v>KENDARAAN &amp; UNIT SUPPORT</v>
      </c>
      <c r="H144" s="67" t="str">
        <f>IFERROR(__xludf.DUMMYFUNCTION("""COMPUTED_VALUE"""),"[0102150004] NAFTALI RARE'A, ST")</f>
        <v>[0102150004] NAFTALI RARE'A, ST</v>
      </c>
      <c r="I144" s="69"/>
      <c r="J144" s="70" t="str">
        <f t="shared" si="1"/>
        <v>[111231853] ELIM SIMON BIU</v>
      </c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</row>
    <row r="145">
      <c r="A145" s="67">
        <f>IFERROR(__xludf.DUMMYFUNCTION("""COMPUTED_VALUE"""),2.07201163E8)</f>
        <v>207201163</v>
      </c>
      <c r="B145" s="67" t="str">
        <f>IFERROR(__xludf.DUMMYFUNCTION("""COMPUTED_VALUE"""),"ELSA SABE")</f>
        <v>ELSA SABE</v>
      </c>
      <c r="C145" s="67">
        <f>IFERROR(__xludf.DUMMYFUNCTION("""COMPUTED_VALUE"""),32.0)</f>
        <v>32</v>
      </c>
      <c r="D145" s="68" t="str">
        <f>IFERROR(__xludf.DUMMYFUNCTION("""COMPUTED_VALUE"""),"Kristen Protestan")</f>
        <v>Kristen Protestan</v>
      </c>
      <c r="E145" s="67" t="str">
        <f>IFERROR(__xludf.DUMMYFUNCTION("""COMPUTED_VALUE"""),"CV. Adil Prima Perkasa")</f>
        <v>CV. Adil Prima Perkasa</v>
      </c>
      <c r="F145" s="67" t="str">
        <f>IFERROR(__xludf.DUMMYFUNCTION("""COMPUTED_VALUE"""),"OPERATOR EXCAVATOR")</f>
        <v>OPERATOR EXCAVATOR</v>
      </c>
      <c r="G145" s="67" t="str">
        <f>IFERROR(__xludf.DUMMYFUNCTION("""COMPUTED_VALUE"""),"PRODUKSI")</f>
        <v>PRODUKSI</v>
      </c>
      <c r="H145" s="67" t="str">
        <f>IFERROR(__xludf.DUMMYFUNCTION("""COMPUTED_VALUE"""),"FALSE")</f>
        <v>FALSE</v>
      </c>
      <c r="I145" s="69">
        <f>IFERROR(__xludf.DUMMYFUNCTION("""COMPUTED_VALUE"""),44663.0)</f>
        <v>44663</v>
      </c>
      <c r="J145" s="70" t="str">
        <f t="shared" si="1"/>
        <v>[207201163] ELSA SABE</v>
      </c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</row>
    <row r="146">
      <c r="A146" s="67">
        <f>IFERROR(__xludf.DUMMYFUNCTION("""COMPUTED_VALUE"""),1.02201134E8)</f>
        <v>102201134</v>
      </c>
      <c r="B146" s="67" t="str">
        <f>IFERROR(__xludf.DUMMYFUNCTION("""COMPUTED_VALUE"""),"EMMA FEBRIANTI SINU")</f>
        <v>EMMA FEBRIANTI SINU</v>
      </c>
      <c r="C146" s="67">
        <f>IFERROR(__xludf.DUMMYFUNCTION("""COMPUTED_VALUE"""),37.0)</f>
        <v>37</v>
      </c>
      <c r="D146" s="68" t="str">
        <f>IFERROR(__xludf.DUMMYFUNCTION("""COMPUTED_VALUE"""),"Kristen Protestan")</f>
        <v>Kristen Protestan</v>
      </c>
      <c r="E146" s="67" t="str">
        <f>IFERROR(__xludf.DUMMYFUNCTION("""COMPUTED_VALUE"""),"CV. SENTOSA ABADI")</f>
        <v>CV. SENTOSA ABADI</v>
      </c>
      <c r="F146" s="67" t="str">
        <f>IFERROR(__xludf.DUMMYFUNCTION("""COMPUTED_VALUE"""),"STOCKER")</f>
        <v>STOCKER</v>
      </c>
      <c r="G146" s="67" t="str">
        <f>IFERROR(__xludf.DUMMYFUNCTION("""COMPUTED_VALUE"""),"HRD &amp; GA")</f>
        <v>HRD &amp; GA</v>
      </c>
      <c r="H146" s="67" t="str">
        <f>IFERROR(__xludf.DUMMYFUNCTION("""COMPUTED_VALUE"""),"[0103231738] MARYA SUSAN SIMBANGU")</f>
        <v>[0103231738] MARYA SUSAN SIMBANGU</v>
      </c>
      <c r="I146" s="69"/>
      <c r="J146" s="70" t="str">
        <f t="shared" si="1"/>
        <v>[102201134] EMMA FEBRIANTI SINU</v>
      </c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</row>
    <row r="147">
      <c r="A147" s="67">
        <f>IFERROR(__xludf.DUMMYFUNCTION("""COMPUTED_VALUE"""),1.11160071E8)</f>
        <v>111160071</v>
      </c>
      <c r="B147" s="67" t="str">
        <f>IFERROR(__xludf.DUMMYFUNCTION("""COMPUTED_VALUE"""),"EMMY")</f>
        <v>EMMY</v>
      </c>
      <c r="C147" s="67">
        <f>IFERROR(__xludf.DUMMYFUNCTION("""COMPUTED_VALUE"""),58.0)</f>
        <v>58</v>
      </c>
      <c r="D147" s="68" t="str">
        <f>IFERROR(__xludf.DUMMYFUNCTION("""COMPUTED_VALUE"""),"Kristen Protestan")</f>
        <v>Kristen Protestan</v>
      </c>
      <c r="E147" s="67" t="str">
        <f>IFERROR(__xludf.DUMMYFUNCTION("""COMPUTED_VALUE"""),"CV. SENTOSA ABADI")</f>
        <v>CV. SENTOSA ABADI</v>
      </c>
      <c r="F147" s="67" t="str">
        <f>IFERROR(__xludf.DUMMYFUNCTION("""COMPUTED_VALUE"""),"OPERATOR COMPACTOR")</f>
        <v>OPERATOR COMPACTOR</v>
      </c>
      <c r="G147" s="67" t="str">
        <f>IFERROR(__xludf.DUMMYFUNCTION("""COMPUTED_VALUE"""),"PRODUKSI")</f>
        <v>PRODUKSI</v>
      </c>
      <c r="H147" s="67" t="str">
        <f>IFERROR(__xludf.DUMMYFUNCTION("""COMPUTED_VALUE"""),"FALSE")</f>
        <v>FALSE</v>
      </c>
      <c r="I147" s="69">
        <f>IFERROR(__xludf.DUMMYFUNCTION("""COMPUTED_VALUE"""),25070.0)</f>
        <v>25070</v>
      </c>
      <c r="J147" s="70" t="str">
        <f t="shared" si="1"/>
        <v>[111160071] EMMY</v>
      </c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</row>
    <row r="148">
      <c r="A148" s="67">
        <f>IFERROR(__xludf.DUMMYFUNCTION("""COMPUTED_VALUE"""),1.08191037E8)</f>
        <v>108191037</v>
      </c>
      <c r="B148" s="67" t="str">
        <f>IFERROR(__xludf.DUMMYFUNCTION("""COMPUTED_VALUE"""),"ERNIE FRISLIA")</f>
        <v>ERNIE FRISLIA</v>
      </c>
      <c r="C148" s="67">
        <f>IFERROR(__xludf.DUMMYFUNCTION("""COMPUTED_VALUE"""),43.0)</f>
        <v>43</v>
      </c>
      <c r="D148" s="68" t="str">
        <f>IFERROR(__xludf.DUMMYFUNCTION("""COMPUTED_VALUE"""),"Kristen Protestan")</f>
        <v>Kristen Protestan</v>
      </c>
      <c r="E148" s="67" t="str">
        <f>IFERROR(__xludf.DUMMYFUNCTION("""COMPUTED_VALUE"""),"CV. SENTOSA ABADI")</f>
        <v>CV. SENTOSA ABADI</v>
      </c>
      <c r="F148" s="67" t="str">
        <f>IFERROR(__xludf.DUMMYFUNCTION("""COMPUTED_VALUE"""),"HEAD OF HRGA")</f>
        <v>HEAD OF HRGA</v>
      </c>
      <c r="G148" s="67" t="str">
        <f>IFERROR(__xludf.DUMMYFUNCTION("""COMPUTED_VALUE"""),"HRD &amp; GA")</f>
        <v>HRD &amp; GA</v>
      </c>
      <c r="H148" s="67" t="str">
        <f>IFERROR(__xludf.DUMMYFUNCTION("""COMPUTED_VALUE"""),"[101190758] ERWIN PASALI")</f>
        <v>[101190758] ERWIN PASALI</v>
      </c>
      <c r="I148" s="69"/>
      <c r="J148" s="70" t="str">
        <f t="shared" si="1"/>
        <v>[108191037] ERNIE FRISLIA</v>
      </c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</row>
    <row r="149">
      <c r="A149" s="67">
        <f>IFERROR(__xludf.DUMMYFUNCTION("""COMPUTED_VALUE"""),1.03201137E8)</f>
        <v>103201137</v>
      </c>
      <c r="B149" s="67" t="str">
        <f>IFERROR(__xludf.DUMMYFUNCTION("""COMPUTED_VALUE"""),"ERNUS ESAN")</f>
        <v>ERNUS ESAN</v>
      </c>
      <c r="C149" s="67">
        <f>IFERROR(__xludf.DUMMYFUNCTION("""COMPUTED_VALUE"""),32.0)</f>
        <v>32</v>
      </c>
      <c r="D149" s="68" t="str">
        <f>IFERROR(__xludf.DUMMYFUNCTION("""COMPUTED_VALUE"""),"Kristen Khatolik")</f>
        <v>Kristen Khatolik</v>
      </c>
      <c r="E149" s="67" t="str">
        <f>IFERROR(__xludf.DUMMYFUNCTION("""COMPUTED_VALUE"""),"CV. SENTOSA ABADI")</f>
        <v>CV. SENTOSA ABADI</v>
      </c>
      <c r="F149" s="67" t="str">
        <f>IFERROR(__xludf.DUMMYFUNCTION("""COMPUTED_VALUE"""),"OPERATOR BULLDOZER")</f>
        <v>OPERATOR BULLDOZER</v>
      </c>
      <c r="G149" s="67" t="str">
        <f>IFERROR(__xludf.DUMMYFUNCTION("""COMPUTED_VALUE"""),"PRODUKSI")</f>
        <v>PRODUKSI</v>
      </c>
      <c r="H149" s="67" t="str">
        <f>IFERROR(__xludf.DUMMYFUNCTION("""COMPUTED_VALUE"""),"FALSE")</f>
        <v>FALSE</v>
      </c>
      <c r="I149" s="69">
        <f>IFERROR(__xludf.DUMMYFUNCTION("""COMPUTED_VALUE"""),34459.0)</f>
        <v>34459</v>
      </c>
      <c r="J149" s="70" t="str">
        <f t="shared" si="1"/>
        <v>[103201137] ERNUS ESAN</v>
      </c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</row>
    <row r="150">
      <c r="A150" s="67">
        <f>IFERROR(__xludf.DUMMYFUNCTION("""COMPUTED_VALUE"""),4.03240009E8)</f>
        <v>403240009</v>
      </c>
      <c r="B150" s="67" t="str">
        <f>IFERROR(__xludf.DUMMYFUNCTION("""COMPUTED_VALUE"""),"ERWIN")</f>
        <v>ERWIN</v>
      </c>
      <c r="C150" s="67">
        <f>IFERROR(__xludf.DUMMYFUNCTION("""COMPUTED_VALUE"""),0.0)</f>
        <v>0</v>
      </c>
      <c r="D150" s="68"/>
      <c r="E150" s="67" t="str">
        <f>IFERROR(__xludf.DUMMYFUNCTION("""COMPUTED_VALUE"""),"CV. SENTOSA ABADI")</f>
        <v>CV. SENTOSA ABADI</v>
      </c>
      <c r="F150" s="67" t="str">
        <f>IFERROR(__xludf.DUMMYFUNCTION("""COMPUTED_VALUE"""),"FOREMAN KENDARAAN")</f>
        <v>FOREMAN KENDARAAN</v>
      </c>
      <c r="G150" s="67" t="str">
        <f>IFERROR(__xludf.DUMMYFUNCTION("""COMPUTED_VALUE"""),"KENDARAAN &amp; UNIT SUPPORT")</f>
        <v>KENDARAAN &amp; UNIT SUPPORT</v>
      </c>
      <c r="H150" s="67" t="str">
        <f>IFERROR(__xludf.DUMMYFUNCTION("""COMPUTED_VALUE"""),"[0102150004] NAFTALI RARE'A, ST")</f>
        <v>[0102150004] NAFTALI RARE'A, ST</v>
      </c>
      <c r="I150" s="69"/>
      <c r="J150" s="70" t="str">
        <f t="shared" si="1"/>
        <v>[403240009] ERWIN</v>
      </c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</row>
    <row r="151">
      <c r="A151" s="67">
        <f>IFERROR(__xludf.DUMMYFUNCTION("""COMPUTED_VALUE"""),1.01190758E8)</f>
        <v>101190758</v>
      </c>
      <c r="B151" s="67" t="str">
        <f>IFERROR(__xludf.DUMMYFUNCTION("""COMPUTED_VALUE"""),"ERWIN PASALI")</f>
        <v>ERWIN PASALI</v>
      </c>
      <c r="C151" s="67">
        <f>IFERROR(__xludf.DUMMYFUNCTION("""COMPUTED_VALUE"""),0.0)</f>
        <v>0</v>
      </c>
      <c r="D151" s="68"/>
      <c r="E151" s="67" t="str">
        <f>IFERROR(__xludf.DUMMYFUNCTION("""COMPUTED_VALUE"""),"CV. SENTOSA ABADI")</f>
        <v>CV. SENTOSA ABADI</v>
      </c>
      <c r="F151" s="67" t="str">
        <f>IFERROR(__xludf.DUMMYFUNCTION("""COMPUTED_VALUE"""),"HEAD OF HRGA")</f>
        <v>HEAD OF HRGA</v>
      </c>
      <c r="G151" s="67" t="str">
        <f>IFERROR(__xludf.DUMMYFUNCTION("""COMPUTED_VALUE"""),"HRD &amp; GA")</f>
        <v>HRD &amp; GA</v>
      </c>
      <c r="H151" s="67" t="str">
        <f>IFERROR(__xludf.DUMMYFUNCTION("""COMPUTED_VALUE"""),"[0101199001] Monita Febyanti")</f>
        <v>[0101199001] Monita Febyanti</v>
      </c>
      <c r="I151" s="69"/>
      <c r="J151" s="70" t="str">
        <f t="shared" si="1"/>
        <v>[101190758] ERWIN PASALI</v>
      </c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</row>
    <row r="152">
      <c r="A152" s="67">
        <f>IFERROR(__xludf.DUMMYFUNCTION("""COMPUTED_VALUE"""),1.02150008E8)</f>
        <v>102150008</v>
      </c>
      <c r="B152" s="67" t="str">
        <f>IFERROR(__xludf.DUMMYFUNCTION("""COMPUTED_VALUE"""),"ERWIN SAPA")</f>
        <v>ERWIN SAPA</v>
      </c>
      <c r="C152" s="67">
        <f>IFERROR(__xludf.DUMMYFUNCTION("""COMPUTED_VALUE"""),38.0)</f>
        <v>38</v>
      </c>
      <c r="D152" s="68" t="str">
        <f>IFERROR(__xludf.DUMMYFUNCTION("""COMPUTED_VALUE"""),"Islam")</f>
        <v>Islam</v>
      </c>
      <c r="E152" s="67" t="str">
        <f>IFERROR(__xludf.DUMMYFUNCTION("""COMPUTED_VALUE"""),"CV. SENTOSA ABADI")</f>
        <v>CV. SENTOSA ABADI</v>
      </c>
      <c r="F152" s="67" t="str">
        <f>IFERROR(__xludf.DUMMYFUNCTION("""COMPUTED_VALUE"""),"FIELD ENGINEERING")</f>
        <v>FIELD ENGINEERING</v>
      </c>
      <c r="G152" s="67" t="str">
        <f>IFERROR(__xludf.DUMMYFUNCTION("""COMPUTED_VALUE"""),"MPE")</f>
        <v>MPE</v>
      </c>
      <c r="H152" s="67" t="str">
        <f>IFERROR(__xludf.DUMMYFUNCTION("""COMPUTED_VALUE"""),"[0102150007] EKY SIDIK PRATAMA, ST")</f>
        <v>[0102150007] EKY SIDIK PRATAMA, ST</v>
      </c>
      <c r="I152" s="69">
        <f>IFERROR(__xludf.DUMMYFUNCTION("""COMPUTED_VALUE"""),33832.0)</f>
        <v>33832</v>
      </c>
      <c r="J152" s="70" t="str">
        <f t="shared" si="1"/>
        <v>[102150008] ERWIN SAPA</v>
      </c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</row>
    <row r="153">
      <c r="A153" s="67">
        <f>IFERROR(__xludf.DUMMYFUNCTION("""COMPUTED_VALUE"""),2.11201294E8)</f>
        <v>211201294</v>
      </c>
      <c r="B153" s="67" t="str">
        <f>IFERROR(__xludf.DUMMYFUNCTION("""COMPUTED_VALUE"""),"ERWINSYAH LAMBEJA")</f>
        <v>ERWINSYAH LAMBEJA</v>
      </c>
      <c r="C153" s="67">
        <f>IFERROR(__xludf.DUMMYFUNCTION("""COMPUTED_VALUE"""),28.0)</f>
        <v>28</v>
      </c>
      <c r="D153" s="68" t="str">
        <f>IFERROR(__xludf.DUMMYFUNCTION("""COMPUTED_VALUE"""),"Islam")</f>
        <v>Islam</v>
      </c>
      <c r="E153" s="67" t="str">
        <f>IFERROR(__xludf.DUMMYFUNCTION("""COMPUTED_VALUE"""),"CV. Adil Prima Perkasa")</f>
        <v>CV. Adil Prima Perkasa</v>
      </c>
      <c r="F153" s="67" t="str">
        <f>IFERROR(__xludf.DUMMYFUNCTION("""COMPUTED_VALUE"""),"FOREMAN GRADE CONTROL")</f>
        <v>FOREMAN GRADE CONTROL</v>
      </c>
      <c r="G153" s="67" t="str">
        <f>IFERROR(__xludf.DUMMYFUNCTION("""COMPUTED_VALUE"""),"GRADE CONTROL")</f>
        <v>GRADE CONTROL</v>
      </c>
      <c r="H153" s="67" t="str">
        <f>IFERROR(__xludf.DUMMYFUNCTION("""COMPUTED_VALUE"""),"[0107201164] A.CHRISTI ARI WIBOWO")</f>
        <v>[0107201164] A.CHRISTI ARI WIBOWO</v>
      </c>
      <c r="I153" s="69"/>
      <c r="J153" s="70" t="str">
        <f t="shared" si="1"/>
        <v>[211201294] ERWINSYAH LAMBEJA</v>
      </c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</row>
    <row r="154">
      <c r="A154" s="67">
        <f>IFERROR(__xludf.DUMMYFUNCTION("""COMPUTED_VALUE"""),2.08191034E8)</f>
        <v>208191034</v>
      </c>
      <c r="B154" s="67" t="str">
        <f>IFERROR(__xludf.DUMMYFUNCTION("""COMPUTED_VALUE"""),"EVANTINUS IRWANDI MAHAL")</f>
        <v>EVANTINUS IRWANDI MAHAL</v>
      </c>
      <c r="C154" s="67">
        <f>IFERROR(__xludf.DUMMYFUNCTION("""COMPUTED_VALUE"""),25.0)</f>
        <v>25</v>
      </c>
      <c r="D154" s="68" t="str">
        <f>IFERROR(__xludf.DUMMYFUNCTION("""COMPUTED_VALUE"""),"Kristen Khatolik")</f>
        <v>Kristen Khatolik</v>
      </c>
      <c r="E154" s="67" t="str">
        <f>IFERROR(__xludf.DUMMYFUNCTION("""COMPUTED_VALUE"""),"CV. Adil Prima Perkasa")</f>
        <v>CV. Adil Prima Perkasa</v>
      </c>
      <c r="F154" s="67" t="str">
        <f>IFERROR(__xludf.DUMMYFUNCTION("""COMPUTED_VALUE"""),"OPERATOR EXCAVATOR")</f>
        <v>OPERATOR EXCAVATOR</v>
      </c>
      <c r="G154" s="67" t="str">
        <f>IFERROR(__xludf.DUMMYFUNCTION("""COMPUTED_VALUE"""),"PRODUKSI")</f>
        <v>PRODUKSI</v>
      </c>
      <c r="H154" s="67" t="str">
        <f>IFERROR(__xludf.DUMMYFUNCTION("""COMPUTED_VALUE"""),"FALSE")</f>
        <v>FALSE</v>
      </c>
      <c r="I154" s="69"/>
      <c r="J154" s="70" t="str">
        <f t="shared" si="1"/>
        <v>[208191034] EVANTINUS IRWANDI MAHAL</v>
      </c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</row>
    <row r="155">
      <c r="A155" s="67">
        <f>IFERROR(__xludf.DUMMYFUNCTION("""COMPUTED_VALUE"""),1.09160076E8)</f>
        <v>109160076</v>
      </c>
      <c r="B155" s="67" t="str">
        <f>IFERROR(__xludf.DUMMYFUNCTION("""COMPUTED_VALUE"""),"EVERSON LONTOE")</f>
        <v>EVERSON LONTOE</v>
      </c>
      <c r="C155" s="67">
        <f>IFERROR(__xludf.DUMMYFUNCTION("""COMPUTED_VALUE"""),52.0)</f>
        <v>52</v>
      </c>
      <c r="D155" s="68" t="str">
        <f>IFERROR(__xludf.DUMMYFUNCTION("""COMPUTED_VALUE"""),"Kristen Protestan")</f>
        <v>Kristen Protestan</v>
      </c>
      <c r="E155" s="67" t="str">
        <f>IFERROR(__xludf.DUMMYFUNCTION("""COMPUTED_VALUE"""),"CV. SENTOSA ABADI")</f>
        <v>CV. SENTOSA ABADI</v>
      </c>
      <c r="F155" s="67" t="str">
        <f>IFERROR(__xludf.DUMMYFUNCTION("""COMPUTED_VALUE"""),"DRIVER DT H700ZY")</f>
        <v>DRIVER DT H700ZY</v>
      </c>
      <c r="G155" s="67" t="str">
        <f>IFERROR(__xludf.DUMMYFUNCTION("""COMPUTED_VALUE"""),"KENDARAAN &amp; UNIT SUPPORT")</f>
        <v>KENDARAAN &amp; UNIT SUPPORT</v>
      </c>
      <c r="H155" s="67" t="str">
        <f>IFERROR(__xludf.DUMMYFUNCTION("""COMPUTED_VALUE"""),"[0102150004] NAFTALI RARE'A, ST")</f>
        <v>[0102150004] NAFTALI RARE'A, ST</v>
      </c>
      <c r="I155" s="69"/>
      <c r="J155" s="70" t="str">
        <f t="shared" si="1"/>
        <v>[109160076] EVERSON LONTOE</v>
      </c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</row>
    <row r="156">
      <c r="A156" s="67">
        <f>IFERROR(__xludf.DUMMYFUNCTION("""COMPUTED_VALUE"""),1.12180617E8)</f>
        <v>112180617</v>
      </c>
      <c r="B156" s="67" t="str">
        <f>IFERROR(__xludf.DUMMYFUNCTION("""COMPUTED_VALUE"""),"EVIL HARIANTO")</f>
        <v>EVIL HARIANTO</v>
      </c>
      <c r="C156" s="67">
        <f>IFERROR(__xludf.DUMMYFUNCTION("""COMPUTED_VALUE"""),39.0)</f>
        <v>39</v>
      </c>
      <c r="D156" s="68" t="str">
        <f>IFERROR(__xludf.DUMMYFUNCTION("""COMPUTED_VALUE"""),"Islam")</f>
        <v>Islam</v>
      </c>
      <c r="E156" s="67" t="str">
        <f>IFERROR(__xludf.DUMMYFUNCTION("""COMPUTED_VALUE"""),"CV. SENTOSA ABADI")</f>
        <v>CV. SENTOSA ABADI</v>
      </c>
      <c r="F156" s="67" t="str">
        <f>IFERROR(__xludf.DUMMYFUNCTION("""COMPUTED_VALUE"""),"HELPER MEKANIK ALAT BERAT")</f>
        <v>HELPER MEKANIK ALAT BERAT</v>
      </c>
      <c r="G156" s="67" t="str">
        <f>IFERROR(__xludf.DUMMYFUNCTION("""COMPUTED_VALUE"""),"WORKSHOP")</f>
        <v>WORKSHOP</v>
      </c>
      <c r="H156" s="67" t="str">
        <f>IFERROR(__xludf.DUMMYFUNCTION("""COMPUTED_VALUE"""),"[0106190928] NATAN KONDO")</f>
        <v>[0106190928] NATAN KONDO</v>
      </c>
      <c r="I156" s="69">
        <f>IFERROR(__xludf.DUMMYFUNCTION("""COMPUTED_VALUE"""),33608.0)</f>
        <v>33608</v>
      </c>
      <c r="J156" s="70" t="str">
        <f t="shared" si="1"/>
        <v>[112180617] EVIL HARIANTO</v>
      </c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</row>
    <row r="157">
      <c r="A157" s="67">
        <f>IFERROR(__xludf.DUMMYFUNCTION("""COMPUTED_VALUE"""),1.10201256E8)</f>
        <v>110201256</v>
      </c>
      <c r="B157" s="67" t="str">
        <f>IFERROR(__xludf.DUMMYFUNCTION("""COMPUTED_VALUE"""),"FADLI KUSDIATNO SIMBANGU")</f>
        <v>FADLI KUSDIATNO SIMBANGU</v>
      </c>
      <c r="C157" s="67">
        <f>IFERROR(__xludf.DUMMYFUNCTION("""COMPUTED_VALUE"""),41.0)</f>
        <v>41</v>
      </c>
      <c r="D157" s="68" t="str">
        <f>IFERROR(__xludf.DUMMYFUNCTION("""COMPUTED_VALUE"""),"Kristen Protestan")</f>
        <v>Kristen Protestan</v>
      </c>
      <c r="E157" s="67" t="str">
        <f>IFERROR(__xludf.DUMMYFUNCTION("""COMPUTED_VALUE"""),"CV. SENTOSA ABADI")</f>
        <v>CV. SENTOSA ABADI</v>
      </c>
      <c r="F157" s="67" t="str">
        <f>IFERROR(__xludf.DUMMYFUNCTION("""COMPUTED_VALUE"""),"HELPER BODY REPAIR")</f>
        <v>HELPER BODY REPAIR</v>
      </c>
      <c r="G157" s="67" t="str">
        <f>IFERROR(__xludf.DUMMYFUNCTION("""COMPUTED_VALUE"""),"WORKSHOP")</f>
        <v>WORKSHOP</v>
      </c>
      <c r="H157" s="67" t="str">
        <f>IFERROR(__xludf.DUMMYFUNCTION("""COMPUTED_VALUE"""),"FALSE")</f>
        <v>FALSE</v>
      </c>
      <c r="I157" s="69"/>
      <c r="J157" s="70" t="str">
        <f t="shared" si="1"/>
        <v>[110201256] FADLI KUSDIATNO SIMBANGU</v>
      </c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</row>
    <row r="158">
      <c r="A158" s="67">
        <f>IFERROR(__xludf.DUMMYFUNCTION("""COMPUTED_VALUE"""),2.01241877E8)</f>
        <v>201241877</v>
      </c>
      <c r="B158" s="67" t="str">
        <f>IFERROR(__xludf.DUMMYFUNCTION("""COMPUTED_VALUE"""),"FAIZAL RAMADHAN BAKRI")</f>
        <v>FAIZAL RAMADHAN BAKRI</v>
      </c>
      <c r="C158" s="67">
        <f>IFERROR(__xludf.DUMMYFUNCTION("""COMPUTED_VALUE"""),0.0)</f>
        <v>0</v>
      </c>
      <c r="D158" s="68"/>
      <c r="E158" s="67" t="str">
        <f>IFERROR(__xludf.DUMMYFUNCTION("""COMPUTED_VALUE"""),"CV. Adil Prima Perkasa")</f>
        <v>CV. Adil Prima Perkasa</v>
      </c>
      <c r="F158" s="67" t="str">
        <f>IFERROR(__xludf.DUMMYFUNCTION("""COMPUTED_VALUE"""),"ELECTRICIAN")</f>
        <v>ELECTRICIAN</v>
      </c>
      <c r="G158" s="67" t="str">
        <f>IFERROR(__xludf.DUMMYFUNCTION("""COMPUTED_VALUE"""),"WORKSHOP")</f>
        <v>WORKSHOP</v>
      </c>
      <c r="H158" s="67" t="str">
        <f>IFERROR(__xludf.DUMMYFUNCTION("""COMPUTED_VALUE"""),"[0106190928] NATAN KONDO")</f>
        <v>[0106190928] NATAN KONDO</v>
      </c>
      <c r="I158" s="69"/>
      <c r="J158" s="70" t="str">
        <f t="shared" si="1"/>
        <v>[201241877] FAIZAL RAMADHAN BAKRI</v>
      </c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</row>
    <row r="159">
      <c r="A159" s="67"/>
      <c r="B159" s="67" t="str">
        <f>IFERROR(__xludf.DUMMYFUNCTION("""COMPUTED_VALUE"""),"FAJA")</f>
        <v>FAJA</v>
      </c>
      <c r="C159" s="67">
        <f>IFERROR(__xludf.DUMMYFUNCTION("""COMPUTED_VALUE"""),0.0)</f>
        <v>0</v>
      </c>
      <c r="D159" s="68"/>
      <c r="E159" s="67" t="str">
        <f>IFERROR(__xludf.DUMMYFUNCTION("""COMPUTED_VALUE"""),"CV. Adil Prima Perkasa")</f>
        <v>CV. Adil Prima Perkasa</v>
      </c>
      <c r="F159" s="67" t="str">
        <f>IFERROR(__xludf.DUMMYFUNCTION("""COMPUTED_VALUE"""),"FALSE")</f>
        <v>FALSE</v>
      </c>
      <c r="G159" s="67" t="str">
        <f>IFERROR(__xludf.DUMMYFUNCTION("""COMPUTED_VALUE"""),"FALSE")</f>
        <v>FALSE</v>
      </c>
      <c r="H159" s="67" t="str">
        <f>IFERROR(__xludf.DUMMYFUNCTION("""COMPUTED_VALUE"""),"FALSE")</f>
        <v>FALSE</v>
      </c>
      <c r="I159" s="69"/>
      <c r="J159" s="70" t="str">
        <f t="shared" si="1"/>
        <v>[] FAJA</v>
      </c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</row>
    <row r="160">
      <c r="A160" s="67">
        <f>IFERROR(__xludf.DUMMYFUNCTION("""COMPUTED_VALUE"""),2.05241932E8)</f>
        <v>205241932</v>
      </c>
      <c r="B160" s="67" t="str">
        <f>IFERROR(__xludf.DUMMYFUNCTION("""COMPUTED_VALUE"""),"FAJAR BASRI")</f>
        <v>FAJAR BASRI</v>
      </c>
      <c r="C160" s="67">
        <f>IFERROR(__xludf.DUMMYFUNCTION("""COMPUTED_VALUE"""),0.0)</f>
        <v>0</v>
      </c>
      <c r="D160" s="68"/>
      <c r="E160" s="67" t="str">
        <f>IFERROR(__xludf.DUMMYFUNCTION("""COMPUTED_VALUE"""),"CV. Adil Prima Perkasa")</f>
        <v>CV. Adil Prima Perkasa</v>
      </c>
      <c r="F160" s="67" t="str">
        <f>IFERROR(__xludf.DUMMYFUNCTION("""COMPUTED_VALUE"""),"STAFF GA")</f>
        <v>STAFF GA</v>
      </c>
      <c r="G160" s="67" t="str">
        <f>IFERROR(__xludf.DUMMYFUNCTION("""COMPUTED_VALUE"""),"HRD &amp; GA")</f>
        <v>HRD &amp; GA</v>
      </c>
      <c r="H160" s="67" t="str">
        <f>IFERROR(__xludf.DUMMYFUNCTION("""COMPUTED_VALUE"""),"[0108191037] ERNIE FRISLIA")</f>
        <v>[0108191037] ERNIE FRISLIA</v>
      </c>
      <c r="I160" s="69"/>
      <c r="J160" s="70" t="str">
        <f t="shared" si="1"/>
        <v>[205241932] FAJAR BASRI</v>
      </c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</row>
    <row r="161">
      <c r="A161" s="67">
        <f>IFERROR(__xludf.DUMMYFUNCTION("""COMPUTED_VALUE"""),1.06190914E8)</f>
        <v>106190914</v>
      </c>
      <c r="B161" s="67" t="str">
        <f>IFERROR(__xludf.DUMMYFUNCTION("""COMPUTED_VALUE"""),"FALDI HULOPI")</f>
        <v>FALDI HULOPI</v>
      </c>
      <c r="C161" s="67">
        <f>IFERROR(__xludf.DUMMYFUNCTION("""COMPUTED_VALUE"""),33.0)</f>
        <v>33</v>
      </c>
      <c r="D161" s="68" t="str">
        <f>IFERROR(__xludf.DUMMYFUNCTION("""COMPUTED_VALUE"""),"Islam")</f>
        <v>Islam</v>
      </c>
      <c r="E161" s="67" t="str">
        <f>IFERROR(__xludf.DUMMYFUNCTION("""COMPUTED_VALUE"""),"CV. SENTOSA ABADI")</f>
        <v>CV. SENTOSA ABADI</v>
      </c>
      <c r="F161" s="67" t="str">
        <f>IFERROR(__xludf.DUMMYFUNCTION("""COMPUTED_VALUE"""),"DRIVER DT H700ZY")</f>
        <v>DRIVER DT H700ZY</v>
      </c>
      <c r="G161" s="67" t="str">
        <f>IFERROR(__xludf.DUMMYFUNCTION("""COMPUTED_VALUE"""),"KENDARAAN &amp; UNIT SUPPORT")</f>
        <v>KENDARAAN &amp; UNIT SUPPORT</v>
      </c>
      <c r="H161" s="67" t="str">
        <f>IFERROR(__xludf.DUMMYFUNCTION("""COMPUTED_VALUE"""),"[0102150004] NAFTALI RARE'A, ST")</f>
        <v>[0102150004] NAFTALI RARE'A, ST</v>
      </c>
      <c r="I161" s="69">
        <f>IFERROR(__xludf.DUMMYFUNCTION("""COMPUTED_VALUE"""),35396.0)</f>
        <v>35396</v>
      </c>
      <c r="J161" s="70" t="str">
        <f t="shared" si="1"/>
        <v>[106190914] FALDI HULOPI</v>
      </c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</row>
    <row r="162">
      <c r="A162" s="67">
        <f>IFERROR(__xludf.DUMMYFUNCTION("""COMPUTED_VALUE"""),1.09191106E8)</f>
        <v>109191106</v>
      </c>
      <c r="B162" s="67" t="str">
        <f>IFERROR(__xludf.DUMMYFUNCTION("""COMPUTED_VALUE"""),"FARID S. NENTO")</f>
        <v>FARID S. NENTO</v>
      </c>
      <c r="C162" s="67">
        <f>IFERROR(__xludf.DUMMYFUNCTION("""COMPUTED_VALUE"""),26.0)</f>
        <v>26</v>
      </c>
      <c r="D162" s="68" t="str">
        <f>IFERROR(__xludf.DUMMYFUNCTION("""COMPUTED_VALUE"""),"Islam")</f>
        <v>Islam</v>
      </c>
      <c r="E162" s="67" t="str">
        <f>IFERROR(__xludf.DUMMYFUNCTION("""COMPUTED_VALUE"""),"CV. SENTOSA ABADI")</f>
        <v>CV. SENTOSA ABADI</v>
      </c>
      <c r="F162" s="67" t="str">
        <f>IFERROR(__xludf.DUMMYFUNCTION("""COMPUTED_VALUE"""),"DRIVER DT H500")</f>
        <v>DRIVER DT H500</v>
      </c>
      <c r="G162" s="67" t="str">
        <f>IFERROR(__xludf.DUMMYFUNCTION("""COMPUTED_VALUE"""),"KENDARAAN &amp; UNIT SUPPORT")</f>
        <v>KENDARAAN &amp; UNIT SUPPORT</v>
      </c>
      <c r="H162" s="67" t="str">
        <f>IFERROR(__xludf.DUMMYFUNCTION("""COMPUTED_VALUE"""),"[0102150004] NAFTALI RARE'A, ST")</f>
        <v>[0102150004] NAFTALI RARE'A, ST</v>
      </c>
      <c r="I162" s="69">
        <f>IFERROR(__xludf.DUMMYFUNCTION("""COMPUTED_VALUE"""),36886.0)</f>
        <v>36886</v>
      </c>
      <c r="J162" s="70" t="str">
        <f t="shared" si="1"/>
        <v>[109191106] FARID S. NENTO</v>
      </c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</row>
    <row r="163">
      <c r="A163" s="67">
        <f>IFERROR(__xludf.DUMMYFUNCTION("""COMPUTED_VALUE"""),3.11200021E8)</f>
        <v>311200021</v>
      </c>
      <c r="B163" s="67" t="str">
        <f>IFERROR(__xludf.DUMMYFUNCTION("""COMPUTED_VALUE"""),"FELISINO VINCENSIUS NAHAK")</f>
        <v>FELISINO VINCENSIUS NAHAK</v>
      </c>
      <c r="C163" s="67">
        <f>IFERROR(__xludf.DUMMYFUNCTION("""COMPUTED_VALUE"""),45.0)</f>
        <v>45</v>
      </c>
      <c r="D163" s="68" t="str">
        <f>IFERROR(__xludf.DUMMYFUNCTION("""COMPUTED_VALUE"""),"Kristen Khatolik")</f>
        <v>Kristen Khatolik</v>
      </c>
      <c r="E163" s="67" t="str">
        <f>IFERROR(__xludf.DUMMYFUNCTION("""COMPUTED_VALUE"""),"CV. Monalisa")</f>
        <v>CV. Monalisa</v>
      </c>
      <c r="F163" s="67" t="str">
        <f>IFERROR(__xludf.DUMMYFUNCTION("""COMPUTED_VALUE"""),"ENGINEERING")</f>
        <v>ENGINEERING</v>
      </c>
      <c r="G163" s="67" t="str">
        <f>IFERROR(__xludf.DUMMYFUNCTION("""COMPUTED_VALUE"""),"INFRASTRUKTUR")</f>
        <v>INFRASTRUKTUR</v>
      </c>
      <c r="H163" s="67" t="str">
        <f>IFERROR(__xludf.DUMMYFUNCTION("""COMPUTED_VALUE"""),"[0102150007] EKY SIDIK PRATAMA, ST")</f>
        <v>[0102150007] EKY SIDIK PRATAMA, ST</v>
      </c>
      <c r="I163" s="69">
        <f>IFERROR(__xludf.DUMMYFUNCTION("""COMPUTED_VALUE"""),31198.0)</f>
        <v>31198</v>
      </c>
      <c r="J163" s="70" t="str">
        <f t="shared" si="1"/>
        <v>[311200021] FELISINO VINCENSIUS NAHAK</v>
      </c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</row>
    <row r="164">
      <c r="A164" s="67">
        <f>IFERROR(__xludf.DUMMYFUNCTION("""COMPUTED_VALUE"""),1.08201179E8)</f>
        <v>108201179</v>
      </c>
      <c r="B164" s="67" t="str">
        <f>IFERROR(__xludf.DUMMYFUNCTION("""COMPUTED_VALUE"""),"FERDIANSYAH")</f>
        <v>FERDIANSYAH</v>
      </c>
      <c r="C164" s="67">
        <f>IFERROR(__xludf.DUMMYFUNCTION("""COMPUTED_VALUE"""),27.0)</f>
        <v>27</v>
      </c>
      <c r="D164" s="68" t="str">
        <f>IFERROR(__xludf.DUMMYFUNCTION("""COMPUTED_VALUE"""),"Islam")</f>
        <v>Islam</v>
      </c>
      <c r="E164" s="67" t="str">
        <f>IFERROR(__xludf.DUMMYFUNCTION("""COMPUTED_VALUE"""),"CV. SENTOSA ABADI")</f>
        <v>CV. SENTOSA ABADI</v>
      </c>
      <c r="F164" s="67" t="str">
        <f>IFERROR(__xludf.DUMMYFUNCTION("""COMPUTED_VALUE"""),"OPERATOR EXCAVATOR")</f>
        <v>OPERATOR EXCAVATOR</v>
      </c>
      <c r="G164" s="67" t="str">
        <f>IFERROR(__xludf.DUMMYFUNCTION("""COMPUTED_VALUE"""),"PRODUKSI")</f>
        <v>PRODUKSI</v>
      </c>
      <c r="H164" s="67" t="str">
        <f>IFERROR(__xludf.DUMMYFUNCTION("""COMPUTED_VALUE"""),"[0102130003] PURNAWAN")</f>
        <v>[0102130003] PURNAWAN</v>
      </c>
      <c r="I164" s="69">
        <f>IFERROR(__xludf.DUMMYFUNCTION("""COMPUTED_VALUE"""),35280.0)</f>
        <v>35280</v>
      </c>
      <c r="J164" s="70" t="str">
        <f t="shared" si="1"/>
        <v>[108201179] FERDIANSYAH</v>
      </c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</row>
    <row r="165">
      <c r="A165" s="67">
        <f>IFERROR(__xludf.DUMMYFUNCTION("""COMPUTED_VALUE"""),2.02231724E8)</f>
        <v>202231724</v>
      </c>
      <c r="B165" s="67" t="str">
        <f>IFERROR(__xludf.DUMMYFUNCTION("""COMPUTED_VALUE"""),"FERDINANDUS EGU")</f>
        <v>FERDINANDUS EGU</v>
      </c>
      <c r="C165" s="67">
        <f>IFERROR(__xludf.DUMMYFUNCTION("""COMPUTED_VALUE"""),30.0)</f>
        <v>30</v>
      </c>
      <c r="D165" s="68" t="str">
        <f>IFERROR(__xludf.DUMMYFUNCTION("""COMPUTED_VALUE"""),"Kristen Khatolik")</f>
        <v>Kristen Khatolik</v>
      </c>
      <c r="E165" s="67" t="str">
        <f>IFERROR(__xludf.DUMMYFUNCTION("""COMPUTED_VALUE"""),"CV. Adil Prima Perkasa")</f>
        <v>CV. Adil Prima Perkasa</v>
      </c>
      <c r="F165" s="67" t="str">
        <f>IFERROR(__xludf.DUMMYFUNCTION("""COMPUTED_VALUE"""),"CHECKER PRODUKSI")</f>
        <v>CHECKER PRODUKSI</v>
      </c>
      <c r="G165" s="67" t="str">
        <f>IFERROR(__xludf.DUMMYFUNCTION("""COMPUTED_VALUE"""),"PRODUKSI")</f>
        <v>PRODUKSI</v>
      </c>
      <c r="H165" s="67" t="str">
        <f>IFERROR(__xludf.DUMMYFUNCTION("""COMPUTED_VALUE"""),"FALSE")</f>
        <v>FALSE</v>
      </c>
      <c r="I165" s="69"/>
      <c r="J165" s="70" t="str">
        <f t="shared" si="1"/>
        <v>[202231724] FERDINANDUS EGU</v>
      </c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</row>
    <row r="166">
      <c r="A166" s="67">
        <f>IFERROR(__xludf.DUMMYFUNCTION("""COMPUTED_VALUE"""),1.06221652E8)</f>
        <v>106221652</v>
      </c>
      <c r="B166" s="67" t="str">
        <f>IFERROR(__xludf.DUMMYFUNCTION("""COMPUTED_VALUE"""),"FERIYANTO")</f>
        <v>FERIYANTO</v>
      </c>
      <c r="C166" s="67">
        <f>IFERROR(__xludf.DUMMYFUNCTION("""COMPUTED_VALUE"""),43.0)</f>
        <v>43</v>
      </c>
      <c r="D166" s="68" t="str">
        <f>IFERROR(__xludf.DUMMYFUNCTION("""COMPUTED_VALUE"""),"Islam")</f>
        <v>Islam</v>
      </c>
      <c r="E166" s="67" t="str">
        <f>IFERROR(__xludf.DUMMYFUNCTION("""COMPUTED_VALUE"""),"CV. SENTOSA ABADI")</f>
        <v>CV. SENTOSA ABADI</v>
      </c>
      <c r="F166" s="67" t="str">
        <f>IFERROR(__xludf.DUMMYFUNCTION("""COMPUTED_VALUE"""),"DRIVER DT H700ZY")</f>
        <v>DRIVER DT H700ZY</v>
      </c>
      <c r="G166" s="67" t="str">
        <f>IFERROR(__xludf.DUMMYFUNCTION("""COMPUTED_VALUE"""),"KENDARAAN &amp; UNIT SUPPORT")</f>
        <v>KENDARAAN &amp; UNIT SUPPORT</v>
      </c>
      <c r="H166" s="67" t="str">
        <f>IFERROR(__xludf.DUMMYFUNCTION("""COMPUTED_VALUE"""),"[0102150004] NAFTALI RARE'A, ST")</f>
        <v>[0102150004] NAFTALI RARE'A, ST</v>
      </c>
      <c r="I166" s="69">
        <f>IFERROR(__xludf.DUMMYFUNCTION("""COMPUTED_VALUE"""),34030.0)</f>
        <v>34030</v>
      </c>
      <c r="J166" s="70" t="str">
        <f t="shared" si="1"/>
        <v>[106221652] FERIYANTO</v>
      </c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</row>
    <row r="167">
      <c r="A167" s="67">
        <f>IFERROR(__xludf.DUMMYFUNCTION("""COMPUTED_VALUE"""),2.05241935E8)</f>
        <v>205241935</v>
      </c>
      <c r="B167" s="67" t="str">
        <f>IFERROR(__xludf.DUMMYFUNCTION("""COMPUTED_VALUE"""),"FERNANDA ALI CAKRAWANGSA")</f>
        <v>FERNANDA ALI CAKRAWANGSA</v>
      </c>
      <c r="C167" s="67">
        <f>IFERROR(__xludf.DUMMYFUNCTION("""COMPUTED_VALUE"""),0.0)</f>
        <v>0</v>
      </c>
      <c r="D167" s="68"/>
      <c r="E167" s="67" t="str">
        <f>IFERROR(__xludf.DUMMYFUNCTION("""COMPUTED_VALUE"""),"CV. Adil Prima Perkasa")</f>
        <v>CV. Adil Prima Perkasa</v>
      </c>
      <c r="F167" s="67" t="str">
        <f>IFERROR(__xludf.DUMMYFUNCTION("""COMPUTED_VALUE"""),"CREW LOGISTIK")</f>
        <v>CREW LOGISTIK</v>
      </c>
      <c r="G167" s="67" t="str">
        <f>IFERROR(__xludf.DUMMYFUNCTION("""COMPUTED_VALUE"""),"LOGISTIC")</f>
        <v>LOGISTIC</v>
      </c>
      <c r="H167" s="67" t="str">
        <f>IFERROR(__xludf.DUMMYFUNCTION("""COMPUTED_VALUE"""),"[0109170014] JENES R. MANOPPO")</f>
        <v>[0109170014] JENES R. MANOPPO</v>
      </c>
      <c r="I167" s="69"/>
      <c r="J167" s="70" t="str">
        <f t="shared" si="1"/>
        <v>[205241935] FERNANDA ALI CAKRAWANGSA</v>
      </c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</row>
    <row r="168">
      <c r="A168" s="67">
        <f>IFERROR(__xludf.DUMMYFUNCTION("""COMPUTED_VALUE"""),2.0424191E8)</f>
        <v>204241910</v>
      </c>
      <c r="B168" s="67" t="str">
        <f>IFERROR(__xludf.DUMMYFUNCTION("""COMPUTED_VALUE"""),"FERRY FERNANDO NABABAN")</f>
        <v>FERRY FERNANDO NABABAN</v>
      </c>
      <c r="C168" s="67">
        <f>IFERROR(__xludf.DUMMYFUNCTION("""COMPUTED_VALUE"""),0.0)</f>
        <v>0</v>
      </c>
      <c r="D168" s="68"/>
      <c r="E168" s="67" t="str">
        <f>IFERROR(__xludf.DUMMYFUNCTION("""COMPUTED_VALUE"""),"CV. Adil Prima Perkasa")</f>
        <v>CV. Adil Prima Perkasa</v>
      </c>
      <c r="F168" s="67" t="str">
        <f>IFERROR(__xludf.DUMMYFUNCTION("""COMPUTED_VALUE"""),"HELPER MEKANIK")</f>
        <v>HELPER MEKANIK</v>
      </c>
      <c r="G168" s="67" t="str">
        <f>IFERROR(__xludf.DUMMYFUNCTION("""COMPUTED_VALUE"""),"WORKSHOP")</f>
        <v>WORKSHOP</v>
      </c>
      <c r="H168" s="67" t="str">
        <f>IFERROR(__xludf.DUMMYFUNCTION("""COMPUTED_VALUE"""),"[0106190928] NATAN KONDO")</f>
        <v>[0106190928] NATAN KONDO</v>
      </c>
      <c r="I168" s="69"/>
      <c r="J168" s="70" t="str">
        <f t="shared" si="1"/>
        <v>[204241910] FERRY FERNANDO NABABAN</v>
      </c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</row>
    <row r="169">
      <c r="A169" s="67">
        <f>IFERROR(__xludf.DUMMYFUNCTION("""COMPUTED_VALUE"""),2.07231796E8)</f>
        <v>207231796</v>
      </c>
      <c r="B169" s="67" t="str">
        <f>IFERROR(__xludf.DUMMYFUNCTION("""COMPUTED_VALUE"""),"FIRMANSYAH")</f>
        <v>FIRMANSYAH</v>
      </c>
      <c r="C169" s="67">
        <f>IFERROR(__xludf.DUMMYFUNCTION("""COMPUTED_VALUE"""),26.0)</f>
        <v>26</v>
      </c>
      <c r="D169" s="68" t="str">
        <f>IFERROR(__xludf.DUMMYFUNCTION("""COMPUTED_VALUE"""),"Islam")</f>
        <v>Islam</v>
      </c>
      <c r="E169" s="67" t="str">
        <f>IFERROR(__xludf.DUMMYFUNCTION("""COMPUTED_VALUE"""),"CV. Adil Prima Perkasa")</f>
        <v>CV. Adil Prima Perkasa</v>
      </c>
      <c r="F169" s="67" t="str">
        <f>IFERROR(__xludf.DUMMYFUNCTION("""COMPUTED_VALUE"""),"ADMIN PRODUKSI")</f>
        <v>ADMIN PRODUKSI</v>
      </c>
      <c r="G169" s="67" t="str">
        <f>IFERROR(__xludf.DUMMYFUNCTION("""COMPUTED_VALUE"""),"PRODUKSI")</f>
        <v>PRODUKSI</v>
      </c>
      <c r="H169" s="67" t="str">
        <f>IFERROR(__xludf.DUMMYFUNCTION("""COMPUTED_VALUE"""),"[0102130003] PURNAWAN")</f>
        <v>[0102130003] PURNAWAN</v>
      </c>
      <c r="I169" s="69"/>
      <c r="J169" s="70" t="str">
        <f t="shared" si="1"/>
        <v>[207231796] FIRMANSYAH</v>
      </c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</row>
    <row r="170">
      <c r="A170" s="67">
        <f>IFERROR(__xludf.DUMMYFUNCTION("""COMPUTED_VALUE"""),2.11221705E8)</f>
        <v>211221705</v>
      </c>
      <c r="B170" s="67" t="str">
        <f>IFERROR(__xludf.DUMMYFUNCTION("""COMPUTED_VALUE"""),"FIRMANSYAH AJINU")</f>
        <v>FIRMANSYAH AJINU</v>
      </c>
      <c r="C170" s="67">
        <f>IFERROR(__xludf.DUMMYFUNCTION("""COMPUTED_VALUE"""),22.0)</f>
        <v>22</v>
      </c>
      <c r="D170" s="68" t="str">
        <f>IFERROR(__xludf.DUMMYFUNCTION("""COMPUTED_VALUE"""),"Islam")</f>
        <v>Islam</v>
      </c>
      <c r="E170" s="67" t="str">
        <f>IFERROR(__xludf.DUMMYFUNCTION("""COMPUTED_VALUE"""),"CV. Adil Prima Perkasa")</f>
        <v>CV. Adil Prima Perkasa</v>
      </c>
      <c r="F170" s="67" t="str">
        <f>IFERROR(__xludf.DUMMYFUNCTION("""COMPUTED_VALUE"""),"HELPER TYRE")</f>
        <v>HELPER TYRE</v>
      </c>
      <c r="G170" s="67" t="str">
        <f>IFERROR(__xludf.DUMMYFUNCTION("""COMPUTED_VALUE"""),"WORKSHOP")</f>
        <v>WORKSHOP</v>
      </c>
      <c r="H170" s="67" t="str">
        <f>IFERROR(__xludf.DUMMYFUNCTION("""COMPUTED_VALUE"""),"[0106190928] NATAN KONDO")</f>
        <v>[0106190928] NATAN KONDO</v>
      </c>
      <c r="I170" s="69"/>
      <c r="J170" s="70" t="str">
        <f t="shared" si="1"/>
        <v>[211221705] FIRMANSYAH AJINU</v>
      </c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</row>
    <row r="171">
      <c r="A171" s="67">
        <f>IFERROR(__xludf.DUMMYFUNCTION("""COMPUTED_VALUE"""),2.05231762E8)</f>
        <v>205231762</v>
      </c>
      <c r="B171" s="67" t="str">
        <f>IFERROR(__xludf.DUMMYFUNCTION("""COMPUTED_VALUE"""),"FOLCERIYANTO MUSA")</f>
        <v>FOLCERIYANTO MUSA</v>
      </c>
      <c r="C171" s="67">
        <f>IFERROR(__xludf.DUMMYFUNCTION("""COMPUTED_VALUE"""),23.0)</f>
        <v>23</v>
      </c>
      <c r="D171" s="68" t="str">
        <f>IFERROR(__xludf.DUMMYFUNCTION("""COMPUTED_VALUE"""),"Kristen Protestan")</f>
        <v>Kristen Protestan</v>
      </c>
      <c r="E171" s="67" t="str">
        <f>IFERROR(__xludf.DUMMYFUNCTION("""COMPUTED_VALUE"""),"CV. Adil Prima Perkasa")</f>
        <v>CV. Adil Prima Perkasa</v>
      </c>
      <c r="F171" s="67" t="str">
        <f>IFERROR(__xludf.DUMMYFUNCTION("""COMPUTED_VALUE"""),"HELPER TYRE")</f>
        <v>HELPER TYRE</v>
      </c>
      <c r="G171" s="67" t="str">
        <f>IFERROR(__xludf.DUMMYFUNCTION("""COMPUTED_VALUE"""),"WORKSHOP")</f>
        <v>WORKSHOP</v>
      </c>
      <c r="H171" s="67" t="str">
        <f>IFERROR(__xludf.DUMMYFUNCTION("""COMPUTED_VALUE"""),"FALSE")</f>
        <v>FALSE</v>
      </c>
      <c r="I171" s="69"/>
      <c r="J171" s="70" t="str">
        <f t="shared" si="1"/>
        <v>[205231762] FOLCERIYANTO MUSA</v>
      </c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</row>
    <row r="172">
      <c r="A172" s="67">
        <f>IFERROR(__xludf.DUMMYFUNCTION("""COMPUTED_VALUE"""),1.04211372E8)</f>
        <v>104211372</v>
      </c>
      <c r="B172" s="67" t="str">
        <f>IFERROR(__xludf.DUMMYFUNCTION("""COMPUTED_VALUE"""),"FORAL Z MAMARASI")</f>
        <v>FORAL Z MAMARASI</v>
      </c>
      <c r="C172" s="67">
        <f>IFERROR(__xludf.DUMMYFUNCTION("""COMPUTED_VALUE"""),50.0)</f>
        <v>50</v>
      </c>
      <c r="D172" s="68" t="str">
        <f>IFERROR(__xludf.DUMMYFUNCTION("""COMPUTED_VALUE"""),"Kristen Protestan")</f>
        <v>Kristen Protestan</v>
      </c>
      <c r="E172" s="67" t="str">
        <f>IFERROR(__xludf.DUMMYFUNCTION("""COMPUTED_VALUE"""),"CV. SENTOSA ABADI")</f>
        <v>CV. SENTOSA ABADI</v>
      </c>
      <c r="F172" s="67" t="str">
        <f>IFERROR(__xludf.DUMMYFUNCTION("""COMPUTED_VALUE"""),"DRIVER DT H700ZY")</f>
        <v>DRIVER DT H700ZY</v>
      </c>
      <c r="G172" s="67" t="str">
        <f>IFERROR(__xludf.DUMMYFUNCTION("""COMPUTED_VALUE"""),"KENDARAAN &amp; UNIT SUPPORT")</f>
        <v>KENDARAAN &amp; UNIT SUPPORT</v>
      </c>
      <c r="H172" s="67" t="str">
        <f>IFERROR(__xludf.DUMMYFUNCTION("""COMPUTED_VALUE"""),"[0102150004] NAFTALI RARE'A, ST")</f>
        <v>[0102150004] NAFTALI RARE'A, ST</v>
      </c>
      <c r="I172" s="69">
        <f>IFERROR(__xludf.DUMMYFUNCTION("""COMPUTED_VALUE"""),26989.0)</f>
        <v>26989</v>
      </c>
      <c r="J172" s="70" t="str">
        <f t="shared" si="1"/>
        <v>[104211372] FORAL Z MAMARASI</v>
      </c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</row>
    <row r="173">
      <c r="A173" s="67"/>
      <c r="B173" s="67" t="str">
        <f>IFERROR(__xludf.DUMMYFUNCTION("""COMPUTED_VALUE"""),"FRA.")</f>
        <v>FRA.</v>
      </c>
      <c r="C173" s="67">
        <f>IFERROR(__xludf.DUMMYFUNCTION("""COMPUTED_VALUE"""),0.0)</f>
        <v>0</v>
      </c>
      <c r="D173" s="68"/>
      <c r="E173" s="67" t="str">
        <f>IFERROR(__xludf.DUMMYFUNCTION("""COMPUTED_VALUE"""),"CV. Adil Prima Perkasa")</f>
        <v>CV. Adil Prima Perkasa</v>
      </c>
      <c r="F173" s="67" t="str">
        <f>IFERROR(__xludf.DUMMYFUNCTION("""COMPUTED_VALUE"""),"FALSE")</f>
        <v>FALSE</v>
      </c>
      <c r="G173" s="67" t="str">
        <f>IFERROR(__xludf.DUMMYFUNCTION("""COMPUTED_VALUE"""),"FALSE")</f>
        <v>FALSE</v>
      </c>
      <c r="H173" s="67" t="str">
        <f>IFERROR(__xludf.DUMMYFUNCTION("""COMPUTED_VALUE"""),"FALSE")</f>
        <v>FALSE</v>
      </c>
      <c r="I173" s="69"/>
      <c r="J173" s="70" t="str">
        <f t="shared" si="1"/>
        <v>[] FRA.</v>
      </c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</row>
    <row r="174">
      <c r="A174" s="67">
        <f>IFERROR(__xludf.DUMMYFUNCTION("""COMPUTED_VALUE"""),1.08211472E8)</f>
        <v>108211472</v>
      </c>
      <c r="B174" s="67" t="str">
        <f>IFERROR(__xludf.DUMMYFUNCTION("""COMPUTED_VALUE"""),"FRAIM VEKY MANITU")</f>
        <v>FRAIM VEKY MANITU</v>
      </c>
      <c r="C174" s="67">
        <f>IFERROR(__xludf.DUMMYFUNCTION("""COMPUTED_VALUE"""),21.0)</f>
        <v>21</v>
      </c>
      <c r="D174" s="68" t="str">
        <f>IFERROR(__xludf.DUMMYFUNCTION("""COMPUTED_VALUE"""),"Kristen Protestan")</f>
        <v>Kristen Protestan</v>
      </c>
      <c r="E174" s="67" t="str">
        <f>IFERROR(__xludf.DUMMYFUNCTION("""COMPUTED_VALUE"""),"CV. SENTOSA ABADI")</f>
        <v>CV. SENTOSA ABADI</v>
      </c>
      <c r="F174" s="67" t="str">
        <f>IFERROR(__xludf.DUMMYFUNCTION("""COMPUTED_VALUE"""),"HELPER TYRE")</f>
        <v>HELPER TYRE</v>
      </c>
      <c r="G174" s="67" t="str">
        <f>IFERROR(__xludf.DUMMYFUNCTION("""COMPUTED_VALUE"""),"WORKSHOP")</f>
        <v>WORKSHOP</v>
      </c>
      <c r="H174" s="67" t="str">
        <f>IFERROR(__xludf.DUMMYFUNCTION("""COMPUTED_VALUE"""),"[0106190928] NATAN KONDO")</f>
        <v>[0106190928] NATAN KONDO</v>
      </c>
      <c r="I174" s="69"/>
      <c r="J174" s="70" t="str">
        <f t="shared" si="1"/>
        <v>[108211472] FRAIM VEKY MANITU</v>
      </c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</row>
    <row r="175">
      <c r="A175" s="67">
        <f>IFERROR(__xludf.DUMMYFUNCTION("""COMPUTED_VALUE"""),2.07231804E8)</f>
        <v>207231804</v>
      </c>
      <c r="B175" s="67" t="str">
        <f>IFERROR(__xludf.DUMMYFUNCTION("""COMPUTED_VALUE"""),"FRAJA DANDURU")</f>
        <v>FRAJA DANDURU</v>
      </c>
      <c r="C175" s="67">
        <f>IFERROR(__xludf.DUMMYFUNCTION("""COMPUTED_VALUE"""),19.0)</f>
        <v>19</v>
      </c>
      <c r="D175" s="68" t="str">
        <f>IFERROR(__xludf.DUMMYFUNCTION("""COMPUTED_VALUE"""),"Kristen Protestan")</f>
        <v>Kristen Protestan</v>
      </c>
      <c r="E175" s="67" t="str">
        <f>IFERROR(__xludf.DUMMYFUNCTION("""COMPUTED_VALUE"""),"CV. Adil Prima Perkasa")</f>
        <v>CV. Adil Prima Perkasa</v>
      </c>
      <c r="F175" s="67" t="str">
        <f>IFERROR(__xludf.DUMMYFUNCTION("""COMPUTED_VALUE"""),"CHECKER PRODUKSI")</f>
        <v>CHECKER PRODUKSI</v>
      </c>
      <c r="G175" s="67" t="str">
        <f>IFERROR(__xludf.DUMMYFUNCTION("""COMPUTED_VALUE"""),"PRODUKSI")</f>
        <v>PRODUKSI</v>
      </c>
      <c r="H175" s="67" t="str">
        <f>IFERROR(__xludf.DUMMYFUNCTION("""COMPUTED_VALUE"""),"[0102130003] PURNAWAN")</f>
        <v>[0102130003] PURNAWAN</v>
      </c>
      <c r="I175" s="69"/>
      <c r="J175" s="70" t="str">
        <f t="shared" si="1"/>
        <v>[207231804] FRAJA DANDURU</v>
      </c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</row>
    <row r="176">
      <c r="A176" s="67">
        <f>IFERROR(__xludf.DUMMYFUNCTION("""COMPUTED_VALUE"""),2.0722166E8)</f>
        <v>207221660</v>
      </c>
      <c r="B176" s="67" t="str">
        <f>IFERROR(__xludf.DUMMYFUNCTION("""COMPUTED_VALUE"""),"FRANGKI STENLY LADAEE")</f>
        <v>FRANGKI STENLY LADAEE</v>
      </c>
      <c r="C176" s="67">
        <f>IFERROR(__xludf.DUMMYFUNCTION("""COMPUTED_VALUE"""),47.0)</f>
        <v>47</v>
      </c>
      <c r="D176" s="68" t="str">
        <f>IFERROR(__xludf.DUMMYFUNCTION("""COMPUTED_VALUE"""),"Kristen Protestan")</f>
        <v>Kristen Protestan</v>
      </c>
      <c r="E176" s="67" t="str">
        <f>IFERROR(__xludf.DUMMYFUNCTION("""COMPUTED_VALUE"""),"CV. Adil Prima Perkasa")</f>
        <v>CV. Adil Prima Perkasa</v>
      </c>
      <c r="F176" s="67" t="str">
        <f>IFERROR(__xludf.DUMMYFUNCTION("""COMPUTED_VALUE"""),"DRIVER DT H700ZY")</f>
        <v>DRIVER DT H700ZY</v>
      </c>
      <c r="G176" s="67" t="str">
        <f>IFERROR(__xludf.DUMMYFUNCTION("""COMPUTED_VALUE"""),"KENDARAAN &amp; UNIT SUPPORT")</f>
        <v>KENDARAAN &amp; UNIT SUPPORT</v>
      </c>
      <c r="H176" s="67" t="str">
        <f>IFERROR(__xludf.DUMMYFUNCTION("""COMPUTED_VALUE"""),"[0102150004] NAFTALI RARE'A, ST")</f>
        <v>[0102150004] NAFTALI RARE'A, ST</v>
      </c>
      <c r="I176" s="69"/>
      <c r="J176" s="70" t="str">
        <f t="shared" si="1"/>
        <v>[207221660] FRANGKI STENLY LADAEE</v>
      </c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</row>
    <row r="177">
      <c r="A177" s="67">
        <f>IFERROR(__xludf.DUMMYFUNCTION("""COMPUTED_VALUE"""),2.05241934E8)</f>
        <v>205241934</v>
      </c>
      <c r="B177" s="67" t="str">
        <f>IFERROR(__xludf.DUMMYFUNCTION("""COMPUTED_VALUE"""),"FRANKY TENGKENDE")</f>
        <v>FRANKY TENGKENDE</v>
      </c>
      <c r="C177" s="67">
        <f>IFERROR(__xludf.DUMMYFUNCTION("""COMPUTED_VALUE"""),0.0)</f>
        <v>0</v>
      </c>
      <c r="D177" s="68"/>
      <c r="E177" s="67" t="str">
        <f>IFERROR(__xludf.DUMMYFUNCTION("""COMPUTED_VALUE"""),"CV. Adil Prima Perkasa")</f>
        <v>CV. Adil Prima Perkasa</v>
      </c>
      <c r="F177" s="67" t="str">
        <f>IFERROR(__xludf.DUMMYFUNCTION("""COMPUTED_VALUE"""),"DRIVER LV")</f>
        <v>DRIVER LV</v>
      </c>
      <c r="G177" s="67" t="str">
        <f>IFERROR(__xludf.DUMMYFUNCTION("""COMPUTED_VALUE"""),"KENDARAAN &amp; UNIT SUPPORT")</f>
        <v>KENDARAAN &amp; UNIT SUPPORT</v>
      </c>
      <c r="H177" s="67" t="str">
        <f>IFERROR(__xludf.DUMMYFUNCTION("""COMPUTED_VALUE"""),"[0102150004] NAFTALI RARE'A, ST")</f>
        <v>[0102150004] NAFTALI RARE'A, ST</v>
      </c>
      <c r="I177" s="69">
        <f>IFERROR(__xludf.DUMMYFUNCTION("""COMPUTED_VALUE"""),32107.0)</f>
        <v>32107</v>
      </c>
      <c r="J177" s="70" t="str">
        <f t="shared" si="1"/>
        <v>[205241934] FRANKY TENGKENDE</v>
      </c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</row>
    <row r="178">
      <c r="A178" s="67">
        <f>IFERROR(__xludf.DUMMYFUNCTION("""COMPUTED_VALUE"""),2.0719096E8)</f>
        <v>207190960</v>
      </c>
      <c r="B178" s="67" t="str">
        <f>IFERROR(__xludf.DUMMYFUNCTION("""COMPUTED_VALUE"""),"FRANSISKUS AHMAD")</f>
        <v>FRANSISKUS AHMAD</v>
      </c>
      <c r="C178" s="67">
        <f>IFERROR(__xludf.DUMMYFUNCTION("""COMPUTED_VALUE"""),57.0)</f>
        <v>57</v>
      </c>
      <c r="D178" s="68" t="str">
        <f>IFERROR(__xludf.DUMMYFUNCTION("""COMPUTED_VALUE"""),"Islam")</f>
        <v>Islam</v>
      </c>
      <c r="E178" s="67" t="str">
        <f>IFERROR(__xludf.DUMMYFUNCTION("""COMPUTED_VALUE"""),"CV. Adil Prima Perkasa")</f>
        <v>CV. Adil Prima Perkasa</v>
      </c>
      <c r="F178" s="67" t="str">
        <f>IFERROR(__xludf.DUMMYFUNCTION("""COMPUTED_VALUE"""),"FOREMAN PRODUKSI")</f>
        <v>FOREMAN PRODUKSI</v>
      </c>
      <c r="G178" s="67" t="str">
        <f>IFERROR(__xludf.DUMMYFUNCTION("""COMPUTED_VALUE"""),"PRODUKSI")</f>
        <v>PRODUKSI</v>
      </c>
      <c r="H178" s="67" t="str">
        <f>IFERROR(__xludf.DUMMYFUNCTION("""COMPUTED_VALUE"""),"[0102130003] PURNAWAN")</f>
        <v>[0102130003] PURNAWAN</v>
      </c>
      <c r="I178" s="69">
        <f>IFERROR(__xludf.DUMMYFUNCTION("""COMPUTED_VALUE"""),27141.0)</f>
        <v>27141</v>
      </c>
      <c r="J178" s="70" t="str">
        <f t="shared" si="1"/>
        <v>[207190960] FRANSISKUS AHMAD</v>
      </c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</row>
    <row r="179">
      <c r="A179" s="67">
        <f>IFERROR(__xludf.DUMMYFUNCTION("""COMPUTED_VALUE"""),2.05241919E8)</f>
        <v>205241919</v>
      </c>
      <c r="B179" s="67" t="str">
        <f>IFERROR(__xludf.DUMMYFUNCTION("""COMPUTED_VALUE"""),"FREGI YUNILSON LAGANI")</f>
        <v>FREGI YUNILSON LAGANI</v>
      </c>
      <c r="C179" s="67">
        <f>IFERROR(__xludf.DUMMYFUNCTION("""COMPUTED_VALUE"""),0.0)</f>
        <v>0</v>
      </c>
      <c r="D179" s="68"/>
      <c r="E179" s="67" t="str">
        <f>IFERROR(__xludf.DUMMYFUNCTION("""COMPUTED_VALUE"""),"CV. Adil Prima Perkasa")</f>
        <v>CV. Adil Prima Perkasa</v>
      </c>
      <c r="F179" s="67" t="str">
        <f>IFERROR(__xludf.DUMMYFUNCTION("""COMPUTED_VALUE"""),"HELPER BODY REPAIR")</f>
        <v>HELPER BODY REPAIR</v>
      </c>
      <c r="G179" s="67" t="str">
        <f>IFERROR(__xludf.DUMMYFUNCTION("""COMPUTED_VALUE"""),"WORKSHOP")</f>
        <v>WORKSHOP</v>
      </c>
      <c r="H179" s="67" t="str">
        <f>IFERROR(__xludf.DUMMYFUNCTION("""COMPUTED_VALUE"""),"[0106190928] NATAN KONDO")</f>
        <v>[0106190928] NATAN KONDO</v>
      </c>
      <c r="I179" s="69"/>
      <c r="J179" s="70" t="str">
        <f t="shared" si="1"/>
        <v>[205241919] FREGI YUNILSON LAGANI</v>
      </c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</row>
    <row r="180">
      <c r="A180" s="67">
        <f>IFERROR(__xludf.DUMMYFUNCTION("""COMPUTED_VALUE"""),1.07180487E8)</f>
        <v>107180487</v>
      </c>
      <c r="B180" s="67" t="str">
        <f>IFERROR(__xludf.DUMMYFUNCTION("""COMPUTED_VALUE"""),"FRETS BADU")</f>
        <v>FRETS BADU</v>
      </c>
      <c r="C180" s="67">
        <f>IFERROR(__xludf.DUMMYFUNCTION("""COMPUTED_VALUE"""),40.0)</f>
        <v>40</v>
      </c>
      <c r="D180" s="68" t="str">
        <f>IFERROR(__xludf.DUMMYFUNCTION("""COMPUTED_VALUE"""),"Kristen Protestan")</f>
        <v>Kristen Protestan</v>
      </c>
      <c r="E180" s="67" t="str">
        <f>IFERROR(__xludf.DUMMYFUNCTION("""COMPUTED_VALUE"""),"CV. SENTOSA ABADI")</f>
        <v>CV. SENTOSA ABADI</v>
      </c>
      <c r="F180" s="67" t="str">
        <f>IFERROR(__xludf.DUMMYFUNCTION("""COMPUTED_VALUE"""),"DRIVER DT H700ZY")</f>
        <v>DRIVER DT H700ZY</v>
      </c>
      <c r="G180" s="67" t="str">
        <f>IFERROR(__xludf.DUMMYFUNCTION("""COMPUTED_VALUE"""),"KENDARAAN &amp; UNIT SUPPORT")</f>
        <v>KENDARAAN &amp; UNIT SUPPORT</v>
      </c>
      <c r="H180" s="67" t="str">
        <f>IFERROR(__xludf.DUMMYFUNCTION("""COMPUTED_VALUE"""),"[0102150004] NAFTALI RARE'A, ST")</f>
        <v>[0102150004] NAFTALI RARE'A, ST</v>
      </c>
      <c r="I180" s="69"/>
      <c r="J180" s="70" t="str">
        <f t="shared" si="1"/>
        <v>[107180487] FRETS BADU</v>
      </c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</row>
    <row r="181">
      <c r="A181" s="67">
        <f>IFERROR(__xludf.DUMMYFUNCTION("""COMPUTED_VALUE"""),2.01221572E8)</f>
        <v>201221572</v>
      </c>
      <c r="B181" s="67" t="str">
        <f>IFERROR(__xludf.DUMMYFUNCTION("""COMPUTED_VALUE"""),"GANDENSIUS RAMAN")</f>
        <v>GANDENSIUS RAMAN</v>
      </c>
      <c r="C181" s="67">
        <f>IFERROR(__xludf.DUMMYFUNCTION("""COMPUTED_VALUE"""),45.0)</f>
        <v>45</v>
      </c>
      <c r="D181" s="68" t="str">
        <f>IFERROR(__xludf.DUMMYFUNCTION("""COMPUTED_VALUE"""),"Kristen Khatolik")</f>
        <v>Kristen Khatolik</v>
      </c>
      <c r="E181" s="67" t="str">
        <f>IFERROR(__xludf.DUMMYFUNCTION("""COMPUTED_VALUE"""),"CV. Adil Prima Perkasa")</f>
        <v>CV. Adil Prima Perkasa</v>
      </c>
      <c r="F181" s="67" t="str">
        <f>IFERROR(__xludf.DUMMYFUNCTION("""COMPUTED_VALUE"""),"OPERATOR EXCAVATOR")</f>
        <v>OPERATOR EXCAVATOR</v>
      </c>
      <c r="G181" s="67" t="str">
        <f>IFERROR(__xludf.DUMMYFUNCTION("""COMPUTED_VALUE"""),"PRODUKSI")</f>
        <v>PRODUKSI</v>
      </c>
      <c r="H181" s="67" t="str">
        <f>IFERROR(__xludf.DUMMYFUNCTION("""COMPUTED_VALUE"""),"[0102130003] PURNAWAN")</f>
        <v>[0102130003] PURNAWAN</v>
      </c>
      <c r="I181" s="69">
        <f>IFERROR(__xludf.DUMMYFUNCTION("""COMPUTED_VALUE"""),32359.0)</f>
        <v>32359</v>
      </c>
      <c r="J181" s="70" t="str">
        <f t="shared" si="1"/>
        <v>[201221572] GANDENSIUS RAMAN</v>
      </c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</row>
    <row r="182">
      <c r="A182" s="67">
        <f>IFERROR(__xludf.DUMMYFUNCTION("""COMPUTED_VALUE"""),3.06210077E8)</f>
        <v>306210077</v>
      </c>
      <c r="B182" s="67" t="str">
        <f>IFERROR(__xludf.DUMMYFUNCTION("""COMPUTED_VALUE"""),"GEDE HERY JULIANTARA")</f>
        <v>GEDE HERY JULIANTARA</v>
      </c>
      <c r="C182" s="67">
        <f>IFERROR(__xludf.DUMMYFUNCTION("""COMPUTED_VALUE"""),22.0)</f>
        <v>22</v>
      </c>
      <c r="D182" s="68" t="str">
        <f>IFERROR(__xludf.DUMMYFUNCTION("""COMPUTED_VALUE"""),"Kristen Protestan")</f>
        <v>Kristen Protestan</v>
      </c>
      <c r="E182" s="67" t="str">
        <f>IFERROR(__xludf.DUMMYFUNCTION("""COMPUTED_VALUE"""),"CV. Monalisa")</f>
        <v>CV. Monalisa</v>
      </c>
      <c r="F182" s="67" t="str">
        <f>IFERROR(__xludf.DUMMYFUNCTION("""COMPUTED_VALUE"""),"CREW SURVEY")</f>
        <v>CREW SURVEY</v>
      </c>
      <c r="G182" s="67" t="str">
        <f>IFERROR(__xludf.DUMMYFUNCTION("""COMPUTED_VALUE"""),"MPE")</f>
        <v>MPE</v>
      </c>
      <c r="H182" s="67" t="str">
        <f>IFERROR(__xludf.DUMMYFUNCTION("""COMPUTED_VALUE"""),"[0102150008] ERWIN SAPA")</f>
        <v>[0102150008] ERWIN SAPA</v>
      </c>
      <c r="I182" s="69">
        <f>IFERROR(__xludf.DUMMYFUNCTION("""COMPUTED_VALUE"""),37593.0)</f>
        <v>37593</v>
      </c>
      <c r="J182" s="70" t="str">
        <f t="shared" si="1"/>
        <v>[306210077] GEDE HERY JULIANTARA</v>
      </c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</row>
    <row r="183">
      <c r="A183" s="67">
        <f>IFERROR(__xludf.DUMMYFUNCTION("""COMPUTED_VALUE"""),3.03230112E8)</f>
        <v>303230112</v>
      </c>
      <c r="B183" s="67" t="str">
        <f>IFERROR(__xludf.DUMMYFUNCTION("""COMPUTED_VALUE"""),"GERALDY EICMAN LAKIU")</f>
        <v>GERALDY EICMAN LAKIU</v>
      </c>
      <c r="C183" s="67">
        <f>IFERROR(__xludf.DUMMYFUNCTION("""COMPUTED_VALUE"""),24.0)</f>
        <v>24</v>
      </c>
      <c r="D183" s="68" t="str">
        <f>IFERROR(__xludf.DUMMYFUNCTION("""COMPUTED_VALUE"""),"Kristen Protestan")</f>
        <v>Kristen Protestan</v>
      </c>
      <c r="E183" s="67" t="str">
        <f>IFERROR(__xludf.DUMMYFUNCTION("""COMPUTED_VALUE"""),"CV. Monalisa")</f>
        <v>CV. Monalisa</v>
      </c>
      <c r="F183" s="67" t="str">
        <f>IFERROR(__xludf.DUMMYFUNCTION("""COMPUTED_VALUE"""),"SECURITY")</f>
        <v>SECURITY</v>
      </c>
      <c r="G183" s="67" t="str">
        <f>IFERROR(__xludf.DUMMYFUNCTION("""COMPUTED_VALUE"""),"HRD &amp; GA")</f>
        <v>HRD &amp; GA</v>
      </c>
      <c r="H183" s="67" t="str">
        <f>IFERROR(__xludf.DUMMYFUNCTION("""COMPUTED_VALUE"""),"[0108191037] ERNIE FRISLIA")</f>
        <v>[0108191037] ERNIE FRISLIA</v>
      </c>
      <c r="I183" s="69"/>
      <c r="J183" s="70" t="str">
        <f t="shared" si="1"/>
        <v>[303230112] GERALDY EICMAN LAKIU</v>
      </c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</row>
    <row r="184">
      <c r="A184" s="67">
        <f>IFERROR(__xludf.DUMMYFUNCTION("""COMPUTED_VALUE"""),2.05241914E8)</f>
        <v>205241914</v>
      </c>
      <c r="B184" s="67" t="str">
        <f>IFERROR(__xludf.DUMMYFUNCTION("""COMPUTED_VALUE"""),"GERALDY HISKIA OROH")</f>
        <v>GERALDY HISKIA OROH</v>
      </c>
      <c r="C184" s="67">
        <f>IFERROR(__xludf.DUMMYFUNCTION("""COMPUTED_VALUE"""),0.0)</f>
        <v>0</v>
      </c>
      <c r="D184" s="68"/>
      <c r="E184" s="67" t="str">
        <f>IFERROR(__xludf.DUMMYFUNCTION("""COMPUTED_VALUE"""),"CV. Adil Prima Perkasa")</f>
        <v>CV. Adil Prima Perkasa</v>
      </c>
      <c r="F184" s="67" t="str">
        <f>IFERROR(__xludf.DUMMYFUNCTION("""COMPUTED_VALUE"""),"DRIVER DT H500")</f>
        <v>DRIVER DT H500</v>
      </c>
      <c r="G184" s="67" t="str">
        <f>IFERROR(__xludf.DUMMYFUNCTION("""COMPUTED_VALUE"""),"KENDARAAN &amp; UNIT SUPPORT")</f>
        <v>KENDARAAN &amp; UNIT SUPPORT</v>
      </c>
      <c r="H184" s="67" t="str">
        <f>IFERROR(__xludf.DUMMYFUNCTION("""COMPUTED_VALUE"""),"[0102150004] NAFTALI RARE'A, ST")</f>
        <v>[0102150004] NAFTALI RARE'A, ST</v>
      </c>
      <c r="I184" s="69"/>
      <c r="J184" s="70" t="str">
        <f t="shared" si="1"/>
        <v>[205241914] GERALDY HISKIA OROH</v>
      </c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</row>
    <row r="185">
      <c r="A185" s="67">
        <f>IFERROR(__xludf.DUMMYFUNCTION("""COMPUTED_VALUE"""),2.08231817E8)</f>
        <v>208231817</v>
      </c>
      <c r="B185" s="67" t="str">
        <f>IFERROR(__xludf.DUMMYFUNCTION("""COMPUTED_VALUE"""),"GERSON MAABUAT")</f>
        <v>GERSON MAABUAT</v>
      </c>
      <c r="C185" s="67">
        <f>IFERROR(__xludf.DUMMYFUNCTION("""COMPUTED_VALUE"""),29.0)</f>
        <v>29</v>
      </c>
      <c r="D185" s="68" t="str">
        <f>IFERROR(__xludf.DUMMYFUNCTION("""COMPUTED_VALUE"""),"Kristen Protestan")</f>
        <v>Kristen Protestan</v>
      </c>
      <c r="E185" s="67" t="str">
        <f>IFERROR(__xludf.DUMMYFUNCTION("""COMPUTED_VALUE"""),"CV. Adil Prima Perkasa")</f>
        <v>CV. Adil Prima Perkasa</v>
      </c>
      <c r="F185" s="67" t="str">
        <f>IFERROR(__xludf.DUMMYFUNCTION("""COMPUTED_VALUE"""),"HELPER WELDER")</f>
        <v>HELPER WELDER</v>
      </c>
      <c r="G185" s="67" t="str">
        <f>IFERROR(__xludf.DUMMYFUNCTION("""COMPUTED_VALUE"""),"WORKSHOP")</f>
        <v>WORKSHOP</v>
      </c>
      <c r="H185" s="67" t="str">
        <f>IFERROR(__xludf.DUMMYFUNCTION("""COMPUTED_VALUE"""),"[0106190928] NATAN KONDO")</f>
        <v>[0106190928] NATAN KONDO</v>
      </c>
      <c r="I185" s="69"/>
      <c r="J185" s="70" t="str">
        <f t="shared" si="1"/>
        <v>[208231817] GERSON MAABUAT</v>
      </c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</row>
    <row r="186">
      <c r="A186" s="67">
        <f>IFERROR(__xludf.DUMMYFUNCTION("""COMPUTED_VALUE"""),2.02241888E8)</f>
        <v>202241888</v>
      </c>
      <c r="B186" s="67" t="str">
        <f>IFERROR(__xludf.DUMMYFUNCTION("""COMPUTED_VALUE"""),"GILBERT ANTHONIO PANGAI")</f>
        <v>GILBERT ANTHONIO PANGAI</v>
      </c>
      <c r="C186" s="67">
        <f>IFERROR(__xludf.DUMMYFUNCTION("""COMPUTED_VALUE"""),0.0)</f>
        <v>0</v>
      </c>
      <c r="D186" s="68"/>
      <c r="E186" s="67" t="str">
        <f>IFERROR(__xludf.DUMMYFUNCTION("""COMPUTED_VALUE"""),"CV. Adil Prima Perkasa")</f>
        <v>CV. Adil Prima Perkasa</v>
      </c>
      <c r="F186" s="67" t="str">
        <f>IFERROR(__xludf.DUMMYFUNCTION("""COMPUTED_VALUE"""),"STAFF HRD")</f>
        <v>STAFF HRD</v>
      </c>
      <c r="G186" s="67" t="str">
        <f>IFERROR(__xludf.DUMMYFUNCTION("""COMPUTED_VALUE"""),"HRD &amp; GA")</f>
        <v>HRD &amp; GA</v>
      </c>
      <c r="H186" s="67" t="str">
        <f>IFERROR(__xludf.DUMMYFUNCTION("""COMPUTED_VALUE"""),"[0108191037] ERNIE FRISLIA")</f>
        <v>[0108191037] ERNIE FRISLIA</v>
      </c>
      <c r="I186" s="69"/>
      <c r="J186" s="70" t="str">
        <f t="shared" si="1"/>
        <v>[202241888] GILBERT ANTHONIO PANGAI</v>
      </c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</row>
    <row r="187">
      <c r="A187" s="67">
        <f>IFERROR(__xludf.DUMMYFUNCTION("""COMPUTED_VALUE"""),1.07190992E8)</f>
        <v>107190992</v>
      </c>
      <c r="B187" s="67" t="str">
        <f>IFERROR(__xludf.DUMMYFUNCTION("""COMPUTED_VALUE"""),"GUNANTO")</f>
        <v>GUNANTO</v>
      </c>
      <c r="C187" s="67">
        <f>IFERROR(__xludf.DUMMYFUNCTION("""COMPUTED_VALUE"""),57.0)</f>
        <v>57</v>
      </c>
      <c r="D187" s="68" t="str">
        <f>IFERROR(__xludf.DUMMYFUNCTION("""COMPUTED_VALUE"""),"Islam")</f>
        <v>Islam</v>
      </c>
      <c r="E187" s="67" t="str">
        <f>IFERROR(__xludf.DUMMYFUNCTION("""COMPUTED_VALUE"""),"CV. SENTOSA ABADI")</f>
        <v>CV. SENTOSA ABADI</v>
      </c>
      <c r="F187" s="67" t="str">
        <f>IFERROR(__xludf.DUMMYFUNCTION("""COMPUTED_VALUE"""),"DRIVER LV")</f>
        <v>DRIVER LV</v>
      </c>
      <c r="G187" s="67" t="str">
        <f>IFERROR(__xludf.DUMMYFUNCTION("""COMPUTED_VALUE"""),"KENDARAAN &amp; UNIT SUPPORT")</f>
        <v>KENDARAAN &amp; UNIT SUPPORT</v>
      </c>
      <c r="H187" s="67" t="str">
        <f>IFERROR(__xludf.DUMMYFUNCTION("""COMPUTED_VALUE"""),"[0102150004] NAFTALI RARE'A, ST")</f>
        <v>[0102150004] NAFTALI RARE'A, ST</v>
      </c>
      <c r="I187" s="69">
        <f>IFERROR(__xludf.DUMMYFUNCTION("""COMPUTED_VALUE"""),30271.0)</f>
        <v>30271</v>
      </c>
      <c r="J187" s="70" t="str">
        <f t="shared" si="1"/>
        <v>[107190992] GUNANTO</v>
      </c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</row>
    <row r="188">
      <c r="A188" s="67">
        <f>IFERROR(__xludf.DUMMYFUNCTION("""COMPUTED_VALUE"""),2.02221588E8)</f>
        <v>202221588</v>
      </c>
      <c r="B188" s="67" t="str">
        <f>IFERROR(__xludf.DUMMYFUNCTION("""COMPUTED_VALUE"""),"GUNAWAN")</f>
        <v>GUNAWAN</v>
      </c>
      <c r="C188" s="67">
        <f>IFERROR(__xludf.DUMMYFUNCTION("""COMPUTED_VALUE"""),30.0)</f>
        <v>30</v>
      </c>
      <c r="D188" s="68" t="str">
        <f>IFERROR(__xludf.DUMMYFUNCTION("""COMPUTED_VALUE"""),"Islam")</f>
        <v>Islam</v>
      </c>
      <c r="E188" s="67" t="str">
        <f>IFERROR(__xludf.DUMMYFUNCTION("""COMPUTED_VALUE"""),"CV. Adil Prima Perkasa")</f>
        <v>CV. Adil Prima Perkasa</v>
      </c>
      <c r="F188" s="67" t="str">
        <f>IFERROR(__xludf.DUMMYFUNCTION("""COMPUTED_VALUE"""),"CREW EXPLORASI")</f>
        <v>CREW EXPLORASI</v>
      </c>
      <c r="G188" s="67" t="str">
        <f>IFERROR(__xludf.DUMMYFUNCTION("""COMPUTED_VALUE"""),"GRADE CONTROL")</f>
        <v>GRADE CONTROL</v>
      </c>
      <c r="H188" s="67" t="str">
        <f>IFERROR(__xludf.DUMMYFUNCTION("""COMPUTED_VALUE"""),"[0107201164] A.CHRISTI ARI WIBOWO")</f>
        <v>[0107201164] A.CHRISTI ARI WIBOWO</v>
      </c>
      <c r="I188" s="69"/>
      <c r="J188" s="70" t="str">
        <f t="shared" si="1"/>
        <v>[202221588] GUNAWAN</v>
      </c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</row>
    <row r="189">
      <c r="A189" s="67">
        <f>IFERROR(__xludf.DUMMYFUNCTION("""COMPUTED_VALUE"""),2.08231824E8)</f>
        <v>208231824</v>
      </c>
      <c r="B189" s="67" t="str">
        <f>IFERROR(__xludf.DUMMYFUNCTION("""COMPUTED_VALUE"""),"GUSTAF BILHAM MOPASU")</f>
        <v>GUSTAF BILHAM MOPASU</v>
      </c>
      <c r="C189" s="67">
        <f>IFERROR(__xludf.DUMMYFUNCTION("""COMPUTED_VALUE"""),27.0)</f>
        <v>27</v>
      </c>
      <c r="D189" s="68" t="str">
        <f>IFERROR(__xludf.DUMMYFUNCTION("""COMPUTED_VALUE"""),"Kristen Protestan")</f>
        <v>Kristen Protestan</v>
      </c>
      <c r="E189" s="67" t="str">
        <f>IFERROR(__xludf.DUMMYFUNCTION("""COMPUTED_VALUE"""),"CV. Adil Prima Perkasa")</f>
        <v>CV. Adil Prima Perkasa</v>
      </c>
      <c r="F189" s="67" t="str">
        <f>IFERROR(__xludf.DUMMYFUNCTION("""COMPUTED_VALUE"""),"DRIVER LV")</f>
        <v>DRIVER LV</v>
      </c>
      <c r="G189" s="67" t="str">
        <f>IFERROR(__xludf.DUMMYFUNCTION("""COMPUTED_VALUE"""),"KENDARAAN &amp; UNIT SUPPORT")</f>
        <v>KENDARAAN &amp; UNIT SUPPORT</v>
      </c>
      <c r="H189" s="67" t="str">
        <f>IFERROR(__xludf.DUMMYFUNCTION("""COMPUTED_VALUE"""),"[0102150004] NAFTALI RARE'A, ST")</f>
        <v>[0102150004] NAFTALI RARE'A, ST</v>
      </c>
      <c r="I189" s="69"/>
      <c r="J189" s="70" t="str">
        <f t="shared" si="1"/>
        <v>[208231824] GUSTAF BILHAM MOPASU</v>
      </c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</row>
    <row r="190">
      <c r="A190" s="67">
        <f>IFERROR(__xludf.DUMMYFUNCTION("""COMPUTED_VALUE"""),2.09221676E8)</f>
        <v>209221676</v>
      </c>
      <c r="B190" s="67" t="str">
        <f>IFERROR(__xludf.DUMMYFUNCTION("""COMPUTED_VALUE"""),"GUSTI RANDA HUSAIN")</f>
        <v>GUSTI RANDA HUSAIN</v>
      </c>
      <c r="C190" s="67">
        <f>IFERROR(__xludf.DUMMYFUNCTION("""COMPUTED_VALUE"""),37.0)</f>
        <v>37</v>
      </c>
      <c r="D190" s="68" t="str">
        <f>IFERROR(__xludf.DUMMYFUNCTION("""COMPUTED_VALUE"""),"Islam")</f>
        <v>Islam</v>
      </c>
      <c r="E190" s="67" t="str">
        <f>IFERROR(__xludf.DUMMYFUNCTION("""COMPUTED_VALUE"""),"CV. Adil Prima Perkasa")</f>
        <v>CV. Adil Prima Perkasa</v>
      </c>
      <c r="F190" s="67" t="str">
        <f>IFERROR(__xludf.DUMMYFUNCTION("""COMPUTED_VALUE"""),"DRIVER DT H500")</f>
        <v>DRIVER DT H500</v>
      </c>
      <c r="G190" s="67" t="str">
        <f>IFERROR(__xludf.DUMMYFUNCTION("""COMPUTED_VALUE"""),"KENDARAAN &amp; UNIT SUPPORT")</f>
        <v>KENDARAAN &amp; UNIT SUPPORT</v>
      </c>
      <c r="H190" s="67" t="str">
        <f>IFERROR(__xludf.DUMMYFUNCTION("""COMPUTED_VALUE"""),"[0102150004] NAFTALI RARE'A, ST")</f>
        <v>[0102150004] NAFTALI RARE'A, ST</v>
      </c>
      <c r="I190" s="69">
        <f>IFERROR(__xludf.DUMMYFUNCTION("""COMPUTED_VALUE"""),33426.0)</f>
        <v>33426</v>
      </c>
      <c r="J190" s="70" t="str">
        <f t="shared" si="1"/>
        <v>[209221676] GUSTI RANDA HUSAIN</v>
      </c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</row>
    <row r="191">
      <c r="A191" s="67">
        <f>IFERROR(__xludf.DUMMYFUNCTION("""COMPUTED_VALUE"""),3.11200019E8)</f>
        <v>311200019</v>
      </c>
      <c r="B191" s="67" t="str">
        <f>IFERROR(__xludf.DUMMYFUNCTION("""COMPUTED_VALUE"""),"HAIRIL")</f>
        <v>HAIRIL</v>
      </c>
      <c r="C191" s="67">
        <f>IFERROR(__xludf.DUMMYFUNCTION("""COMPUTED_VALUE"""),33.0)</f>
        <v>33</v>
      </c>
      <c r="D191" s="68" t="str">
        <f>IFERROR(__xludf.DUMMYFUNCTION("""COMPUTED_VALUE"""),"Islam")</f>
        <v>Islam</v>
      </c>
      <c r="E191" s="67" t="str">
        <f>IFERROR(__xludf.DUMMYFUNCTION("""COMPUTED_VALUE"""),"CV. Monalisa")</f>
        <v>CV. Monalisa</v>
      </c>
      <c r="F191" s="67" t="str">
        <f>IFERROR(__xludf.DUMMYFUNCTION("""COMPUTED_VALUE"""),"OPERATOR EXCAVATOR")</f>
        <v>OPERATOR EXCAVATOR</v>
      </c>
      <c r="G191" s="67" t="str">
        <f>IFERROR(__xludf.DUMMYFUNCTION("""COMPUTED_VALUE"""),"PRODUKSI")</f>
        <v>PRODUKSI</v>
      </c>
      <c r="H191" s="67" t="str">
        <f>IFERROR(__xludf.DUMMYFUNCTION("""COMPUTED_VALUE"""),"FALSE")</f>
        <v>FALSE</v>
      </c>
      <c r="I191" s="69"/>
      <c r="J191" s="70" t="str">
        <f t="shared" si="1"/>
        <v>[311200019] HAIRIL</v>
      </c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</row>
    <row r="192">
      <c r="A192" s="67">
        <f>IFERROR(__xludf.DUMMYFUNCTION("""COMPUTED_VALUE"""),2.0921148E8)</f>
        <v>209211480</v>
      </c>
      <c r="B192" s="67" t="str">
        <f>IFERROR(__xludf.DUMMYFUNCTION("""COMPUTED_VALUE"""),"HAMDAN ALI")</f>
        <v>HAMDAN ALI</v>
      </c>
      <c r="C192" s="67">
        <f>IFERROR(__xludf.DUMMYFUNCTION("""COMPUTED_VALUE"""),47.0)</f>
        <v>47</v>
      </c>
      <c r="D192" s="68" t="str">
        <f>IFERROR(__xludf.DUMMYFUNCTION("""COMPUTED_VALUE"""),"Islam")</f>
        <v>Islam</v>
      </c>
      <c r="E192" s="67" t="str">
        <f>IFERROR(__xludf.DUMMYFUNCTION("""COMPUTED_VALUE"""),"CV. Adil Prima Perkasa")</f>
        <v>CV. Adil Prima Perkasa</v>
      </c>
      <c r="F192" s="67" t="str">
        <f>IFERROR(__xludf.DUMMYFUNCTION("""COMPUTED_VALUE"""),"DRIVER DT H700ZY")</f>
        <v>DRIVER DT H700ZY</v>
      </c>
      <c r="G192" s="67" t="str">
        <f>IFERROR(__xludf.DUMMYFUNCTION("""COMPUTED_VALUE"""),"KENDARAAN &amp; UNIT SUPPORT")</f>
        <v>KENDARAAN &amp; UNIT SUPPORT</v>
      </c>
      <c r="H192" s="67" t="str">
        <f>IFERROR(__xludf.DUMMYFUNCTION("""COMPUTED_VALUE"""),"[0102150004] NAFTALI RARE'A, ST")</f>
        <v>[0102150004] NAFTALI RARE'A, ST</v>
      </c>
      <c r="I192" s="69">
        <f>IFERROR(__xludf.DUMMYFUNCTION("""COMPUTED_VALUE"""),30017.0)</f>
        <v>30017</v>
      </c>
      <c r="J192" s="70" t="str">
        <f t="shared" si="1"/>
        <v>[209211480] HAMDAN ALI</v>
      </c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</row>
    <row r="193">
      <c r="A193" s="67">
        <f>IFERROR(__xludf.DUMMYFUNCTION("""COMPUTED_VALUE"""),1.04211374E8)</f>
        <v>104211374</v>
      </c>
      <c r="B193" s="67" t="str">
        <f>IFERROR(__xludf.DUMMYFUNCTION("""COMPUTED_VALUE"""),"HAMDI, A. Md")</f>
        <v>HAMDI, A. Md</v>
      </c>
      <c r="C193" s="67">
        <f>IFERROR(__xludf.DUMMYFUNCTION("""COMPUTED_VALUE"""),44.0)</f>
        <v>44</v>
      </c>
      <c r="D193" s="68" t="str">
        <f>IFERROR(__xludf.DUMMYFUNCTION("""COMPUTED_VALUE"""),"Islam")</f>
        <v>Islam</v>
      </c>
      <c r="E193" s="67" t="str">
        <f>IFERROR(__xludf.DUMMYFUNCTION("""COMPUTED_VALUE"""),"CV. SENTOSA ABADI")</f>
        <v>CV. SENTOSA ABADI</v>
      </c>
      <c r="F193" s="67" t="str">
        <f>IFERROR(__xludf.DUMMYFUNCTION("""COMPUTED_VALUE"""),"OPERATOR ADT")</f>
        <v>OPERATOR ADT</v>
      </c>
      <c r="G193" s="67" t="str">
        <f>IFERROR(__xludf.DUMMYFUNCTION("""COMPUTED_VALUE"""),"PRODUKSI")</f>
        <v>PRODUKSI</v>
      </c>
      <c r="H193" s="67" t="str">
        <f>IFERROR(__xludf.DUMMYFUNCTION("""COMPUTED_VALUE"""),"[0102130003] PURNAWAN")</f>
        <v>[0102130003] PURNAWAN</v>
      </c>
      <c r="I193" s="69">
        <f>IFERROR(__xludf.DUMMYFUNCTION("""COMPUTED_VALUE"""),32007.0)</f>
        <v>32007</v>
      </c>
      <c r="J193" s="70" t="str">
        <f t="shared" si="1"/>
        <v>[104211374] HAMDI, A. Md</v>
      </c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</row>
    <row r="194">
      <c r="A194" s="67">
        <f>IFERROR(__xludf.DUMMYFUNCTION("""COMPUTED_VALUE"""),1.0820119E8)</f>
        <v>108201190</v>
      </c>
      <c r="B194" s="67" t="str">
        <f>IFERROR(__xludf.DUMMYFUNCTION("""COMPUTED_VALUE"""),"HANI LARASATI")</f>
        <v>HANI LARASATI</v>
      </c>
      <c r="C194" s="67">
        <f>IFERROR(__xludf.DUMMYFUNCTION("""COMPUTED_VALUE"""),28.0)</f>
        <v>28</v>
      </c>
      <c r="D194" s="68" t="str">
        <f>IFERROR(__xludf.DUMMYFUNCTION("""COMPUTED_VALUE"""),"Islam")</f>
        <v>Islam</v>
      </c>
      <c r="E194" s="67" t="str">
        <f>IFERROR(__xludf.DUMMYFUNCTION("""COMPUTED_VALUE"""),"CV. SENTOSA ABADI")</f>
        <v>CV. SENTOSA ABADI</v>
      </c>
      <c r="F194" s="67" t="str">
        <f>IFERROR(__xludf.DUMMYFUNCTION("""COMPUTED_VALUE"""),"ADMIN LOGISTIC")</f>
        <v>ADMIN LOGISTIC</v>
      </c>
      <c r="G194" s="67" t="str">
        <f>IFERROR(__xludf.DUMMYFUNCTION("""COMPUTED_VALUE"""),"LOGISTIC")</f>
        <v>LOGISTIC</v>
      </c>
      <c r="H194" s="67" t="str">
        <f>IFERROR(__xludf.DUMMYFUNCTION("""COMPUTED_VALUE"""),"[0109170014] JENES R. MANOPPO")</f>
        <v>[0109170014] JENES R. MANOPPO</v>
      </c>
      <c r="I194" s="69"/>
      <c r="J194" s="70" t="str">
        <f t="shared" si="1"/>
        <v>[108201190] HANI LARASATI</v>
      </c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</row>
    <row r="195">
      <c r="A195" s="67">
        <f>IFERROR(__xludf.DUMMYFUNCTION("""COMPUTED_VALUE"""),2.09231838E8)</f>
        <v>209231838</v>
      </c>
      <c r="B195" s="67" t="str">
        <f>IFERROR(__xludf.DUMMYFUNCTION("""COMPUTED_VALUE"""),"HARDIAN AKANGKUNG")</f>
        <v>HARDIAN AKANGKUNG</v>
      </c>
      <c r="C195" s="67">
        <f>IFERROR(__xludf.DUMMYFUNCTION("""COMPUTED_VALUE"""),0.0)</f>
        <v>0</v>
      </c>
      <c r="D195" s="68"/>
      <c r="E195" s="67" t="str">
        <f>IFERROR(__xludf.DUMMYFUNCTION("""COMPUTED_VALUE"""),"CV. Adil Prima Perkasa")</f>
        <v>CV. Adil Prima Perkasa</v>
      </c>
      <c r="F195" s="67" t="str">
        <f>IFERROR(__xludf.DUMMYFUNCTION("""COMPUTED_VALUE"""),"DRIVER DT H500")</f>
        <v>DRIVER DT H500</v>
      </c>
      <c r="G195" s="67" t="str">
        <f>IFERROR(__xludf.DUMMYFUNCTION("""COMPUTED_VALUE"""),"KENDARAAN &amp; UNIT SUPPORT")</f>
        <v>KENDARAAN &amp; UNIT SUPPORT</v>
      </c>
      <c r="H195" s="67" t="str">
        <f>IFERROR(__xludf.DUMMYFUNCTION("""COMPUTED_VALUE"""),"[0102150004] NAFTALI RARE'A, ST")</f>
        <v>[0102150004] NAFTALI RARE'A, ST</v>
      </c>
      <c r="I195" s="69"/>
      <c r="J195" s="70" t="str">
        <f t="shared" si="1"/>
        <v>[209231838] HARDIAN AKANGKUNG</v>
      </c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</row>
    <row r="196">
      <c r="A196" s="67">
        <f>IFERROR(__xludf.DUMMYFUNCTION("""COMPUTED_VALUE"""),2.03231742E8)</f>
        <v>203231742</v>
      </c>
      <c r="B196" s="67" t="str">
        <f>IFERROR(__xludf.DUMMYFUNCTION("""COMPUTED_VALUE"""),"HARIYANTO")</f>
        <v>HARIYANTO</v>
      </c>
      <c r="C196" s="67">
        <f>IFERROR(__xludf.DUMMYFUNCTION("""COMPUTED_VALUE"""),44.0)</f>
        <v>44</v>
      </c>
      <c r="D196" s="68" t="str">
        <f>IFERROR(__xludf.DUMMYFUNCTION("""COMPUTED_VALUE"""),"Islam")</f>
        <v>Islam</v>
      </c>
      <c r="E196" s="67" t="str">
        <f>IFERROR(__xludf.DUMMYFUNCTION("""COMPUTED_VALUE"""),"CV. Adil Prima Perkasa")</f>
        <v>CV. Adil Prima Perkasa</v>
      </c>
      <c r="F196" s="67" t="str">
        <f>IFERROR(__xludf.DUMMYFUNCTION("""COMPUTED_VALUE"""),"DRIVER DT H700ZS")</f>
        <v>DRIVER DT H700ZS</v>
      </c>
      <c r="G196" s="67" t="str">
        <f>IFERROR(__xludf.DUMMYFUNCTION("""COMPUTED_VALUE"""),"KENDARAAN &amp; UNIT SUPPORT")</f>
        <v>KENDARAAN &amp; UNIT SUPPORT</v>
      </c>
      <c r="H196" s="67" t="str">
        <f>IFERROR(__xludf.DUMMYFUNCTION("""COMPUTED_VALUE"""),"[0102150004] NAFTALI RARE'A, ST")</f>
        <v>[0102150004] NAFTALI RARE'A, ST</v>
      </c>
      <c r="I196" s="69"/>
      <c r="J196" s="70" t="str">
        <f t="shared" si="1"/>
        <v>[203231742] HARIYANTO</v>
      </c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</row>
    <row r="197">
      <c r="A197" s="67">
        <f>IFERROR(__xludf.DUMMYFUNCTION("""COMPUTED_VALUE"""),3.10200012E8)</f>
        <v>310200012</v>
      </c>
      <c r="B197" s="67" t="str">
        <f>IFERROR(__xludf.DUMMYFUNCTION("""COMPUTED_VALUE"""),"HARTONI LAPIAN")</f>
        <v>HARTONI LAPIAN</v>
      </c>
      <c r="C197" s="67">
        <f>IFERROR(__xludf.DUMMYFUNCTION("""COMPUTED_VALUE"""),64.0)</f>
        <v>64</v>
      </c>
      <c r="D197" s="68" t="str">
        <f>IFERROR(__xludf.DUMMYFUNCTION("""COMPUTED_VALUE"""),"Kristen Protestan")</f>
        <v>Kristen Protestan</v>
      </c>
      <c r="E197" s="67" t="str">
        <f>IFERROR(__xludf.DUMMYFUNCTION("""COMPUTED_VALUE"""),"CV. Monalisa")</f>
        <v>CV. Monalisa</v>
      </c>
      <c r="F197" s="67" t="str">
        <f>IFERROR(__xludf.DUMMYFUNCTION("""COMPUTED_VALUE"""),"SUPERVISI")</f>
        <v>SUPERVISI</v>
      </c>
      <c r="G197" s="67" t="str">
        <f>IFERROR(__xludf.DUMMYFUNCTION("""COMPUTED_VALUE"""),"INFRASTRUKTUR")</f>
        <v>INFRASTRUKTUR</v>
      </c>
      <c r="H197" s="67" t="str">
        <f>IFERROR(__xludf.DUMMYFUNCTION("""COMPUTED_VALUE"""),"FALSE")</f>
        <v>FALSE</v>
      </c>
      <c r="I197" s="69"/>
      <c r="J197" s="70" t="str">
        <f t="shared" si="1"/>
        <v>[310200012] HARTONI LAPIAN</v>
      </c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</row>
    <row r="198">
      <c r="A198" s="67">
        <f>IFERROR(__xludf.DUMMYFUNCTION("""COMPUTED_VALUE"""),1.09221698E8)</f>
        <v>109221698</v>
      </c>
      <c r="B198" s="67" t="str">
        <f>IFERROR(__xludf.DUMMYFUNCTION("""COMPUTED_VALUE"""),"HARYADI ABDUL RAHIM")</f>
        <v>HARYADI ABDUL RAHIM</v>
      </c>
      <c r="C198" s="67">
        <f>IFERROR(__xludf.DUMMYFUNCTION("""COMPUTED_VALUE"""),0.0)</f>
        <v>0</v>
      </c>
      <c r="D198" s="68"/>
      <c r="E198" s="67" t="str">
        <f>IFERROR(__xludf.DUMMYFUNCTION("""COMPUTED_VALUE"""),"CV. SENTOSA ABADI")</f>
        <v>CV. SENTOSA ABADI</v>
      </c>
      <c r="F198" s="67" t="str">
        <f>IFERROR(__xludf.DUMMYFUNCTION("""COMPUTED_VALUE"""),"FALSE")</f>
        <v>FALSE</v>
      </c>
      <c r="G198" s="67" t="str">
        <f>IFERROR(__xludf.DUMMYFUNCTION("""COMPUTED_VALUE"""),"HRD &amp; GA")</f>
        <v>HRD &amp; GA</v>
      </c>
      <c r="H198" s="67" t="str">
        <f>IFERROR(__xludf.DUMMYFUNCTION("""COMPUTED_VALUE"""),"[101190758] ERWIN PASALI")</f>
        <v>[101190758] ERWIN PASALI</v>
      </c>
      <c r="I198" s="69"/>
      <c r="J198" s="70" t="str">
        <f t="shared" si="1"/>
        <v>[109221698] HARYADI ABDUL RAHIM</v>
      </c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</row>
    <row r="199">
      <c r="A199" s="67">
        <f>IFERROR(__xludf.DUMMYFUNCTION("""COMPUTED_VALUE"""),1.06180899E8)</f>
        <v>106180899</v>
      </c>
      <c r="B199" s="67" t="str">
        <f>IFERROR(__xludf.DUMMYFUNCTION("""COMPUTED_VALUE"""),"HASAN LAATA")</f>
        <v>HASAN LAATA</v>
      </c>
      <c r="C199" s="67">
        <f>IFERROR(__xludf.DUMMYFUNCTION("""COMPUTED_VALUE"""),63.0)</f>
        <v>63</v>
      </c>
      <c r="D199" s="68" t="str">
        <f>IFERROR(__xludf.DUMMYFUNCTION("""COMPUTED_VALUE"""),"Islam")</f>
        <v>Islam</v>
      </c>
      <c r="E199" s="67" t="str">
        <f>IFERROR(__xludf.DUMMYFUNCTION("""COMPUTED_VALUE"""),"CV. SENTOSA ABADI")</f>
        <v>CV. SENTOSA ABADI</v>
      </c>
      <c r="F199" s="67" t="str">
        <f>IFERROR(__xludf.DUMMYFUNCTION("""COMPUTED_VALUE"""),"OPERATOR ADT")</f>
        <v>OPERATOR ADT</v>
      </c>
      <c r="G199" s="67" t="str">
        <f>IFERROR(__xludf.DUMMYFUNCTION("""COMPUTED_VALUE"""),"PRODUKSI")</f>
        <v>PRODUKSI</v>
      </c>
      <c r="H199" s="67" t="str">
        <f>IFERROR(__xludf.DUMMYFUNCTION("""COMPUTED_VALUE"""),"[0102130003] PURNAWAN")</f>
        <v>[0102130003] PURNAWAN</v>
      </c>
      <c r="I199" s="69">
        <f>IFERROR(__xludf.DUMMYFUNCTION("""COMPUTED_VALUE"""),26881.0)</f>
        <v>26881</v>
      </c>
      <c r="J199" s="70" t="str">
        <f t="shared" si="1"/>
        <v>[106180899] HASAN LAATA</v>
      </c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</row>
    <row r="200">
      <c r="A200" s="67">
        <f>IFERROR(__xludf.DUMMYFUNCTION("""COMPUTED_VALUE"""),2.01190739E8)</f>
        <v>201190739</v>
      </c>
      <c r="B200" s="67" t="str">
        <f>IFERROR(__xludf.DUMMYFUNCTION("""COMPUTED_VALUE"""),"HASAN SYAMSUDIN")</f>
        <v>HASAN SYAMSUDIN</v>
      </c>
      <c r="C200" s="67">
        <f>IFERROR(__xludf.DUMMYFUNCTION("""COMPUTED_VALUE"""),39.0)</f>
        <v>39</v>
      </c>
      <c r="D200" s="68" t="str">
        <f>IFERROR(__xludf.DUMMYFUNCTION("""COMPUTED_VALUE"""),"Islam")</f>
        <v>Islam</v>
      </c>
      <c r="E200" s="67" t="str">
        <f>IFERROR(__xludf.DUMMYFUNCTION("""COMPUTED_VALUE"""),"CV. Adil Prima Perkasa")</f>
        <v>CV. Adil Prima Perkasa</v>
      </c>
      <c r="F200" s="67" t="str">
        <f>IFERROR(__xludf.DUMMYFUNCTION("""COMPUTED_VALUE"""),"HELPER FUEL")</f>
        <v>HELPER FUEL</v>
      </c>
      <c r="G200" s="67" t="str">
        <f>IFERROR(__xludf.DUMMYFUNCTION("""COMPUTED_VALUE"""),"MPE")</f>
        <v>MPE</v>
      </c>
      <c r="H200" s="67" t="str">
        <f>IFERROR(__xludf.DUMMYFUNCTION("""COMPUTED_VALUE"""),"[0103110065] DOMINIKUS MITEN LARANTUKAN")</f>
        <v>[0103110065] DOMINIKUS MITEN LARANTUKAN</v>
      </c>
      <c r="I200" s="69">
        <f>IFERROR(__xludf.DUMMYFUNCTION("""COMPUTED_VALUE"""),31778.0)</f>
        <v>31778</v>
      </c>
      <c r="J200" s="70" t="str">
        <f t="shared" si="1"/>
        <v>[201190739] HASAN SYAMSUDIN</v>
      </c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</row>
    <row r="201">
      <c r="A201" s="67">
        <f>IFERROR(__xludf.DUMMYFUNCTION("""COMPUTED_VALUE"""),2.12221711E8)</f>
        <v>212221711</v>
      </c>
      <c r="B201" s="67" t="str">
        <f>IFERROR(__xludf.DUMMYFUNCTION("""COMPUTED_VALUE"""),"HASRUL")</f>
        <v>HASRUL</v>
      </c>
      <c r="C201" s="67">
        <f>IFERROR(__xludf.DUMMYFUNCTION("""COMPUTED_VALUE"""),33.0)</f>
        <v>33</v>
      </c>
      <c r="D201" s="68" t="str">
        <f>IFERROR(__xludf.DUMMYFUNCTION("""COMPUTED_VALUE"""),"Islam")</f>
        <v>Islam</v>
      </c>
      <c r="E201" s="67" t="str">
        <f>IFERROR(__xludf.DUMMYFUNCTION("""COMPUTED_VALUE"""),"CV. Adil Prima Perkasa")</f>
        <v>CV. Adil Prima Perkasa</v>
      </c>
      <c r="F201" s="67" t="str">
        <f>IFERROR(__xludf.DUMMYFUNCTION("""COMPUTED_VALUE"""),"DRIVER DT H700ZS")</f>
        <v>DRIVER DT H700ZS</v>
      </c>
      <c r="G201" s="67" t="str">
        <f>IFERROR(__xludf.DUMMYFUNCTION("""COMPUTED_VALUE"""),"KENDARAAN &amp; UNIT SUPPORT")</f>
        <v>KENDARAAN &amp; UNIT SUPPORT</v>
      </c>
      <c r="H201" s="67" t="str">
        <f>IFERROR(__xludf.DUMMYFUNCTION("""COMPUTED_VALUE"""),"[0102150004] NAFTALI RARE'A, ST")</f>
        <v>[0102150004] NAFTALI RARE'A, ST</v>
      </c>
      <c r="I201" s="69">
        <f>IFERROR(__xludf.DUMMYFUNCTION("""COMPUTED_VALUE"""),34031.0)</f>
        <v>34031</v>
      </c>
      <c r="J201" s="70" t="str">
        <f t="shared" si="1"/>
        <v>[212221711] HASRUL</v>
      </c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</row>
    <row r="202">
      <c r="A202" s="67">
        <f>IFERROR(__xludf.DUMMYFUNCTION("""COMPUTED_VALUE"""),2.02241889E8)</f>
        <v>202241889</v>
      </c>
      <c r="B202" s="67" t="str">
        <f>IFERROR(__xludf.DUMMYFUNCTION("""COMPUTED_VALUE"""),"HASRUL")</f>
        <v>HASRUL</v>
      </c>
      <c r="C202" s="67">
        <f>IFERROR(__xludf.DUMMYFUNCTION("""COMPUTED_VALUE"""),30.0)</f>
        <v>30</v>
      </c>
      <c r="D202" s="68" t="str">
        <f>IFERROR(__xludf.DUMMYFUNCTION("""COMPUTED_VALUE"""),"Islam")</f>
        <v>Islam</v>
      </c>
      <c r="E202" s="67" t="str">
        <f>IFERROR(__xludf.DUMMYFUNCTION("""COMPUTED_VALUE"""),"CV. Adil Prima Perkasa")</f>
        <v>CV. Adil Prima Perkasa</v>
      </c>
      <c r="F202" s="67" t="str">
        <f>IFERROR(__xludf.DUMMYFUNCTION("""COMPUTED_VALUE"""),"HELPER TYRE")</f>
        <v>HELPER TYRE</v>
      </c>
      <c r="G202" s="67" t="str">
        <f>IFERROR(__xludf.DUMMYFUNCTION("""COMPUTED_VALUE"""),"WORKSHOP")</f>
        <v>WORKSHOP</v>
      </c>
      <c r="H202" s="67" t="str">
        <f>IFERROR(__xludf.DUMMYFUNCTION("""COMPUTED_VALUE"""),"[0106190928] NATAN KONDO")</f>
        <v>[0106190928] NATAN KONDO</v>
      </c>
      <c r="I202" s="69"/>
      <c r="J202" s="70" t="str">
        <f t="shared" si="1"/>
        <v>[202241889] HASRUL</v>
      </c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</row>
    <row r="203">
      <c r="A203" s="67">
        <f>IFERROR(__xludf.DUMMYFUNCTION("""COMPUTED_VALUE"""),2.08201174E8)</f>
        <v>208201174</v>
      </c>
      <c r="B203" s="67" t="str">
        <f>IFERROR(__xludf.DUMMYFUNCTION("""COMPUTED_VALUE"""),"HEIRUDDIN CHAIRIL")</f>
        <v>HEIRUDDIN CHAIRIL</v>
      </c>
      <c r="C203" s="67">
        <f>IFERROR(__xludf.DUMMYFUNCTION("""COMPUTED_VALUE"""),36.0)</f>
        <v>36</v>
      </c>
      <c r="D203" s="68" t="str">
        <f>IFERROR(__xludf.DUMMYFUNCTION("""COMPUTED_VALUE"""),"Islam")</f>
        <v>Islam</v>
      </c>
      <c r="E203" s="67" t="str">
        <f>IFERROR(__xludf.DUMMYFUNCTION("""COMPUTED_VALUE"""),"CV. Adil Prima Perkasa")</f>
        <v>CV. Adil Prima Perkasa</v>
      </c>
      <c r="F203" s="67" t="str">
        <f>IFERROR(__xludf.DUMMYFUNCTION("""COMPUTED_VALUE"""),"DRIVER DT H700ZY")</f>
        <v>DRIVER DT H700ZY</v>
      </c>
      <c r="G203" s="67" t="str">
        <f>IFERROR(__xludf.DUMMYFUNCTION("""COMPUTED_VALUE"""),"KENDARAAN &amp; UNIT SUPPORT")</f>
        <v>KENDARAAN &amp; UNIT SUPPORT</v>
      </c>
      <c r="H203" s="67" t="str">
        <f>IFERROR(__xludf.DUMMYFUNCTION("""COMPUTED_VALUE"""),"[0102150004] NAFTALI RARE'A, ST")</f>
        <v>[0102150004] NAFTALI RARE'A, ST</v>
      </c>
      <c r="I203" s="69">
        <f>IFERROR(__xludf.DUMMYFUNCTION("""COMPUTED_VALUE"""),34856.0)</f>
        <v>34856</v>
      </c>
      <c r="J203" s="70" t="str">
        <f t="shared" si="1"/>
        <v>[208201174] HEIRUDDIN CHAIRIL</v>
      </c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</row>
    <row r="204">
      <c r="A204" s="67">
        <f>IFERROR(__xludf.DUMMYFUNCTION("""COMPUTED_VALUE"""),2.10211514E8)</f>
        <v>210211514</v>
      </c>
      <c r="B204" s="67" t="str">
        <f>IFERROR(__xludf.DUMMYFUNCTION("""COMPUTED_VALUE"""),"HELIUS SALDINUS SERVIN NDAHU")</f>
        <v>HELIUS SALDINUS SERVIN NDAHU</v>
      </c>
      <c r="C204" s="67">
        <f>IFERROR(__xludf.DUMMYFUNCTION("""COMPUTED_VALUE"""),22.0)</f>
        <v>22</v>
      </c>
      <c r="D204" s="68" t="str">
        <f>IFERROR(__xludf.DUMMYFUNCTION("""COMPUTED_VALUE"""),"Kristen Khatolik")</f>
        <v>Kristen Khatolik</v>
      </c>
      <c r="E204" s="67" t="str">
        <f>IFERROR(__xludf.DUMMYFUNCTION("""COMPUTED_VALUE"""),"CV. Adil Prima Perkasa")</f>
        <v>CV. Adil Prima Perkasa</v>
      </c>
      <c r="F204" s="67" t="str">
        <f>IFERROR(__xludf.DUMMYFUNCTION("""COMPUTED_VALUE"""),"CHECKER PRODUKSI")</f>
        <v>CHECKER PRODUKSI</v>
      </c>
      <c r="G204" s="67" t="str">
        <f>IFERROR(__xludf.DUMMYFUNCTION("""COMPUTED_VALUE"""),"PRODUKSI")</f>
        <v>PRODUKSI</v>
      </c>
      <c r="H204" s="67" t="str">
        <f>IFERROR(__xludf.DUMMYFUNCTION("""COMPUTED_VALUE"""),"[0102130003] PURNAWAN")</f>
        <v>[0102130003] PURNAWAN</v>
      </c>
      <c r="I204" s="69"/>
      <c r="J204" s="70" t="str">
        <f t="shared" si="1"/>
        <v>[210211514] HELIUS SALDINUS SERVIN NDAHU</v>
      </c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</row>
    <row r="205">
      <c r="A205" s="67">
        <f>IFERROR(__xludf.DUMMYFUNCTION("""COMPUTED_VALUE"""),2.12231859E8)</f>
        <v>212231859</v>
      </c>
      <c r="B205" s="67" t="str">
        <f>IFERROR(__xludf.DUMMYFUNCTION("""COMPUTED_VALUE"""),"HENDRA")</f>
        <v>HENDRA</v>
      </c>
      <c r="C205" s="67">
        <f>IFERROR(__xludf.DUMMYFUNCTION("""COMPUTED_VALUE"""),0.0)</f>
        <v>0</v>
      </c>
      <c r="D205" s="68"/>
      <c r="E205" s="67" t="str">
        <f>IFERROR(__xludf.DUMMYFUNCTION("""COMPUTED_VALUE"""),"CV. Adil Prima Perkasa")</f>
        <v>CV. Adil Prima Perkasa</v>
      </c>
      <c r="F205" s="67" t="str">
        <f>IFERROR(__xludf.DUMMYFUNCTION("""COMPUTED_VALUE"""),"DRIVER BUS")</f>
        <v>DRIVER BUS</v>
      </c>
      <c r="G205" s="67" t="str">
        <f>IFERROR(__xludf.DUMMYFUNCTION("""COMPUTED_VALUE"""),"FALSE")</f>
        <v>FALSE</v>
      </c>
      <c r="H205" s="67" t="str">
        <f>IFERROR(__xludf.DUMMYFUNCTION("""COMPUTED_VALUE"""),"FALSE")</f>
        <v>FALSE</v>
      </c>
      <c r="I205" s="69">
        <f>IFERROR(__xludf.DUMMYFUNCTION("""COMPUTED_VALUE"""),35614.0)</f>
        <v>35614</v>
      </c>
      <c r="J205" s="70" t="str">
        <f t="shared" si="1"/>
        <v>[212231859] HENDRA</v>
      </c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</row>
    <row r="206">
      <c r="A206" s="67">
        <f>IFERROR(__xludf.DUMMYFUNCTION("""COMPUTED_VALUE"""),2.08201202E8)</f>
        <v>208201202</v>
      </c>
      <c r="B206" s="67" t="str">
        <f>IFERROR(__xludf.DUMMYFUNCTION("""COMPUTED_VALUE"""),"HENDRA GUNAWAN DEWANTO")</f>
        <v>HENDRA GUNAWAN DEWANTO</v>
      </c>
      <c r="C206" s="67">
        <f>IFERROR(__xludf.DUMMYFUNCTION("""COMPUTED_VALUE"""),40.0)</f>
        <v>40</v>
      </c>
      <c r="D206" s="68" t="str">
        <f>IFERROR(__xludf.DUMMYFUNCTION("""COMPUTED_VALUE"""),"Islam")</f>
        <v>Islam</v>
      </c>
      <c r="E206" s="67" t="str">
        <f>IFERROR(__xludf.DUMMYFUNCTION("""COMPUTED_VALUE"""),"CV. Adil Prima Perkasa")</f>
        <v>CV. Adil Prima Perkasa</v>
      </c>
      <c r="F206" s="67" t="str">
        <f>IFERROR(__xludf.DUMMYFUNCTION("""COMPUTED_VALUE"""),"DRIVER DT H700ZY")</f>
        <v>DRIVER DT H700ZY</v>
      </c>
      <c r="G206" s="67" t="str">
        <f>IFERROR(__xludf.DUMMYFUNCTION("""COMPUTED_VALUE"""),"KENDARAAN &amp; UNIT SUPPORT")</f>
        <v>KENDARAAN &amp; UNIT SUPPORT</v>
      </c>
      <c r="H206" s="67" t="str">
        <f>IFERROR(__xludf.DUMMYFUNCTION("""COMPUTED_VALUE"""),"[0102150004] NAFTALI RARE'A, ST")</f>
        <v>[0102150004] NAFTALI RARE'A, ST</v>
      </c>
      <c r="I206" s="69">
        <f>IFERROR(__xludf.DUMMYFUNCTION("""COMPUTED_VALUE"""),32372.0)</f>
        <v>32372</v>
      </c>
      <c r="J206" s="70" t="str">
        <f t="shared" si="1"/>
        <v>[208201202] HENDRA GUNAWAN DEWANTO</v>
      </c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</row>
    <row r="207">
      <c r="A207" s="67">
        <f>IFERROR(__xludf.DUMMYFUNCTION("""COMPUTED_VALUE"""),1.07211446E8)</f>
        <v>107211446</v>
      </c>
      <c r="B207" s="67" t="str">
        <f>IFERROR(__xludf.DUMMYFUNCTION("""COMPUTED_VALUE"""),"HENDRAWAN")</f>
        <v>HENDRAWAN</v>
      </c>
      <c r="C207" s="67">
        <f>IFERROR(__xludf.DUMMYFUNCTION("""COMPUTED_VALUE"""),23.0)</f>
        <v>23</v>
      </c>
      <c r="D207" s="68" t="str">
        <f>IFERROR(__xludf.DUMMYFUNCTION("""COMPUTED_VALUE"""),"Islam")</f>
        <v>Islam</v>
      </c>
      <c r="E207" s="67" t="str">
        <f>IFERROR(__xludf.DUMMYFUNCTION("""COMPUTED_VALUE"""),"CV. SENTOSA ABADI")</f>
        <v>CV. SENTOSA ABADI</v>
      </c>
      <c r="F207" s="67" t="str">
        <f>IFERROR(__xludf.DUMMYFUNCTION("""COMPUTED_VALUE"""),"HELPER TYRE")</f>
        <v>HELPER TYRE</v>
      </c>
      <c r="G207" s="67" t="str">
        <f>IFERROR(__xludf.DUMMYFUNCTION("""COMPUTED_VALUE"""),"WORKSHOP")</f>
        <v>WORKSHOP</v>
      </c>
      <c r="H207" s="67" t="str">
        <f>IFERROR(__xludf.DUMMYFUNCTION("""COMPUTED_VALUE"""),"[0102120144] JUFRY KOMALING")</f>
        <v>[0102120144] JUFRY KOMALING</v>
      </c>
      <c r="I207" s="69"/>
      <c r="J207" s="70" t="str">
        <f t="shared" si="1"/>
        <v>[107211446] HENDRAWAN</v>
      </c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</row>
    <row r="208">
      <c r="A208" s="67">
        <f>IFERROR(__xludf.DUMMYFUNCTION("""COMPUTED_VALUE"""),1.01211324E8)</f>
        <v>101211324</v>
      </c>
      <c r="B208" s="67" t="str">
        <f>IFERROR(__xludf.DUMMYFUNCTION("""COMPUTED_VALUE"""),"HENDRIK")</f>
        <v>HENDRIK</v>
      </c>
      <c r="C208" s="67">
        <f>IFERROR(__xludf.DUMMYFUNCTION("""COMPUTED_VALUE"""),44.0)</f>
        <v>44</v>
      </c>
      <c r="D208" s="68" t="str">
        <f>IFERROR(__xludf.DUMMYFUNCTION("""COMPUTED_VALUE"""),"Kristen Protestan")</f>
        <v>Kristen Protestan</v>
      </c>
      <c r="E208" s="67" t="str">
        <f>IFERROR(__xludf.DUMMYFUNCTION("""COMPUTED_VALUE"""),"CV. SENTOSA ABADI")</f>
        <v>CV. SENTOSA ABADI</v>
      </c>
      <c r="F208" s="67" t="str">
        <f>IFERROR(__xludf.DUMMYFUNCTION("""COMPUTED_VALUE"""),"CREW EXPLORASI")</f>
        <v>CREW EXPLORASI</v>
      </c>
      <c r="G208" s="67" t="str">
        <f>IFERROR(__xludf.DUMMYFUNCTION("""COMPUTED_VALUE"""),"GRADE CONTROL")</f>
        <v>GRADE CONTROL</v>
      </c>
      <c r="H208" s="67" t="str">
        <f>IFERROR(__xludf.DUMMYFUNCTION("""COMPUTED_VALUE"""),"[0107201164] A.CHRISTI ARI WIBOWO")</f>
        <v>[0107201164] A.CHRISTI ARI WIBOWO</v>
      </c>
      <c r="I208" s="69">
        <f>IFERROR(__xludf.DUMMYFUNCTION("""COMPUTED_VALUE"""),24946.0)</f>
        <v>24946</v>
      </c>
      <c r="J208" s="70" t="str">
        <f t="shared" si="1"/>
        <v>[101211324] HENDRIK</v>
      </c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</row>
    <row r="209">
      <c r="A209" s="67">
        <f>IFERROR(__xludf.DUMMYFUNCTION("""COMPUTED_VALUE"""),2.09231832E8)</f>
        <v>209231832</v>
      </c>
      <c r="B209" s="67" t="str">
        <f>IFERROR(__xludf.DUMMYFUNCTION("""COMPUTED_VALUE"""),"HENDRIK")</f>
        <v>HENDRIK</v>
      </c>
      <c r="C209" s="67">
        <f>IFERROR(__xludf.DUMMYFUNCTION("""COMPUTED_VALUE"""),0.0)</f>
        <v>0</v>
      </c>
      <c r="D209" s="68" t="str">
        <f>IFERROR(__xludf.DUMMYFUNCTION("""COMPUTED_VALUE"""),"Islam")</f>
        <v>Islam</v>
      </c>
      <c r="E209" s="67" t="str">
        <f>IFERROR(__xludf.DUMMYFUNCTION("""COMPUTED_VALUE"""),"CV. Adil Prima Perkasa")</f>
        <v>CV. Adil Prima Perkasa</v>
      </c>
      <c r="F209" s="67" t="str">
        <f>IFERROR(__xludf.DUMMYFUNCTION("""COMPUTED_VALUE"""),"DRIVER DT H500")</f>
        <v>DRIVER DT H500</v>
      </c>
      <c r="G209" s="67" t="str">
        <f>IFERROR(__xludf.DUMMYFUNCTION("""COMPUTED_VALUE"""),"KENDARAAN &amp; UNIT SUPPORT")</f>
        <v>KENDARAAN &amp; UNIT SUPPORT</v>
      </c>
      <c r="H209" s="67" t="str">
        <f>IFERROR(__xludf.DUMMYFUNCTION("""COMPUTED_VALUE"""),"[0102150004] NAFTALI RARE'A, ST")</f>
        <v>[0102150004] NAFTALI RARE'A, ST</v>
      </c>
      <c r="I209" s="69"/>
      <c r="J209" s="70" t="str">
        <f t="shared" si="1"/>
        <v>[209231832] HENDRIK</v>
      </c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</row>
    <row r="210">
      <c r="A210" s="67">
        <f>IFERROR(__xludf.DUMMYFUNCTION("""COMPUTED_VALUE"""),2.09201233E8)</f>
        <v>209201233</v>
      </c>
      <c r="B210" s="67" t="str">
        <f>IFERROR(__xludf.DUMMYFUNCTION("""COMPUTED_VALUE"""),"HENDRIK SUBIA")</f>
        <v>HENDRIK SUBIA</v>
      </c>
      <c r="C210" s="67">
        <f>IFERROR(__xludf.DUMMYFUNCTION("""COMPUTED_VALUE"""),35.0)</f>
        <v>35</v>
      </c>
      <c r="D210" s="68" t="str">
        <f>IFERROR(__xludf.DUMMYFUNCTION("""COMPUTED_VALUE"""),"Kristen Protestan")</f>
        <v>Kristen Protestan</v>
      </c>
      <c r="E210" s="67" t="str">
        <f>IFERROR(__xludf.DUMMYFUNCTION("""COMPUTED_VALUE"""),"CV. Adil Prima Perkasa")</f>
        <v>CV. Adil Prima Perkasa</v>
      </c>
      <c r="F210" s="67" t="str">
        <f>IFERROR(__xludf.DUMMYFUNCTION("""COMPUTED_VALUE"""),"DRIVER DT H700ZY")</f>
        <v>DRIVER DT H700ZY</v>
      </c>
      <c r="G210" s="67" t="str">
        <f>IFERROR(__xludf.DUMMYFUNCTION("""COMPUTED_VALUE"""),"KENDARAAN &amp; UNIT SUPPORT")</f>
        <v>KENDARAAN &amp; UNIT SUPPORT</v>
      </c>
      <c r="H210" s="67" t="str">
        <f>IFERROR(__xludf.DUMMYFUNCTION("""COMPUTED_VALUE"""),"[0102150004] NAFTALI RARE'A, ST")</f>
        <v>[0102150004] NAFTALI RARE'A, ST</v>
      </c>
      <c r="I210" s="69">
        <f>IFERROR(__xludf.DUMMYFUNCTION("""COMPUTED_VALUE"""),33380.0)</f>
        <v>33380</v>
      </c>
      <c r="J210" s="70" t="str">
        <f t="shared" si="1"/>
        <v>[209201233] HENDRIK SUBIA</v>
      </c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</row>
    <row r="211">
      <c r="A211" s="67">
        <f>IFERROR(__xludf.DUMMYFUNCTION("""COMPUTED_VALUE"""),1.02199007E8)</f>
        <v>102199007</v>
      </c>
      <c r="B211" s="67" t="str">
        <f>IFERROR(__xludf.DUMMYFUNCTION("""COMPUTED_VALUE"""),"HENDRO")</f>
        <v>HENDRO</v>
      </c>
      <c r="C211" s="67">
        <f>IFERROR(__xludf.DUMMYFUNCTION("""COMPUTED_VALUE"""),0.0)</f>
        <v>0</v>
      </c>
      <c r="D211" s="68"/>
      <c r="E211" s="67" t="str">
        <f>IFERROR(__xludf.DUMMYFUNCTION("""COMPUTED_VALUE"""),"CV. SENTOSA ABADI")</f>
        <v>CV. SENTOSA ABADI</v>
      </c>
      <c r="F211" s="67" t="str">
        <f>IFERROR(__xludf.DUMMYFUNCTION("""COMPUTED_VALUE"""),"FALSE")</f>
        <v>FALSE</v>
      </c>
      <c r="G211" s="67" t="str">
        <f>IFERROR(__xludf.DUMMYFUNCTION("""COMPUTED_VALUE"""),"FINANCE")</f>
        <v>FINANCE</v>
      </c>
      <c r="H211" s="67" t="str">
        <f>IFERROR(__xludf.DUMMYFUNCTION("""COMPUTED_VALUE"""),"FALSE")</f>
        <v>FALSE</v>
      </c>
      <c r="I211" s="69"/>
      <c r="J211" s="70" t="str">
        <f t="shared" si="1"/>
        <v>[102199007] HENDRO</v>
      </c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</row>
    <row r="212">
      <c r="A212" s="67">
        <f>IFERROR(__xludf.DUMMYFUNCTION("""COMPUTED_VALUE"""),2.11221704E8)</f>
        <v>211221704</v>
      </c>
      <c r="B212" s="67" t="str">
        <f>IFERROR(__xludf.DUMMYFUNCTION("""COMPUTED_VALUE"""),"HENIMUS YONSI")</f>
        <v>HENIMUS YONSI</v>
      </c>
      <c r="C212" s="67">
        <f>IFERROR(__xludf.DUMMYFUNCTION("""COMPUTED_VALUE"""),30.0)</f>
        <v>30</v>
      </c>
      <c r="D212" s="68" t="str">
        <f>IFERROR(__xludf.DUMMYFUNCTION("""COMPUTED_VALUE"""),"Kristen Khatolik")</f>
        <v>Kristen Khatolik</v>
      </c>
      <c r="E212" s="67" t="str">
        <f>IFERROR(__xludf.DUMMYFUNCTION("""COMPUTED_VALUE"""),"CV. Adil Prima Perkasa")</f>
        <v>CV. Adil Prima Perkasa</v>
      </c>
      <c r="F212" s="67" t="str">
        <f>IFERROR(__xludf.DUMMYFUNCTION("""COMPUTED_VALUE"""),"HELPER MEKANIK LV")</f>
        <v>HELPER MEKANIK LV</v>
      </c>
      <c r="G212" s="67" t="str">
        <f>IFERROR(__xludf.DUMMYFUNCTION("""COMPUTED_VALUE"""),"WORKSHOP")</f>
        <v>WORKSHOP</v>
      </c>
      <c r="H212" s="67" t="str">
        <f>IFERROR(__xludf.DUMMYFUNCTION("""COMPUTED_VALUE"""),"[0106190928] NATAN KONDO")</f>
        <v>[0106190928] NATAN KONDO</v>
      </c>
      <c r="I212" s="69">
        <f>IFERROR(__xludf.DUMMYFUNCTION("""COMPUTED_VALUE"""),34852.0)</f>
        <v>34852</v>
      </c>
      <c r="J212" s="70" t="str">
        <f t="shared" si="1"/>
        <v>[211221704] HENIMUS YONSI</v>
      </c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</row>
    <row r="213">
      <c r="A213" s="67">
        <f>IFERROR(__xludf.DUMMYFUNCTION("""COMPUTED_VALUE"""),2.10201255E8)</f>
        <v>210201255</v>
      </c>
      <c r="B213" s="67" t="str">
        <f>IFERROR(__xludf.DUMMYFUNCTION("""COMPUTED_VALUE"""),"HENITARDUS JURIMAN")</f>
        <v>HENITARDUS JURIMAN</v>
      </c>
      <c r="C213" s="67">
        <f>IFERROR(__xludf.DUMMYFUNCTION("""COMPUTED_VALUE"""),36.0)</f>
        <v>36</v>
      </c>
      <c r="D213" s="68" t="str">
        <f>IFERROR(__xludf.DUMMYFUNCTION("""COMPUTED_VALUE"""),"Kristen Khatolik")</f>
        <v>Kristen Khatolik</v>
      </c>
      <c r="E213" s="67" t="str">
        <f>IFERROR(__xludf.DUMMYFUNCTION("""COMPUTED_VALUE"""),"CV. Adil Prima Perkasa")</f>
        <v>CV. Adil Prima Perkasa</v>
      </c>
      <c r="F213" s="67" t="str">
        <f>IFERROR(__xludf.DUMMYFUNCTION("""COMPUTED_VALUE"""),"OPERATOR EXCAVATOR")</f>
        <v>OPERATOR EXCAVATOR</v>
      </c>
      <c r="G213" s="67" t="str">
        <f>IFERROR(__xludf.DUMMYFUNCTION("""COMPUTED_VALUE"""),"PRODUKSI")</f>
        <v>PRODUKSI</v>
      </c>
      <c r="H213" s="67" t="str">
        <f>IFERROR(__xludf.DUMMYFUNCTION("""COMPUTED_VALUE"""),"[0102130003] PURNAWAN")</f>
        <v>[0102130003] PURNAWAN</v>
      </c>
      <c r="I213" s="69">
        <f>IFERROR(__xludf.DUMMYFUNCTION("""COMPUTED_VALUE"""),32607.0)</f>
        <v>32607</v>
      </c>
      <c r="J213" s="70" t="str">
        <f t="shared" si="1"/>
        <v>[210201255] HENITARDUS JURIMAN</v>
      </c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</row>
    <row r="214">
      <c r="A214" s="67">
        <f>IFERROR(__xludf.DUMMYFUNCTION("""COMPUTED_VALUE"""),2.03231741E8)</f>
        <v>203231741</v>
      </c>
      <c r="B214" s="67" t="str">
        <f>IFERROR(__xludf.DUMMYFUNCTION("""COMPUTED_VALUE"""),"HERI ISWANTO")</f>
        <v>HERI ISWANTO</v>
      </c>
      <c r="C214" s="67">
        <f>IFERROR(__xludf.DUMMYFUNCTION("""COMPUTED_VALUE"""),25.0)</f>
        <v>25</v>
      </c>
      <c r="D214" s="68" t="str">
        <f>IFERROR(__xludf.DUMMYFUNCTION("""COMPUTED_VALUE"""),"Islam")</f>
        <v>Islam</v>
      </c>
      <c r="E214" s="67" t="str">
        <f>IFERROR(__xludf.DUMMYFUNCTION("""COMPUTED_VALUE"""),"CV. Adil Prima Perkasa")</f>
        <v>CV. Adil Prima Perkasa</v>
      </c>
      <c r="F214" s="67" t="str">
        <f>IFERROR(__xludf.DUMMYFUNCTION("""COMPUTED_VALUE"""),"DRIVER DT H700ZS")</f>
        <v>DRIVER DT H700ZS</v>
      </c>
      <c r="G214" s="67" t="str">
        <f>IFERROR(__xludf.DUMMYFUNCTION("""COMPUTED_VALUE"""),"KENDARAAN &amp; UNIT SUPPORT")</f>
        <v>KENDARAAN &amp; UNIT SUPPORT</v>
      </c>
      <c r="H214" s="67" t="str">
        <f>IFERROR(__xludf.DUMMYFUNCTION("""COMPUTED_VALUE"""),"[0102150004] NAFTALI RARE'A, ST")</f>
        <v>[0102150004] NAFTALI RARE'A, ST</v>
      </c>
      <c r="I214" s="69">
        <f>IFERROR(__xludf.DUMMYFUNCTION("""COMPUTED_VALUE"""),36393.0)</f>
        <v>36393</v>
      </c>
      <c r="J214" s="70" t="str">
        <f t="shared" si="1"/>
        <v>[203231741] HERI ISWANTO</v>
      </c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</row>
    <row r="215">
      <c r="A215" s="67">
        <f>IFERROR(__xludf.DUMMYFUNCTION("""COMPUTED_VALUE"""),1.03190794E8)</f>
        <v>103190794</v>
      </c>
      <c r="B215" s="67" t="str">
        <f>IFERROR(__xludf.DUMMYFUNCTION("""COMPUTED_VALUE"""),"HERLAN ABRIANTO SADAGO")</f>
        <v>HERLAN ABRIANTO SADAGO</v>
      </c>
      <c r="C215" s="67">
        <f>IFERROR(__xludf.DUMMYFUNCTION("""COMPUTED_VALUE"""),27.0)</f>
        <v>27</v>
      </c>
      <c r="D215" s="68" t="str">
        <f>IFERROR(__xludf.DUMMYFUNCTION("""COMPUTED_VALUE"""),"Kristen Protestan")</f>
        <v>Kristen Protestan</v>
      </c>
      <c r="E215" s="67" t="str">
        <f>IFERROR(__xludf.DUMMYFUNCTION("""COMPUTED_VALUE"""),"CV. SENTOSA ABADI")</f>
        <v>CV. SENTOSA ABADI</v>
      </c>
      <c r="F215" s="67" t="str">
        <f>IFERROR(__xludf.DUMMYFUNCTION("""COMPUTED_VALUE"""),"DRIVER DT H500")</f>
        <v>DRIVER DT H500</v>
      </c>
      <c r="G215" s="67" t="str">
        <f>IFERROR(__xludf.DUMMYFUNCTION("""COMPUTED_VALUE"""),"KENDARAAN &amp; UNIT SUPPORT")</f>
        <v>KENDARAAN &amp; UNIT SUPPORT</v>
      </c>
      <c r="H215" s="67" t="str">
        <f>IFERROR(__xludf.DUMMYFUNCTION("""COMPUTED_VALUE"""),"[0102150004] NAFTALI RARE'A, ST")</f>
        <v>[0102150004] NAFTALI RARE'A, ST</v>
      </c>
      <c r="I215" s="69"/>
      <c r="J215" s="70" t="str">
        <f t="shared" si="1"/>
        <v>[103190794] HERLAN ABRIANTO SADAGO</v>
      </c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</row>
    <row r="216">
      <c r="A216" s="67">
        <f>IFERROR(__xludf.DUMMYFUNCTION("""COMPUTED_VALUE"""),1.0317011E8)</f>
        <v>103170110</v>
      </c>
      <c r="B216" s="67" t="str">
        <f>IFERROR(__xludf.DUMMYFUNCTION("""COMPUTED_VALUE"""),"HERMIN LIA POLEALLO")</f>
        <v>HERMIN LIA POLEALLO</v>
      </c>
      <c r="C216" s="67">
        <f>IFERROR(__xludf.DUMMYFUNCTION("""COMPUTED_VALUE"""),27.0)</f>
        <v>27</v>
      </c>
      <c r="D216" s="68" t="str">
        <f>IFERROR(__xludf.DUMMYFUNCTION("""COMPUTED_VALUE"""),"Kristen Protestan")</f>
        <v>Kristen Protestan</v>
      </c>
      <c r="E216" s="67" t="str">
        <f>IFERROR(__xludf.DUMMYFUNCTION("""COMPUTED_VALUE"""),"CV. SENTOSA ABADI")</f>
        <v>CV. SENTOSA ABADI</v>
      </c>
      <c r="F216" s="67" t="str">
        <f>IFERROR(__xludf.DUMMYFUNCTION("""COMPUTED_VALUE"""),"STOCKER")</f>
        <v>STOCKER</v>
      </c>
      <c r="G216" s="67" t="str">
        <f>IFERROR(__xludf.DUMMYFUNCTION("""COMPUTED_VALUE"""),"HRD &amp; GA")</f>
        <v>HRD &amp; GA</v>
      </c>
      <c r="H216" s="67" t="str">
        <f>IFERROR(__xludf.DUMMYFUNCTION("""COMPUTED_VALUE"""),"[0103231738] MARYA SUSAN SIMBANGU")</f>
        <v>[0103231738] MARYA SUSAN SIMBANGU</v>
      </c>
      <c r="I216" s="69"/>
      <c r="J216" s="70" t="str">
        <f t="shared" si="1"/>
        <v>[103170110] HERMIN LIA POLEALLO</v>
      </c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</row>
    <row r="217">
      <c r="A217" s="67">
        <f>IFERROR(__xludf.DUMMYFUNCTION("""COMPUTED_VALUE"""),1.08180517E8)</f>
        <v>108180517</v>
      </c>
      <c r="B217" s="67" t="str">
        <f>IFERROR(__xludf.DUMMYFUNCTION("""COMPUTED_VALUE"""),"HERRY SUTRISNO")</f>
        <v>HERRY SUTRISNO</v>
      </c>
      <c r="C217" s="67">
        <f>IFERROR(__xludf.DUMMYFUNCTION("""COMPUTED_VALUE"""),56.0)</f>
        <v>56</v>
      </c>
      <c r="D217" s="68" t="str">
        <f>IFERROR(__xludf.DUMMYFUNCTION("""COMPUTED_VALUE"""),"Kristen Protestan")</f>
        <v>Kristen Protestan</v>
      </c>
      <c r="E217" s="67" t="str">
        <f>IFERROR(__xludf.DUMMYFUNCTION("""COMPUTED_VALUE"""),"CV. SENTOSA ABADI")</f>
        <v>CV. SENTOSA ABADI</v>
      </c>
      <c r="F217" s="67" t="str">
        <f>IFERROR(__xludf.DUMMYFUNCTION("""COMPUTED_VALUE"""),"MEKANIK LV")</f>
        <v>MEKANIK LV</v>
      </c>
      <c r="G217" s="67" t="str">
        <f>IFERROR(__xludf.DUMMYFUNCTION("""COMPUTED_VALUE"""),"WORKSHOP")</f>
        <v>WORKSHOP</v>
      </c>
      <c r="H217" s="67" t="str">
        <f>IFERROR(__xludf.DUMMYFUNCTION("""COMPUTED_VALUE"""),"[0106190928] NATAN KONDO")</f>
        <v>[0106190928] NATAN KONDO</v>
      </c>
      <c r="I217" s="69"/>
      <c r="J217" s="70" t="str">
        <f t="shared" si="1"/>
        <v>[108180517] HERRY SUTRISNO</v>
      </c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</row>
    <row r="218">
      <c r="A218" s="67">
        <f>IFERROR(__xludf.DUMMYFUNCTION("""COMPUTED_VALUE"""),3.06200002E8)</f>
        <v>306200002</v>
      </c>
      <c r="B218" s="67" t="str">
        <f>IFERROR(__xludf.DUMMYFUNCTION("""COMPUTED_VALUE"""),"HOTLAN FIRMANSIA TUKKA")</f>
        <v>HOTLAN FIRMANSIA TUKKA</v>
      </c>
      <c r="C218" s="67">
        <f>IFERROR(__xludf.DUMMYFUNCTION("""COMPUTED_VALUE"""),45.0)</f>
        <v>45</v>
      </c>
      <c r="D218" s="68" t="str">
        <f>IFERROR(__xludf.DUMMYFUNCTION("""COMPUTED_VALUE"""),"Kristen Protestan")</f>
        <v>Kristen Protestan</v>
      </c>
      <c r="E218" s="67" t="str">
        <f>IFERROR(__xludf.DUMMYFUNCTION("""COMPUTED_VALUE"""),"CV. Monalisa")</f>
        <v>CV. Monalisa</v>
      </c>
      <c r="F218" s="67" t="str">
        <f>IFERROR(__xludf.DUMMYFUNCTION("""COMPUTED_VALUE"""),"DRIVER DT")</f>
        <v>DRIVER DT</v>
      </c>
      <c r="G218" s="67" t="str">
        <f>IFERROR(__xludf.DUMMYFUNCTION("""COMPUTED_VALUE"""),"KENDARAAN &amp; UNIT SUPPORT")</f>
        <v>KENDARAAN &amp; UNIT SUPPORT</v>
      </c>
      <c r="H218" s="67" t="str">
        <f>IFERROR(__xludf.DUMMYFUNCTION("""COMPUTED_VALUE"""),"[0102150004] NAFTALI RARE'A, ST")</f>
        <v>[0102150004] NAFTALI RARE'A, ST</v>
      </c>
      <c r="I218" s="69"/>
      <c r="J218" s="70" t="str">
        <f t="shared" si="1"/>
        <v>[306200002] HOTLAN FIRMANSIA TUKKA</v>
      </c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</row>
    <row r="219">
      <c r="A219" s="67">
        <f>IFERROR(__xludf.DUMMYFUNCTION("""COMPUTED_VALUE"""),2.09211491E8)</f>
        <v>209211491</v>
      </c>
      <c r="B219" s="67" t="str">
        <f>IFERROR(__xludf.DUMMYFUNCTION("""COMPUTED_VALUE"""),"I NYOMAN RAI ANGGARA PUTRA")</f>
        <v>I NYOMAN RAI ANGGARA PUTRA</v>
      </c>
      <c r="C219" s="67">
        <f>IFERROR(__xludf.DUMMYFUNCTION("""COMPUTED_VALUE"""),24.0)</f>
        <v>24</v>
      </c>
      <c r="D219" s="68" t="str">
        <f>IFERROR(__xludf.DUMMYFUNCTION("""COMPUTED_VALUE"""),"Hindu")</f>
        <v>Hindu</v>
      </c>
      <c r="E219" s="67" t="str">
        <f>IFERROR(__xludf.DUMMYFUNCTION("""COMPUTED_VALUE"""),"CV. Adil Prima Perkasa")</f>
        <v>CV. Adil Prima Perkasa</v>
      </c>
      <c r="F219" s="67" t="str">
        <f>IFERROR(__xludf.DUMMYFUNCTION("""COMPUTED_VALUE"""),"OPERATOR ADT")</f>
        <v>OPERATOR ADT</v>
      </c>
      <c r="G219" s="67" t="str">
        <f>IFERROR(__xludf.DUMMYFUNCTION("""COMPUTED_VALUE"""),"PRODUKSI")</f>
        <v>PRODUKSI</v>
      </c>
      <c r="H219" s="67" t="str">
        <f>IFERROR(__xludf.DUMMYFUNCTION("""COMPUTED_VALUE"""),"[0102130003] PURNAWAN")</f>
        <v>[0102130003] PURNAWAN</v>
      </c>
      <c r="I219" s="69"/>
      <c r="J219" s="70" t="str">
        <f t="shared" si="1"/>
        <v>[209211491] I NYOMAN RAI ANGGARA PUTRA</v>
      </c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</row>
    <row r="220">
      <c r="A220" s="67"/>
      <c r="B220" s="67" t="str">
        <f>IFERROR(__xludf.DUMMYFUNCTION("""COMPUTED_VALUE"""),"I PUTU PARI SUTRISNA")</f>
        <v>I PUTU PARI SUTRISNA</v>
      </c>
      <c r="C220" s="67">
        <f>IFERROR(__xludf.DUMMYFUNCTION("""COMPUTED_VALUE"""),0.0)</f>
        <v>0</v>
      </c>
      <c r="D220" s="68"/>
      <c r="E220" s="67" t="str">
        <f>IFERROR(__xludf.DUMMYFUNCTION("""COMPUTED_VALUE"""),"CV. SENTOSA ABADI")</f>
        <v>CV. SENTOSA ABADI</v>
      </c>
      <c r="F220" s="67" t="str">
        <f>IFERROR(__xludf.DUMMYFUNCTION("""COMPUTED_VALUE"""),"ACCOUNTING")</f>
        <v>ACCOUNTING</v>
      </c>
      <c r="G220" s="67" t="str">
        <f>IFERROR(__xludf.DUMMYFUNCTION("""COMPUTED_VALUE"""),"FINANCE")</f>
        <v>FINANCE</v>
      </c>
      <c r="H220" s="67" t="str">
        <f>IFERROR(__xludf.DUMMYFUNCTION("""COMPUTED_VALUE"""),"[0206189004] ALFRETH ALVIAN TIAKI")</f>
        <v>[0206189004] ALFRETH ALVIAN TIAKI</v>
      </c>
      <c r="I220" s="69"/>
      <c r="J220" s="70" t="str">
        <f t="shared" si="1"/>
        <v>[] I PUTU PARI SUTRISNA</v>
      </c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</row>
    <row r="221">
      <c r="A221" s="67">
        <f>IFERROR(__xludf.DUMMYFUNCTION("""COMPUTED_VALUE"""),2.12201312E8)</f>
        <v>212201312</v>
      </c>
      <c r="B221" s="67" t="str">
        <f>IFERROR(__xludf.DUMMYFUNCTION("""COMPUTED_VALUE"""),"I WAYAN RUDI YASTAWA")</f>
        <v>I WAYAN RUDI YASTAWA</v>
      </c>
      <c r="C221" s="67">
        <f>IFERROR(__xludf.DUMMYFUNCTION("""COMPUTED_VALUE"""),47.0)</f>
        <v>47</v>
      </c>
      <c r="D221" s="68" t="str">
        <f>IFERROR(__xludf.DUMMYFUNCTION("""COMPUTED_VALUE"""),"Hindu")</f>
        <v>Hindu</v>
      </c>
      <c r="E221" s="67" t="str">
        <f>IFERROR(__xludf.DUMMYFUNCTION("""COMPUTED_VALUE"""),"CV. Adil Prima Perkasa")</f>
        <v>CV. Adil Prima Perkasa</v>
      </c>
      <c r="F221" s="67" t="str">
        <f>IFERROR(__xludf.DUMMYFUNCTION("""COMPUTED_VALUE"""),"DRIVER DT H700ZY")</f>
        <v>DRIVER DT H700ZY</v>
      </c>
      <c r="G221" s="67" t="str">
        <f>IFERROR(__xludf.DUMMYFUNCTION("""COMPUTED_VALUE"""),"KENDARAAN &amp; UNIT SUPPORT")</f>
        <v>KENDARAAN &amp; UNIT SUPPORT</v>
      </c>
      <c r="H221" s="67" t="str">
        <f>IFERROR(__xludf.DUMMYFUNCTION("""COMPUTED_VALUE"""),"[0102150004] NAFTALI RARE'A, ST")</f>
        <v>[0102150004] NAFTALI RARE'A, ST</v>
      </c>
      <c r="I221" s="69">
        <f>IFERROR(__xludf.DUMMYFUNCTION("""COMPUTED_VALUE"""),29053.0)</f>
        <v>29053</v>
      </c>
      <c r="J221" s="70" t="str">
        <f t="shared" si="1"/>
        <v>[212201312] I WAYAN RUDI YASTAWA</v>
      </c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</row>
    <row r="222">
      <c r="A222" s="67">
        <f>IFERROR(__xludf.DUMMYFUNCTION("""COMPUTED_VALUE"""),1.07180499E8)</f>
        <v>107180499</v>
      </c>
      <c r="B222" s="67" t="str">
        <f>IFERROR(__xludf.DUMMYFUNCTION("""COMPUTED_VALUE"""),"IBRAHIM")</f>
        <v>IBRAHIM</v>
      </c>
      <c r="C222" s="67">
        <f>IFERROR(__xludf.DUMMYFUNCTION("""COMPUTED_VALUE"""),46.0)</f>
        <v>46</v>
      </c>
      <c r="D222" s="68" t="str">
        <f>IFERROR(__xludf.DUMMYFUNCTION("""COMPUTED_VALUE"""),"Islam")</f>
        <v>Islam</v>
      </c>
      <c r="E222" s="67" t="str">
        <f>IFERROR(__xludf.DUMMYFUNCTION("""COMPUTED_VALUE"""),"CV. SENTOSA ABADI")</f>
        <v>CV. SENTOSA ABADI</v>
      </c>
      <c r="F222" s="67" t="str">
        <f>IFERROR(__xludf.DUMMYFUNCTION("""COMPUTED_VALUE"""),"DRIVER DT H700ZY")</f>
        <v>DRIVER DT H700ZY</v>
      </c>
      <c r="G222" s="67" t="str">
        <f>IFERROR(__xludf.DUMMYFUNCTION("""COMPUTED_VALUE"""),"KENDARAAN &amp; UNIT SUPPORT")</f>
        <v>KENDARAAN &amp; UNIT SUPPORT</v>
      </c>
      <c r="H222" s="67" t="str">
        <f>IFERROR(__xludf.DUMMYFUNCTION("""COMPUTED_VALUE"""),"[0102150004] NAFTALI RARE'A, ST")</f>
        <v>[0102150004] NAFTALI RARE'A, ST</v>
      </c>
      <c r="I222" s="69">
        <f>IFERROR(__xludf.DUMMYFUNCTION("""COMPUTED_VALUE"""),29007.0)</f>
        <v>29007</v>
      </c>
      <c r="J222" s="70" t="str">
        <f t="shared" si="1"/>
        <v>[107180499] IBRAHIM</v>
      </c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</row>
    <row r="223">
      <c r="A223" s="67">
        <f>IFERROR(__xludf.DUMMYFUNCTION("""COMPUTED_VALUE"""),1.05190112E8)</f>
        <v>105190112</v>
      </c>
      <c r="B223" s="67" t="str">
        <f>IFERROR(__xludf.DUMMYFUNCTION("""COMPUTED_VALUE"""),"ICCANG")</f>
        <v>ICCANG</v>
      </c>
      <c r="C223" s="67">
        <f>IFERROR(__xludf.DUMMYFUNCTION("""COMPUTED_VALUE"""),31.0)</f>
        <v>31</v>
      </c>
      <c r="D223" s="68" t="str">
        <f>IFERROR(__xludf.DUMMYFUNCTION("""COMPUTED_VALUE"""),"Islam")</f>
        <v>Islam</v>
      </c>
      <c r="E223" s="67" t="str">
        <f>IFERROR(__xludf.DUMMYFUNCTION("""COMPUTED_VALUE"""),"CV. SENTOSA ABADI")</f>
        <v>CV. SENTOSA ABADI</v>
      </c>
      <c r="F223" s="67" t="str">
        <f>IFERROR(__xludf.DUMMYFUNCTION("""COMPUTED_VALUE"""),"DRIVER DT H700ZY")</f>
        <v>DRIVER DT H700ZY</v>
      </c>
      <c r="G223" s="67" t="str">
        <f>IFERROR(__xludf.DUMMYFUNCTION("""COMPUTED_VALUE"""),"KENDARAAN &amp; UNIT SUPPORT")</f>
        <v>KENDARAAN &amp; UNIT SUPPORT</v>
      </c>
      <c r="H223" s="67" t="str">
        <f>IFERROR(__xludf.DUMMYFUNCTION("""COMPUTED_VALUE"""),"[0102150004] NAFTALI RARE'A, ST")</f>
        <v>[0102150004] NAFTALI RARE'A, ST</v>
      </c>
      <c r="I223" s="69">
        <f>IFERROR(__xludf.DUMMYFUNCTION("""COMPUTED_VALUE"""),34010.0)</f>
        <v>34010</v>
      </c>
      <c r="J223" s="70" t="str">
        <f t="shared" si="1"/>
        <v>[105190112] ICCANG</v>
      </c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</row>
    <row r="224">
      <c r="A224" s="67">
        <f>IFERROR(__xludf.DUMMYFUNCTION("""COMPUTED_VALUE"""),2.06221649E8)</f>
        <v>206221649</v>
      </c>
      <c r="B224" s="67" t="str">
        <f>IFERROR(__xludf.DUMMYFUNCTION("""COMPUTED_VALUE"""),"IDRUS")</f>
        <v>IDRUS</v>
      </c>
      <c r="C224" s="67">
        <f>IFERROR(__xludf.DUMMYFUNCTION("""COMPUTED_VALUE"""),37.0)</f>
        <v>37</v>
      </c>
      <c r="D224" s="68" t="str">
        <f>IFERROR(__xludf.DUMMYFUNCTION("""COMPUTED_VALUE"""),"Islam")</f>
        <v>Islam</v>
      </c>
      <c r="E224" s="67" t="str">
        <f>IFERROR(__xludf.DUMMYFUNCTION("""COMPUTED_VALUE"""),"CV. Adil Prima Perkasa")</f>
        <v>CV. Adil Prima Perkasa</v>
      </c>
      <c r="F224" s="67" t="str">
        <f>IFERROR(__xludf.DUMMYFUNCTION("""COMPUTED_VALUE"""),"DRIVER DT H700ZS")</f>
        <v>DRIVER DT H700ZS</v>
      </c>
      <c r="G224" s="67" t="str">
        <f>IFERROR(__xludf.DUMMYFUNCTION("""COMPUTED_VALUE"""),"KENDARAAN &amp; UNIT SUPPORT")</f>
        <v>KENDARAAN &amp; UNIT SUPPORT</v>
      </c>
      <c r="H224" s="67" t="str">
        <f>IFERROR(__xludf.DUMMYFUNCTION("""COMPUTED_VALUE"""),"[0102150004] NAFTALI RARE'A, ST")</f>
        <v>[0102150004] NAFTALI RARE'A, ST</v>
      </c>
      <c r="I224" s="69">
        <f>IFERROR(__xludf.DUMMYFUNCTION("""COMPUTED_VALUE"""),29279.0)</f>
        <v>29279</v>
      </c>
      <c r="J224" s="70" t="str">
        <f t="shared" si="1"/>
        <v>[206221649] IDRUS</v>
      </c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</row>
    <row r="225">
      <c r="A225" s="67">
        <f>IFERROR(__xludf.DUMMYFUNCTION("""COMPUTED_VALUE"""),2.0621144E8)</f>
        <v>206211440</v>
      </c>
      <c r="B225" s="67" t="str">
        <f>IFERROR(__xludf.DUMMYFUNCTION("""COMPUTED_VALUE"""),"IGNASIUS YANTO SAKA")</f>
        <v>IGNASIUS YANTO SAKA</v>
      </c>
      <c r="C225" s="67">
        <f>IFERROR(__xludf.DUMMYFUNCTION("""COMPUTED_VALUE"""),33.0)</f>
        <v>33</v>
      </c>
      <c r="D225" s="68" t="str">
        <f>IFERROR(__xludf.DUMMYFUNCTION("""COMPUTED_VALUE"""),"Kristen Khatolik")</f>
        <v>Kristen Khatolik</v>
      </c>
      <c r="E225" s="67" t="str">
        <f>IFERROR(__xludf.DUMMYFUNCTION("""COMPUTED_VALUE"""),"CV. Adil Prima Perkasa")</f>
        <v>CV. Adil Prima Perkasa</v>
      </c>
      <c r="F225" s="67" t="str">
        <f>IFERROR(__xludf.DUMMYFUNCTION("""COMPUTED_VALUE"""),"WASHING MAN")</f>
        <v>WASHING MAN</v>
      </c>
      <c r="G225" s="67" t="str">
        <f>IFERROR(__xludf.DUMMYFUNCTION("""COMPUTED_VALUE"""),"WORKSHOP")</f>
        <v>WORKSHOP</v>
      </c>
      <c r="H225" s="67" t="str">
        <f>IFERROR(__xludf.DUMMYFUNCTION("""COMPUTED_VALUE"""),"[0106190928] NATAN KONDO")</f>
        <v>[0106190928] NATAN KONDO</v>
      </c>
      <c r="I225" s="69"/>
      <c r="J225" s="70" t="str">
        <f t="shared" si="1"/>
        <v>[206211440] IGNASIUS YANTO SAKA</v>
      </c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</row>
    <row r="226">
      <c r="A226" s="67">
        <f>IFERROR(__xludf.DUMMYFUNCTION("""COMPUTED_VALUE"""),2.09231839E8)</f>
        <v>209231839</v>
      </c>
      <c r="B226" s="67" t="str">
        <f>IFERROR(__xludf.DUMMYFUNCTION("""COMPUTED_VALUE"""),"IHSAN")</f>
        <v>IHSAN</v>
      </c>
      <c r="C226" s="67">
        <f>IFERROR(__xludf.DUMMYFUNCTION("""COMPUTED_VALUE"""),0.0)</f>
        <v>0</v>
      </c>
      <c r="D226" s="68"/>
      <c r="E226" s="67" t="str">
        <f>IFERROR(__xludf.DUMMYFUNCTION("""COMPUTED_VALUE"""),"CV. Adil Prima Perkasa")</f>
        <v>CV. Adil Prima Perkasa</v>
      </c>
      <c r="F226" s="67" t="str">
        <f>IFERROR(__xludf.DUMMYFUNCTION("""COMPUTED_VALUE"""),"DRIVER DT H500")</f>
        <v>DRIVER DT H500</v>
      </c>
      <c r="G226" s="67" t="str">
        <f>IFERROR(__xludf.DUMMYFUNCTION("""COMPUTED_VALUE"""),"KENDARAAN &amp; UNIT SUPPORT")</f>
        <v>KENDARAAN &amp; UNIT SUPPORT</v>
      </c>
      <c r="H226" s="67" t="str">
        <f>IFERROR(__xludf.DUMMYFUNCTION("""COMPUTED_VALUE"""),"[0102150004] NAFTALI RARE'A, ST")</f>
        <v>[0102150004] NAFTALI RARE'A, ST</v>
      </c>
      <c r="I226" s="69">
        <f>IFERROR(__xludf.DUMMYFUNCTION("""COMPUTED_VALUE"""),31270.0)</f>
        <v>31270</v>
      </c>
      <c r="J226" s="70" t="str">
        <f t="shared" si="1"/>
        <v>[209231839] IHSAN</v>
      </c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</row>
    <row r="227">
      <c r="A227" s="67">
        <f>IFERROR(__xludf.DUMMYFUNCTION("""COMPUTED_VALUE"""),2.08221665E8)</f>
        <v>208221665</v>
      </c>
      <c r="B227" s="67" t="str">
        <f>IFERROR(__xludf.DUMMYFUNCTION("""COMPUTED_VALUE"""),"IKBAL")</f>
        <v>IKBAL</v>
      </c>
      <c r="C227" s="67">
        <f>IFERROR(__xludf.DUMMYFUNCTION("""COMPUTED_VALUE"""),24.0)</f>
        <v>24</v>
      </c>
      <c r="D227" s="68" t="str">
        <f>IFERROR(__xludf.DUMMYFUNCTION("""COMPUTED_VALUE"""),"Islam")</f>
        <v>Islam</v>
      </c>
      <c r="E227" s="67" t="str">
        <f>IFERROR(__xludf.DUMMYFUNCTION("""COMPUTED_VALUE"""),"CV. Adil Prima Perkasa")</f>
        <v>CV. Adil Prima Perkasa</v>
      </c>
      <c r="F227" s="67" t="str">
        <f>IFERROR(__xludf.DUMMYFUNCTION("""COMPUTED_VALUE"""),"HELPER TYRE")</f>
        <v>HELPER TYRE</v>
      </c>
      <c r="G227" s="67" t="str">
        <f>IFERROR(__xludf.DUMMYFUNCTION("""COMPUTED_VALUE"""),"WORKSHOP")</f>
        <v>WORKSHOP</v>
      </c>
      <c r="H227" s="67" t="str">
        <f>IFERROR(__xludf.DUMMYFUNCTION("""COMPUTED_VALUE"""),"[0102120144] JUFRY KOMALING")</f>
        <v>[0102120144] JUFRY KOMALING</v>
      </c>
      <c r="I227" s="69"/>
      <c r="J227" s="70" t="str">
        <f t="shared" si="1"/>
        <v>[208221665] IKBAL</v>
      </c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</row>
    <row r="228">
      <c r="A228" s="67">
        <f>IFERROR(__xludf.DUMMYFUNCTION("""COMPUTED_VALUE"""),2.04241908E8)</f>
        <v>204241908</v>
      </c>
      <c r="B228" s="67" t="str">
        <f>IFERROR(__xludf.DUMMYFUNCTION("""COMPUTED_VALUE"""),"IKSAN RUAKAU")</f>
        <v>IKSAN RUAKAU</v>
      </c>
      <c r="C228" s="67">
        <f>IFERROR(__xludf.DUMMYFUNCTION("""COMPUTED_VALUE"""),19.0)</f>
        <v>19</v>
      </c>
      <c r="D228" s="68" t="str">
        <f>IFERROR(__xludf.DUMMYFUNCTION("""COMPUTED_VALUE"""),"Kristen Protestan")</f>
        <v>Kristen Protestan</v>
      </c>
      <c r="E228" s="67" t="str">
        <f>IFERROR(__xludf.DUMMYFUNCTION("""COMPUTED_VALUE"""),"CV. Adil Prima Perkasa")</f>
        <v>CV. Adil Prima Perkasa</v>
      </c>
      <c r="F228" s="67" t="str">
        <f>IFERROR(__xludf.DUMMYFUNCTION("""COMPUTED_VALUE"""),"HELPER ELECTRICIAN")</f>
        <v>HELPER ELECTRICIAN</v>
      </c>
      <c r="G228" s="67" t="str">
        <f>IFERROR(__xludf.DUMMYFUNCTION("""COMPUTED_VALUE"""),"WORKSHOP")</f>
        <v>WORKSHOP</v>
      </c>
      <c r="H228" s="67" t="str">
        <f>IFERROR(__xludf.DUMMYFUNCTION("""COMPUTED_VALUE"""),"[0106190928] NATAN KONDO")</f>
        <v>[0106190928] NATAN KONDO</v>
      </c>
      <c r="I228" s="69"/>
      <c r="J228" s="70" t="str">
        <f t="shared" si="1"/>
        <v>[204241908] IKSAN RUAKAU</v>
      </c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</row>
    <row r="229">
      <c r="A229" s="67">
        <f>IFERROR(__xludf.DUMMYFUNCTION("""COMPUTED_VALUE"""),2.05221631E8)</f>
        <v>205221631</v>
      </c>
      <c r="B229" s="67" t="str">
        <f>IFERROR(__xludf.DUMMYFUNCTION("""COMPUTED_VALUE"""),"ILHAM")</f>
        <v>ILHAM</v>
      </c>
      <c r="C229" s="67">
        <f>IFERROR(__xludf.DUMMYFUNCTION("""COMPUTED_VALUE"""),24.0)</f>
        <v>24</v>
      </c>
      <c r="D229" s="68" t="str">
        <f>IFERROR(__xludf.DUMMYFUNCTION("""COMPUTED_VALUE"""),"Islam")</f>
        <v>Islam</v>
      </c>
      <c r="E229" s="67" t="str">
        <f>IFERROR(__xludf.DUMMYFUNCTION("""COMPUTED_VALUE"""),"CV. Adil Prima Perkasa")</f>
        <v>CV. Adil Prima Perkasa</v>
      </c>
      <c r="F229" s="67" t="str">
        <f>IFERROR(__xludf.DUMMYFUNCTION("""COMPUTED_VALUE"""),"DRIVER DT H700ZY")</f>
        <v>DRIVER DT H700ZY</v>
      </c>
      <c r="G229" s="67" t="str">
        <f>IFERROR(__xludf.DUMMYFUNCTION("""COMPUTED_VALUE"""),"KENDARAAN &amp; UNIT SUPPORT")</f>
        <v>KENDARAAN &amp; UNIT SUPPORT</v>
      </c>
      <c r="H229" s="67" t="str">
        <f>IFERROR(__xludf.DUMMYFUNCTION("""COMPUTED_VALUE"""),"[0102150004] NAFTALI RARE'A, ST")</f>
        <v>[0102150004] NAFTALI RARE'A, ST</v>
      </c>
      <c r="I229" s="69"/>
      <c r="J229" s="70" t="str">
        <f t="shared" si="1"/>
        <v>[205221631] ILHAM</v>
      </c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</row>
    <row r="230">
      <c r="A230" s="67">
        <f>IFERROR(__xludf.DUMMYFUNCTION("""COMPUTED_VALUE"""),1.04150117E8)</f>
        <v>104150117</v>
      </c>
      <c r="B230" s="67" t="str">
        <f>IFERROR(__xludf.DUMMYFUNCTION("""COMPUTED_VALUE"""),"IMANUEL MONANGU")</f>
        <v>IMANUEL MONANGU</v>
      </c>
      <c r="C230" s="67">
        <f>IFERROR(__xludf.DUMMYFUNCTION("""COMPUTED_VALUE"""),34.0)</f>
        <v>34</v>
      </c>
      <c r="D230" s="68" t="str">
        <f>IFERROR(__xludf.DUMMYFUNCTION("""COMPUTED_VALUE"""),"Kristen Protestan")</f>
        <v>Kristen Protestan</v>
      </c>
      <c r="E230" s="67" t="str">
        <f>IFERROR(__xludf.DUMMYFUNCTION("""COMPUTED_VALUE"""),"CV. SENTOSA ABADI")</f>
        <v>CV. SENTOSA ABADI</v>
      </c>
      <c r="F230" s="67" t="str">
        <f>IFERROR(__xludf.DUMMYFUNCTION("""COMPUTED_VALUE"""),"WELDER")</f>
        <v>WELDER</v>
      </c>
      <c r="G230" s="67" t="str">
        <f>IFERROR(__xludf.DUMMYFUNCTION("""COMPUTED_VALUE"""),"WORKSHOP")</f>
        <v>WORKSHOP</v>
      </c>
      <c r="H230" s="67" t="str">
        <f>IFERROR(__xludf.DUMMYFUNCTION("""COMPUTED_VALUE"""),"[0106190928] NATAN KONDO")</f>
        <v>[0106190928] NATAN KONDO</v>
      </c>
      <c r="I230" s="69"/>
      <c r="J230" s="70" t="str">
        <f t="shared" si="1"/>
        <v>[104150117] IMANUEL MONANGU</v>
      </c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</row>
    <row r="231">
      <c r="A231" s="67">
        <f>IFERROR(__xludf.DUMMYFUNCTION("""COMPUTED_VALUE"""),2.02241882E8)</f>
        <v>202241882</v>
      </c>
      <c r="B231" s="67" t="str">
        <f>IFERROR(__xludf.DUMMYFUNCTION("""COMPUTED_VALUE"""),"IMER ABDI PUTRA TANDI LEMBANG")</f>
        <v>IMER ABDI PUTRA TANDI LEMBANG</v>
      </c>
      <c r="C231" s="67">
        <f>IFERROR(__xludf.DUMMYFUNCTION("""COMPUTED_VALUE"""),0.0)</f>
        <v>0</v>
      </c>
      <c r="D231" s="68"/>
      <c r="E231" s="67" t="str">
        <f>IFERROR(__xludf.DUMMYFUNCTION("""COMPUTED_VALUE"""),"CV. Adil Prima Perkasa")</f>
        <v>CV. Adil Prima Perkasa</v>
      </c>
      <c r="F231" s="67" t="str">
        <f>IFERROR(__xludf.DUMMYFUNCTION("""COMPUTED_VALUE"""),"HELPER MAINTENANCE")</f>
        <v>HELPER MAINTENANCE</v>
      </c>
      <c r="G231" s="67" t="str">
        <f>IFERROR(__xludf.DUMMYFUNCTION("""COMPUTED_VALUE"""),"WORKSHOP")</f>
        <v>WORKSHOP</v>
      </c>
      <c r="H231" s="67" t="str">
        <f>IFERROR(__xludf.DUMMYFUNCTION("""COMPUTED_VALUE"""),"[0106190928] NATAN KONDO")</f>
        <v>[0106190928] NATAN KONDO</v>
      </c>
      <c r="I231" s="69"/>
      <c r="J231" s="70" t="str">
        <f t="shared" si="1"/>
        <v>[202241882] IMER ABDI PUTRA TANDI LEMBANG</v>
      </c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</row>
    <row r="232">
      <c r="A232" s="67">
        <f>IFERROR(__xludf.DUMMYFUNCTION("""COMPUTED_VALUE"""),1.10211501E8)</f>
        <v>110211501</v>
      </c>
      <c r="B232" s="67" t="str">
        <f>IFERROR(__xludf.DUMMYFUNCTION("""COMPUTED_VALUE"""),"INANG MARWATI")</f>
        <v>INANG MARWATI</v>
      </c>
      <c r="C232" s="67">
        <f>IFERROR(__xludf.DUMMYFUNCTION("""COMPUTED_VALUE"""),27.0)</f>
        <v>27</v>
      </c>
      <c r="D232" s="68" t="str">
        <f>IFERROR(__xludf.DUMMYFUNCTION("""COMPUTED_VALUE"""),"Islam")</f>
        <v>Islam</v>
      </c>
      <c r="E232" s="67" t="str">
        <f>IFERROR(__xludf.DUMMYFUNCTION("""COMPUTED_VALUE"""),"CV. SENTOSA ABADI")</f>
        <v>CV. SENTOSA ABADI</v>
      </c>
      <c r="F232" s="67" t="str">
        <f>IFERROR(__xludf.DUMMYFUNCTION("""COMPUTED_VALUE"""),"STOCKER")</f>
        <v>STOCKER</v>
      </c>
      <c r="G232" s="67" t="str">
        <f>IFERROR(__xludf.DUMMYFUNCTION("""COMPUTED_VALUE"""),"HRD &amp; GA")</f>
        <v>HRD &amp; GA</v>
      </c>
      <c r="H232" s="67" t="str">
        <f>IFERROR(__xludf.DUMMYFUNCTION("""COMPUTED_VALUE"""),"[0103231738] MARYA SUSAN SIMBANGU")</f>
        <v>[0103231738] MARYA SUSAN SIMBANGU</v>
      </c>
      <c r="I232" s="69"/>
      <c r="J232" s="70" t="str">
        <f t="shared" si="1"/>
        <v>[110211501] INANG MARWATI</v>
      </c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</row>
    <row r="233">
      <c r="A233" s="67">
        <f>IFERROR(__xludf.DUMMYFUNCTION("""COMPUTED_VALUE"""),1.06160119E8)</f>
        <v>106160119</v>
      </c>
      <c r="B233" s="67" t="str">
        <f>IFERROR(__xludf.DUMMYFUNCTION("""COMPUTED_VALUE"""),"INDO DARMA PETUNA")</f>
        <v>INDO DARMA PETUNA</v>
      </c>
      <c r="C233" s="67">
        <f>IFERROR(__xludf.DUMMYFUNCTION("""COMPUTED_VALUE"""),37.0)</f>
        <v>37</v>
      </c>
      <c r="D233" s="68" t="str">
        <f>IFERROR(__xludf.DUMMYFUNCTION("""COMPUTED_VALUE"""),"Kristen Protestan")</f>
        <v>Kristen Protestan</v>
      </c>
      <c r="E233" s="67" t="str">
        <f>IFERROR(__xludf.DUMMYFUNCTION("""COMPUTED_VALUE"""),"CV. SENTOSA ABADI")</f>
        <v>CV. SENTOSA ABADI</v>
      </c>
      <c r="F233" s="67" t="str">
        <f>IFERROR(__xludf.DUMMYFUNCTION("""COMPUTED_VALUE"""),"OPERATOR LOADER")</f>
        <v>OPERATOR LOADER</v>
      </c>
      <c r="G233" s="67" t="str">
        <f>IFERROR(__xludf.DUMMYFUNCTION("""COMPUTED_VALUE"""),"PRODUKSI")</f>
        <v>PRODUKSI</v>
      </c>
      <c r="H233" s="67" t="str">
        <f>IFERROR(__xludf.DUMMYFUNCTION("""COMPUTED_VALUE"""),"[0102130003] PURNAWAN")</f>
        <v>[0102130003] PURNAWAN</v>
      </c>
      <c r="I233" s="69"/>
      <c r="J233" s="70" t="str">
        <f t="shared" si="1"/>
        <v>[106160119] INDO DARMA PETUNA</v>
      </c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</row>
    <row r="234">
      <c r="A234" s="67">
        <f>IFERROR(__xludf.DUMMYFUNCTION("""COMPUTED_VALUE"""),2.09191093E8)</f>
        <v>209191093</v>
      </c>
      <c r="B234" s="67" t="str">
        <f>IFERROR(__xludf.DUMMYFUNCTION("""COMPUTED_VALUE"""),"IQBAR")</f>
        <v>IQBAR</v>
      </c>
      <c r="C234" s="67">
        <f>IFERROR(__xludf.DUMMYFUNCTION("""COMPUTED_VALUE"""),49.0)</f>
        <v>49</v>
      </c>
      <c r="D234" s="68" t="str">
        <f>IFERROR(__xludf.DUMMYFUNCTION("""COMPUTED_VALUE"""),"Islam")</f>
        <v>Islam</v>
      </c>
      <c r="E234" s="67" t="str">
        <f>IFERROR(__xludf.DUMMYFUNCTION("""COMPUTED_VALUE"""),"CV. Adil Prima Perkasa")</f>
        <v>CV. Adil Prima Perkasa</v>
      </c>
      <c r="F234" s="67" t="str">
        <f>IFERROR(__xludf.DUMMYFUNCTION("""COMPUTED_VALUE"""),"OPERATOR ADT")</f>
        <v>OPERATOR ADT</v>
      </c>
      <c r="G234" s="67" t="str">
        <f>IFERROR(__xludf.DUMMYFUNCTION("""COMPUTED_VALUE"""),"PRODUKSI")</f>
        <v>PRODUKSI</v>
      </c>
      <c r="H234" s="67" t="str">
        <f>IFERROR(__xludf.DUMMYFUNCTION("""COMPUTED_VALUE"""),"[0102130003] PURNAWAN")</f>
        <v>[0102130003] PURNAWAN</v>
      </c>
      <c r="I234" s="69"/>
      <c r="J234" s="70" t="str">
        <f t="shared" si="1"/>
        <v>[209191093] IQBAR</v>
      </c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</row>
    <row r="235">
      <c r="A235" s="67">
        <f>IFERROR(__xludf.DUMMYFUNCTION("""COMPUTED_VALUE"""),2.06231788E8)</f>
        <v>206231788</v>
      </c>
      <c r="B235" s="67" t="str">
        <f>IFERROR(__xludf.DUMMYFUNCTION("""COMPUTED_VALUE"""),"IRFAN")</f>
        <v>IRFAN</v>
      </c>
      <c r="C235" s="67">
        <f>IFERROR(__xludf.DUMMYFUNCTION("""COMPUTED_VALUE"""),27.0)</f>
        <v>27</v>
      </c>
      <c r="D235" s="68" t="str">
        <f>IFERROR(__xludf.DUMMYFUNCTION("""COMPUTED_VALUE"""),"Islam")</f>
        <v>Islam</v>
      </c>
      <c r="E235" s="67" t="str">
        <f>IFERROR(__xludf.DUMMYFUNCTION("""COMPUTED_VALUE"""),"CV. Adil Prima Perkasa")</f>
        <v>CV. Adil Prima Perkasa</v>
      </c>
      <c r="F235" s="67" t="str">
        <f>IFERROR(__xludf.DUMMYFUNCTION("""COMPUTED_VALUE"""),"ADMIN KENDARAAN")</f>
        <v>ADMIN KENDARAAN</v>
      </c>
      <c r="G235" s="67" t="str">
        <f>IFERROR(__xludf.DUMMYFUNCTION("""COMPUTED_VALUE"""),"KENDARAAN &amp; UNIT SUPPORT")</f>
        <v>KENDARAAN &amp; UNIT SUPPORT</v>
      </c>
      <c r="H235" s="67" t="str">
        <f>IFERROR(__xludf.DUMMYFUNCTION("""COMPUTED_VALUE"""),"[0102150004] NAFTALI RARE'A, ST")</f>
        <v>[0102150004] NAFTALI RARE'A, ST</v>
      </c>
      <c r="I235" s="69"/>
      <c r="J235" s="70" t="str">
        <f t="shared" si="1"/>
        <v>[206231788] IRFAN</v>
      </c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</row>
    <row r="236">
      <c r="A236" s="67">
        <f>IFERROR(__xludf.DUMMYFUNCTION("""COMPUTED_VALUE"""),3.06210075E8)</f>
        <v>306210075</v>
      </c>
      <c r="B236" s="67" t="str">
        <f>IFERROR(__xludf.DUMMYFUNCTION("""COMPUTED_VALUE"""),"IRFIAN LIANSYAH")</f>
        <v>IRFIAN LIANSYAH</v>
      </c>
      <c r="C236" s="67">
        <f>IFERROR(__xludf.DUMMYFUNCTION("""COMPUTED_VALUE"""),21.0)</f>
        <v>21</v>
      </c>
      <c r="D236" s="68" t="str">
        <f>IFERROR(__xludf.DUMMYFUNCTION("""COMPUTED_VALUE"""),"Islam")</f>
        <v>Islam</v>
      </c>
      <c r="E236" s="67" t="str">
        <f>IFERROR(__xludf.DUMMYFUNCTION("""COMPUTED_VALUE"""),"CV. Monalisa")</f>
        <v>CV. Monalisa</v>
      </c>
      <c r="F236" s="67" t="str">
        <f>IFERROR(__xludf.DUMMYFUNCTION("""COMPUTED_VALUE"""),"CREW SURVEY")</f>
        <v>CREW SURVEY</v>
      </c>
      <c r="G236" s="67" t="str">
        <f>IFERROR(__xludf.DUMMYFUNCTION("""COMPUTED_VALUE"""),"MPE")</f>
        <v>MPE</v>
      </c>
      <c r="H236" s="67" t="str">
        <f>IFERROR(__xludf.DUMMYFUNCTION("""COMPUTED_VALUE"""),"[0102150008] ERWIN SAPA")</f>
        <v>[0102150008] ERWIN SAPA</v>
      </c>
      <c r="I236" s="69"/>
      <c r="J236" s="70" t="str">
        <f t="shared" si="1"/>
        <v>[306210075] IRFIAN LIANSYAH</v>
      </c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</row>
    <row r="237">
      <c r="A237" s="67">
        <f>IFERROR(__xludf.DUMMYFUNCTION("""COMPUTED_VALUE"""),2.11211539E8)</f>
        <v>211211539</v>
      </c>
      <c r="B237" s="67" t="str">
        <f>IFERROR(__xludf.DUMMYFUNCTION("""COMPUTED_VALUE"""),"IRRA APRILIA CITRA")</f>
        <v>IRRA APRILIA CITRA</v>
      </c>
      <c r="C237" s="67">
        <f>IFERROR(__xludf.DUMMYFUNCTION("""COMPUTED_VALUE"""),26.0)</f>
        <v>26</v>
      </c>
      <c r="D237" s="68" t="str">
        <f>IFERROR(__xludf.DUMMYFUNCTION("""COMPUTED_VALUE"""),"Islam")</f>
        <v>Islam</v>
      </c>
      <c r="E237" s="67" t="str">
        <f>IFERROR(__xludf.DUMMYFUNCTION("""COMPUTED_VALUE"""),"CV. Adil Prima Perkasa")</f>
        <v>CV. Adil Prima Perkasa</v>
      </c>
      <c r="F237" s="67" t="str">
        <f>IFERROR(__xludf.DUMMYFUNCTION("""COMPUTED_VALUE"""),"ASISTEN MPE")</f>
        <v>ASISTEN MPE</v>
      </c>
      <c r="G237" s="67" t="str">
        <f>IFERROR(__xludf.DUMMYFUNCTION("""COMPUTED_VALUE"""),"MPE")</f>
        <v>MPE</v>
      </c>
      <c r="H237" s="67" t="str">
        <f>IFERROR(__xludf.DUMMYFUNCTION("""COMPUTED_VALUE"""),"[0102150007] EKY SIDIK PRATAMA, ST")</f>
        <v>[0102150007] EKY SIDIK PRATAMA, ST</v>
      </c>
      <c r="I237" s="69"/>
      <c r="J237" s="70" t="str">
        <f t="shared" si="1"/>
        <v>[211211539] IRRA APRILIA CITRA</v>
      </c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</row>
    <row r="238">
      <c r="A238" s="67">
        <f>IFERROR(__xludf.DUMMYFUNCTION("""COMPUTED_VALUE"""),1.04211375E8)</f>
        <v>104211375</v>
      </c>
      <c r="B238" s="67" t="str">
        <f>IFERROR(__xludf.DUMMYFUNCTION("""COMPUTED_VALUE"""),"IRWAN")</f>
        <v>IRWAN</v>
      </c>
      <c r="C238" s="67">
        <f>IFERROR(__xludf.DUMMYFUNCTION("""COMPUTED_VALUE"""),37.0)</f>
        <v>37</v>
      </c>
      <c r="D238" s="68" t="str">
        <f>IFERROR(__xludf.DUMMYFUNCTION("""COMPUTED_VALUE"""),"Islam")</f>
        <v>Islam</v>
      </c>
      <c r="E238" s="67" t="str">
        <f>IFERROR(__xludf.DUMMYFUNCTION("""COMPUTED_VALUE"""),"CV. SENTOSA ABADI")</f>
        <v>CV. SENTOSA ABADI</v>
      </c>
      <c r="F238" s="67" t="str">
        <f>IFERROR(__xludf.DUMMYFUNCTION("""COMPUTED_VALUE"""),"OPERATOR EXCAVATOR")</f>
        <v>OPERATOR EXCAVATOR</v>
      </c>
      <c r="G238" s="67" t="str">
        <f>IFERROR(__xludf.DUMMYFUNCTION("""COMPUTED_VALUE"""),"PRODUKSI")</f>
        <v>PRODUKSI</v>
      </c>
      <c r="H238" s="67" t="str">
        <f>IFERROR(__xludf.DUMMYFUNCTION("""COMPUTED_VALUE"""),"[0102130003] PURNAWAN")</f>
        <v>[0102130003] PURNAWAN</v>
      </c>
      <c r="I238" s="69">
        <f>IFERROR(__xludf.DUMMYFUNCTION("""COMPUTED_VALUE"""),33156.0)</f>
        <v>33156</v>
      </c>
      <c r="J238" s="70" t="str">
        <f t="shared" si="1"/>
        <v>[104211375] IRWAN</v>
      </c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</row>
    <row r="239">
      <c r="A239" s="67">
        <f>IFERROR(__xludf.DUMMYFUNCTION("""COMPUTED_VALUE"""),1.12231867E8)</f>
        <v>112231867</v>
      </c>
      <c r="B239" s="67" t="str">
        <f>IFERROR(__xludf.DUMMYFUNCTION("""COMPUTED_VALUE"""),"IRYANTO SARES DAKURI")</f>
        <v>IRYANTO SARES DAKURI</v>
      </c>
      <c r="C239" s="67">
        <f>IFERROR(__xludf.DUMMYFUNCTION("""COMPUTED_VALUE"""),0.0)</f>
        <v>0</v>
      </c>
      <c r="D239" s="68"/>
      <c r="E239" s="67" t="str">
        <f>IFERROR(__xludf.DUMMYFUNCTION("""COMPUTED_VALUE"""),"CV. SENTOSA ABADI")</f>
        <v>CV. SENTOSA ABADI</v>
      </c>
      <c r="F239" s="67" t="str">
        <f>IFERROR(__xludf.DUMMYFUNCTION("""COMPUTED_VALUE"""),"ADMIN LOGISTIC")</f>
        <v>ADMIN LOGISTIC</v>
      </c>
      <c r="G239" s="67" t="str">
        <f>IFERROR(__xludf.DUMMYFUNCTION("""COMPUTED_VALUE"""),"LOGISTIC")</f>
        <v>LOGISTIC</v>
      </c>
      <c r="H239" s="67" t="str">
        <f>IFERROR(__xludf.DUMMYFUNCTION("""COMPUTED_VALUE"""),"[0109170014] JENES R. MANOPPO")</f>
        <v>[0109170014] JENES R. MANOPPO</v>
      </c>
      <c r="I239" s="69"/>
      <c r="J239" s="70" t="str">
        <f t="shared" si="1"/>
        <v>[112231867] IRYANTO SARES DAKURI</v>
      </c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</row>
    <row r="240">
      <c r="A240" s="67">
        <f>IFERROR(__xludf.DUMMYFUNCTION("""COMPUTED_VALUE"""),1.12231861E8)</f>
        <v>112231861</v>
      </c>
      <c r="B240" s="67" t="str">
        <f>IFERROR(__xludf.DUMMYFUNCTION("""COMPUTED_VALUE"""),"ISKANDAR")</f>
        <v>ISKANDAR</v>
      </c>
      <c r="C240" s="67">
        <f>IFERROR(__xludf.DUMMYFUNCTION("""COMPUTED_VALUE"""),0.0)</f>
        <v>0</v>
      </c>
      <c r="D240" s="68"/>
      <c r="E240" s="67" t="str">
        <f>IFERROR(__xludf.DUMMYFUNCTION("""COMPUTED_VALUE"""),"CV. SENTOSA ABADI")</f>
        <v>CV. SENTOSA ABADI</v>
      </c>
      <c r="F240" s="67" t="str">
        <f>IFERROR(__xludf.DUMMYFUNCTION("""COMPUTED_VALUE"""),"DRIVER DT H500")</f>
        <v>DRIVER DT H500</v>
      </c>
      <c r="G240" s="67" t="str">
        <f>IFERROR(__xludf.DUMMYFUNCTION("""COMPUTED_VALUE"""),"KENDARAAN &amp; UNIT SUPPORT")</f>
        <v>KENDARAAN &amp; UNIT SUPPORT</v>
      </c>
      <c r="H240" s="67" t="str">
        <f>IFERROR(__xludf.DUMMYFUNCTION("""COMPUTED_VALUE"""),"[0102150004] NAFTALI RARE'A, ST")</f>
        <v>[0102150004] NAFTALI RARE'A, ST</v>
      </c>
      <c r="I240" s="69"/>
      <c r="J240" s="70" t="str">
        <f t="shared" si="1"/>
        <v>[112231861] ISKANDAR</v>
      </c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</row>
    <row r="241">
      <c r="A241" s="67">
        <f>IFERROR(__xludf.DUMMYFUNCTION("""COMPUTED_VALUE"""),2.12221713E8)</f>
        <v>212221713</v>
      </c>
      <c r="B241" s="67" t="str">
        <f>IFERROR(__xludf.DUMMYFUNCTION("""COMPUTED_VALUE"""),"ISKARI")</f>
        <v>ISKARI</v>
      </c>
      <c r="C241" s="67">
        <f>IFERROR(__xludf.DUMMYFUNCTION("""COMPUTED_VALUE"""),35.0)</f>
        <v>35</v>
      </c>
      <c r="D241" s="68" t="str">
        <f>IFERROR(__xludf.DUMMYFUNCTION("""COMPUTED_VALUE"""),"Islam")</f>
        <v>Islam</v>
      </c>
      <c r="E241" s="67" t="str">
        <f>IFERROR(__xludf.DUMMYFUNCTION("""COMPUTED_VALUE"""),"CV. Adil Prima Perkasa")</f>
        <v>CV. Adil Prima Perkasa</v>
      </c>
      <c r="F241" s="67" t="str">
        <f>IFERROR(__xludf.DUMMYFUNCTION("""COMPUTED_VALUE"""),"DRIVER DT H700ZS")</f>
        <v>DRIVER DT H700ZS</v>
      </c>
      <c r="G241" s="67" t="str">
        <f>IFERROR(__xludf.DUMMYFUNCTION("""COMPUTED_VALUE"""),"KENDARAAN &amp; UNIT SUPPORT")</f>
        <v>KENDARAAN &amp; UNIT SUPPORT</v>
      </c>
      <c r="H241" s="67" t="str">
        <f>IFERROR(__xludf.DUMMYFUNCTION("""COMPUTED_VALUE"""),"[0102150004] NAFTALI RARE'A, ST")</f>
        <v>[0102150004] NAFTALI RARE'A, ST</v>
      </c>
      <c r="I241" s="69">
        <f>IFERROR(__xludf.DUMMYFUNCTION("""COMPUTED_VALUE"""),34499.0)</f>
        <v>34499</v>
      </c>
      <c r="J241" s="70" t="str">
        <f t="shared" si="1"/>
        <v>[212221713] ISKARI</v>
      </c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</row>
    <row r="242">
      <c r="A242" s="67">
        <f>IFERROR(__xludf.DUMMYFUNCTION("""COMPUTED_VALUE"""),2.10221691E8)</f>
        <v>210221691</v>
      </c>
      <c r="B242" s="67" t="str">
        <f>IFERROR(__xludf.DUMMYFUNCTION("""COMPUTED_VALUE"""),"ISMAIL")</f>
        <v>ISMAIL</v>
      </c>
      <c r="C242" s="67">
        <f>IFERROR(__xludf.DUMMYFUNCTION("""COMPUTED_VALUE"""),20.0)</f>
        <v>20</v>
      </c>
      <c r="D242" s="68" t="str">
        <f>IFERROR(__xludf.DUMMYFUNCTION("""COMPUTED_VALUE"""),"Islam")</f>
        <v>Islam</v>
      </c>
      <c r="E242" s="67" t="str">
        <f>IFERROR(__xludf.DUMMYFUNCTION("""COMPUTED_VALUE"""),"CV. Adil Prima Perkasa")</f>
        <v>CV. Adil Prima Perkasa</v>
      </c>
      <c r="F242" s="67" t="str">
        <f>IFERROR(__xludf.DUMMYFUNCTION("""COMPUTED_VALUE"""),"HELPER TYRE")</f>
        <v>HELPER TYRE</v>
      </c>
      <c r="G242" s="67" t="str">
        <f>IFERROR(__xludf.DUMMYFUNCTION("""COMPUTED_VALUE"""),"WORKSHOP")</f>
        <v>WORKSHOP</v>
      </c>
      <c r="H242" s="67" t="str">
        <f>IFERROR(__xludf.DUMMYFUNCTION("""COMPUTED_VALUE"""),"FALSE")</f>
        <v>FALSE</v>
      </c>
      <c r="I242" s="69"/>
      <c r="J242" s="70" t="str">
        <f t="shared" si="1"/>
        <v>[210221691] ISMAIL</v>
      </c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</row>
    <row r="243">
      <c r="A243" s="67">
        <f>IFERROR(__xludf.DUMMYFUNCTION("""COMPUTED_VALUE"""),2.0821147E8)</f>
        <v>208211470</v>
      </c>
      <c r="B243" s="67" t="str">
        <f>IFERROR(__xludf.DUMMYFUNCTION("""COMPUTED_VALUE"""),"ISMAIL")</f>
        <v>ISMAIL</v>
      </c>
      <c r="C243" s="67">
        <f>IFERROR(__xludf.DUMMYFUNCTION("""COMPUTED_VALUE"""),52.0)</f>
        <v>52</v>
      </c>
      <c r="D243" s="68" t="str">
        <f>IFERROR(__xludf.DUMMYFUNCTION("""COMPUTED_VALUE"""),"Islam")</f>
        <v>Islam</v>
      </c>
      <c r="E243" s="67" t="str">
        <f>IFERROR(__xludf.DUMMYFUNCTION("""COMPUTED_VALUE"""),"CV. Adil Prima Perkasa")</f>
        <v>CV. Adil Prima Perkasa</v>
      </c>
      <c r="F243" s="67" t="str">
        <f>IFERROR(__xludf.DUMMYFUNCTION("""COMPUTED_VALUE"""),"OPERATOR GRADER")</f>
        <v>OPERATOR GRADER</v>
      </c>
      <c r="G243" s="67" t="str">
        <f>IFERROR(__xludf.DUMMYFUNCTION("""COMPUTED_VALUE"""),"PRODUKSI")</f>
        <v>PRODUKSI</v>
      </c>
      <c r="H243" s="67" t="str">
        <f>IFERROR(__xludf.DUMMYFUNCTION("""COMPUTED_VALUE"""),"[0102130003] PURNAWAN")</f>
        <v>[0102130003] PURNAWAN</v>
      </c>
      <c r="I243" s="69">
        <f>IFERROR(__xludf.DUMMYFUNCTION("""COMPUTED_VALUE"""),23454.0)</f>
        <v>23454</v>
      </c>
      <c r="J243" s="70" t="str">
        <f t="shared" si="1"/>
        <v>[208211470] ISMAIL</v>
      </c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</row>
    <row r="244">
      <c r="A244" s="67">
        <f>IFERROR(__xludf.DUMMYFUNCTION("""COMPUTED_VALUE"""),1.08191041E8)</f>
        <v>108191041</v>
      </c>
      <c r="B244" s="67" t="str">
        <f>IFERROR(__xludf.DUMMYFUNCTION("""COMPUTED_VALUE"""),"ISMAIL")</f>
        <v>ISMAIL</v>
      </c>
      <c r="C244" s="67">
        <f>IFERROR(__xludf.DUMMYFUNCTION("""COMPUTED_VALUE"""),37.0)</f>
        <v>37</v>
      </c>
      <c r="D244" s="68" t="str">
        <f>IFERROR(__xludf.DUMMYFUNCTION("""COMPUTED_VALUE"""),"Islam")</f>
        <v>Islam</v>
      </c>
      <c r="E244" s="67" t="str">
        <f>IFERROR(__xludf.DUMMYFUNCTION("""COMPUTED_VALUE"""),"CV. SENTOSA ABADI")</f>
        <v>CV. SENTOSA ABADI</v>
      </c>
      <c r="F244" s="67" t="str">
        <f>IFERROR(__xludf.DUMMYFUNCTION("""COMPUTED_VALUE"""),"DRIVER DT H700ZY")</f>
        <v>DRIVER DT H700ZY</v>
      </c>
      <c r="G244" s="67" t="str">
        <f>IFERROR(__xludf.DUMMYFUNCTION("""COMPUTED_VALUE"""),"KENDARAAN &amp; UNIT SUPPORT")</f>
        <v>KENDARAAN &amp; UNIT SUPPORT</v>
      </c>
      <c r="H244" s="67" t="str">
        <f>IFERROR(__xludf.DUMMYFUNCTION("""COMPUTED_VALUE"""),"[0102150004] NAFTALI RARE'A, ST")</f>
        <v>[0102150004] NAFTALI RARE'A, ST</v>
      </c>
      <c r="I244" s="69">
        <f>IFERROR(__xludf.DUMMYFUNCTION("""COMPUTED_VALUE"""),36015.0)</f>
        <v>36015</v>
      </c>
      <c r="J244" s="70" t="str">
        <f t="shared" si="1"/>
        <v>[108191041] ISMAIL</v>
      </c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</row>
    <row r="245">
      <c r="A245" s="67">
        <f>IFERROR(__xludf.DUMMYFUNCTION("""COMPUTED_VALUE"""),1.07201166E8)</f>
        <v>107201166</v>
      </c>
      <c r="B245" s="67" t="str">
        <f>IFERROR(__xludf.DUMMYFUNCTION("""COMPUTED_VALUE"""),"ISMAN.M")</f>
        <v>ISMAN.M</v>
      </c>
      <c r="C245" s="67">
        <f>IFERROR(__xludf.DUMMYFUNCTION("""COMPUTED_VALUE"""),41.0)</f>
        <v>41</v>
      </c>
      <c r="D245" s="68" t="str">
        <f>IFERROR(__xludf.DUMMYFUNCTION("""COMPUTED_VALUE"""),"Islam")</f>
        <v>Islam</v>
      </c>
      <c r="E245" s="67" t="str">
        <f>IFERROR(__xludf.DUMMYFUNCTION("""COMPUTED_VALUE"""),"CV. SENTOSA ABADI")</f>
        <v>CV. SENTOSA ABADI</v>
      </c>
      <c r="F245" s="67" t="str">
        <f>IFERROR(__xludf.DUMMYFUNCTION("""COMPUTED_VALUE"""),"FOREMAN GRADE CONTROL")</f>
        <v>FOREMAN GRADE CONTROL</v>
      </c>
      <c r="G245" s="67" t="str">
        <f>IFERROR(__xludf.DUMMYFUNCTION("""COMPUTED_VALUE"""),"GRADE CONTROL")</f>
        <v>GRADE CONTROL</v>
      </c>
      <c r="H245" s="67" t="str">
        <f>IFERROR(__xludf.DUMMYFUNCTION("""COMPUTED_VALUE"""),"[0107201164] A.CHRISTI ARI WIBOWO")</f>
        <v>[0107201164] A.CHRISTI ARI WIBOWO</v>
      </c>
      <c r="I245" s="69">
        <f>IFERROR(__xludf.DUMMYFUNCTION("""COMPUTED_VALUE"""),32453.0)</f>
        <v>32453</v>
      </c>
      <c r="J245" s="70" t="str">
        <f t="shared" si="1"/>
        <v>[107201166] ISMAN.M</v>
      </c>
      <c r="K245" s="67"/>
      <c r="L245" s="67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</row>
    <row r="246">
      <c r="A246" s="67">
        <f>IFERROR(__xludf.DUMMYFUNCTION("""COMPUTED_VALUE"""),1.08201211E8)</f>
        <v>108201211</v>
      </c>
      <c r="B246" s="67" t="str">
        <f>IFERROR(__xludf.DUMMYFUNCTION("""COMPUTED_VALUE"""),"ISRUN AKANGKUNG")</f>
        <v>ISRUN AKANGKUNG</v>
      </c>
      <c r="C246" s="67">
        <f>IFERROR(__xludf.DUMMYFUNCTION("""COMPUTED_VALUE"""),59.0)</f>
        <v>59</v>
      </c>
      <c r="D246" s="68" t="str">
        <f>IFERROR(__xludf.DUMMYFUNCTION("""COMPUTED_VALUE"""),"Islam")</f>
        <v>Islam</v>
      </c>
      <c r="E246" s="67" t="str">
        <f>IFERROR(__xludf.DUMMYFUNCTION("""COMPUTED_VALUE"""),"CV. SENTOSA ABADI")</f>
        <v>CV. SENTOSA ABADI</v>
      </c>
      <c r="F246" s="67" t="str">
        <f>IFERROR(__xludf.DUMMYFUNCTION("""COMPUTED_VALUE"""),"DRIVER DT H700ZY")</f>
        <v>DRIVER DT H700ZY</v>
      </c>
      <c r="G246" s="67" t="str">
        <f>IFERROR(__xludf.DUMMYFUNCTION("""COMPUTED_VALUE"""),"KENDARAAN &amp; UNIT SUPPORT")</f>
        <v>KENDARAAN &amp; UNIT SUPPORT</v>
      </c>
      <c r="H246" s="67" t="str">
        <f>IFERROR(__xludf.DUMMYFUNCTION("""COMPUTED_VALUE"""),"[0102150004] NAFTALI RARE'A, ST")</f>
        <v>[0102150004] NAFTALI RARE'A, ST</v>
      </c>
      <c r="I246" s="69"/>
      <c r="J246" s="70" t="str">
        <f t="shared" si="1"/>
        <v>[108201211] ISRUN AKANGKUNG</v>
      </c>
      <c r="K246" s="67"/>
      <c r="L246" s="67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</row>
    <row r="247">
      <c r="A247" s="67">
        <f>IFERROR(__xludf.DUMMYFUNCTION("""COMPUTED_VALUE"""),2.08231825E8)</f>
        <v>208231825</v>
      </c>
      <c r="B247" s="67" t="str">
        <f>IFERROR(__xludf.DUMMYFUNCTION("""COMPUTED_VALUE"""),"ISWANDI")</f>
        <v>ISWANDI</v>
      </c>
      <c r="C247" s="67">
        <f>IFERROR(__xludf.DUMMYFUNCTION("""COMPUTED_VALUE"""),29.0)</f>
        <v>29</v>
      </c>
      <c r="D247" s="68" t="str">
        <f>IFERROR(__xludf.DUMMYFUNCTION("""COMPUTED_VALUE"""),"Islam")</f>
        <v>Islam</v>
      </c>
      <c r="E247" s="67" t="str">
        <f>IFERROR(__xludf.DUMMYFUNCTION("""COMPUTED_VALUE"""),"CV. Adil Prima Perkasa")</f>
        <v>CV. Adil Prima Perkasa</v>
      </c>
      <c r="F247" s="67" t="str">
        <f>IFERROR(__xludf.DUMMYFUNCTION("""COMPUTED_VALUE"""),"HELPER MECHANIC DT OTR")</f>
        <v>HELPER MECHANIC DT OTR</v>
      </c>
      <c r="G247" s="67" t="str">
        <f>IFERROR(__xludf.DUMMYFUNCTION("""COMPUTED_VALUE"""),"WORKSHOP")</f>
        <v>WORKSHOP</v>
      </c>
      <c r="H247" s="67" t="str">
        <f>IFERROR(__xludf.DUMMYFUNCTION("""COMPUTED_VALUE"""),"[0106190928] NATAN KONDO")</f>
        <v>[0106190928] NATAN KONDO</v>
      </c>
      <c r="I247" s="69"/>
      <c r="J247" s="70" t="str">
        <f t="shared" si="1"/>
        <v>[208231825] ISWANDI</v>
      </c>
      <c r="K247" s="67"/>
      <c r="L247" s="67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</row>
    <row r="248">
      <c r="A248" s="67">
        <f>IFERROR(__xludf.DUMMYFUNCTION("""COMPUTED_VALUE"""),2.02211343E8)</f>
        <v>202211343</v>
      </c>
      <c r="B248" s="67" t="str">
        <f>IFERROR(__xludf.DUMMYFUNCTION("""COMPUTED_VALUE"""),"JABAL")</f>
        <v>JABAL</v>
      </c>
      <c r="C248" s="67">
        <f>IFERROR(__xludf.DUMMYFUNCTION("""COMPUTED_VALUE"""),22.0)</f>
        <v>22</v>
      </c>
      <c r="D248" s="68" t="str">
        <f>IFERROR(__xludf.DUMMYFUNCTION("""COMPUTED_VALUE"""),"Islam")</f>
        <v>Islam</v>
      </c>
      <c r="E248" s="67" t="str">
        <f>IFERROR(__xludf.DUMMYFUNCTION("""COMPUTED_VALUE"""),"CV. Adil Prima Perkasa")</f>
        <v>CV. Adil Prima Perkasa</v>
      </c>
      <c r="F248" s="67" t="str">
        <f>IFERROR(__xludf.DUMMYFUNCTION("""COMPUTED_VALUE"""),"CHECKER KENDARAAN")</f>
        <v>CHECKER KENDARAAN</v>
      </c>
      <c r="G248" s="67" t="str">
        <f>IFERROR(__xludf.DUMMYFUNCTION("""COMPUTED_VALUE"""),"KENDARAAN &amp; UNIT SUPPORT")</f>
        <v>KENDARAAN &amp; UNIT SUPPORT</v>
      </c>
      <c r="H248" s="67" t="str">
        <f>IFERROR(__xludf.DUMMYFUNCTION("""COMPUTED_VALUE"""),"[0102150004] NAFTALI RARE'A, ST")</f>
        <v>[0102150004] NAFTALI RARE'A, ST</v>
      </c>
      <c r="I248" s="69"/>
      <c r="J248" s="70" t="str">
        <f t="shared" si="1"/>
        <v>[202211343] JABAL</v>
      </c>
      <c r="K248" s="67"/>
      <c r="L248" s="67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</row>
    <row r="249">
      <c r="A249" s="67"/>
      <c r="B249" s="67" t="str">
        <f>IFERROR(__xludf.DUMMYFUNCTION("""COMPUTED_VALUE"""),"JABL")</f>
        <v>JABL</v>
      </c>
      <c r="C249" s="67">
        <f>IFERROR(__xludf.DUMMYFUNCTION("""COMPUTED_VALUE"""),0.0)</f>
        <v>0</v>
      </c>
      <c r="D249" s="68"/>
      <c r="E249" s="67" t="str">
        <f>IFERROR(__xludf.DUMMYFUNCTION("""COMPUTED_VALUE"""),"CV. Adil Prima Perkasa")</f>
        <v>CV. Adil Prima Perkasa</v>
      </c>
      <c r="F249" s="67" t="str">
        <f>IFERROR(__xludf.DUMMYFUNCTION("""COMPUTED_VALUE"""),"FALSE")</f>
        <v>FALSE</v>
      </c>
      <c r="G249" s="67" t="str">
        <f>IFERROR(__xludf.DUMMYFUNCTION("""COMPUTED_VALUE"""),"FALSE")</f>
        <v>FALSE</v>
      </c>
      <c r="H249" s="67" t="str">
        <f>IFERROR(__xludf.DUMMYFUNCTION("""COMPUTED_VALUE"""),"FALSE")</f>
        <v>FALSE</v>
      </c>
      <c r="I249" s="69"/>
      <c r="J249" s="70" t="str">
        <f t="shared" si="1"/>
        <v>[] JABL</v>
      </c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</row>
    <row r="250">
      <c r="A250" s="67">
        <f>IFERROR(__xludf.DUMMYFUNCTION("""COMPUTED_VALUE"""),1.1223186E8)</f>
        <v>112231860</v>
      </c>
      <c r="B250" s="67" t="str">
        <f>IFERROR(__xludf.DUMMYFUNCTION("""COMPUTED_VALUE"""),"JAIN RAMDIANTO LUMOTO")</f>
        <v>JAIN RAMDIANTO LUMOTO</v>
      </c>
      <c r="C250" s="67">
        <f>IFERROR(__xludf.DUMMYFUNCTION("""COMPUTED_VALUE"""),0.0)</f>
        <v>0</v>
      </c>
      <c r="D250" s="68"/>
      <c r="E250" s="67" t="str">
        <f>IFERROR(__xludf.DUMMYFUNCTION("""COMPUTED_VALUE"""),"CV. SENTOSA ABADI")</f>
        <v>CV. SENTOSA ABADI</v>
      </c>
      <c r="F250" s="67" t="str">
        <f>IFERROR(__xludf.DUMMYFUNCTION("""COMPUTED_VALUE"""),"DRIVER DT H500")</f>
        <v>DRIVER DT H500</v>
      </c>
      <c r="G250" s="67" t="str">
        <f>IFERROR(__xludf.DUMMYFUNCTION("""COMPUTED_VALUE"""),"KENDARAAN &amp; UNIT SUPPORT")</f>
        <v>KENDARAAN &amp; UNIT SUPPORT</v>
      </c>
      <c r="H250" s="67" t="str">
        <f>IFERROR(__xludf.DUMMYFUNCTION("""COMPUTED_VALUE"""),"[0102150004] NAFTALI RARE'A, ST")</f>
        <v>[0102150004] NAFTALI RARE'A, ST</v>
      </c>
      <c r="I250" s="69"/>
      <c r="J250" s="70" t="str">
        <f t="shared" si="1"/>
        <v>[112231860] JAIN RAMDIANTO LUMOTO</v>
      </c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</row>
    <row r="251">
      <c r="A251" s="67">
        <f>IFERROR(__xludf.DUMMYFUNCTION("""COMPUTED_VALUE"""),3.09220106E8)</f>
        <v>309220106</v>
      </c>
      <c r="B251" s="67" t="str">
        <f>IFERROR(__xludf.DUMMYFUNCTION("""COMPUTED_VALUE"""),"JAINAL TURUSI")</f>
        <v>JAINAL TURUSI</v>
      </c>
      <c r="C251" s="67">
        <f>IFERROR(__xludf.DUMMYFUNCTION("""COMPUTED_VALUE"""),23.0)</f>
        <v>23</v>
      </c>
      <c r="D251" s="68" t="str">
        <f>IFERROR(__xludf.DUMMYFUNCTION("""COMPUTED_VALUE"""),"Islam")</f>
        <v>Islam</v>
      </c>
      <c r="E251" s="67" t="str">
        <f>IFERROR(__xludf.DUMMYFUNCTION("""COMPUTED_VALUE"""),"CV. Monalisa")</f>
        <v>CV. Monalisa</v>
      </c>
      <c r="F251" s="67" t="str">
        <f>IFERROR(__xludf.DUMMYFUNCTION("""COMPUTED_VALUE"""),"CREW SURVEY")</f>
        <v>CREW SURVEY</v>
      </c>
      <c r="G251" s="67" t="str">
        <f>IFERROR(__xludf.DUMMYFUNCTION("""COMPUTED_VALUE"""),"MPE")</f>
        <v>MPE</v>
      </c>
      <c r="H251" s="67" t="str">
        <f>IFERROR(__xludf.DUMMYFUNCTION("""COMPUTED_VALUE"""),"[0102150008] ERWIN SAPA")</f>
        <v>[0102150008] ERWIN SAPA</v>
      </c>
      <c r="I251" s="69"/>
      <c r="J251" s="70" t="str">
        <f t="shared" si="1"/>
        <v>[309220106] JAINAL TURUSI</v>
      </c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</row>
    <row r="252">
      <c r="A252" s="67">
        <f>IFERROR(__xludf.DUMMYFUNCTION("""COMPUTED_VALUE"""),2.03221602E8)</f>
        <v>203221602</v>
      </c>
      <c r="B252" s="67" t="str">
        <f>IFERROR(__xludf.DUMMYFUNCTION("""COMPUTED_VALUE"""),"JAMALUDDIN")</f>
        <v>JAMALUDDIN</v>
      </c>
      <c r="C252" s="67">
        <f>IFERROR(__xludf.DUMMYFUNCTION("""COMPUTED_VALUE"""),40.0)</f>
        <v>40</v>
      </c>
      <c r="D252" s="68" t="str">
        <f>IFERROR(__xludf.DUMMYFUNCTION("""COMPUTED_VALUE"""),"Islam")</f>
        <v>Islam</v>
      </c>
      <c r="E252" s="67" t="str">
        <f>IFERROR(__xludf.DUMMYFUNCTION("""COMPUTED_VALUE"""),"CV. Adil Prima Perkasa")</f>
        <v>CV. Adil Prima Perkasa</v>
      </c>
      <c r="F252" s="67" t="str">
        <f>IFERROR(__xludf.DUMMYFUNCTION("""COMPUTED_VALUE"""),"DRIVER DT H700ZY")</f>
        <v>DRIVER DT H700ZY</v>
      </c>
      <c r="G252" s="67" t="str">
        <f>IFERROR(__xludf.DUMMYFUNCTION("""COMPUTED_VALUE"""),"KENDARAAN &amp; UNIT SUPPORT")</f>
        <v>KENDARAAN &amp; UNIT SUPPORT</v>
      </c>
      <c r="H252" s="67" t="str">
        <f>IFERROR(__xludf.DUMMYFUNCTION("""COMPUTED_VALUE"""),"[0102150004] NAFTALI RARE'A, ST")</f>
        <v>[0102150004] NAFTALI RARE'A, ST</v>
      </c>
      <c r="I252" s="69"/>
      <c r="J252" s="70" t="str">
        <f t="shared" si="1"/>
        <v>[203221602] JAMALUDDIN</v>
      </c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</row>
    <row r="253">
      <c r="A253" s="67">
        <f>IFERROR(__xludf.DUMMYFUNCTION("""COMPUTED_VALUE"""),4.07230005E8)</f>
        <v>407230005</v>
      </c>
      <c r="B253" s="67" t="str">
        <f>IFERROR(__xludf.DUMMYFUNCTION("""COMPUTED_VALUE"""),"JAMALUDDIN TALAMOA")</f>
        <v>JAMALUDDIN TALAMOA</v>
      </c>
      <c r="C253" s="67">
        <f>IFERROR(__xludf.DUMMYFUNCTION("""COMPUTED_VALUE"""),0.0)</f>
        <v>0</v>
      </c>
      <c r="D253" s="68"/>
      <c r="E253" s="67" t="str">
        <f>IFERROR(__xludf.DUMMYFUNCTION("""COMPUTED_VALUE"""),"CV. SENTOSA ABADI")</f>
        <v>CV. SENTOSA ABADI</v>
      </c>
      <c r="F253" s="67" t="str">
        <f>IFERROR(__xludf.DUMMYFUNCTION("""COMPUTED_VALUE"""),"DRIVER DT H500")</f>
        <v>DRIVER DT H500</v>
      </c>
      <c r="G253" s="67" t="str">
        <f>IFERROR(__xludf.DUMMYFUNCTION("""COMPUTED_VALUE"""),"KENDARAAN &amp; UNIT SUPPORT")</f>
        <v>KENDARAAN &amp; UNIT SUPPORT</v>
      </c>
      <c r="H253" s="67" t="str">
        <f>IFERROR(__xludf.DUMMYFUNCTION("""COMPUTED_VALUE"""),"[0102150004] NAFTALI RARE'A, ST")</f>
        <v>[0102150004] NAFTALI RARE'A, ST</v>
      </c>
      <c r="I253" s="69"/>
      <c r="J253" s="70" t="str">
        <f t="shared" si="1"/>
        <v>[407230005] JAMALUDDIN TALAMOA</v>
      </c>
      <c r="K253" s="67"/>
      <c r="L253" s="67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</row>
    <row r="254">
      <c r="A254" s="67">
        <f>IFERROR(__xludf.DUMMYFUNCTION("""COMPUTED_VALUE"""),1.05221626E8)</f>
        <v>105221626</v>
      </c>
      <c r="B254" s="67" t="str">
        <f>IFERROR(__xludf.DUMMYFUNCTION("""COMPUTED_VALUE"""),"JAMALUDDIN. A")</f>
        <v>JAMALUDDIN. A</v>
      </c>
      <c r="C254" s="67">
        <f>IFERROR(__xludf.DUMMYFUNCTION("""COMPUTED_VALUE"""),51.0)</f>
        <v>51</v>
      </c>
      <c r="D254" s="68" t="str">
        <f>IFERROR(__xludf.DUMMYFUNCTION("""COMPUTED_VALUE"""),"Islam")</f>
        <v>Islam</v>
      </c>
      <c r="E254" s="67" t="str">
        <f>IFERROR(__xludf.DUMMYFUNCTION("""COMPUTED_VALUE"""),"CV. SENTOSA ABADI")</f>
        <v>CV. SENTOSA ABADI</v>
      </c>
      <c r="F254" s="67" t="str">
        <f>IFERROR(__xludf.DUMMYFUNCTION("""COMPUTED_VALUE"""),"DRIVER DT H700ZS")</f>
        <v>DRIVER DT H700ZS</v>
      </c>
      <c r="G254" s="67" t="str">
        <f>IFERROR(__xludf.DUMMYFUNCTION("""COMPUTED_VALUE"""),"KENDARAAN &amp; UNIT SUPPORT")</f>
        <v>KENDARAAN &amp; UNIT SUPPORT</v>
      </c>
      <c r="H254" s="67" t="str">
        <f>IFERROR(__xludf.DUMMYFUNCTION("""COMPUTED_VALUE"""),"[0102150004] NAFTALI RARE'A, ST")</f>
        <v>[0102150004] NAFTALI RARE'A, ST</v>
      </c>
      <c r="I254" s="69">
        <f>IFERROR(__xludf.DUMMYFUNCTION("""COMPUTED_VALUE"""),27885.0)</f>
        <v>27885</v>
      </c>
      <c r="J254" s="70" t="str">
        <f t="shared" si="1"/>
        <v>[105221626] JAMALUDDIN. A</v>
      </c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</row>
    <row r="255">
      <c r="A255" s="67">
        <f>IFERROR(__xludf.DUMMYFUNCTION("""COMPUTED_VALUE"""),2.07231811E8)</f>
        <v>207231811</v>
      </c>
      <c r="B255" s="67" t="str">
        <f>IFERROR(__xludf.DUMMYFUNCTION("""COMPUTED_VALUE"""),"JAMER SONGKO")</f>
        <v>JAMER SONGKO</v>
      </c>
      <c r="C255" s="67">
        <f>IFERROR(__xludf.DUMMYFUNCTION("""COMPUTED_VALUE"""),0.0)</f>
        <v>0</v>
      </c>
      <c r="D255" s="68"/>
      <c r="E255" s="67" t="str">
        <f>IFERROR(__xludf.DUMMYFUNCTION("""COMPUTED_VALUE"""),"CV. Adil Prima Perkasa")</f>
        <v>CV. Adil Prima Perkasa</v>
      </c>
      <c r="F255" s="67" t="str">
        <f>IFERROR(__xludf.DUMMYFUNCTION("""COMPUTED_VALUE"""),"HELPER TYRE")</f>
        <v>HELPER TYRE</v>
      </c>
      <c r="G255" s="67" t="str">
        <f>IFERROR(__xludf.DUMMYFUNCTION("""COMPUTED_VALUE"""),"WORKSHOP")</f>
        <v>WORKSHOP</v>
      </c>
      <c r="H255" s="67" t="str">
        <f>IFERROR(__xludf.DUMMYFUNCTION("""COMPUTED_VALUE"""),"[0106190928] NATAN KONDO")</f>
        <v>[0106190928] NATAN KONDO</v>
      </c>
      <c r="I255" s="69"/>
      <c r="J255" s="70" t="str">
        <f t="shared" si="1"/>
        <v>[207231811] JAMER SONGKO</v>
      </c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</row>
    <row r="256">
      <c r="A256" s="67">
        <f>IFERROR(__xludf.DUMMYFUNCTION("""COMPUTED_VALUE"""),1.02190772E8)</f>
        <v>102190772</v>
      </c>
      <c r="B256" s="67" t="str">
        <f>IFERROR(__xludf.DUMMYFUNCTION("""COMPUTED_VALUE"""),"JASMAN")</f>
        <v>JASMAN</v>
      </c>
      <c r="C256" s="67">
        <f>IFERROR(__xludf.DUMMYFUNCTION("""COMPUTED_VALUE"""),44.0)</f>
        <v>44</v>
      </c>
      <c r="D256" s="68" t="str">
        <f>IFERROR(__xludf.DUMMYFUNCTION("""COMPUTED_VALUE"""),"Islam")</f>
        <v>Islam</v>
      </c>
      <c r="E256" s="67" t="str">
        <f>IFERROR(__xludf.DUMMYFUNCTION("""COMPUTED_VALUE"""),"CV. SENTOSA ABADI")</f>
        <v>CV. SENTOSA ABADI</v>
      </c>
      <c r="F256" s="67" t="str">
        <f>IFERROR(__xludf.DUMMYFUNCTION("""COMPUTED_VALUE"""),"HELPER MEKANIK LV")</f>
        <v>HELPER MEKANIK LV</v>
      </c>
      <c r="G256" s="67" t="str">
        <f>IFERROR(__xludf.DUMMYFUNCTION("""COMPUTED_VALUE"""),"WORKSHOP")</f>
        <v>WORKSHOP</v>
      </c>
      <c r="H256" s="67" t="str">
        <f>IFERROR(__xludf.DUMMYFUNCTION("""COMPUTED_VALUE"""),"FALSE")</f>
        <v>FALSE</v>
      </c>
      <c r="I256" s="69">
        <f>IFERROR(__xludf.DUMMYFUNCTION("""COMPUTED_VALUE"""),27621.0)</f>
        <v>27621</v>
      </c>
      <c r="J256" s="70" t="str">
        <f t="shared" si="1"/>
        <v>[102190772] JASMAN</v>
      </c>
      <c r="K256" s="67"/>
      <c r="L256" s="67"/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</row>
    <row r="257">
      <c r="A257" s="67">
        <f>IFERROR(__xludf.DUMMYFUNCTION("""COMPUTED_VALUE"""),1.02150018E8)</f>
        <v>102150018</v>
      </c>
      <c r="B257" s="67" t="str">
        <f>IFERROR(__xludf.DUMMYFUNCTION("""COMPUTED_VALUE"""),"JEANETTE HANNA IRENE WATUNA")</f>
        <v>JEANETTE HANNA IRENE WATUNA</v>
      </c>
      <c r="C257" s="67">
        <f>IFERROR(__xludf.DUMMYFUNCTION("""COMPUTED_VALUE"""),34.0)</f>
        <v>34</v>
      </c>
      <c r="D257" s="68" t="str">
        <f>IFERROR(__xludf.DUMMYFUNCTION("""COMPUTED_VALUE"""),"Kristen Protestan")</f>
        <v>Kristen Protestan</v>
      </c>
      <c r="E257" s="67" t="str">
        <f>IFERROR(__xludf.DUMMYFUNCTION("""COMPUTED_VALUE"""),"CV. SENTOSA ABADI")</f>
        <v>CV. SENTOSA ABADI</v>
      </c>
      <c r="F257" s="67" t="str">
        <f>IFERROR(__xludf.DUMMYFUNCTION("""COMPUTED_VALUE"""),"ACCOUNTING")</f>
        <v>ACCOUNTING</v>
      </c>
      <c r="G257" s="67" t="str">
        <f>IFERROR(__xludf.DUMMYFUNCTION("""COMPUTED_VALUE"""),"FINANCE")</f>
        <v>FINANCE</v>
      </c>
      <c r="H257" s="67" t="str">
        <f>IFERROR(__xludf.DUMMYFUNCTION("""COMPUTED_VALUE"""),"[0206189004] ALFRETH ALVIAN TIAKI")</f>
        <v>[0206189004] ALFRETH ALVIAN TIAKI</v>
      </c>
      <c r="I257" s="69"/>
      <c r="J257" s="70" t="str">
        <f t="shared" si="1"/>
        <v>[102150018] JEANETTE HANNA IRENE WATUNA</v>
      </c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</row>
    <row r="258">
      <c r="A258" s="67">
        <f>IFERROR(__xludf.DUMMYFUNCTION("""COMPUTED_VALUE"""),1.11211533E8)</f>
        <v>111211533</v>
      </c>
      <c r="B258" s="67" t="str">
        <f>IFERROR(__xludf.DUMMYFUNCTION("""COMPUTED_VALUE"""),"JEMRIS MENGGAU")</f>
        <v>JEMRIS MENGGAU</v>
      </c>
      <c r="C258" s="67">
        <f>IFERROR(__xludf.DUMMYFUNCTION("""COMPUTED_VALUE"""),44.0)</f>
        <v>44</v>
      </c>
      <c r="D258" s="68" t="str">
        <f>IFERROR(__xludf.DUMMYFUNCTION("""COMPUTED_VALUE"""),"Kristen Protestan")</f>
        <v>Kristen Protestan</v>
      </c>
      <c r="E258" s="67" t="str">
        <f>IFERROR(__xludf.DUMMYFUNCTION("""COMPUTED_VALUE"""),"CV. SENTOSA ABADI")</f>
        <v>CV. SENTOSA ABADI</v>
      </c>
      <c r="F258" s="67" t="str">
        <f>IFERROR(__xludf.DUMMYFUNCTION("""COMPUTED_VALUE"""),"OPERATOR ADT")</f>
        <v>OPERATOR ADT</v>
      </c>
      <c r="G258" s="67" t="str">
        <f>IFERROR(__xludf.DUMMYFUNCTION("""COMPUTED_VALUE"""),"PRODUKSI")</f>
        <v>PRODUKSI</v>
      </c>
      <c r="H258" s="67" t="str">
        <f>IFERROR(__xludf.DUMMYFUNCTION("""COMPUTED_VALUE"""),"[0102130003] PURNAWAN")</f>
        <v>[0102130003] PURNAWAN</v>
      </c>
      <c r="I258" s="69">
        <f>IFERROR(__xludf.DUMMYFUNCTION("""COMPUTED_VALUE"""),29567.0)</f>
        <v>29567</v>
      </c>
      <c r="J258" s="70" t="str">
        <f t="shared" si="1"/>
        <v>[111211533] JEMRIS MENGGAU</v>
      </c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</row>
    <row r="259">
      <c r="A259" s="67">
        <f>IFERROR(__xludf.DUMMYFUNCTION("""COMPUTED_VALUE"""),1.09170014E8)</f>
        <v>109170014</v>
      </c>
      <c r="B259" s="67" t="str">
        <f>IFERROR(__xludf.DUMMYFUNCTION("""COMPUTED_VALUE"""),"JENES R. MANOPPO")</f>
        <v>JENES R. MANOPPO</v>
      </c>
      <c r="C259" s="67">
        <f>IFERROR(__xludf.DUMMYFUNCTION("""COMPUTED_VALUE"""),0.0)</f>
        <v>0</v>
      </c>
      <c r="D259" s="68"/>
      <c r="E259" s="67" t="str">
        <f>IFERROR(__xludf.DUMMYFUNCTION("""COMPUTED_VALUE"""),"CV. SENTOSA ABADI")</f>
        <v>CV. SENTOSA ABADI</v>
      </c>
      <c r="F259" s="67" t="str">
        <f>IFERROR(__xludf.DUMMYFUNCTION("""COMPUTED_VALUE"""),"HEAD OF LOGISTIC")</f>
        <v>HEAD OF LOGISTIC</v>
      </c>
      <c r="G259" s="67" t="str">
        <f>IFERROR(__xludf.DUMMYFUNCTION("""COMPUTED_VALUE"""),"LOGISTIC")</f>
        <v>LOGISTIC</v>
      </c>
      <c r="H259" s="67" t="str">
        <f>IFERROR(__xludf.DUMMYFUNCTION("""COMPUTED_VALUE"""),"[0102150007] EKY SIDIK PRATAMA, ST")</f>
        <v>[0102150007] EKY SIDIK PRATAMA, ST</v>
      </c>
      <c r="I259" s="69"/>
      <c r="J259" s="70" t="str">
        <f t="shared" si="1"/>
        <v>[109170014] JENES R. MANOPPO</v>
      </c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</row>
    <row r="260">
      <c r="A260" s="67">
        <f>IFERROR(__xludf.DUMMYFUNCTION("""COMPUTED_VALUE"""),2.06241944E8)</f>
        <v>206241944</v>
      </c>
      <c r="B260" s="67" t="str">
        <f>IFERROR(__xludf.DUMMYFUNCTION("""COMPUTED_VALUE"""),"JESHUA EFRAEL")</f>
        <v>JESHUA EFRAEL</v>
      </c>
      <c r="C260" s="67">
        <f>IFERROR(__xludf.DUMMYFUNCTION("""COMPUTED_VALUE"""),18.0)</f>
        <v>18</v>
      </c>
      <c r="D260" s="68" t="str">
        <f>IFERROR(__xludf.DUMMYFUNCTION("""COMPUTED_VALUE"""),"Kristen Protestan")</f>
        <v>Kristen Protestan</v>
      </c>
      <c r="E260" s="67" t="str">
        <f>IFERROR(__xludf.DUMMYFUNCTION("""COMPUTED_VALUE"""),"CV. Adil Prima Perkasa")</f>
        <v>CV. Adil Prima Perkasa</v>
      </c>
      <c r="F260" s="67" t="str">
        <f>IFERROR(__xludf.DUMMYFUNCTION("""COMPUTED_VALUE"""),"HELPER ELECTRICIAN")</f>
        <v>HELPER ELECTRICIAN</v>
      </c>
      <c r="G260" s="67" t="str">
        <f>IFERROR(__xludf.DUMMYFUNCTION("""COMPUTED_VALUE"""),"WORKSHOP")</f>
        <v>WORKSHOP</v>
      </c>
      <c r="H260" s="67" t="str">
        <f>IFERROR(__xludf.DUMMYFUNCTION("""COMPUTED_VALUE"""),"[0106190928] NATAN KONDO")</f>
        <v>[0106190928] NATAN KONDO</v>
      </c>
      <c r="I260" s="69"/>
      <c r="J260" s="70" t="str">
        <f t="shared" si="1"/>
        <v>[206241944] JESHUA EFRAEL</v>
      </c>
      <c r="K260" s="67"/>
      <c r="L260" s="67"/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</row>
    <row r="261">
      <c r="A261" s="67"/>
      <c r="B261" s="67" t="str">
        <f>IFERROR(__xludf.DUMMYFUNCTION("""COMPUTED_VALUE"""),"JESSIKA SETIAWAN")</f>
        <v>JESSIKA SETIAWAN</v>
      </c>
      <c r="C261" s="67">
        <f>IFERROR(__xludf.DUMMYFUNCTION("""COMPUTED_VALUE"""),29.0)</f>
        <v>29</v>
      </c>
      <c r="D261" s="68" t="str">
        <f>IFERROR(__xludf.DUMMYFUNCTION("""COMPUTED_VALUE"""),"Kristen Protestan")</f>
        <v>Kristen Protestan</v>
      </c>
      <c r="E261" s="67" t="str">
        <f>IFERROR(__xludf.DUMMYFUNCTION("""COMPUTED_VALUE"""),"CV. Adil Prima Perkasa")</f>
        <v>CV. Adil Prima Perkasa</v>
      </c>
      <c r="F261" s="67" t="str">
        <f>IFERROR(__xludf.DUMMYFUNCTION("""COMPUTED_VALUE"""),"TREASURY (KASIR)")</f>
        <v>TREASURY (KASIR)</v>
      </c>
      <c r="G261" s="67" t="str">
        <f>IFERROR(__xludf.DUMMYFUNCTION("""COMPUTED_VALUE"""),"FINANCE")</f>
        <v>FINANCE</v>
      </c>
      <c r="H261" s="67" t="str">
        <f>IFERROR(__xludf.DUMMYFUNCTION("""COMPUTED_VALUE"""),"[0206189004] ALFRETH ALVIAN TIAKI")</f>
        <v>[0206189004] ALFRETH ALVIAN TIAKI</v>
      </c>
      <c r="I261" s="69"/>
      <c r="J261" s="70" t="str">
        <f t="shared" si="1"/>
        <v>[] JESSIKA SETIAWAN</v>
      </c>
      <c r="K261" s="67"/>
      <c r="L261" s="67"/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</row>
    <row r="262">
      <c r="A262" s="67">
        <f>IFERROR(__xludf.DUMMYFUNCTION("""COMPUTED_VALUE"""),2.05241929E8)</f>
        <v>205241929</v>
      </c>
      <c r="B262" s="67" t="str">
        <f>IFERROR(__xludf.DUMMYFUNCTION("""COMPUTED_VALUE"""),"JONI PESE")</f>
        <v>JONI PESE</v>
      </c>
      <c r="C262" s="67">
        <f>IFERROR(__xludf.DUMMYFUNCTION("""COMPUTED_VALUE"""),0.0)</f>
        <v>0</v>
      </c>
      <c r="D262" s="68"/>
      <c r="E262" s="67" t="str">
        <f>IFERROR(__xludf.DUMMYFUNCTION("""COMPUTED_VALUE"""),"CV. Adil Prima Perkasa")</f>
        <v>CV. Adil Prima Perkasa</v>
      </c>
      <c r="F262" s="67" t="str">
        <f>IFERROR(__xludf.DUMMYFUNCTION("""COMPUTED_VALUE"""),"HELPER MEKANIK")</f>
        <v>HELPER MEKANIK</v>
      </c>
      <c r="G262" s="67" t="str">
        <f>IFERROR(__xludf.DUMMYFUNCTION("""COMPUTED_VALUE"""),"WORKSHOP")</f>
        <v>WORKSHOP</v>
      </c>
      <c r="H262" s="67" t="str">
        <f>IFERROR(__xludf.DUMMYFUNCTION("""COMPUTED_VALUE"""),"[0106190928] NATAN KONDO")</f>
        <v>[0106190928] NATAN KONDO</v>
      </c>
      <c r="I262" s="69"/>
      <c r="J262" s="70" t="str">
        <f t="shared" si="1"/>
        <v>[205241929] JONI PESE</v>
      </c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</row>
    <row r="263">
      <c r="A263" s="67">
        <f>IFERROR(__xludf.DUMMYFUNCTION("""COMPUTED_VALUE"""),3.03210055E8)</f>
        <v>303210055</v>
      </c>
      <c r="B263" s="67" t="str">
        <f>IFERROR(__xludf.DUMMYFUNCTION("""COMPUTED_VALUE"""),"JONI SALI")</f>
        <v>JONI SALI</v>
      </c>
      <c r="C263" s="67">
        <f>IFERROR(__xludf.DUMMYFUNCTION("""COMPUTED_VALUE"""),46.0)</f>
        <v>46</v>
      </c>
      <c r="D263" s="68" t="str">
        <f>IFERROR(__xludf.DUMMYFUNCTION("""COMPUTED_VALUE"""),"Kristen Protestan")</f>
        <v>Kristen Protestan</v>
      </c>
      <c r="E263" s="67" t="str">
        <f>IFERROR(__xludf.DUMMYFUNCTION("""COMPUTED_VALUE"""),"CV. Monalisa")</f>
        <v>CV. Monalisa</v>
      </c>
      <c r="F263" s="67" t="str">
        <f>IFERROR(__xludf.DUMMYFUNCTION("""COMPUTED_VALUE"""),"OPERATOR BULLDOZER")</f>
        <v>OPERATOR BULLDOZER</v>
      </c>
      <c r="G263" s="67" t="str">
        <f>IFERROR(__xludf.DUMMYFUNCTION("""COMPUTED_VALUE"""),"PRODUKSI")</f>
        <v>PRODUKSI</v>
      </c>
      <c r="H263" s="67" t="str">
        <f>IFERROR(__xludf.DUMMYFUNCTION("""COMPUTED_VALUE"""),"FALSE")</f>
        <v>FALSE</v>
      </c>
      <c r="I263" s="69"/>
      <c r="J263" s="70" t="str">
        <f t="shared" si="1"/>
        <v>[303210055] JONI SALI</v>
      </c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</row>
    <row r="264">
      <c r="A264" s="67">
        <f>IFERROR(__xludf.DUMMYFUNCTION("""COMPUTED_VALUE"""),1.11160142E8)</f>
        <v>111160142</v>
      </c>
      <c r="B264" s="67" t="str">
        <f>IFERROR(__xludf.DUMMYFUNCTION("""COMPUTED_VALUE"""),"JONI TAPPI")</f>
        <v>JONI TAPPI</v>
      </c>
      <c r="C264" s="67">
        <f>IFERROR(__xludf.DUMMYFUNCTION("""COMPUTED_VALUE"""),49.0)</f>
        <v>49</v>
      </c>
      <c r="D264" s="68" t="str">
        <f>IFERROR(__xludf.DUMMYFUNCTION("""COMPUTED_VALUE"""),"Kristen Protestan")</f>
        <v>Kristen Protestan</v>
      </c>
      <c r="E264" s="67" t="str">
        <f>IFERROR(__xludf.DUMMYFUNCTION("""COMPUTED_VALUE"""),"CV. SENTOSA ABADI")</f>
        <v>CV. SENTOSA ABADI</v>
      </c>
      <c r="F264" s="67" t="str">
        <f>IFERROR(__xludf.DUMMYFUNCTION("""COMPUTED_VALUE"""),"OPERATOR BULLDOZER")</f>
        <v>OPERATOR BULLDOZER</v>
      </c>
      <c r="G264" s="67" t="str">
        <f>IFERROR(__xludf.DUMMYFUNCTION("""COMPUTED_VALUE"""),"PRODUKSI")</f>
        <v>PRODUKSI</v>
      </c>
      <c r="H264" s="67" t="str">
        <f>IFERROR(__xludf.DUMMYFUNCTION("""COMPUTED_VALUE"""),"[0102130003] PURNAWAN")</f>
        <v>[0102130003] PURNAWAN</v>
      </c>
      <c r="I264" s="69"/>
      <c r="J264" s="70" t="str">
        <f t="shared" si="1"/>
        <v>[111160142] JONI TAPPI</v>
      </c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</row>
    <row r="265">
      <c r="A265" s="67">
        <f>IFERROR(__xludf.DUMMYFUNCTION("""COMPUTED_VALUE"""),1.10221686E8)</f>
        <v>110221686</v>
      </c>
      <c r="B265" s="67" t="str">
        <f>IFERROR(__xludf.DUMMYFUNCTION("""COMPUTED_VALUE"""),"JOYNAL SIMON")</f>
        <v>JOYNAL SIMON</v>
      </c>
      <c r="C265" s="67">
        <f>IFERROR(__xludf.DUMMYFUNCTION("""COMPUTED_VALUE"""),20.0)</f>
        <v>20</v>
      </c>
      <c r="D265" s="68" t="str">
        <f>IFERROR(__xludf.DUMMYFUNCTION("""COMPUTED_VALUE"""),"Kristen Protestan")</f>
        <v>Kristen Protestan</v>
      </c>
      <c r="E265" s="67" t="str">
        <f>IFERROR(__xludf.DUMMYFUNCTION("""COMPUTED_VALUE"""),"CV. SENTOSA ABADI")</f>
        <v>CV. SENTOSA ABADI</v>
      </c>
      <c r="F265" s="67" t="str">
        <f>IFERROR(__xludf.DUMMYFUNCTION("""COMPUTED_VALUE"""),"HELPER MECHANIC MAINTENANCE")</f>
        <v>HELPER MECHANIC MAINTENANCE</v>
      </c>
      <c r="G265" s="67" t="str">
        <f>IFERROR(__xludf.DUMMYFUNCTION("""COMPUTED_VALUE"""),"WORKSHOP")</f>
        <v>WORKSHOP</v>
      </c>
      <c r="H265" s="67" t="str">
        <f>IFERROR(__xludf.DUMMYFUNCTION("""COMPUTED_VALUE"""),"[0106190928] NATAN KONDO")</f>
        <v>[0106190928] NATAN KONDO</v>
      </c>
      <c r="I265" s="69"/>
      <c r="J265" s="70" t="str">
        <f t="shared" si="1"/>
        <v>[110221686] JOYNAL SIMON</v>
      </c>
      <c r="K265" s="67"/>
      <c r="L265" s="67"/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</row>
    <row r="266">
      <c r="A266" s="67">
        <f>IFERROR(__xludf.DUMMYFUNCTION("""COMPUTED_VALUE"""),1.02120144E8)</f>
        <v>102120144</v>
      </c>
      <c r="B266" s="67" t="str">
        <f>IFERROR(__xludf.DUMMYFUNCTION("""COMPUTED_VALUE"""),"JUFRY KOMALING")</f>
        <v>JUFRY KOMALING</v>
      </c>
      <c r="C266" s="67">
        <f>IFERROR(__xludf.DUMMYFUNCTION("""COMPUTED_VALUE"""),56.0)</f>
        <v>56</v>
      </c>
      <c r="D266" s="68" t="str">
        <f>IFERROR(__xludf.DUMMYFUNCTION("""COMPUTED_VALUE"""),"Kristen Protestan")</f>
        <v>Kristen Protestan</v>
      </c>
      <c r="E266" s="67" t="str">
        <f>IFERROR(__xludf.DUMMYFUNCTION("""COMPUTED_VALUE"""),"CV. SENTOSA ABADI")</f>
        <v>CV. SENTOSA ABADI</v>
      </c>
      <c r="F266" s="67" t="str">
        <f>IFERROR(__xludf.DUMMYFUNCTION("""COMPUTED_VALUE"""),"HEAD OF TYRE")</f>
        <v>HEAD OF TYRE</v>
      </c>
      <c r="G266" s="67" t="str">
        <f>IFERROR(__xludf.DUMMYFUNCTION("""COMPUTED_VALUE"""),"WORKSHOP")</f>
        <v>WORKSHOP</v>
      </c>
      <c r="H266" s="67" t="str">
        <f>IFERROR(__xludf.DUMMYFUNCTION("""COMPUTED_VALUE"""),"[0106190928] NATAN KONDO")</f>
        <v>[0106190928] NATAN KONDO</v>
      </c>
      <c r="I266" s="69">
        <f>IFERROR(__xludf.DUMMYFUNCTION("""COMPUTED_VALUE"""),28665.0)</f>
        <v>28665</v>
      </c>
      <c r="J266" s="70" t="str">
        <f t="shared" si="1"/>
        <v>[102120144] JUFRY KOMALING</v>
      </c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</row>
    <row r="267">
      <c r="A267" s="67">
        <f>IFERROR(__xludf.DUMMYFUNCTION("""COMPUTED_VALUE"""),2.10221696E8)</f>
        <v>210221696</v>
      </c>
      <c r="B267" s="67" t="str">
        <f>IFERROR(__xludf.DUMMYFUNCTION("""COMPUTED_VALUE"""),"JUNAIDI")</f>
        <v>JUNAIDI</v>
      </c>
      <c r="C267" s="67">
        <f>IFERROR(__xludf.DUMMYFUNCTION("""COMPUTED_VALUE"""),39.0)</f>
        <v>39</v>
      </c>
      <c r="D267" s="68" t="str">
        <f>IFERROR(__xludf.DUMMYFUNCTION("""COMPUTED_VALUE"""),"Islam")</f>
        <v>Islam</v>
      </c>
      <c r="E267" s="67" t="str">
        <f>IFERROR(__xludf.DUMMYFUNCTION("""COMPUTED_VALUE"""),"CV. Adil Prima Perkasa")</f>
        <v>CV. Adil Prima Perkasa</v>
      </c>
      <c r="F267" s="67" t="str">
        <f>IFERROR(__xludf.DUMMYFUNCTION("""COMPUTED_VALUE"""),"DRIVER LV")</f>
        <v>DRIVER LV</v>
      </c>
      <c r="G267" s="67" t="str">
        <f>IFERROR(__xludf.DUMMYFUNCTION("""COMPUTED_VALUE"""),"KENDARAAN &amp; UNIT SUPPORT")</f>
        <v>KENDARAAN &amp; UNIT SUPPORT</v>
      </c>
      <c r="H267" s="67" t="str">
        <f>IFERROR(__xludf.DUMMYFUNCTION("""COMPUTED_VALUE"""),"[0102150004] NAFTALI RARE'A, ST")</f>
        <v>[0102150004] NAFTALI RARE'A, ST</v>
      </c>
      <c r="I267" s="69">
        <f>IFERROR(__xludf.DUMMYFUNCTION("""COMPUTED_VALUE"""),31603.0)</f>
        <v>31603</v>
      </c>
      <c r="J267" s="70" t="str">
        <f t="shared" si="1"/>
        <v>[210221696] JUNAIDI</v>
      </c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</row>
    <row r="268">
      <c r="A268" s="67">
        <f>IFERROR(__xludf.DUMMYFUNCTION("""COMPUTED_VALUE"""),2.06241976E8)</f>
        <v>206241976</v>
      </c>
      <c r="B268" s="67" t="str">
        <f>IFERROR(__xludf.DUMMYFUNCTION("""COMPUTED_VALUE"""),"JUPRIANTO SAPUTRA")</f>
        <v>JUPRIANTO SAPUTRA</v>
      </c>
      <c r="C268" s="67">
        <f>IFERROR(__xludf.DUMMYFUNCTION("""COMPUTED_VALUE"""),21.0)</f>
        <v>21</v>
      </c>
      <c r="D268" s="68" t="str">
        <f>IFERROR(__xludf.DUMMYFUNCTION("""COMPUTED_VALUE"""),"Kristen Khatolik")</f>
        <v>Kristen Khatolik</v>
      </c>
      <c r="E268" s="67" t="str">
        <f>IFERROR(__xludf.DUMMYFUNCTION("""COMPUTED_VALUE"""),"CV. Adil Prima Perkasa")</f>
        <v>CV. Adil Prima Perkasa</v>
      </c>
      <c r="F268" s="67" t="str">
        <f>IFERROR(__xludf.DUMMYFUNCTION("""COMPUTED_VALUE"""),"HELPER ELECTRICIAN")</f>
        <v>HELPER ELECTRICIAN</v>
      </c>
      <c r="G268" s="67" t="str">
        <f>IFERROR(__xludf.DUMMYFUNCTION("""COMPUTED_VALUE"""),"WORKSHOP")</f>
        <v>WORKSHOP</v>
      </c>
      <c r="H268" s="67" t="str">
        <f>IFERROR(__xludf.DUMMYFUNCTION("""COMPUTED_VALUE"""),"[0106190928] NATAN KONDO")</f>
        <v>[0106190928] NATAN KONDO</v>
      </c>
      <c r="I268" s="69"/>
      <c r="J268" s="70" t="str">
        <f t="shared" si="1"/>
        <v>[206241976] JUPRIANTO SAPUTRA</v>
      </c>
      <c r="K268" s="67"/>
      <c r="L268" s="67"/>
      <c r="M268" s="6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</row>
    <row r="269">
      <c r="A269" s="67">
        <f>IFERROR(__xludf.DUMMYFUNCTION("""COMPUTED_VALUE"""),2.06221654E8)</f>
        <v>206221654</v>
      </c>
      <c r="B269" s="67" t="str">
        <f>IFERROR(__xludf.DUMMYFUNCTION("""COMPUTED_VALUE"""),"JUSMAIL")</f>
        <v>JUSMAIL</v>
      </c>
      <c r="C269" s="67">
        <f>IFERROR(__xludf.DUMMYFUNCTION("""COMPUTED_VALUE"""),45.0)</f>
        <v>45</v>
      </c>
      <c r="D269" s="68" t="str">
        <f>IFERROR(__xludf.DUMMYFUNCTION("""COMPUTED_VALUE"""),"Islam")</f>
        <v>Islam</v>
      </c>
      <c r="E269" s="67" t="str">
        <f>IFERROR(__xludf.DUMMYFUNCTION("""COMPUTED_VALUE"""),"CV. Adil Prima Perkasa")</f>
        <v>CV. Adil Prima Perkasa</v>
      </c>
      <c r="F269" s="67" t="str">
        <f>IFERROR(__xludf.DUMMYFUNCTION("""COMPUTED_VALUE"""),"DRIVER DT H700ZY")</f>
        <v>DRIVER DT H700ZY</v>
      </c>
      <c r="G269" s="67" t="str">
        <f>IFERROR(__xludf.DUMMYFUNCTION("""COMPUTED_VALUE"""),"KENDARAAN &amp; UNIT SUPPORT")</f>
        <v>KENDARAAN &amp; UNIT SUPPORT</v>
      </c>
      <c r="H269" s="67" t="str">
        <f>IFERROR(__xludf.DUMMYFUNCTION("""COMPUTED_VALUE"""),"[0102150004] NAFTALI RARE'A, ST")</f>
        <v>[0102150004] NAFTALI RARE'A, ST</v>
      </c>
      <c r="I269" s="69"/>
      <c r="J269" s="70" t="str">
        <f t="shared" si="1"/>
        <v>[206221654] JUSMAIL</v>
      </c>
      <c r="K269" s="67"/>
      <c r="L269" s="67"/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</row>
    <row r="270">
      <c r="A270" s="67">
        <f>IFERROR(__xludf.DUMMYFUNCTION("""COMPUTED_VALUE"""),1.07190944E8)</f>
        <v>107190944</v>
      </c>
      <c r="B270" s="67" t="str">
        <f>IFERROR(__xludf.DUMMYFUNCTION("""COMPUTED_VALUE"""),"JUSRAN")</f>
        <v>JUSRAN</v>
      </c>
      <c r="C270" s="67">
        <f>IFERROR(__xludf.DUMMYFUNCTION("""COMPUTED_VALUE"""),38.0)</f>
        <v>38</v>
      </c>
      <c r="D270" s="68" t="str">
        <f>IFERROR(__xludf.DUMMYFUNCTION("""COMPUTED_VALUE"""),"Islam")</f>
        <v>Islam</v>
      </c>
      <c r="E270" s="67" t="str">
        <f>IFERROR(__xludf.DUMMYFUNCTION("""COMPUTED_VALUE"""),"CV. SENTOSA ABADI")</f>
        <v>CV. SENTOSA ABADI</v>
      </c>
      <c r="F270" s="67" t="str">
        <f>IFERROR(__xludf.DUMMYFUNCTION("""COMPUTED_VALUE"""),"FOREMAN PRODUKSI")</f>
        <v>FOREMAN PRODUKSI</v>
      </c>
      <c r="G270" s="67" t="str">
        <f>IFERROR(__xludf.DUMMYFUNCTION("""COMPUTED_VALUE"""),"PRODUKSI")</f>
        <v>PRODUKSI</v>
      </c>
      <c r="H270" s="67" t="str">
        <f>IFERROR(__xludf.DUMMYFUNCTION("""COMPUTED_VALUE"""),"FALSE")</f>
        <v>FALSE</v>
      </c>
      <c r="I270" s="69">
        <f>IFERROR(__xludf.DUMMYFUNCTION("""COMPUTED_VALUE"""),33313.0)</f>
        <v>33313</v>
      </c>
      <c r="J270" s="70" t="str">
        <f t="shared" si="1"/>
        <v>[107190944] JUSRAN</v>
      </c>
      <c r="K270" s="67"/>
      <c r="L270" s="67"/>
      <c r="M270" s="67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</row>
    <row r="271">
      <c r="A271" s="67">
        <f>IFERROR(__xludf.DUMMYFUNCTION("""COMPUTED_VALUE"""),2.07160684E8)</f>
        <v>207160684</v>
      </c>
      <c r="B271" s="67" t="str">
        <f>IFERROR(__xludf.DUMMYFUNCTION("""COMPUTED_VALUE"""),"KADIR DG. KULLE")</f>
        <v>KADIR DG. KULLE</v>
      </c>
      <c r="C271" s="67">
        <f>IFERROR(__xludf.DUMMYFUNCTION("""COMPUTED_VALUE"""),38.0)</f>
        <v>38</v>
      </c>
      <c r="D271" s="68" t="str">
        <f>IFERROR(__xludf.DUMMYFUNCTION("""COMPUTED_VALUE"""),"Islam")</f>
        <v>Islam</v>
      </c>
      <c r="E271" s="67" t="str">
        <f>IFERROR(__xludf.DUMMYFUNCTION("""COMPUTED_VALUE"""),"CV. Adil Prima Perkasa")</f>
        <v>CV. Adil Prima Perkasa</v>
      </c>
      <c r="F271" s="67" t="str">
        <f>IFERROR(__xludf.DUMMYFUNCTION("""COMPUTED_VALUE"""),"OPERATOR EXCAVATOR")</f>
        <v>OPERATOR EXCAVATOR</v>
      </c>
      <c r="G271" s="67" t="str">
        <f>IFERROR(__xludf.DUMMYFUNCTION("""COMPUTED_VALUE"""),"PRODUKSI")</f>
        <v>PRODUKSI</v>
      </c>
      <c r="H271" s="67" t="str">
        <f>IFERROR(__xludf.DUMMYFUNCTION("""COMPUTED_VALUE"""),"FALSE")</f>
        <v>FALSE</v>
      </c>
      <c r="I271" s="69"/>
      <c r="J271" s="70" t="str">
        <f t="shared" si="1"/>
        <v>[207160684] KADIR DG. KULLE</v>
      </c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</row>
    <row r="272">
      <c r="A272" s="67">
        <f>IFERROR(__xludf.DUMMYFUNCTION("""COMPUTED_VALUE"""),2.07211453E8)</f>
        <v>207211453</v>
      </c>
      <c r="B272" s="67" t="str">
        <f>IFERROR(__xludf.DUMMYFUNCTION("""COMPUTED_VALUE"""),"KAHARUDDIN")</f>
        <v>KAHARUDDIN</v>
      </c>
      <c r="C272" s="67">
        <f>IFERROR(__xludf.DUMMYFUNCTION("""COMPUTED_VALUE"""),38.0)</f>
        <v>38</v>
      </c>
      <c r="D272" s="68" t="str">
        <f>IFERROR(__xludf.DUMMYFUNCTION("""COMPUTED_VALUE"""),"Islam")</f>
        <v>Islam</v>
      </c>
      <c r="E272" s="67" t="str">
        <f>IFERROR(__xludf.DUMMYFUNCTION("""COMPUTED_VALUE"""),"CV. Adil Prima Perkasa")</f>
        <v>CV. Adil Prima Perkasa</v>
      </c>
      <c r="F272" s="67" t="str">
        <f>IFERROR(__xludf.DUMMYFUNCTION("""COMPUTED_VALUE"""),"WASHING MAN")</f>
        <v>WASHING MAN</v>
      </c>
      <c r="G272" s="67" t="str">
        <f>IFERROR(__xludf.DUMMYFUNCTION("""COMPUTED_VALUE"""),"WORKSHOP")</f>
        <v>WORKSHOP</v>
      </c>
      <c r="H272" s="67" t="str">
        <f>IFERROR(__xludf.DUMMYFUNCTION("""COMPUTED_VALUE"""),"[0106190928] NATAN KONDO")</f>
        <v>[0106190928] NATAN KONDO</v>
      </c>
      <c r="I272" s="69"/>
      <c r="J272" s="70" t="str">
        <f t="shared" si="1"/>
        <v>[207211453] KAHARUDDIN</v>
      </c>
      <c r="K272" s="67"/>
      <c r="L272" s="67"/>
      <c r="M272" s="67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</row>
    <row r="273">
      <c r="A273" s="67">
        <f>IFERROR(__xludf.DUMMYFUNCTION("""COMPUTED_VALUE"""),2.09201234E8)</f>
        <v>209201234</v>
      </c>
      <c r="B273" s="67" t="str">
        <f>IFERROR(__xludf.DUMMYFUNCTION("""COMPUTED_VALUE"""),"KAMARUDDIN")</f>
        <v>KAMARUDDIN</v>
      </c>
      <c r="C273" s="67">
        <f>IFERROR(__xludf.DUMMYFUNCTION("""COMPUTED_VALUE"""),32.0)</f>
        <v>32</v>
      </c>
      <c r="D273" s="68" t="str">
        <f>IFERROR(__xludf.DUMMYFUNCTION("""COMPUTED_VALUE"""),"Islam")</f>
        <v>Islam</v>
      </c>
      <c r="E273" s="67" t="str">
        <f>IFERROR(__xludf.DUMMYFUNCTION("""COMPUTED_VALUE"""),"CV. Adil Prima Perkasa")</f>
        <v>CV. Adil Prima Perkasa</v>
      </c>
      <c r="F273" s="67" t="str">
        <f>IFERROR(__xludf.DUMMYFUNCTION("""COMPUTED_VALUE"""),"DRIVER DT H700ZY")</f>
        <v>DRIVER DT H700ZY</v>
      </c>
      <c r="G273" s="67" t="str">
        <f>IFERROR(__xludf.DUMMYFUNCTION("""COMPUTED_VALUE"""),"KENDARAAN &amp; UNIT SUPPORT")</f>
        <v>KENDARAAN &amp; UNIT SUPPORT</v>
      </c>
      <c r="H273" s="67" t="str">
        <f>IFERROR(__xludf.DUMMYFUNCTION("""COMPUTED_VALUE"""),"[0102150004] NAFTALI RARE'A, ST")</f>
        <v>[0102150004] NAFTALI RARE'A, ST</v>
      </c>
      <c r="I273" s="69"/>
      <c r="J273" s="70" t="str">
        <f t="shared" si="1"/>
        <v>[209201234] KAMARUDDIN</v>
      </c>
      <c r="K273" s="67"/>
      <c r="L273" s="67"/>
      <c r="M273" s="67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</row>
    <row r="274">
      <c r="A274" s="67">
        <f>IFERROR(__xludf.DUMMYFUNCTION("""COMPUTED_VALUE"""),2.0220113E8)</f>
        <v>202201130</v>
      </c>
      <c r="B274" s="67" t="str">
        <f>IFERROR(__xludf.DUMMYFUNCTION("""COMPUTED_VALUE"""),"KAMARUDDIN DG BUNDU")</f>
        <v>KAMARUDDIN DG BUNDU</v>
      </c>
      <c r="C274" s="67">
        <f>IFERROR(__xludf.DUMMYFUNCTION("""COMPUTED_VALUE"""),53.0)</f>
        <v>53</v>
      </c>
      <c r="D274" s="68" t="str">
        <f>IFERROR(__xludf.DUMMYFUNCTION("""COMPUTED_VALUE"""),"Islam")</f>
        <v>Islam</v>
      </c>
      <c r="E274" s="67" t="str">
        <f>IFERROR(__xludf.DUMMYFUNCTION("""COMPUTED_VALUE"""),"CV. Adil Prima Perkasa")</f>
        <v>CV. Adil Prima Perkasa</v>
      </c>
      <c r="F274" s="67" t="str">
        <f>IFERROR(__xludf.DUMMYFUNCTION("""COMPUTED_VALUE"""),"OPERATOR ADT")</f>
        <v>OPERATOR ADT</v>
      </c>
      <c r="G274" s="67" t="str">
        <f>IFERROR(__xludf.DUMMYFUNCTION("""COMPUTED_VALUE"""),"PRODUKSI")</f>
        <v>PRODUKSI</v>
      </c>
      <c r="H274" s="67" t="str">
        <f>IFERROR(__xludf.DUMMYFUNCTION("""COMPUTED_VALUE"""),"FALSE")</f>
        <v>FALSE</v>
      </c>
      <c r="I274" s="69"/>
      <c r="J274" s="70" t="str">
        <f t="shared" si="1"/>
        <v>[202201130] KAMARUDDIN DG BUNDU</v>
      </c>
      <c r="K274" s="67"/>
      <c r="L274" s="67"/>
      <c r="M274" s="67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</row>
    <row r="275">
      <c r="A275" s="67">
        <f>IFERROR(__xludf.DUMMYFUNCTION("""COMPUTED_VALUE"""),2.0324189E8)</f>
        <v>203241890</v>
      </c>
      <c r="B275" s="67" t="str">
        <f>IFERROR(__xludf.DUMMYFUNCTION("""COMPUTED_VALUE"""),"KAROLIUS SEDA")</f>
        <v>KAROLIUS SEDA</v>
      </c>
      <c r="C275" s="67">
        <f>IFERROR(__xludf.DUMMYFUNCTION("""COMPUTED_VALUE"""),23.0)</f>
        <v>23</v>
      </c>
      <c r="D275" s="68" t="str">
        <f>IFERROR(__xludf.DUMMYFUNCTION("""COMPUTED_VALUE"""),"Kristen Khatolik")</f>
        <v>Kristen Khatolik</v>
      </c>
      <c r="E275" s="67" t="str">
        <f>IFERROR(__xludf.DUMMYFUNCTION("""COMPUTED_VALUE"""),"CV. Adil Prima Perkasa")</f>
        <v>CV. Adil Prima Perkasa</v>
      </c>
      <c r="F275" s="67" t="str">
        <f>IFERROR(__xludf.DUMMYFUNCTION("""COMPUTED_VALUE"""),"CREW SURVEY")</f>
        <v>CREW SURVEY</v>
      </c>
      <c r="G275" s="67" t="str">
        <f>IFERROR(__xludf.DUMMYFUNCTION("""COMPUTED_VALUE"""),"MPE")</f>
        <v>MPE</v>
      </c>
      <c r="H275" s="67" t="str">
        <f>IFERROR(__xludf.DUMMYFUNCTION("""COMPUTED_VALUE"""),"[0102150007] EKY SIDIK PRATAMA, ST")</f>
        <v>[0102150007] EKY SIDIK PRATAMA, ST</v>
      </c>
      <c r="I275" s="69"/>
      <c r="J275" s="70" t="str">
        <f t="shared" si="1"/>
        <v>[203241890] KAROLIUS SEDA</v>
      </c>
      <c r="K275" s="67"/>
      <c r="L275" s="67"/>
      <c r="M275" s="67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</row>
    <row r="276">
      <c r="A276" s="67">
        <f>IFERROR(__xludf.DUMMYFUNCTION("""COMPUTED_VALUE"""),2.0324189E8)</f>
        <v>203241890</v>
      </c>
      <c r="B276" s="67" t="str">
        <f>IFERROR(__xludf.DUMMYFUNCTION("""COMPUTED_VALUE"""),"KAROLUS SEDA")</f>
        <v>KAROLUS SEDA</v>
      </c>
      <c r="C276" s="67">
        <f>IFERROR(__xludf.DUMMYFUNCTION("""COMPUTED_VALUE"""),0.0)</f>
        <v>0</v>
      </c>
      <c r="D276" s="68"/>
      <c r="E276" s="67" t="str">
        <f>IFERROR(__xludf.DUMMYFUNCTION("""COMPUTED_VALUE"""),"CV. Adil Prima Perkasa")</f>
        <v>CV. Adil Prima Perkasa</v>
      </c>
      <c r="F276" s="67" t="str">
        <f>IFERROR(__xludf.DUMMYFUNCTION("""COMPUTED_VALUE"""),"CREW SURVEY")</f>
        <v>CREW SURVEY</v>
      </c>
      <c r="G276" s="67" t="str">
        <f>IFERROR(__xludf.DUMMYFUNCTION("""COMPUTED_VALUE"""),"MPE")</f>
        <v>MPE</v>
      </c>
      <c r="H276" s="67" t="str">
        <f>IFERROR(__xludf.DUMMYFUNCTION("""COMPUTED_VALUE"""),"[0102150007] EKY SIDIK PRATAMA, ST")</f>
        <v>[0102150007] EKY SIDIK PRATAMA, ST</v>
      </c>
      <c r="I276" s="69"/>
      <c r="J276" s="70" t="str">
        <f t="shared" si="1"/>
        <v>[203241890] KAROLUS SEDA</v>
      </c>
      <c r="K276" s="67"/>
      <c r="L276" s="67"/>
      <c r="M276" s="67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</row>
    <row r="277">
      <c r="A277" s="67">
        <f>IFERROR(__xludf.DUMMYFUNCTION("""COMPUTED_VALUE"""),2.05231767E8)</f>
        <v>205231767</v>
      </c>
      <c r="B277" s="67" t="str">
        <f>IFERROR(__xludf.DUMMYFUNCTION("""COMPUTED_VALUE"""),"KAYSAR")</f>
        <v>KAYSAR</v>
      </c>
      <c r="C277" s="67">
        <f>IFERROR(__xludf.DUMMYFUNCTION("""COMPUTED_VALUE"""),0.0)</f>
        <v>0</v>
      </c>
      <c r="D277" s="68"/>
      <c r="E277" s="67" t="str">
        <f>IFERROR(__xludf.DUMMYFUNCTION("""COMPUTED_VALUE"""),"CV. Adil Prima Perkasa")</f>
        <v>CV. Adil Prima Perkasa</v>
      </c>
      <c r="F277" s="67" t="str">
        <f>IFERROR(__xludf.DUMMYFUNCTION("""COMPUTED_VALUE"""),"OPERATOR EXCAVATOR")</f>
        <v>OPERATOR EXCAVATOR</v>
      </c>
      <c r="G277" s="67" t="str">
        <f>IFERROR(__xludf.DUMMYFUNCTION("""COMPUTED_VALUE"""),"FALSE")</f>
        <v>FALSE</v>
      </c>
      <c r="H277" s="67" t="str">
        <f>IFERROR(__xludf.DUMMYFUNCTION("""COMPUTED_VALUE"""),"FALSE")</f>
        <v>FALSE</v>
      </c>
      <c r="I277" s="69"/>
      <c r="J277" s="70" t="str">
        <f t="shared" si="1"/>
        <v>[205231767] KAYSAR</v>
      </c>
      <c r="K277" s="67"/>
      <c r="L277" s="67"/>
      <c r="M277" s="67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</row>
    <row r="278">
      <c r="A278" s="67">
        <f>IFERROR(__xludf.DUMMYFUNCTION("""COMPUTED_VALUE"""),3.03230111E8)</f>
        <v>303230111</v>
      </c>
      <c r="B278" s="67" t="str">
        <f>IFERROR(__xludf.DUMMYFUNCTION("""COMPUTED_VALUE"""),"KERYO SAMANA")</f>
        <v>KERYO SAMANA</v>
      </c>
      <c r="C278" s="67">
        <f>IFERROR(__xludf.DUMMYFUNCTION("""COMPUTED_VALUE"""),20.0)</f>
        <v>20</v>
      </c>
      <c r="D278" s="68" t="str">
        <f>IFERROR(__xludf.DUMMYFUNCTION("""COMPUTED_VALUE"""),"Kristen Protestan")</f>
        <v>Kristen Protestan</v>
      </c>
      <c r="E278" s="67" t="str">
        <f>IFERROR(__xludf.DUMMYFUNCTION("""COMPUTED_VALUE"""),"CV. Monalisa")</f>
        <v>CV. Monalisa</v>
      </c>
      <c r="F278" s="67" t="str">
        <f>IFERROR(__xludf.DUMMYFUNCTION("""COMPUTED_VALUE"""),"SECURITY")</f>
        <v>SECURITY</v>
      </c>
      <c r="G278" s="67" t="str">
        <f>IFERROR(__xludf.DUMMYFUNCTION("""COMPUTED_VALUE"""),"HRD &amp; GA")</f>
        <v>HRD &amp; GA</v>
      </c>
      <c r="H278" s="67" t="str">
        <f>IFERROR(__xludf.DUMMYFUNCTION("""COMPUTED_VALUE"""),"[0108191037] ERNIE FRISLIA")</f>
        <v>[0108191037] ERNIE FRISLIA</v>
      </c>
      <c r="I278" s="69"/>
      <c r="J278" s="70" t="str">
        <f t="shared" si="1"/>
        <v>[303230111] KERYO SAMANA</v>
      </c>
      <c r="K278" s="67"/>
      <c r="L278" s="67"/>
      <c r="M278" s="6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</row>
    <row r="279">
      <c r="A279" s="67">
        <f>IFERROR(__xludf.DUMMYFUNCTION("""COMPUTED_VALUE"""),2.01221579E8)</f>
        <v>201221579</v>
      </c>
      <c r="B279" s="67" t="str">
        <f>IFERROR(__xludf.DUMMYFUNCTION("""COMPUTED_VALUE"""),"KHAERUL SAPUTRA")</f>
        <v>KHAERUL SAPUTRA</v>
      </c>
      <c r="C279" s="67">
        <f>IFERROR(__xludf.DUMMYFUNCTION("""COMPUTED_VALUE"""),27.0)</f>
        <v>27</v>
      </c>
      <c r="D279" s="68" t="str">
        <f>IFERROR(__xludf.DUMMYFUNCTION("""COMPUTED_VALUE"""),"Islam")</f>
        <v>Islam</v>
      </c>
      <c r="E279" s="67" t="str">
        <f>IFERROR(__xludf.DUMMYFUNCTION("""COMPUTED_VALUE"""),"CV. Adil Prima Perkasa")</f>
        <v>CV. Adil Prima Perkasa</v>
      </c>
      <c r="F279" s="67" t="str">
        <f>IFERROR(__xludf.DUMMYFUNCTION("""COMPUTED_VALUE"""),"DRIVER MAINTENANCE")</f>
        <v>DRIVER MAINTENANCE</v>
      </c>
      <c r="G279" s="67" t="str">
        <f>IFERROR(__xludf.DUMMYFUNCTION("""COMPUTED_VALUE"""),"KENDARAAN &amp; UNIT SUPPORT")</f>
        <v>KENDARAAN &amp; UNIT SUPPORT</v>
      </c>
      <c r="H279" s="67" t="str">
        <f>IFERROR(__xludf.DUMMYFUNCTION("""COMPUTED_VALUE"""),"[0102150004] NAFTALI RARE'A, ST")</f>
        <v>[0102150004] NAFTALI RARE'A, ST</v>
      </c>
      <c r="I279" s="69"/>
      <c r="J279" s="70" t="str">
        <f t="shared" si="1"/>
        <v>[201221579] KHAERUL SAPUTRA</v>
      </c>
      <c r="K279" s="67"/>
      <c r="L279" s="67"/>
      <c r="M279" s="67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</row>
    <row r="280">
      <c r="A280" s="67">
        <f>IFERROR(__xludf.DUMMYFUNCTION("""COMPUTED_VALUE"""),1.09201212E8)</f>
        <v>109201212</v>
      </c>
      <c r="B280" s="67" t="str">
        <f>IFERROR(__xludf.DUMMYFUNCTION("""COMPUTED_VALUE"""),"KRISTIAN DWI JAYANTO")</f>
        <v>KRISTIAN DWI JAYANTO</v>
      </c>
      <c r="C280" s="67">
        <f>IFERROR(__xludf.DUMMYFUNCTION("""COMPUTED_VALUE"""),31.0)</f>
        <v>31</v>
      </c>
      <c r="D280" s="68" t="str">
        <f>IFERROR(__xludf.DUMMYFUNCTION("""COMPUTED_VALUE"""),"Kristen Khatolik")</f>
        <v>Kristen Khatolik</v>
      </c>
      <c r="E280" s="67" t="str">
        <f>IFERROR(__xludf.DUMMYFUNCTION("""COMPUTED_VALUE"""),"CV. SENTOSA ABADI")</f>
        <v>CV. SENTOSA ABADI</v>
      </c>
      <c r="F280" s="67" t="str">
        <f>IFERROR(__xludf.DUMMYFUNCTION("""COMPUTED_VALUE"""),"SAFETY OFFICER")</f>
        <v>SAFETY OFFICER</v>
      </c>
      <c r="G280" s="67" t="str">
        <f>IFERROR(__xludf.DUMMYFUNCTION("""COMPUTED_VALUE"""),"HSE")</f>
        <v>HSE</v>
      </c>
      <c r="H280" s="67" t="str">
        <f>IFERROR(__xludf.DUMMYFUNCTION("""COMPUTED_VALUE"""),"[0409230007] SLAMET WAHYUDI SAPUTRA")</f>
        <v>[0409230007] SLAMET WAHYUDI SAPUTRA</v>
      </c>
      <c r="I280" s="69"/>
      <c r="J280" s="70" t="str">
        <f t="shared" si="1"/>
        <v>[109201212] KRISTIAN DWI JAYANTO</v>
      </c>
      <c r="K280" s="67"/>
      <c r="L280" s="67"/>
      <c r="M280" s="67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</row>
    <row r="281">
      <c r="A281" s="67">
        <f>IFERROR(__xludf.DUMMYFUNCTION("""COMPUTED_VALUE"""),2.0623178E8)</f>
        <v>206231780</v>
      </c>
      <c r="B281" s="67" t="str">
        <f>IFERROR(__xludf.DUMMYFUNCTION("""COMPUTED_VALUE"""),"LANTIF SUSENO")</f>
        <v>LANTIF SUSENO</v>
      </c>
      <c r="C281" s="67">
        <f>IFERROR(__xludf.DUMMYFUNCTION("""COMPUTED_VALUE"""),38.0)</f>
        <v>38</v>
      </c>
      <c r="D281" s="68" t="str">
        <f>IFERROR(__xludf.DUMMYFUNCTION("""COMPUTED_VALUE"""),"Islam")</f>
        <v>Islam</v>
      </c>
      <c r="E281" s="67" t="str">
        <f>IFERROR(__xludf.DUMMYFUNCTION("""COMPUTED_VALUE"""),"CV. Adil Prima Perkasa")</f>
        <v>CV. Adil Prima Perkasa</v>
      </c>
      <c r="F281" s="67" t="str">
        <f>IFERROR(__xludf.DUMMYFUNCTION("""COMPUTED_VALUE"""),"STAFF GA")</f>
        <v>STAFF GA</v>
      </c>
      <c r="G281" s="67" t="str">
        <f>IFERROR(__xludf.DUMMYFUNCTION("""COMPUTED_VALUE"""),"HRD &amp; GA")</f>
        <v>HRD &amp; GA</v>
      </c>
      <c r="H281" s="67" t="str">
        <f>IFERROR(__xludf.DUMMYFUNCTION("""COMPUTED_VALUE"""),"[0108191037] ERNIE FRISLIA")</f>
        <v>[0108191037] ERNIE FRISLIA</v>
      </c>
      <c r="I281" s="69">
        <f>IFERROR(__xludf.DUMMYFUNCTION("""COMPUTED_VALUE"""),34830.0)</f>
        <v>34830</v>
      </c>
      <c r="J281" s="70" t="str">
        <f t="shared" si="1"/>
        <v>[206231780] LANTIF SUSENO</v>
      </c>
      <c r="K281" s="67"/>
      <c r="L281" s="67"/>
      <c r="M281" s="67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</row>
    <row r="282">
      <c r="A282" s="67">
        <f>IFERROR(__xludf.DUMMYFUNCTION("""COMPUTED_VALUE"""),2.02241883E8)</f>
        <v>202241883</v>
      </c>
      <c r="B282" s="67" t="str">
        <f>IFERROR(__xludf.DUMMYFUNCTION("""COMPUTED_VALUE"""),"LEFRAN PANGATI")</f>
        <v>LEFRAN PANGATI</v>
      </c>
      <c r="C282" s="67">
        <f>IFERROR(__xludf.DUMMYFUNCTION("""COMPUTED_VALUE"""),0.0)</f>
        <v>0</v>
      </c>
      <c r="D282" s="68"/>
      <c r="E282" s="67" t="str">
        <f>IFERROR(__xludf.DUMMYFUNCTION("""COMPUTED_VALUE"""),"CV. Adil Prima Perkasa")</f>
        <v>CV. Adil Prima Perkasa</v>
      </c>
      <c r="F282" s="67" t="str">
        <f>IFERROR(__xludf.DUMMYFUNCTION("""COMPUTED_VALUE"""),"HELPER MECHANIC MAINTENANCE")</f>
        <v>HELPER MECHANIC MAINTENANCE</v>
      </c>
      <c r="G282" s="67" t="str">
        <f>IFERROR(__xludf.DUMMYFUNCTION("""COMPUTED_VALUE"""),"WORKSHOP")</f>
        <v>WORKSHOP</v>
      </c>
      <c r="H282" s="67" t="str">
        <f>IFERROR(__xludf.DUMMYFUNCTION("""COMPUTED_VALUE"""),"[0106190928] NATAN KONDO")</f>
        <v>[0106190928] NATAN KONDO</v>
      </c>
      <c r="I282" s="69"/>
      <c r="J282" s="70" t="str">
        <f t="shared" si="1"/>
        <v>[202241883] LEFRAN PANGATI</v>
      </c>
      <c r="K282" s="67"/>
      <c r="L282" s="67"/>
      <c r="M282" s="67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</row>
    <row r="283">
      <c r="A283" s="67">
        <f>IFERROR(__xludf.DUMMYFUNCTION("""COMPUTED_VALUE"""),2.03241897E8)</f>
        <v>203241897</v>
      </c>
      <c r="B283" s="67" t="str">
        <f>IFERROR(__xludf.DUMMYFUNCTION("""COMPUTED_VALUE"""),"LESLI RENGKU")</f>
        <v>LESLI RENGKU</v>
      </c>
      <c r="C283" s="67">
        <f>IFERROR(__xludf.DUMMYFUNCTION("""COMPUTED_VALUE"""),0.0)</f>
        <v>0</v>
      </c>
      <c r="D283" s="68"/>
      <c r="E283" s="67" t="str">
        <f>IFERROR(__xludf.DUMMYFUNCTION("""COMPUTED_VALUE"""),"CV. Adil Prima Perkasa")</f>
        <v>CV. Adil Prima Perkasa</v>
      </c>
      <c r="F283" s="67" t="str">
        <f>IFERROR(__xludf.DUMMYFUNCTION("""COMPUTED_VALUE"""),"HELPER TYRE")</f>
        <v>HELPER TYRE</v>
      </c>
      <c r="G283" s="67" t="str">
        <f>IFERROR(__xludf.DUMMYFUNCTION("""COMPUTED_VALUE"""),"WORKSHOP")</f>
        <v>WORKSHOP</v>
      </c>
      <c r="H283" s="67" t="str">
        <f>IFERROR(__xludf.DUMMYFUNCTION("""COMPUTED_VALUE"""),"[0106190928] NATAN KONDO")</f>
        <v>[0106190928] NATAN KONDO</v>
      </c>
      <c r="I283" s="69"/>
      <c r="J283" s="70" t="str">
        <f t="shared" si="1"/>
        <v>[203241897] LESLI RENGKU</v>
      </c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</row>
    <row r="284">
      <c r="A284" s="67">
        <f>IFERROR(__xludf.DUMMYFUNCTION("""COMPUTED_VALUE"""),2.03231743E8)</f>
        <v>203231743</v>
      </c>
      <c r="B284" s="67" t="str">
        <f>IFERROR(__xludf.DUMMYFUNCTION("""COMPUTED_VALUE"""),"LEXSY SUMBUNG")</f>
        <v>LEXSY SUMBUNG</v>
      </c>
      <c r="C284" s="67">
        <f>IFERROR(__xludf.DUMMYFUNCTION("""COMPUTED_VALUE"""),26.0)</f>
        <v>26</v>
      </c>
      <c r="D284" s="68" t="str">
        <f>IFERROR(__xludf.DUMMYFUNCTION("""COMPUTED_VALUE"""),"Kristen Protestan")</f>
        <v>Kristen Protestan</v>
      </c>
      <c r="E284" s="67" t="str">
        <f>IFERROR(__xludf.DUMMYFUNCTION("""COMPUTED_VALUE"""),"CV. Adil Prima Perkasa")</f>
        <v>CV. Adil Prima Perkasa</v>
      </c>
      <c r="F284" s="67" t="str">
        <f>IFERROR(__xludf.DUMMYFUNCTION("""COMPUTED_VALUE"""),"CREW SURVEY")</f>
        <v>CREW SURVEY</v>
      </c>
      <c r="G284" s="67" t="str">
        <f>IFERROR(__xludf.DUMMYFUNCTION("""COMPUTED_VALUE"""),"MPE")</f>
        <v>MPE</v>
      </c>
      <c r="H284" s="67" t="str">
        <f>IFERROR(__xludf.DUMMYFUNCTION("""COMPUTED_VALUE"""),"FALSE")</f>
        <v>FALSE</v>
      </c>
      <c r="I284" s="69"/>
      <c r="J284" s="70" t="str">
        <f t="shared" si="1"/>
        <v>[203231743] LEXSY SUMBUNG</v>
      </c>
      <c r="K284" s="67"/>
      <c r="L284" s="67"/>
      <c r="M284" s="67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</row>
    <row r="285">
      <c r="A285" s="67">
        <f>IFERROR(__xludf.DUMMYFUNCTION("""COMPUTED_VALUE"""),1.05241928E8)</f>
        <v>105241928</v>
      </c>
      <c r="B285" s="67" t="str">
        <f>IFERROR(__xludf.DUMMYFUNCTION("""COMPUTED_VALUE"""),"LUDIA ASRI SIAMPA")</f>
        <v>LUDIA ASRI SIAMPA</v>
      </c>
      <c r="C285" s="67">
        <f>IFERROR(__xludf.DUMMYFUNCTION("""COMPUTED_VALUE"""),0.0)</f>
        <v>0</v>
      </c>
      <c r="D285" s="68"/>
      <c r="E285" s="67" t="str">
        <f>IFERROR(__xludf.DUMMYFUNCTION("""COMPUTED_VALUE"""),"CV. SENTOSA ABADI")</f>
        <v>CV. SENTOSA ABADI</v>
      </c>
      <c r="F285" s="67" t="str">
        <f>IFERROR(__xludf.DUMMYFUNCTION("""COMPUTED_VALUE"""),"STOCKER")</f>
        <v>STOCKER</v>
      </c>
      <c r="G285" s="67" t="str">
        <f>IFERROR(__xludf.DUMMYFUNCTION("""COMPUTED_VALUE"""),"HRD &amp; GA")</f>
        <v>HRD &amp; GA</v>
      </c>
      <c r="H285" s="67" t="str">
        <f>IFERROR(__xludf.DUMMYFUNCTION("""COMPUTED_VALUE"""),"[0108191037] ERNIE FRISLIA")</f>
        <v>[0108191037] ERNIE FRISLIA</v>
      </c>
      <c r="I285" s="69"/>
      <c r="J285" s="70" t="str">
        <f t="shared" si="1"/>
        <v>[105241928] LUDIA ASRI SIAMPA</v>
      </c>
      <c r="K285" s="67"/>
      <c r="L285" s="67"/>
      <c r="M285" s="67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</row>
    <row r="286">
      <c r="A286" s="67">
        <f>IFERROR(__xludf.DUMMYFUNCTION("""COMPUTED_VALUE"""),1.10191103E8)</f>
        <v>110191103</v>
      </c>
      <c r="B286" s="67" t="str">
        <f>IFERROR(__xludf.DUMMYFUNCTION("""COMPUTED_VALUE"""),"M. AKBAR")</f>
        <v>M. AKBAR</v>
      </c>
      <c r="C286" s="67">
        <f>IFERROR(__xludf.DUMMYFUNCTION("""COMPUTED_VALUE"""),26.0)</f>
        <v>26</v>
      </c>
      <c r="D286" s="68" t="str">
        <f>IFERROR(__xludf.DUMMYFUNCTION("""COMPUTED_VALUE"""),"Islam")</f>
        <v>Islam</v>
      </c>
      <c r="E286" s="67" t="str">
        <f>IFERROR(__xludf.DUMMYFUNCTION("""COMPUTED_VALUE"""),"CV. SENTOSA ABADI")</f>
        <v>CV. SENTOSA ABADI</v>
      </c>
      <c r="F286" s="67" t="str">
        <f>IFERROR(__xludf.DUMMYFUNCTION("""COMPUTED_VALUE"""),"OPERATOR EXCAVATOR")</f>
        <v>OPERATOR EXCAVATOR</v>
      </c>
      <c r="G286" s="67" t="str">
        <f>IFERROR(__xludf.DUMMYFUNCTION("""COMPUTED_VALUE"""),"PRODUKSI")</f>
        <v>PRODUKSI</v>
      </c>
      <c r="H286" s="67" t="str">
        <f>IFERROR(__xludf.DUMMYFUNCTION("""COMPUTED_VALUE"""),"[0102130003] PURNAWAN")</f>
        <v>[0102130003] PURNAWAN</v>
      </c>
      <c r="I286" s="69"/>
      <c r="J286" s="70" t="str">
        <f t="shared" si="1"/>
        <v>[110191103] M. AKBAR</v>
      </c>
      <c r="K286" s="67"/>
      <c r="L286" s="67"/>
      <c r="M286" s="67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</row>
    <row r="287">
      <c r="A287" s="67">
        <f>IFERROR(__xludf.DUMMYFUNCTION("""COMPUTED_VALUE"""),2.12211546E8)</f>
        <v>212211546</v>
      </c>
      <c r="B287" s="67" t="str">
        <f>IFERROR(__xludf.DUMMYFUNCTION("""COMPUTED_VALUE"""),"M. NASIR YALE")</f>
        <v>M. NASIR YALE</v>
      </c>
      <c r="C287" s="67">
        <f>IFERROR(__xludf.DUMMYFUNCTION("""COMPUTED_VALUE"""),52.0)</f>
        <v>52</v>
      </c>
      <c r="D287" s="68" t="str">
        <f>IFERROR(__xludf.DUMMYFUNCTION("""COMPUTED_VALUE"""),"Islam")</f>
        <v>Islam</v>
      </c>
      <c r="E287" s="67" t="str">
        <f>IFERROR(__xludf.DUMMYFUNCTION("""COMPUTED_VALUE"""),"CV. Adil Prima Perkasa")</f>
        <v>CV. Adil Prima Perkasa</v>
      </c>
      <c r="F287" s="67" t="str">
        <f>IFERROR(__xludf.DUMMYFUNCTION("""COMPUTED_VALUE"""),"DRIVER DT H700ZY")</f>
        <v>DRIVER DT H700ZY</v>
      </c>
      <c r="G287" s="67" t="str">
        <f>IFERROR(__xludf.DUMMYFUNCTION("""COMPUTED_VALUE"""),"KENDARAAN &amp; UNIT SUPPORT")</f>
        <v>KENDARAAN &amp; UNIT SUPPORT</v>
      </c>
      <c r="H287" s="67" t="str">
        <f>IFERROR(__xludf.DUMMYFUNCTION("""COMPUTED_VALUE"""),"[0102150004] NAFTALI RARE'A, ST")</f>
        <v>[0102150004] NAFTALI RARE'A, ST</v>
      </c>
      <c r="I287" s="69"/>
      <c r="J287" s="70" t="str">
        <f t="shared" si="1"/>
        <v>[212211546] M. NASIR YALE</v>
      </c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</row>
    <row r="288">
      <c r="A288" s="67">
        <f>IFERROR(__xludf.DUMMYFUNCTION("""COMPUTED_VALUE"""),1.03190805E8)</f>
        <v>103190805</v>
      </c>
      <c r="B288" s="67" t="str">
        <f>IFERROR(__xludf.DUMMYFUNCTION("""COMPUTED_VALUE"""),"MAHALI BIN AHMAD")</f>
        <v>MAHALI BIN AHMAD</v>
      </c>
      <c r="C288" s="67">
        <f>IFERROR(__xludf.DUMMYFUNCTION("""COMPUTED_VALUE"""),44.0)</f>
        <v>44</v>
      </c>
      <c r="D288" s="68" t="str">
        <f>IFERROR(__xludf.DUMMYFUNCTION("""COMPUTED_VALUE"""),"Islam")</f>
        <v>Islam</v>
      </c>
      <c r="E288" s="67" t="str">
        <f>IFERROR(__xludf.DUMMYFUNCTION("""COMPUTED_VALUE"""),"CV. SENTOSA ABADI")</f>
        <v>CV. SENTOSA ABADI</v>
      </c>
      <c r="F288" s="67" t="str">
        <f>IFERROR(__xludf.DUMMYFUNCTION("""COMPUTED_VALUE"""),"OPERATOR BULLDOZER")</f>
        <v>OPERATOR BULLDOZER</v>
      </c>
      <c r="G288" s="67" t="str">
        <f>IFERROR(__xludf.DUMMYFUNCTION("""COMPUTED_VALUE"""),"PRODUKSI")</f>
        <v>PRODUKSI</v>
      </c>
      <c r="H288" s="67" t="str">
        <f>IFERROR(__xludf.DUMMYFUNCTION("""COMPUTED_VALUE"""),"[0102130003] PURNAWAN")</f>
        <v>[0102130003] PURNAWAN</v>
      </c>
      <c r="I288" s="69"/>
      <c r="J288" s="70" t="str">
        <f t="shared" si="1"/>
        <v>[103190805] MAHALI BIN AHMAD</v>
      </c>
      <c r="K288" s="67"/>
      <c r="L288" s="67"/>
      <c r="M288" s="67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</row>
    <row r="289">
      <c r="A289" s="67">
        <f>IFERROR(__xludf.DUMMYFUNCTION("""COMPUTED_VALUE"""),1.08201173E8)</f>
        <v>108201173</v>
      </c>
      <c r="B289" s="67" t="str">
        <f>IFERROR(__xludf.DUMMYFUNCTION("""COMPUTED_VALUE"""),"MAING")</f>
        <v>MAING</v>
      </c>
      <c r="C289" s="67">
        <f>IFERROR(__xludf.DUMMYFUNCTION("""COMPUTED_VALUE"""),48.0)</f>
        <v>48</v>
      </c>
      <c r="D289" s="68" t="str">
        <f>IFERROR(__xludf.DUMMYFUNCTION("""COMPUTED_VALUE"""),"Islam")</f>
        <v>Islam</v>
      </c>
      <c r="E289" s="67" t="str">
        <f>IFERROR(__xludf.DUMMYFUNCTION("""COMPUTED_VALUE"""),"CV. SENTOSA ABADI")</f>
        <v>CV. SENTOSA ABADI</v>
      </c>
      <c r="F289" s="67" t="str">
        <f>IFERROR(__xludf.DUMMYFUNCTION("""COMPUTED_VALUE"""),"DRIVER DT H700ZY")</f>
        <v>DRIVER DT H700ZY</v>
      </c>
      <c r="G289" s="67" t="str">
        <f>IFERROR(__xludf.DUMMYFUNCTION("""COMPUTED_VALUE"""),"KENDARAAN &amp; UNIT SUPPORT")</f>
        <v>KENDARAAN &amp; UNIT SUPPORT</v>
      </c>
      <c r="H289" s="67" t="str">
        <f>IFERROR(__xludf.DUMMYFUNCTION("""COMPUTED_VALUE"""),"[0102150004] NAFTALI RARE'A, ST")</f>
        <v>[0102150004] NAFTALI RARE'A, ST</v>
      </c>
      <c r="I289" s="69"/>
      <c r="J289" s="70" t="str">
        <f t="shared" si="1"/>
        <v>[108201173] MAING</v>
      </c>
      <c r="K289" s="67"/>
      <c r="L289" s="67"/>
      <c r="M289" s="67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</row>
    <row r="290">
      <c r="A290" s="67"/>
      <c r="B290" s="67" t="str">
        <f>IFERROR(__xludf.DUMMYFUNCTION("""COMPUTED_VALUE"""),"MARC")</f>
        <v>MARC</v>
      </c>
      <c r="C290" s="67">
        <f>IFERROR(__xludf.DUMMYFUNCTION("""COMPUTED_VALUE"""),0.0)</f>
        <v>0</v>
      </c>
      <c r="D290" s="68"/>
      <c r="E290" s="67" t="str">
        <f>IFERROR(__xludf.DUMMYFUNCTION("""COMPUTED_VALUE"""),"CV. Adil Prima Perkasa")</f>
        <v>CV. Adil Prima Perkasa</v>
      </c>
      <c r="F290" s="67" t="str">
        <f>IFERROR(__xludf.DUMMYFUNCTION("""COMPUTED_VALUE"""),"FALSE")</f>
        <v>FALSE</v>
      </c>
      <c r="G290" s="67" t="str">
        <f>IFERROR(__xludf.DUMMYFUNCTION("""COMPUTED_VALUE"""),"FALSE")</f>
        <v>FALSE</v>
      </c>
      <c r="H290" s="67" t="str">
        <f>IFERROR(__xludf.DUMMYFUNCTION("""COMPUTED_VALUE"""),"FALSE")</f>
        <v>FALSE</v>
      </c>
      <c r="I290" s="69"/>
      <c r="J290" s="70" t="str">
        <f t="shared" si="1"/>
        <v>[] MARC</v>
      </c>
      <c r="K290" s="67"/>
      <c r="L290" s="67"/>
      <c r="M290" s="67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</row>
    <row r="291">
      <c r="A291" s="67">
        <f>IFERROR(__xludf.DUMMYFUNCTION("""COMPUTED_VALUE"""),4.07230006E8)</f>
        <v>407230006</v>
      </c>
      <c r="B291" s="67" t="str">
        <f>IFERROR(__xludf.DUMMYFUNCTION("""COMPUTED_VALUE"""),"MARCHO FRITS WOTULO")</f>
        <v>MARCHO FRITS WOTULO</v>
      </c>
      <c r="C291" s="67">
        <f>IFERROR(__xludf.DUMMYFUNCTION("""COMPUTED_VALUE"""),0.0)</f>
        <v>0</v>
      </c>
      <c r="D291" s="68"/>
      <c r="E291" s="67" t="str">
        <f>IFERROR(__xludf.DUMMYFUNCTION("""COMPUTED_VALUE"""),"CV. SENTOSA ABADI")</f>
        <v>CV. SENTOSA ABADI</v>
      </c>
      <c r="F291" s="67" t="str">
        <f>IFERROR(__xludf.DUMMYFUNCTION("""COMPUTED_VALUE"""),"DRIVER LV")</f>
        <v>DRIVER LV</v>
      </c>
      <c r="G291" s="67" t="str">
        <f>IFERROR(__xludf.DUMMYFUNCTION("""COMPUTED_VALUE"""),"KENDARAAN &amp; UNIT SUPPORT")</f>
        <v>KENDARAAN &amp; UNIT SUPPORT</v>
      </c>
      <c r="H291" s="67" t="str">
        <f>IFERROR(__xludf.DUMMYFUNCTION("""COMPUTED_VALUE"""),"[0102150004] NAFTALI RARE'A, ST")</f>
        <v>[0102150004] NAFTALI RARE'A, ST</v>
      </c>
      <c r="I291" s="69"/>
      <c r="J291" s="70" t="str">
        <f t="shared" si="1"/>
        <v>[407230006] MARCHO FRITS WOTULO</v>
      </c>
      <c r="K291" s="67"/>
      <c r="L291" s="67"/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</row>
    <row r="292">
      <c r="A292" s="67">
        <f>IFERROR(__xludf.DUMMYFUNCTION("""COMPUTED_VALUE"""),2.11201271E8)</f>
        <v>211201271</v>
      </c>
      <c r="B292" s="67" t="str">
        <f>IFERROR(__xludf.DUMMYFUNCTION("""COMPUTED_VALUE"""),"MARDI")</f>
        <v>MARDI</v>
      </c>
      <c r="C292" s="67">
        <f>IFERROR(__xludf.DUMMYFUNCTION("""COMPUTED_VALUE"""),38.0)</f>
        <v>38</v>
      </c>
      <c r="D292" s="68" t="str">
        <f>IFERROR(__xludf.DUMMYFUNCTION("""COMPUTED_VALUE"""),"Islam")</f>
        <v>Islam</v>
      </c>
      <c r="E292" s="67" t="str">
        <f>IFERROR(__xludf.DUMMYFUNCTION("""COMPUTED_VALUE"""),"CV. Adil Prima Perkasa")</f>
        <v>CV. Adil Prima Perkasa</v>
      </c>
      <c r="F292" s="67" t="str">
        <f>IFERROR(__xludf.DUMMYFUNCTION("""COMPUTED_VALUE"""),"DRIVER DT H700ZY")</f>
        <v>DRIVER DT H700ZY</v>
      </c>
      <c r="G292" s="67" t="str">
        <f>IFERROR(__xludf.DUMMYFUNCTION("""COMPUTED_VALUE"""),"KENDARAAN &amp; UNIT SUPPORT")</f>
        <v>KENDARAAN &amp; UNIT SUPPORT</v>
      </c>
      <c r="H292" s="67" t="str">
        <f>IFERROR(__xludf.DUMMYFUNCTION("""COMPUTED_VALUE"""),"[0102150004] NAFTALI RARE'A, ST")</f>
        <v>[0102150004] NAFTALI RARE'A, ST</v>
      </c>
      <c r="I292" s="69"/>
      <c r="J292" s="70" t="str">
        <f t="shared" si="1"/>
        <v>[211201271] MARDI</v>
      </c>
      <c r="K292" s="67"/>
      <c r="L292" s="67"/>
      <c r="M292" s="67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</row>
    <row r="293">
      <c r="A293" s="67">
        <f>IFERROR(__xludf.DUMMYFUNCTION("""COMPUTED_VALUE"""),1.08191056E8)</f>
        <v>108191056</v>
      </c>
      <c r="B293" s="67" t="str">
        <f>IFERROR(__xludf.DUMMYFUNCTION("""COMPUTED_VALUE"""),"MARIONO")</f>
        <v>MARIONO</v>
      </c>
      <c r="C293" s="67">
        <f>IFERROR(__xludf.DUMMYFUNCTION("""COMPUTED_VALUE"""),43.0)</f>
        <v>43</v>
      </c>
      <c r="D293" s="68" t="str">
        <f>IFERROR(__xludf.DUMMYFUNCTION("""COMPUTED_VALUE"""),"Islam")</f>
        <v>Islam</v>
      </c>
      <c r="E293" s="67" t="str">
        <f>IFERROR(__xludf.DUMMYFUNCTION("""COMPUTED_VALUE"""),"CV. SENTOSA ABADI")</f>
        <v>CV. SENTOSA ABADI</v>
      </c>
      <c r="F293" s="67" t="str">
        <f>IFERROR(__xludf.DUMMYFUNCTION("""COMPUTED_VALUE"""),"DRIVER DT H700ZY")</f>
        <v>DRIVER DT H700ZY</v>
      </c>
      <c r="G293" s="67" t="str">
        <f>IFERROR(__xludf.DUMMYFUNCTION("""COMPUTED_VALUE"""),"KENDARAAN &amp; UNIT SUPPORT")</f>
        <v>KENDARAAN &amp; UNIT SUPPORT</v>
      </c>
      <c r="H293" s="67" t="str">
        <f>IFERROR(__xludf.DUMMYFUNCTION("""COMPUTED_VALUE"""),"[0102150004] NAFTALI RARE'A, ST")</f>
        <v>[0102150004] NAFTALI RARE'A, ST</v>
      </c>
      <c r="I293" s="69"/>
      <c r="J293" s="70" t="str">
        <f t="shared" si="1"/>
        <v>[108191056] MARIONO</v>
      </c>
      <c r="K293" s="67"/>
      <c r="L293" s="67"/>
      <c r="M293" s="67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</row>
    <row r="294">
      <c r="A294" s="67">
        <f>IFERROR(__xludf.DUMMYFUNCTION("""COMPUTED_VALUE"""),3.06200007E8)</f>
        <v>306200007</v>
      </c>
      <c r="B294" s="67" t="str">
        <f>IFERROR(__xludf.DUMMYFUNCTION("""COMPUTED_VALUE"""),"MARKUS PADANG")</f>
        <v>MARKUS PADANG</v>
      </c>
      <c r="C294" s="67">
        <f>IFERROR(__xludf.DUMMYFUNCTION("""COMPUTED_VALUE"""),32.0)</f>
        <v>32</v>
      </c>
      <c r="D294" s="68" t="str">
        <f>IFERROR(__xludf.DUMMYFUNCTION("""COMPUTED_VALUE"""),"Kristen Protestan")</f>
        <v>Kristen Protestan</v>
      </c>
      <c r="E294" s="67" t="str">
        <f>IFERROR(__xludf.DUMMYFUNCTION("""COMPUTED_VALUE"""),"CV. Monalisa")</f>
        <v>CV. Monalisa</v>
      </c>
      <c r="F294" s="67" t="str">
        <f>IFERROR(__xludf.DUMMYFUNCTION("""COMPUTED_VALUE"""),"CREW SURVEY")</f>
        <v>CREW SURVEY</v>
      </c>
      <c r="G294" s="67" t="str">
        <f>IFERROR(__xludf.DUMMYFUNCTION("""COMPUTED_VALUE"""),"MPE")</f>
        <v>MPE</v>
      </c>
      <c r="H294" s="67" t="str">
        <f>IFERROR(__xludf.DUMMYFUNCTION("""COMPUTED_VALUE"""),"[0102150007] EKY SIDIK PRATAMA, ST")</f>
        <v>[0102150007] EKY SIDIK PRATAMA, ST</v>
      </c>
      <c r="I294" s="69"/>
      <c r="J294" s="70" t="str">
        <f t="shared" si="1"/>
        <v>[306200007] MARKUS PADANG</v>
      </c>
      <c r="K294" s="67"/>
      <c r="L294" s="67"/>
      <c r="M294" s="67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</row>
    <row r="295">
      <c r="A295" s="67">
        <f>IFERROR(__xludf.DUMMYFUNCTION("""COMPUTED_VALUE"""),2.10231847E8)</f>
        <v>210231847</v>
      </c>
      <c r="B295" s="67" t="str">
        <f>IFERROR(__xludf.DUMMYFUNCTION("""COMPUTED_VALUE"""),"MARSEL MOA'E")</f>
        <v>MARSEL MOA'E</v>
      </c>
      <c r="C295" s="67">
        <f>IFERROR(__xludf.DUMMYFUNCTION("""COMPUTED_VALUE"""),0.0)</f>
        <v>0</v>
      </c>
      <c r="D295" s="68"/>
      <c r="E295" s="67" t="str">
        <f>IFERROR(__xludf.DUMMYFUNCTION("""COMPUTED_VALUE"""),"CV. Adil Prima Perkasa")</f>
        <v>CV. Adil Prima Perkasa</v>
      </c>
      <c r="F295" s="67" t="str">
        <f>IFERROR(__xludf.DUMMYFUNCTION("""COMPUTED_VALUE"""),"SECURITY")</f>
        <v>SECURITY</v>
      </c>
      <c r="G295" s="67" t="str">
        <f>IFERROR(__xludf.DUMMYFUNCTION("""COMPUTED_VALUE"""),"HRD &amp; GA")</f>
        <v>HRD &amp; GA</v>
      </c>
      <c r="H295" s="67" t="str">
        <f>IFERROR(__xludf.DUMMYFUNCTION("""COMPUTED_VALUE"""),"[0108191037] ERNIE FRISLIA")</f>
        <v>[0108191037] ERNIE FRISLIA</v>
      </c>
      <c r="I295" s="69"/>
      <c r="J295" s="70" t="str">
        <f t="shared" si="1"/>
        <v>[210231847] MARSEL MOA'E</v>
      </c>
      <c r="K295" s="67"/>
      <c r="L295" s="67"/>
      <c r="M295" s="67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</row>
    <row r="296">
      <c r="A296" s="67">
        <f>IFERROR(__xludf.DUMMYFUNCTION("""COMPUTED_VALUE"""),2.02221596E8)</f>
        <v>202221596</v>
      </c>
      <c r="B296" s="67" t="str">
        <f>IFERROR(__xludf.DUMMYFUNCTION("""COMPUTED_VALUE"""),"MARSELUS JEMI")</f>
        <v>MARSELUS JEMI</v>
      </c>
      <c r="C296" s="67">
        <f>IFERROR(__xludf.DUMMYFUNCTION("""COMPUTED_VALUE"""),32.0)</f>
        <v>32</v>
      </c>
      <c r="D296" s="68" t="str">
        <f>IFERROR(__xludf.DUMMYFUNCTION("""COMPUTED_VALUE"""),"Kristen Khatolik")</f>
        <v>Kristen Khatolik</v>
      </c>
      <c r="E296" s="67" t="str">
        <f>IFERROR(__xludf.DUMMYFUNCTION("""COMPUTED_VALUE"""),"CV. Adil Prima Perkasa")</f>
        <v>CV. Adil Prima Perkasa</v>
      </c>
      <c r="F296" s="67" t="str">
        <f>IFERROR(__xludf.DUMMYFUNCTION("""COMPUTED_VALUE"""),"HELPER MECHANIC MAINTENANCE")</f>
        <v>HELPER MECHANIC MAINTENANCE</v>
      </c>
      <c r="G296" s="67" t="str">
        <f>IFERROR(__xludf.DUMMYFUNCTION("""COMPUTED_VALUE"""),"WORKSHOP")</f>
        <v>WORKSHOP</v>
      </c>
      <c r="H296" s="67" t="str">
        <f>IFERROR(__xludf.DUMMYFUNCTION("""COMPUTED_VALUE"""),"[0102120144] JUFRY KOMALING")</f>
        <v>[0102120144] JUFRY KOMALING</v>
      </c>
      <c r="I296" s="69">
        <f>IFERROR(__xludf.DUMMYFUNCTION("""COMPUTED_VALUE"""),34508.0)</f>
        <v>34508</v>
      </c>
      <c r="J296" s="70" t="str">
        <f t="shared" si="1"/>
        <v>[202221596] MARSELUS JEMI</v>
      </c>
      <c r="K296" s="67"/>
      <c r="L296" s="67"/>
      <c r="M296" s="67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</row>
    <row r="297">
      <c r="A297" s="67">
        <f>IFERROR(__xludf.DUMMYFUNCTION("""COMPUTED_VALUE"""),2.06190939E8)</f>
        <v>206190939</v>
      </c>
      <c r="B297" s="67" t="str">
        <f>IFERROR(__xludf.DUMMYFUNCTION("""COMPUTED_VALUE"""),"MARSUKI")</f>
        <v>MARSUKI</v>
      </c>
      <c r="C297" s="67">
        <f>IFERROR(__xludf.DUMMYFUNCTION("""COMPUTED_VALUE"""),45.0)</f>
        <v>45</v>
      </c>
      <c r="D297" s="68" t="str">
        <f>IFERROR(__xludf.DUMMYFUNCTION("""COMPUTED_VALUE"""),"Islam")</f>
        <v>Islam</v>
      </c>
      <c r="E297" s="67" t="str">
        <f>IFERROR(__xludf.DUMMYFUNCTION("""COMPUTED_VALUE"""),"CV. Adil Prima Perkasa")</f>
        <v>CV. Adil Prima Perkasa</v>
      </c>
      <c r="F297" s="67" t="str">
        <f>IFERROR(__xludf.DUMMYFUNCTION("""COMPUTED_VALUE"""),"OPERATOR ADT")</f>
        <v>OPERATOR ADT</v>
      </c>
      <c r="G297" s="67" t="str">
        <f>IFERROR(__xludf.DUMMYFUNCTION("""COMPUTED_VALUE"""),"PRODUKSI")</f>
        <v>PRODUKSI</v>
      </c>
      <c r="H297" s="67" t="str">
        <f>IFERROR(__xludf.DUMMYFUNCTION("""COMPUTED_VALUE"""),"[0102130003] PURNAWAN")</f>
        <v>[0102130003] PURNAWAN</v>
      </c>
      <c r="I297" s="69"/>
      <c r="J297" s="70" t="str">
        <f t="shared" si="1"/>
        <v>[206190939] MARSUKI</v>
      </c>
      <c r="K297" s="67"/>
      <c r="L297" s="67"/>
      <c r="M297" s="67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</row>
    <row r="298">
      <c r="A298" s="67">
        <f>IFERROR(__xludf.DUMMYFUNCTION("""COMPUTED_VALUE"""),2.12221706E8)</f>
        <v>212221706</v>
      </c>
      <c r="B298" s="67" t="str">
        <f>IFERROR(__xludf.DUMMYFUNCTION("""COMPUTED_VALUE"""),"MARTHEN KALATIKU YUSAKA")</f>
        <v>MARTHEN KALATIKU YUSAKA</v>
      </c>
      <c r="C298" s="67">
        <f>IFERROR(__xludf.DUMMYFUNCTION("""COMPUTED_VALUE"""),0.0)</f>
        <v>0</v>
      </c>
      <c r="D298" s="68"/>
      <c r="E298" s="67" t="str">
        <f>IFERROR(__xludf.DUMMYFUNCTION("""COMPUTED_VALUE"""),"CV. Adil Prima Perkasa")</f>
        <v>CV. Adil Prima Perkasa</v>
      </c>
      <c r="F298" s="67" t="str">
        <f>IFERROR(__xludf.DUMMYFUNCTION("""COMPUTED_VALUE"""),"DRIVER LV")</f>
        <v>DRIVER LV</v>
      </c>
      <c r="G298" s="67" t="str">
        <f>IFERROR(__xludf.DUMMYFUNCTION("""COMPUTED_VALUE"""),"KENDARAAN &amp; UNIT SUPPORT")</f>
        <v>KENDARAAN &amp; UNIT SUPPORT</v>
      </c>
      <c r="H298" s="67" t="str">
        <f>IFERROR(__xludf.DUMMYFUNCTION("""COMPUTED_VALUE"""),"[0102150004] NAFTALI RARE'A, ST")</f>
        <v>[0102150004] NAFTALI RARE'A, ST</v>
      </c>
      <c r="I298" s="69"/>
      <c r="J298" s="70" t="str">
        <f t="shared" si="1"/>
        <v>[212221706] MARTHEN KALATIKU YUSAKA</v>
      </c>
      <c r="K298" s="67"/>
      <c r="L298" s="67"/>
      <c r="M298" s="67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</row>
    <row r="299">
      <c r="A299" s="67">
        <f>IFERROR(__xludf.DUMMYFUNCTION("""COMPUTED_VALUE"""),2.02201133E8)</f>
        <v>202201133</v>
      </c>
      <c r="B299" s="67" t="str">
        <f>IFERROR(__xludf.DUMMYFUNCTION("""COMPUTED_VALUE"""),"MARTHINUS")</f>
        <v>MARTHINUS</v>
      </c>
      <c r="C299" s="67">
        <f>IFERROR(__xludf.DUMMYFUNCTION("""COMPUTED_VALUE"""),48.0)</f>
        <v>48</v>
      </c>
      <c r="D299" s="68" t="str">
        <f>IFERROR(__xludf.DUMMYFUNCTION("""COMPUTED_VALUE"""),"Kristen Protestan")</f>
        <v>Kristen Protestan</v>
      </c>
      <c r="E299" s="67" t="str">
        <f>IFERROR(__xludf.DUMMYFUNCTION("""COMPUTED_VALUE"""),"CV. Adil Prima Perkasa")</f>
        <v>CV. Adil Prima Perkasa</v>
      </c>
      <c r="F299" s="67" t="str">
        <f>IFERROR(__xludf.DUMMYFUNCTION("""COMPUTED_VALUE"""),"OPERATOR COMPACTOR")</f>
        <v>OPERATOR COMPACTOR</v>
      </c>
      <c r="G299" s="67" t="str">
        <f>IFERROR(__xludf.DUMMYFUNCTION("""COMPUTED_VALUE"""),"PRODUKSI")</f>
        <v>PRODUKSI</v>
      </c>
      <c r="H299" s="67" t="str">
        <f>IFERROR(__xludf.DUMMYFUNCTION("""COMPUTED_VALUE"""),"[0102130003] PURNAWAN")</f>
        <v>[0102130003] PURNAWAN</v>
      </c>
      <c r="I299" s="69"/>
      <c r="J299" s="70" t="str">
        <f t="shared" si="1"/>
        <v>[202201133] MARTHINUS</v>
      </c>
      <c r="K299" s="67"/>
      <c r="L299" s="67"/>
      <c r="M299" s="67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</row>
    <row r="300">
      <c r="A300" s="67">
        <f>IFERROR(__xludf.DUMMYFUNCTION("""COMPUTED_VALUE"""),1.12211553E8)</f>
        <v>112211553</v>
      </c>
      <c r="B300" s="67" t="str">
        <f>IFERROR(__xludf.DUMMYFUNCTION("""COMPUTED_VALUE"""),"MARTINUS")</f>
        <v>MARTINUS</v>
      </c>
      <c r="C300" s="67">
        <f>IFERROR(__xludf.DUMMYFUNCTION("""COMPUTED_VALUE"""),49.0)</f>
        <v>49</v>
      </c>
      <c r="D300" s="68" t="str">
        <f>IFERROR(__xludf.DUMMYFUNCTION("""COMPUTED_VALUE"""),"Kristen Protestan")</f>
        <v>Kristen Protestan</v>
      </c>
      <c r="E300" s="67" t="str">
        <f>IFERROR(__xludf.DUMMYFUNCTION("""COMPUTED_VALUE"""),"CV. SENTOSA ABADI")</f>
        <v>CV. SENTOSA ABADI</v>
      </c>
      <c r="F300" s="67" t="str">
        <f>IFERROR(__xludf.DUMMYFUNCTION("""COMPUTED_VALUE"""),"OPERATOR COMPACTOR")</f>
        <v>OPERATOR COMPACTOR</v>
      </c>
      <c r="G300" s="67" t="str">
        <f>IFERROR(__xludf.DUMMYFUNCTION("""COMPUTED_VALUE"""),"PRODUKSI")</f>
        <v>PRODUKSI</v>
      </c>
      <c r="H300" s="67" t="str">
        <f>IFERROR(__xludf.DUMMYFUNCTION("""COMPUTED_VALUE"""),"FALSE")</f>
        <v>FALSE</v>
      </c>
      <c r="I300" s="69">
        <f>IFERROR(__xludf.DUMMYFUNCTION("""COMPUTED_VALUE"""),24067.0)</f>
        <v>24067</v>
      </c>
      <c r="J300" s="70" t="str">
        <f t="shared" si="1"/>
        <v>[112211553] MARTINUS</v>
      </c>
      <c r="K300" s="67"/>
      <c r="L300" s="67"/>
      <c r="M300" s="67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</row>
    <row r="301">
      <c r="A301" s="67">
        <f>IFERROR(__xludf.DUMMYFUNCTION("""COMPUTED_VALUE"""),1.03231738E8)</f>
        <v>103231738</v>
      </c>
      <c r="B301" s="67" t="str">
        <f>IFERROR(__xludf.DUMMYFUNCTION("""COMPUTED_VALUE"""),"MARYA SUSAN SIMBANGU")</f>
        <v>MARYA SUSAN SIMBANGU</v>
      </c>
      <c r="C301" s="67">
        <f>IFERROR(__xludf.DUMMYFUNCTION("""COMPUTED_VALUE"""),30.0)</f>
        <v>30</v>
      </c>
      <c r="D301" s="68" t="str">
        <f>IFERROR(__xludf.DUMMYFUNCTION("""COMPUTED_VALUE"""),"Kristen Protestan")</f>
        <v>Kristen Protestan</v>
      </c>
      <c r="E301" s="67" t="str">
        <f>IFERROR(__xludf.DUMMYFUNCTION("""COMPUTED_VALUE"""),"CV. SENTOSA ABADI")</f>
        <v>CV. SENTOSA ABADI</v>
      </c>
      <c r="F301" s="67" t="str">
        <f>IFERROR(__xludf.DUMMYFUNCTION("""COMPUTED_VALUE"""),"HEAD OF STOCKER")</f>
        <v>HEAD OF STOCKER</v>
      </c>
      <c r="G301" s="67" t="str">
        <f>IFERROR(__xludf.DUMMYFUNCTION("""COMPUTED_VALUE"""),"HRD &amp; GA")</f>
        <v>HRD &amp; GA</v>
      </c>
      <c r="H301" s="67" t="str">
        <f>IFERROR(__xludf.DUMMYFUNCTION("""COMPUTED_VALUE"""),"[0112201306] FROLIS LABIRO")</f>
        <v>[0112201306] FROLIS LABIRO</v>
      </c>
      <c r="I301" s="69"/>
      <c r="J301" s="70" t="str">
        <f t="shared" si="1"/>
        <v>[103231738] MARYA SUSAN SIMBANGU</v>
      </c>
      <c r="K301" s="67"/>
      <c r="L301" s="67"/>
      <c r="M301" s="6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</row>
    <row r="302">
      <c r="A302" s="67">
        <f>IFERROR(__xludf.DUMMYFUNCTION("""COMPUTED_VALUE"""),1.09231837E8)</f>
        <v>109231837</v>
      </c>
      <c r="B302" s="67" t="str">
        <f>IFERROR(__xludf.DUMMYFUNCTION("""COMPUTED_VALUE"""),"MAYKEL JULSINTO DEKE")</f>
        <v>MAYKEL JULSINTO DEKE</v>
      </c>
      <c r="C302" s="67">
        <f>IFERROR(__xludf.DUMMYFUNCTION("""COMPUTED_VALUE"""),26.0)</f>
        <v>26</v>
      </c>
      <c r="D302" s="68" t="str">
        <f>IFERROR(__xludf.DUMMYFUNCTION("""COMPUTED_VALUE"""),"Kristen Protestan")</f>
        <v>Kristen Protestan</v>
      </c>
      <c r="E302" s="67" t="str">
        <f>IFERROR(__xludf.DUMMYFUNCTION("""COMPUTED_VALUE"""),"CV. SENTOSA ABADI")</f>
        <v>CV. SENTOSA ABADI</v>
      </c>
      <c r="F302" s="67" t="str">
        <f>IFERROR(__xludf.DUMMYFUNCTION("""COMPUTED_VALUE"""),"DRIVER DT H500")</f>
        <v>DRIVER DT H500</v>
      </c>
      <c r="G302" s="67" t="str">
        <f>IFERROR(__xludf.DUMMYFUNCTION("""COMPUTED_VALUE"""),"KENDARAAN &amp; UNIT SUPPORT")</f>
        <v>KENDARAAN &amp; UNIT SUPPORT</v>
      </c>
      <c r="H302" s="67" t="str">
        <f>IFERROR(__xludf.DUMMYFUNCTION("""COMPUTED_VALUE"""),"[0102150004] NAFTALI RARE'A, ST")</f>
        <v>[0102150004] NAFTALI RARE'A, ST</v>
      </c>
      <c r="I302" s="69">
        <f>IFERROR(__xludf.DUMMYFUNCTION("""COMPUTED_VALUE"""),34839.0)</f>
        <v>34839</v>
      </c>
      <c r="J302" s="70" t="str">
        <f t="shared" si="1"/>
        <v>[109231837] MAYKEL JULSINTO DEKE</v>
      </c>
      <c r="K302" s="67"/>
      <c r="L302" s="67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</row>
    <row r="303">
      <c r="A303" s="67">
        <f>IFERROR(__xludf.DUMMYFUNCTION("""COMPUTED_VALUE"""),3.11200018E8)</f>
        <v>311200018</v>
      </c>
      <c r="B303" s="67" t="str">
        <f>IFERROR(__xludf.DUMMYFUNCTION("""COMPUTED_VALUE"""),"MELKHIOR TIPO")</f>
        <v>MELKHIOR TIPO</v>
      </c>
      <c r="C303" s="67">
        <f>IFERROR(__xludf.DUMMYFUNCTION("""COMPUTED_VALUE"""),40.0)</f>
        <v>40</v>
      </c>
      <c r="D303" s="68" t="str">
        <f>IFERROR(__xludf.DUMMYFUNCTION("""COMPUTED_VALUE"""),"Kristen Khatolik")</f>
        <v>Kristen Khatolik</v>
      </c>
      <c r="E303" s="67" t="str">
        <f>IFERROR(__xludf.DUMMYFUNCTION("""COMPUTED_VALUE"""),"CV. Monalisa")</f>
        <v>CV. Monalisa</v>
      </c>
      <c r="F303" s="67" t="str">
        <f>IFERROR(__xludf.DUMMYFUNCTION("""COMPUTED_VALUE"""),"OPERATOR BULLDOZER")</f>
        <v>OPERATOR BULLDOZER</v>
      </c>
      <c r="G303" s="67" t="str">
        <f>IFERROR(__xludf.DUMMYFUNCTION("""COMPUTED_VALUE"""),"PRODUKSI")</f>
        <v>PRODUKSI</v>
      </c>
      <c r="H303" s="67" t="str">
        <f>IFERROR(__xludf.DUMMYFUNCTION("""COMPUTED_VALUE"""),"FALSE")</f>
        <v>FALSE</v>
      </c>
      <c r="I303" s="69"/>
      <c r="J303" s="70" t="str">
        <f t="shared" si="1"/>
        <v>[311200018] MELKHIOR TIPO</v>
      </c>
      <c r="K303" s="67"/>
      <c r="L303" s="67"/>
      <c r="M303" s="67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</row>
    <row r="304">
      <c r="A304" s="67">
        <f>IFERROR(__xludf.DUMMYFUNCTION("""COMPUTED_VALUE"""),2.04231749E8)</f>
        <v>204231749</v>
      </c>
      <c r="B304" s="67" t="str">
        <f>IFERROR(__xludf.DUMMYFUNCTION("""COMPUTED_VALUE"""),"MICHAEL JONAS THOMPSON FREDHYK KARUNDENG")</f>
        <v>MICHAEL JONAS THOMPSON FREDHYK KARUNDENG</v>
      </c>
      <c r="C304" s="67">
        <f>IFERROR(__xludf.DUMMYFUNCTION("""COMPUTED_VALUE"""),40.0)</f>
        <v>40</v>
      </c>
      <c r="D304" s="68" t="str">
        <f>IFERROR(__xludf.DUMMYFUNCTION("""COMPUTED_VALUE"""),"Kristen Khatolik")</f>
        <v>Kristen Khatolik</v>
      </c>
      <c r="E304" s="67" t="str">
        <f>IFERROR(__xludf.DUMMYFUNCTION("""COMPUTED_VALUE"""),"CV. Adil Prima Perkasa")</f>
        <v>CV. Adil Prima Perkasa</v>
      </c>
      <c r="F304" s="67" t="str">
        <f>IFERROR(__xludf.DUMMYFUNCTION("""COMPUTED_VALUE"""),"DRIVER DT H700ZS")</f>
        <v>DRIVER DT H700ZS</v>
      </c>
      <c r="G304" s="67" t="str">
        <f>IFERROR(__xludf.DUMMYFUNCTION("""COMPUTED_VALUE"""),"KENDARAAN &amp; UNIT SUPPORT")</f>
        <v>KENDARAAN &amp; UNIT SUPPORT</v>
      </c>
      <c r="H304" s="67" t="str">
        <f>IFERROR(__xludf.DUMMYFUNCTION("""COMPUTED_VALUE"""),"[0102150004] NAFTALI RARE'A, ST")</f>
        <v>[0102150004] NAFTALI RARE'A, ST</v>
      </c>
      <c r="I304" s="69">
        <f>IFERROR(__xludf.DUMMYFUNCTION("""COMPUTED_VALUE"""),31703.0)</f>
        <v>31703</v>
      </c>
      <c r="J304" s="70" t="str">
        <f t="shared" si="1"/>
        <v>[204231749] MICHAEL JONAS THOMPSON FREDHYK KARUNDENG</v>
      </c>
      <c r="K304" s="67"/>
      <c r="L304" s="67"/>
      <c r="M304" s="67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</row>
    <row r="305">
      <c r="A305" s="67">
        <f>IFERROR(__xludf.DUMMYFUNCTION("""COMPUTED_VALUE"""),1.12201318E8)</f>
        <v>112201318</v>
      </c>
      <c r="B305" s="67" t="str">
        <f>IFERROR(__xludf.DUMMYFUNCTION("""COMPUTED_VALUE"""),"MIDUN HULOPI")</f>
        <v>MIDUN HULOPI</v>
      </c>
      <c r="C305" s="67">
        <f>IFERROR(__xludf.DUMMYFUNCTION("""COMPUTED_VALUE"""),49.0)</f>
        <v>49</v>
      </c>
      <c r="D305" s="68" t="str">
        <f>IFERROR(__xludf.DUMMYFUNCTION("""COMPUTED_VALUE"""),"Islam")</f>
        <v>Islam</v>
      </c>
      <c r="E305" s="67" t="str">
        <f>IFERROR(__xludf.DUMMYFUNCTION("""COMPUTED_VALUE"""),"CV. SENTOSA ABADI")</f>
        <v>CV. SENTOSA ABADI</v>
      </c>
      <c r="F305" s="67" t="str">
        <f>IFERROR(__xludf.DUMMYFUNCTION("""COMPUTED_VALUE"""),"DRIVER DT H700ZS")</f>
        <v>DRIVER DT H700ZS</v>
      </c>
      <c r="G305" s="67" t="str">
        <f>IFERROR(__xludf.DUMMYFUNCTION("""COMPUTED_VALUE"""),"KENDARAAN &amp; UNIT SUPPORT")</f>
        <v>KENDARAAN &amp; UNIT SUPPORT</v>
      </c>
      <c r="H305" s="67" t="str">
        <f>IFERROR(__xludf.DUMMYFUNCTION("""COMPUTED_VALUE"""),"[0102150004] NAFTALI RARE'A, ST")</f>
        <v>[0102150004] NAFTALI RARE'A, ST</v>
      </c>
      <c r="I305" s="69"/>
      <c r="J305" s="70" t="str">
        <f t="shared" si="1"/>
        <v>[112201318] MIDUN HULOPI</v>
      </c>
      <c r="K305" s="67"/>
      <c r="L305" s="67"/>
      <c r="M305" s="67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</row>
    <row r="306">
      <c r="A306" s="67">
        <f>IFERROR(__xludf.DUMMYFUNCTION("""COMPUTED_VALUE"""),1.08160013E8)</f>
        <v>108160013</v>
      </c>
      <c r="B306" s="67" t="str">
        <f>IFERROR(__xludf.DUMMYFUNCTION("""COMPUTED_VALUE"""),"MIFTAHUDDIN, ST")</f>
        <v>MIFTAHUDDIN, ST</v>
      </c>
      <c r="C306" s="67">
        <f>IFERROR(__xludf.DUMMYFUNCTION("""COMPUTED_VALUE"""),44.0)</f>
        <v>44</v>
      </c>
      <c r="D306" s="68" t="str">
        <f>IFERROR(__xludf.DUMMYFUNCTION("""COMPUTED_VALUE"""),"Islam")</f>
        <v>Islam</v>
      </c>
      <c r="E306" s="67" t="str">
        <f>IFERROR(__xludf.DUMMYFUNCTION("""COMPUTED_VALUE"""),"CV. SENTOSA ABADI")</f>
        <v>CV. SENTOSA ABADI</v>
      </c>
      <c r="F306" s="67" t="str">
        <f>IFERROR(__xludf.DUMMYFUNCTION("""COMPUTED_VALUE"""),"FOREMAN PRODUKSI")</f>
        <v>FOREMAN PRODUKSI</v>
      </c>
      <c r="G306" s="67" t="str">
        <f>IFERROR(__xludf.DUMMYFUNCTION("""COMPUTED_VALUE"""),"PRODUKSI")</f>
        <v>PRODUKSI</v>
      </c>
      <c r="H306" s="67" t="str">
        <f>IFERROR(__xludf.DUMMYFUNCTION("""COMPUTED_VALUE"""),"[0102130003] PURNAWAN")</f>
        <v>[0102130003] PURNAWAN</v>
      </c>
      <c r="I306" s="69"/>
      <c r="J306" s="70" t="str">
        <f t="shared" si="1"/>
        <v>[108160013] MIFTAHUDDIN, ST</v>
      </c>
      <c r="K306" s="67"/>
      <c r="L306" s="67"/>
      <c r="M306" s="67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</row>
    <row r="307">
      <c r="A307" s="67">
        <f>IFERROR(__xludf.DUMMYFUNCTION("""COMPUTED_VALUE"""),2.0219077E8)</f>
        <v>202190770</v>
      </c>
      <c r="B307" s="67" t="str">
        <f>IFERROR(__xludf.DUMMYFUNCTION("""COMPUTED_VALUE"""),"MILTO ASTEFANO MAGANIA")</f>
        <v>MILTO ASTEFANO MAGANIA</v>
      </c>
      <c r="C307" s="67">
        <f>IFERROR(__xludf.DUMMYFUNCTION("""COMPUTED_VALUE"""),33.0)</f>
        <v>33</v>
      </c>
      <c r="D307" s="68" t="str">
        <f>IFERROR(__xludf.DUMMYFUNCTION("""COMPUTED_VALUE"""),"Islam")</f>
        <v>Islam</v>
      </c>
      <c r="E307" s="67" t="str">
        <f>IFERROR(__xludf.DUMMYFUNCTION("""COMPUTED_VALUE"""),"CV. Adil Prima Perkasa")</f>
        <v>CV. Adil Prima Perkasa</v>
      </c>
      <c r="F307" s="67" t="str">
        <f>IFERROR(__xludf.DUMMYFUNCTION("""COMPUTED_VALUE"""),"OPERATOR BULLDOZER")</f>
        <v>OPERATOR BULLDOZER</v>
      </c>
      <c r="G307" s="67" t="str">
        <f>IFERROR(__xludf.DUMMYFUNCTION("""COMPUTED_VALUE"""),"PRODUKSI")</f>
        <v>PRODUKSI</v>
      </c>
      <c r="H307" s="67" t="str">
        <f>IFERROR(__xludf.DUMMYFUNCTION("""COMPUTED_VALUE"""),"[0102130003] PURNAWAN")</f>
        <v>[0102130003] PURNAWAN</v>
      </c>
      <c r="I307" s="69"/>
      <c r="J307" s="70" t="str">
        <f t="shared" si="1"/>
        <v>[202190770] MILTO ASTEFANO MAGANIA</v>
      </c>
      <c r="K307" s="67"/>
      <c r="L307" s="67"/>
      <c r="M307" s="67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</row>
    <row r="308">
      <c r="A308" s="67">
        <f>IFERROR(__xludf.DUMMYFUNCTION("""COMPUTED_VALUE"""),1.04211387E8)</f>
        <v>104211387</v>
      </c>
      <c r="B308" s="67" t="str">
        <f>IFERROR(__xludf.DUMMYFUNCTION("""COMPUTED_VALUE"""),"MIRZAL")</f>
        <v>MIRZAL</v>
      </c>
      <c r="C308" s="67">
        <f>IFERROR(__xludf.DUMMYFUNCTION("""COMPUTED_VALUE"""),42.0)</f>
        <v>42</v>
      </c>
      <c r="D308" s="68" t="str">
        <f>IFERROR(__xludf.DUMMYFUNCTION("""COMPUTED_VALUE"""),"Islam")</f>
        <v>Islam</v>
      </c>
      <c r="E308" s="67" t="str">
        <f>IFERROR(__xludf.DUMMYFUNCTION("""COMPUTED_VALUE"""),"CV. SENTOSA ABADI")</f>
        <v>CV. SENTOSA ABADI</v>
      </c>
      <c r="F308" s="67" t="str">
        <f>IFERROR(__xludf.DUMMYFUNCTION("""COMPUTED_VALUE"""),"MEKANIK")</f>
        <v>MEKANIK</v>
      </c>
      <c r="G308" s="67" t="str">
        <f>IFERROR(__xludf.DUMMYFUNCTION("""COMPUTED_VALUE"""),"WORKSHOP")</f>
        <v>WORKSHOP</v>
      </c>
      <c r="H308" s="67" t="str">
        <f>IFERROR(__xludf.DUMMYFUNCTION("""COMPUTED_VALUE"""),"[0106190928] NATAN KONDO")</f>
        <v>[0106190928] NATAN KONDO</v>
      </c>
      <c r="I308" s="69"/>
      <c r="J308" s="70" t="str">
        <f t="shared" si="1"/>
        <v>[104211387] MIRZAL</v>
      </c>
      <c r="K308" s="67"/>
      <c r="L308" s="67"/>
      <c r="M308" s="67"/>
      <c r="N308" s="67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</row>
    <row r="309">
      <c r="A309" s="67">
        <f>IFERROR(__xludf.DUMMYFUNCTION("""COMPUTED_VALUE"""),1.10211507E8)</f>
        <v>110211507</v>
      </c>
      <c r="B309" s="67" t="str">
        <f>IFERROR(__xludf.DUMMYFUNCTION("""COMPUTED_VALUE"""),"MOCHAMMAD SOEBARQAH ANDI PASO")</f>
        <v>MOCHAMMAD SOEBARQAH ANDI PASO</v>
      </c>
      <c r="C309" s="67">
        <f>IFERROR(__xludf.DUMMYFUNCTION("""COMPUTED_VALUE"""),30.0)</f>
        <v>30</v>
      </c>
      <c r="D309" s="68" t="str">
        <f>IFERROR(__xludf.DUMMYFUNCTION("""COMPUTED_VALUE"""),"Islam")</f>
        <v>Islam</v>
      </c>
      <c r="E309" s="67" t="str">
        <f>IFERROR(__xludf.DUMMYFUNCTION("""COMPUTED_VALUE"""),"CV. SENTOSA ABADI")</f>
        <v>CV. SENTOSA ABADI</v>
      </c>
      <c r="F309" s="67" t="str">
        <f>IFERROR(__xludf.DUMMYFUNCTION("""COMPUTED_VALUE"""),"FOREMAN KENDARAAN")</f>
        <v>FOREMAN KENDARAAN</v>
      </c>
      <c r="G309" s="67" t="str">
        <f>IFERROR(__xludf.DUMMYFUNCTION("""COMPUTED_VALUE"""),"KENDARAAN &amp; UNIT SUPPORT")</f>
        <v>KENDARAAN &amp; UNIT SUPPORT</v>
      </c>
      <c r="H309" s="67" t="str">
        <f>IFERROR(__xludf.DUMMYFUNCTION("""COMPUTED_VALUE"""),"[0102150004] NAFTALI RARE'A, ST")</f>
        <v>[0102150004] NAFTALI RARE'A, ST</v>
      </c>
      <c r="I309" s="69"/>
      <c r="J309" s="70" t="str">
        <f t="shared" si="1"/>
        <v>[110211507] MOCHAMMAD SOEBARQAH ANDI PASO</v>
      </c>
      <c r="K309" s="67"/>
      <c r="L309" s="67"/>
      <c r="M309" s="6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</row>
    <row r="310">
      <c r="A310" s="67">
        <f>IFERROR(__xludf.DUMMYFUNCTION("""COMPUTED_VALUE"""),2.0524192E8)</f>
        <v>205241920</v>
      </c>
      <c r="B310" s="67" t="str">
        <f>IFERROR(__xludf.DUMMYFUNCTION("""COMPUTED_VALUE"""),"MOH FEBRIANSYAH")</f>
        <v>MOH FEBRIANSYAH</v>
      </c>
      <c r="C310" s="67">
        <f>IFERROR(__xludf.DUMMYFUNCTION("""COMPUTED_VALUE"""),0.0)</f>
        <v>0</v>
      </c>
      <c r="D310" s="68"/>
      <c r="E310" s="67" t="str">
        <f>IFERROR(__xludf.DUMMYFUNCTION("""COMPUTED_VALUE"""),"CV. Adil Prima Perkasa")</f>
        <v>CV. Adil Prima Perkasa</v>
      </c>
      <c r="F310" s="67" t="str">
        <f>IFERROR(__xludf.DUMMYFUNCTION("""COMPUTED_VALUE"""),"HELPER TYRE")</f>
        <v>HELPER TYRE</v>
      </c>
      <c r="G310" s="67" t="str">
        <f>IFERROR(__xludf.DUMMYFUNCTION("""COMPUTED_VALUE"""),"WORKSHOP")</f>
        <v>WORKSHOP</v>
      </c>
      <c r="H310" s="67" t="str">
        <f>IFERROR(__xludf.DUMMYFUNCTION("""COMPUTED_VALUE"""),"[0106190928] NATAN KONDO")</f>
        <v>[0106190928] NATAN KONDO</v>
      </c>
      <c r="I310" s="69"/>
      <c r="J310" s="70" t="str">
        <f t="shared" si="1"/>
        <v>[205241920] MOH FEBRIANSYAH</v>
      </c>
      <c r="K310" s="67"/>
      <c r="L310" s="67"/>
      <c r="M310" s="67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</row>
    <row r="311">
      <c r="A311" s="67">
        <f>IFERROR(__xludf.DUMMYFUNCTION("""COMPUTED_VALUE"""),2.06221645E8)</f>
        <v>206221645</v>
      </c>
      <c r="B311" s="67" t="str">
        <f>IFERROR(__xludf.DUMMYFUNCTION("""COMPUTED_VALUE"""),"MOH. FARDIANSAH")</f>
        <v>MOH. FARDIANSAH</v>
      </c>
      <c r="C311" s="67">
        <f>IFERROR(__xludf.DUMMYFUNCTION("""COMPUTED_VALUE"""),26.0)</f>
        <v>26</v>
      </c>
      <c r="D311" s="68" t="str">
        <f>IFERROR(__xludf.DUMMYFUNCTION("""COMPUTED_VALUE"""),"Islam")</f>
        <v>Islam</v>
      </c>
      <c r="E311" s="67" t="str">
        <f>IFERROR(__xludf.DUMMYFUNCTION("""COMPUTED_VALUE"""),"CV. Adil Prima Perkasa")</f>
        <v>CV. Adil Prima Perkasa</v>
      </c>
      <c r="F311" s="67" t="str">
        <f>IFERROR(__xludf.DUMMYFUNCTION("""COMPUTED_VALUE"""),"ASISTEN FOREMAN KENDARAAN")</f>
        <v>ASISTEN FOREMAN KENDARAAN</v>
      </c>
      <c r="G311" s="67" t="str">
        <f>IFERROR(__xludf.DUMMYFUNCTION("""COMPUTED_VALUE"""),"KENDARAAN &amp; UNIT SUPPORT")</f>
        <v>KENDARAAN &amp; UNIT SUPPORT</v>
      </c>
      <c r="H311" s="67" t="str">
        <f>IFERROR(__xludf.DUMMYFUNCTION("""COMPUTED_VALUE"""),"[0102150004] NAFTALI RARE'A, ST")</f>
        <v>[0102150004] NAFTALI RARE'A, ST</v>
      </c>
      <c r="I311" s="69"/>
      <c r="J311" s="70" t="str">
        <f t="shared" si="1"/>
        <v>[206221645] MOH. FARDIANSAH</v>
      </c>
      <c r="K311" s="67"/>
      <c r="L311" s="67"/>
      <c r="M311" s="67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</row>
    <row r="312">
      <c r="A312" s="67">
        <f>IFERROR(__xludf.DUMMYFUNCTION("""COMPUTED_VALUE"""),2.12211548E8)</f>
        <v>212211548</v>
      </c>
      <c r="B312" s="67" t="str">
        <f>IFERROR(__xludf.DUMMYFUNCTION("""COMPUTED_VALUE"""),"MOH. RAMADHAN")</f>
        <v>MOH. RAMADHAN</v>
      </c>
      <c r="C312" s="67">
        <f>IFERROR(__xludf.DUMMYFUNCTION("""COMPUTED_VALUE"""),34.0)</f>
        <v>34</v>
      </c>
      <c r="D312" s="68" t="str">
        <f>IFERROR(__xludf.DUMMYFUNCTION("""COMPUTED_VALUE"""),"Islam")</f>
        <v>Islam</v>
      </c>
      <c r="E312" s="67" t="str">
        <f>IFERROR(__xludf.DUMMYFUNCTION("""COMPUTED_VALUE"""),"CV. Adil Prima Perkasa")</f>
        <v>CV. Adil Prima Perkasa</v>
      </c>
      <c r="F312" s="67" t="str">
        <f>IFERROR(__xludf.DUMMYFUNCTION("""COMPUTED_VALUE"""),"DRIVER DT H700ZY")</f>
        <v>DRIVER DT H700ZY</v>
      </c>
      <c r="G312" s="67" t="str">
        <f>IFERROR(__xludf.DUMMYFUNCTION("""COMPUTED_VALUE"""),"KENDARAAN &amp; UNIT SUPPORT")</f>
        <v>KENDARAAN &amp; UNIT SUPPORT</v>
      </c>
      <c r="H312" s="67" t="str">
        <f>IFERROR(__xludf.DUMMYFUNCTION("""COMPUTED_VALUE"""),"[0102150004] NAFTALI RARE'A, ST")</f>
        <v>[0102150004] NAFTALI RARE'A, ST</v>
      </c>
      <c r="I312" s="69"/>
      <c r="J312" s="70" t="str">
        <f t="shared" si="1"/>
        <v>[212211548] MOH. RAMADHAN</v>
      </c>
      <c r="K312" s="67"/>
      <c r="L312" s="67"/>
      <c r="M312" s="67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</row>
    <row r="313">
      <c r="A313" s="67">
        <f>IFERROR(__xludf.DUMMYFUNCTION("""COMPUTED_VALUE"""),2.08231818E8)</f>
        <v>208231818</v>
      </c>
      <c r="B313" s="67" t="str">
        <f>IFERROR(__xludf.DUMMYFUNCTION("""COMPUTED_VALUE"""),"MOHAMMAD RUDITO WIDAGDO")</f>
        <v>MOHAMMAD RUDITO WIDAGDO</v>
      </c>
      <c r="C313" s="67">
        <f>IFERROR(__xludf.DUMMYFUNCTION("""COMPUTED_VALUE"""),49.0)</f>
        <v>49</v>
      </c>
      <c r="D313" s="68" t="str">
        <f>IFERROR(__xludf.DUMMYFUNCTION("""COMPUTED_VALUE"""),"Islam")</f>
        <v>Islam</v>
      </c>
      <c r="E313" s="67" t="str">
        <f>IFERROR(__xludf.DUMMYFUNCTION("""COMPUTED_VALUE"""),"CV. Adil Prima Perkasa")</f>
        <v>CV. Adil Prima Perkasa</v>
      </c>
      <c r="F313" s="67" t="str">
        <f>IFERROR(__xludf.DUMMYFUNCTION("""COMPUTED_VALUE"""),"DEPUTY PM SUPPORT")</f>
        <v>DEPUTY PM SUPPORT</v>
      </c>
      <c r="G313" s="67" t="str">
        <f>IFERROR(__xludf.DUMMYFUNCTION("""COMPUTED_VALUE"""),"PROJECT MANAGER")</f>
        <v>PROJECT MANAGER</v>
      </c>
      <c r="H313" s="67" t="str">
        <f>IFERROR(__xludf.DUMMYFUNCTION("""COMPUTED_VALUE"""),"FALSE")</f>
        <v>FALSE</v>
      </c>
      <c r="I313" s="69"/>
      <c r="J313" s="70" t="str">
        <f t="shared" si="1"/>
        <v>[208231818] MOHAMMAD RUDITO WIDAGDO</v>
      </c>
      <c r="K313" s="67"/>
      <c r="L313" s="67"/>
      <c r="M313" s="67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</row>
    <row r="314">
      <c r="A314" s="67">
        <f>IFERROR(__xludf.DUMMYFUNCTION("""COMPUTED_VALUE"""),2.10170666E8)</f>
        <v>210170666</v>
      </c>
      <c r="B314" s="67" t="str">
        <f>IFERROR(__xludf.DUMMYFUNCTION("""COMPUTED_VALUE"""),"MOSES ALO")</f>
        <v>MOSES ALO</v>
      </c>
      <c r="C314" s="67">
        <f>IFERROR(__xludf.DUMMYFUNCTION("""COMPUTED_VALUE"""),35.0)</f>
        <v>35</v>
      </c>
      <c r="D314" s="68" t="str">
        <f>IFERROR(__xludf.DUMMYFUNCTION("""COMPUTED_VALUE"""),"Kristen Protestan")</f>
        <v>Kristen Protestan</v>
      </c>
      <c r="E314" s="67" t="str">
        <f>IFERROR(__xludf.DUMMYFUNCTION("""COMPUTED_VALUE"""),"CV. Adil Prima Perkasa")</f>
        <v>CV. Adil Prima Perkasa</v>
      </c>
      <c r="F314" s="67" t="str">
        <f>IFERROR(__xludf.DUMMYFUNCTION("""COMPUTED_VALUE"""),"FOREMAN PRODUKSI")</f>
        <v>FOREMAN PRODUKSI</v>
      </c>
      <c r="G314" s="67" t="str">
        <f>IFERROR(__xludf.DUMMYFUNCTION("""COMPUTED_VALUE"""),"PRODUKSI")</f>
        <v>PRODUKSI</v>
      </c>
      <c r="H314" s="67" t="str">
        <f>IFERROR(__xludf.DUMMYFUNCTION("""COMPUTED_VALUE"""),"[0102130003] PURNAWAN")</f>
        <v>[0102130003] PURNAWAN</v>
      </c>
      <c r="I314" s="69">
        <f>IFERROR(__xludf.DUMMYFUNCTION("""COMPUTED_VALUE"""),33127.0)</f>
        <v>33127</v>
      </c>
      <c r="J314" s="70" t="str">
        <f t="shared" si="1"/>
        <v>[210170666] MOSES ALO</v>
      </c>
      <c r="K314" s="67"/>
      <c r="L314" s="67"/>
      <c r="M314" s="67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</row>
    <row r="315">
      <c r="A315" s="67">
        <f>IFERROR(__xludf.DUMMYFUNCTION("""COMPUTED_VALUE"""),1.10231842E8)</f>
        <v>110231842</v>
      </c>
      <c r="B315" s="67" t="str">
        <f>IFERROR(__xludf.DUMMYFUNCTION("""COMPUTED_VALUE"""),"MUCHLIS")</f>
        <v>MUCHLIS</v>
      </c>
      <c r="C315" s="67">
        <f>IFERROR(__xludf.DUMMYFUNCTION("""COMPUTED_VALUE"""),42.0)</f>
        <v>42</v>
      </c>
      <c r="D315" s="68" t="str">
        <f>IFERROR(__xludf.DUMMYFUNCTION("""COMPUTED_VALUE"""),"Islam")</f>
        <v>Islam</v>
      </c>
      <c r="E315" s="67" t="str">
        <f>IFERROR(__xludf.DUMMYFUNCTION("""COMPUTED_VALUE"""),"CV. SENTOSA ABADI")</f>
        <v>CV. SENTOSA ABADI</v>
      </c>
      <c r="F315" s="67" t="str">
        <f>IFERROR(__xludf.DUMMYFUNCTION("""COMPUTED_VALUE"""),"DRIVER DT H500")</f>
        <v>DRIVER DT H500</v>
      </c>
      <c r="G315" s="67" t="str">
        <f>IFERROR(__xludf.DUMMYFUNCTION("""COMPUTED_VALUE"""),"KENDARAAN &amp; UNIT SUPPORT")</f>
        <v>KENDARAAN &amp; UNIT SUPPORT</v>
      </c>
      <c r="H315" s="67" t="str">
        <f>IFERROR(__xludf.DUMMYFUNCTION("""COMPUTED_VALUE"""),"[0102150004] NAFTALI RARE'A, ST")</f>
        <v>[0102150004] NAFTALI RARE'A, ST</v>
      </c>
      <c r="I315" s="69">
        <f>IFERROR(__xludf.DUMMYFUNCTION("""COMPUTED_VALUE"""),30599.0)</f>
        <v>30599</v>
      </c>
      <c r="J315" s="70" t="str">
        <f t="shared" si="1"/>
        <v>[110231842] MUCHLIS</v>
      </c>
      <c r="K315" s="67"/>
      <c r="L315" s="67"/>
      <c r="M315" s="67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</row>
    <row r="316">
      <c r="A316" s="67">
        <f>IFERROR(__xludf.DUMMYFUNCTION("""COMPUTED_VALUE"""),2.03241902E8)</f>
        <v>203241902</v>
      </c>
      <c r="B316" s="67" t="str">
        <f>IFERROR(__xludf.DUMMYFUNCTION("""COMPUTED_VALUE"""),"MUH ARIF")</f>
        <v>MUH ARIF</v>
      </c>
      <c r="C316" s="67">
        <f>IFERROR(__xludf.DUMMYFUNCTION("""COMPUTED_VALUE"""),0.0)</f>
        <v>0</v>
      </c>
      <c r="D316" s="68"/>
      <c r="E316" s="67" t="str">
        <f>IFERROR(__xludf.DUMMYFUNCTION("""COMPUTED_VALUE"""),"CV. Adil Prima Perkasa")</f>
        <v>CV. Adil Prima Perkasa</v>
      </c>
      <c r="F316" s="67" t="str">
        <f>IFERROR(__xludf.DUMMYFUNCTION("""COMPUTED_VALUE"""),"HELPER TYRE")</f>
        <v>HELPER TYRE</v>
      </c>
      <c r="G316" s="67" t="str">
        <f>IFERROR(__xludf.DUMMYFUNCTION("""COMPUTED_VALUE"""),"FALSE")</f>
        <v>FALSE</v>
      </c>
      <c r="H316" s="67" t="str">
        <f>IFERROR(__xludf.DUMMYFUNCTION("""COMPUTED_VALUE"""),"FALSE")</f>
        <v>FALSE</v>
      </c>
      <c r="I316" s="69"/>
      <c r="J316" s="70" t="str">
        <f t="shared" si="1"/>
        <v>[203241902] MUH ARIF</v>
      </c>
      <c r="K316" s="67"/>
      <c r="L316" s="67"/>
      <c r="M316" s="67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</row>
    <row r="317">
      <c r="A317" s="67">
        <f>IFERROR(__xludf.DUMMYFUNCTION("""COMPUTED_VALUE"""),2.0523177E8)</f>
        <v>205231770</v>
      </c>
      <c r="B317" s="67" t="str">
        <f>IFERROR(__xludf.DUMMYFUNCTION("""COMPUTED_VALUE"""),"MUH ARIF DG NOMBONG")</f>
        <v>MUH ARIF DG NOMBONG</v>
      </c>
      <c r="C317" s="67">
        <f>IFERROR(__xludf.DUMMYFUNCTION("""COMPUTED_VALUE"""),41.0)</f>
        <v>41</v>
      </c>
      <c r="D317" s="68" t="str">
        <f>IFERROR(__xludf.DUMMYFUNCTION("""COMPUTED_VALUE"""),"Islam")</f>
        <v>Islam</v>
      </c>
      <c r="E317" s="67" t="str">
        <f>IFERROR(__xludf.DUMMYFUNCTION("""COMPUTED_VALUE"""),"CV. Adil Prima Perkasa")</f>
        <v>CV. Adil Prima Perkasa</v>
      </c>
      <c r="F317" s="67" t="str">
        <f>IFERROR(__xludf.DUMMYFUNCTION("""COMPUTED_VALUE"""),"OPERATOR ADT")</f>
        <v>OPERATOR ADT</v>
      </c>
      <c r="G317" s="67" t="str">
        <f>IFERROR(__xludf.DUMMYFUNCTION("""COMPUTED_VALUE"""),"PRODUKSI")</f>
        <v>PRODUKSI</v>
      </c>
      <c r="H317" s="67" t="str">
        <f>IFERROR(__xludf.DUMMYFUNCTION("""COMPUTED_VALUE"""),"[0102130003] PURNAWAN")</f>
        <v>[0102130003] PURNAWAN</v>
      </c>
      <c r="I317" s="69"/>
      <c r="J317" s="70" t="str">
        <f t="shared" si="1"/>
        <v>[205231770] MUH ARIF DG NOMBONG</v>
      </c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</row>
    <row r="318">
      <c r="A318" s="67">
        <f>IFERROR(__xludf.DUMMYFUNCTION("""COMPUTED_VALUE"""),2.01221568E8)</f>
        <v>201221568</v>
      </c>
      <c r="B318" s="67" t="str">
        <f>IFERROR(__xludf.DUMMYFUNCTION("""COMPUTED_VALUE"""),"MUH IQRAM NUR")</f>
        <v>MUH IQRAM NUR</v>
      </c>
      <c r="C318" s="67">
        <f>IFERROR(__xludf.DUMMYFUNCTION("""COMPUTED_VALUE"""),25.0)</f>
        <v>25</v>
      </c>
      <c r="D318" s="68" t="str">
        <f>IFERROR(__xludf.DUMMYFUNCTION("""COMPUTED_VALUE"""),"Islam")</f>
        <v>Islam</v>
      </c>
      <c r="E318" s="67" t="str">
        <f>IFERROR(__xludf.DUMMYFUNCTION("""COMPUTED_VALUE"""),"CV. Adil Prima Perkasa")</f>
        <v>CV. Adil Prima Perkasa</v>
      </c>
      <c r="F318" s="67" t="str">
        <f>IFERROR(__xludf.DUMMYFUNCTION("""COMPUTED_VALUE"""),"DRIVER DT H700ZS")</f>
        <v>DRIVER DT H700ZS</v>
      </c>
      <c r="G318" s="67" t="str">
        <f>IFERROR(__xludf.DUMMYFUNCTION("""COMPUTED_VALUE"""),"KENDARAAN &amp; UNIT SUPPORT")</f>
        <v>KENDARAAN &amp; UNIT SUPPORT</v>
      </c>
      <c r="H318" s="67" t="str">
        <f>IFERROR(__xludf.DUMMYFUNCTION("""COMPUTED_VALUE"""),"[0102150004] NAFTALI RARE'A, ST")</f>
        <v>[0102150004] NAFTALI RARE'A, ST</v>
      </c>
      <c r="I318" s="69"/>
      <c r="J318" s="70" t="str">
        <f t="shared" si="1"/>
        <v>[201221568] MUH IQRAM NUR</v>
      </c>
      <c r="K318" s="67"/>
      <c r="L318" s="67"/>
      <c r="M318" s="67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</row>
    <row r="319">
      <c r="A319" s="67">
        <f>IFERROR(__xludf.DUMMYFUNCTION("""COMPUTED_VALUE"""),2.05241924E8)</f>
        <v>205241924</v>
      </c>
      <c r="B319" s="67" t="str">
        <f>IFERROR(__xludf.DUMMYFUNCTION("""COMPUTED_VALUE"""),"MUH SYAFAAT")</f>
        <v>MUH SYAFAAT</v>
      </c>
      <c r="C319" s="67">
        <f>IFERROR(__xludf.DUMMYFUNCTION("""COMPUTED_VALUE"""),30.0)</f>
        <v>30</v>
      </c>
      <c r="D319" s="68" t="str">
        <f>IFERROR(__xludf.DUMMYFUNCTION("""COMPUTED_VALUE"""),"Islam")</f>
        <v>Islam</v>
      </c>
      <c r="E319" s="67" t="str">
        <f>IFERROR(__xludf.DUMMYFUNCTION("""COMPUTED_VALUE"""),"CV. Adil Prima Perkasa")</f>
        <v>CV. Adil Prima Perkasa</v>
      </c>
      <c r="F319" s="67" t="str">
        <f>IFERROR(__xludf.DUMMYFUNCTION("""COMPUTED_VALUE"""),"HELPER TYRE")</f>
        <v>HELPER TYRE</v>
      </c>
      <c r="G319" s="67" t="str">
        <f>IFERROR(__xludf.DUMMYFUNCTION("""COMPUTED_VALUE"""),"WORKSHOP")</f>
        <v>WORKSHOP</v>
      </c>
      <c r="H319" s="67" t="str">
        <f>IFERROR(__xludf.DUMMYFUNCTION("""COMPUTED_VALUE"""),"[0106190928] NATAN KONDO")</f>
        <v>[0106190928] NATAN KONDO</v>
      </c>
      <c r="I319" s="69"/>
      <c r="J319" s="70" t="str">
        <f t="shared" si="1"/>
        <v>[205241924] MUH SYAFAAT</v>
      </c>
      <c r="K319" s="67"/>
      <c r="L319" s="67"/>
      <c r="M319" s="67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</row>
    <row r="320">
      <c r="A320" s="67">
        <f>IFERROR(__xludf.DUMMYFUNCTION("""COMPUTED_VALUE"""),1.10211521E8)</f>
        <v>110211521</v>
      </c>
      <c r="B320" s="67" t="str">
        <f>IFERROR(__xludf.DUMMYFUNCTION("""COMPUTED_VALUE"""),"MUH TAUFIK PARINGKUAN")</f>
        <v>MUH TAUFIK PARINGKUAN</v>
      </c>
      <c r="C320" s="67">
        <f>IFERROR(__xludf.DUMMYFUNCTION("""COMPUTED_VALUE"""),24.0)</f>
        <v>24</v>
      </c>
      <c r="D320" s="68" t="str">
        <f>IFERROR(__xludf.DUMMYFUNCTION("""COMPUTED_VALUE"""),"Islam")</f>
        <v>Islam</v>
      </c>
      <c r="E320" s="67" t="str">
        <f>IFERROR(__xludf.DUMMYFUNCTION("""COMPUTED_VALUE"""),"CV. SENTOSA ABADI")</f>
        <v>CV. SENTOSA ABADI</v>
      </c>
      <c r="F320" s="67" t="str">
        <f>IFERROR(__xludf.DUMMYFUNCTION("""COMPUTED_VALUE"""),"HELPER MECHANIC MAINTENANCE")</f>
        <v>HELPER MECHANIC MAINTENANCE</v>
      </c>
      <c r="G320" s="67" t="str">
        <f>IFERROR(__xludf.DUMMYFUNCTION("""COMPUTED_VALUE"""),"WORKSHOP")</f>
        <v>WORKSHOP</v>
      </c>
      <c r="H320" s="67" t="str">
        <f>IFERROR(__xludf.DUMMYFUNCTION("""COMPUTED_VALUE"""),"[0106190928] NATAN KONDO")</f>
        <v>[0106190928] NATAN KONDO</v>
      </c>
      <c r="I320" s="69"/>
      <c r="J320" s="70" t="str">
        <f t="shared" si="1"/>
        <v>[110211521] MUH TAUFIK PARINGKUAN</v>
      </c>
      <c r="K320" s="67"/>
      <c r="L320" s="67"/>
      <c r="M320" s="67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</row>
    <row r="321">
      <c r="A321" s="67">
        <f>IFERROR(__xludf.DUMMYFUNCTION("""COMPUTED_VALUE"""),2.10201263E8)</f>
        <v>210201263</v>
      </c>
      <c r="B321" s="67" t="str">
        <f>IFERROR(__xludf.DUMMYFUNCTION("""COMPUTED_VALUE"""),"MUH. ALDI RIFALDI")</f>
        <v>MUH. ALDI RIFALDI</v>
      </c>
      <c r="C321" s="67">
        <f>IFERROR(__xludf.DUMMYFUNCTION("""COMPUTED_VALUE"""),29.0)</f>
        <v>29</v>
      </c>
      <c r="D321" s="68" t="str">
        <f>IFERROR(__xludf.DUMMYFUNCTION("""COMPUTED_VALUE"""),"Islam")</f>
        <v>Islam</v>
      </c>
      <c r="E321" s="67" t="str">
        <f>IFERROR(__xludf.DUMMYFUNCTION("""COMPUTED_VALUE"""),"CV. Adil Prima Perkasa")</f>
        <v>CV. Adil Prima Perkasa</v>
      </c>
      <c r="F321" s="67" t="str">
        <f>IFERROR(__xludf.DUMMYFUNCTION("""COMPUTED_VALUE"""),"DRIVER LV")</f>
        <v>DRIVER LV</v>
      </c>
      <c r="G321" s="67" t="str">
        <f>IFERROR(__xludf.DUMMYFUNCTION("""COMPUTED_VALUE"""),"KENDARAAN &amp; UNIT SUPPORT")</f>
        <v>KENDARAAN &amp; UNIT SUPPORT</v>
      </c>
      <c r="H321" s="67" t="str">
        <f>IFERROR(__xludf.DUMMYFUNCTION("""COMPUTED_VALUE"""),"[0102150004] NAFTALI RARE'A, ST")</f>
        <v>[0102150004] NAFTALI RARE'A, ST</v>
      </c>
      <c r="I321" s="69"/>
      <c r="J321" s="70" t="str">
        <f t="shared" si="1"/>
        <v>[210201263] MUH. ALDI RIFALDI</v>
      </c>
      <c r="K321" s="67"/>
      <c r="L321" s="67"/>
      <c r="M321" s="67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</row>
    <row r="322">
      <c r="A322" s="67">
        <f>IFERROR(__xludf.DUMMYFUNCTION("""COMPUTED_VALUE"""),1.07190982E8)</f>
        <v>107190982</v>
      </c>
      <c r="B322" s="67" t="str">
        <f>IFERROR(__xludf.DUMMYFUNCTION("""COMPUTED_VALUE"""),"MUH. BASRI")</f>
        <v>MUH. BASRI</v>
      </c>
      <c r="C322" s="67">
        <f>IFERROR(__xludf.DUMMYFUNCTION("""COMPUTED_VALUE"""),44.0)</f>
        <v>44</v>
      </c>
      <c r="D322" s="68" t="str">
        <f>IFERROR(__xludf.DUMMYFUNCTION("""COMPUTED_VALUE"""),"Islam")</f>
        <v>Islam</v>
      </c>
      <c r="E322" s="67" t="str">
        <f>IFERROR(__xludf.DUMMYFUNCTION("""COMPUTED_VALUE"""),"CV. SENTOSA ABADI")</f>
        <v>CV. SENTOSA ABADI</v>
      </c>
      <c r="F322" s="67" t="str">
        <f>IFERROR(__xludf.DUMMYFUNCTION("""COMPUTED_VALUE"""),"DRIVER DT H700ZY")</f>
        <v>DRIVER DT H700ZY</v>
      </c>
      <c r="G322" s="67" t="str">
        <f>IFERROR(__xludf.DUMMYFUNCTION("""COMPUTED_VALUE"""),"KENDARAAN &amp; UNIT SUPPORT")</f>
        <v>KENDARAAN &amp; UNIT SUPPORT</v>
      </c>
      <c r="H322" s="67" t="str">
        <f>IFERROR(__xludf.DUMMYFUNCTION("""COMPUTED_VALUE"""),"[0102150004] NAFTALI RARE'A, ST")</f>
        <v>[0102150004] NAFTALI RARE'A, ST</v>
      </c>
      <c r="I322" s="69">
        <f>IFERROR(__xludf.DUMMYFUNCTION("""COMPUTED_VALUE"""),29657.0)</f>
        <v>29657</v>
      </c>
      <c r="J322" s="70" t="str">
        <f t="shared" si="1"/>
        <v>[107190982] MUH. BASRI</v>
      </c>
      <c r="K322" s="67"/>
      <c r="L322" s="67"/>
      <c r="M322" s="67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</row>
    <row r="323">
      <c r="A323" s="67">
        <f>IFERROR(__xludf.DUMMYFUNCTION("""COMPUTED_VALUE"""),2.04221618E8)</f>
        <v>204221618</v>
      </c>
      <c r="B323" s="67" t="str">
        <f>IFERROR(__xludf.DUMMYFUNCTION("""COMPUTED_VALUE"""),"MUH. BASRI")</f>
        <v>MUH. BASRI</v>
      </c>
      <c r="C323" s="67">
        <f>IFERROR(__xludf.DUMMYFUNCTION("""COMPUTED_VALUE"""),43.0)</f>
        <v>43</v>
      </c>
      <c r="D323" s="68" t="str">
        <f>IFERROR(__xludf.DUMMYFUNCTION("""COMPUTED_VALUE"""),"Islam")</f>
        <v>Islam</v>
      </c>
      <c r="E323" s="67" t="str">
        <f>IFERROR(__xludf.DUMMYFUNCTION("""COMPUTED_VALUE"""),"CV. Adil Prima Perkasa")</f>
        <v>CV. Adil Prima Perkasa</v>
      </c>
      <c r="F323" s="67" t="str">
        <f>IFERROR(__xludf.DUMMYFUNCTION("""COMPUTED_VALUE"""),"OPERATOR COMPACTOR")</f>
        <v>OPERATOR COMPACTOR</v>
      </c>
      <c r="G323" s="67" t="str">
        <f>IFERROR(__xludf.DUMMYFUNCTION("""COMPUTED_VALUE"""),"PRODUKSI")</f>
        <v>PRODUKSI</v>
      </c>
      <c r="H323" s="67" t="str">
        <f>IFERROR(__xludf.DUMMYFUNCTION("""COMPUTED_VALUE"""),"[0102130003] PURNAWAN")</f>
        <v>[0102130003] PURNAWAN</v>
      </c>
      <c r="I323" s="69">
        <f>IFERROR(__xludf.DUMMYFUNCTION("""COMPUTED_VALUE"""),29768.0)</f>
        <v>29768</v>
      </c>
      <c r="J323" s="70" t="str">
        <f t="shared" si="1"/>
        <v>[204221618] MUH. BASRI</v>
      </c>
      <c r="K323" s="67"/>
      <c r="L323" s="67"/>
      <c r="M323" s="67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</row>
    <row r="324">
      <c r="A324" s="67">
        <f>IFERROR(__xludf.DUMMYFUNCTION("""COMPUTED_VALUE"""),1.10180556E8)</f>
        <v>110180556</v>
      </c>
      <c r="B324" s="67" t="str">
        <f>IFERROR(__xludf.DUMMYFUNCTION("""COMPUTED_VALUE"""),"MUH. FAISAL")</f>
        <v>MUH. FAISAL</v>
      </c>
      <c r="C324" s="67">
        <f>IFERROR(__xludf.DUMMYFUNCTION("""COMPUTED_VALUE"""),23.0)</f>
        <v>23</v>
      </c>
      <c r="D324" s="68" t="str">
        <f>IFERROR(__xludf.DUMMYFUNCTION("""COMPUTED_VALUE"""),"Islam")</f>
        <v>Islam</v>
      </c>
      <c r="E324" s="67" t="str">
        <f>IFERROR(__xludf.DUMMYFUNCTION("""COMPUTED_VALUE"""),"CV. SENTOSA ABADI")</f>
        <v>CV. SENTOSA ABADI</v>
      </c>
      <c r="F324" s="67" t="str">
        <f>IFERROR(__xludf.DUMMYFUNCTION("""COMPUTED_VALUE"""),"HELPER WELDER")</f>
        <v>HELPER WELDER</v>
      </c>
      <c r="G324" s="67" t="str">
        <f>IFERROR(__xludf.DUMMYFUNCTION("""COMPUTED_VALUE"""),"WORKSHOP")</f>
        <v>WORKSHOP</v>
      </c>
      <c r="H324" s="67" t="str">
        <f>IFERROR(__xludf.DUMMYFUNCTION("""COMPUTED_VALUE"""),"[0106190928] NATAN KONDO")</f>
        <v>[0106190928] NATAN KONDO</v>
      </c>
      <c r="I324" s="69"/>
      <c r="J324" s="70" t="str">
        <f t="shared" si="1"/>
        <v>[110180556] MUH. FAISAL</v>
      </c>
      <c r="K324" s="67"/>
      <c r="L324" s="67"/>
      <c r="M324" s="67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</row>
    <row r="325">
      <c r="A325" s="67">
        <f>IFERROR(__xludf.DUMMYFUNCTION("""COMPUTED_VALUE"""),1.10221687E8)</f>
        <v>110221687</v>
      </c>
      <c r="B325" s="67" t="str">
        <f>IFERROR(__xludf.DUMMYFUNCTION("""COMPUTED_VALUE"""),"MUH. HAIKAL ADITYA")</f>
        <v>MUH. HAIKAL ADITYA</v>
      </c>
      <c r="C325" s="67">
        <f>IFERROR(__xludf.DUMMYFUNCTION("""COMPUTED_VALUE"""),19.0)</f>
        <v>19</v>
      </c>
      <c r="D325" s="68" t="str">
        <f>IFERROR(__xludf.DUMMYFUNCTION("""COMPUTED_VALUE"""),"Islam")</f>
        <v>Islam</v>
      </c>
      <c r="E325" s="67" t="str">
        <f>IFERROR(__xludf.DUMMYFUNCTION("""COMPUTED_VALUE"""),"CV. SENTOSA ABADI")</f>
        <v>CV. SENTOSA ABADI</v>
      </c>
      <c r="F325" s="67" t="str">
        <f>IFERROR(__xludf.DUMMYFUNCTION("""COMPUTED_VALUE"""),"HELPER MECHANIC MAINTENANCE")</f>
        <v>HELPER MECHANIC MAINTENANCE</v>
      </c>
      <c r="G325" s="67" t="str">
        <f>IFERROR(__xludf.DUMMYFUNCTION("""COMPUTED_VALUE"""),"WORKSHOP")</f>
        <v>WORKSHOP</v>
      </c>
      <c r="H325" s="67" t="str">
        <f>IFERROR(__xludf.DUMMYFUNCTION("""COMPUTED_VALUE"""),"[0106190928] NATAN KONDO")</f>
        <v>[0106190928] NATAN KONDO</v>
      </c>
      <c r="I325" s="69"/>
      <c r="J325" s="70" t="str">
        <f t="shared" si="1"/>
        <v>[110221687] MUH. HAIKAL ADITYA</v>
      </c>
      <c r="K325" s="67"/>
      <c r="L325" s="67"/>
      <c r="M325" s="67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</row>
    <row r="326">
      <c r="A326" s="67">
        <f>IFERROR(__xludf.DUMMYFUNCTION("""COMPUTED_VALUE"""),4.09230008E8)</f>
        <v>409230008</v>
      </c>
      <c r="B326" s="67" t="str">
        <f>IFERROR(__xludf.DUMMYFUNCTION("""COMPUTED_VALUE"""),"MUH. RIFKI RESA")</f>
        <v>MUH. RIFKI RESA</v>
      </c>
      <c r="C326" s="67">
        <f>IFERROR(__xludf.DUMMYFUNCTION("""COMPUTED_VALUE"""),24.0)</f>
        <v>24</v>
      </c>
      <c r="D326" s="68" t="str">
        <f>IFERROR(__xludf.DUMMYFUNCTION("""COMPUTED_VALUE"""),"Islam")</f>
        <v>Islam</v>
      </c>
      <c r="E326" s="67" t="str">
        <f>IFERROR(__xludf.DUMMYFUNCTION("""COMPUTED_VALUE"""),"CV. SENTOSA ABADI")</f>
        <v>CV. SENTOSA ABADI</v>
      </c>
      <c r="F326" s="67" t="str">
        <f>IFERROR(__xludf.DUMMYFUNCTION("""COMPUTED_VALUE"""),"ASISTEN MPE")</f>
        <v>ASISTEN MPE</v>
      </c>
      <c r="G326" s="67" t="str">
        <f>IFERROR(__xludf.DUMMYFUNCTION("""COMPUTED_VALUE"""),"MPE")</f>
        <v>MPE</v>
      </c>
      <c r="H326" s="67" t="str">
        <f>IFERROR(__xludf.DUMMYFUNCTION("""COMPUTED_VALUE"""),"[0102150007] EKY SIDIK PRATAMA, ST")</f>
        <v>[0102150007] EKY SIDIK PRATAMA, ST</v>
      </c>
      <c r="I326" s="69"/>
      <c r="J326" s="70" t="str">
        <f t="shared" si="1"/>
        <v>[409230008] MUH. RIFKI RESA</v>
      </c>
      <c r="K326" s="67"/>
      <c r="L326" s="67"/>
      <c r="M326" s="67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</row>
    <row r="327">
      <c r="A327" s="67">
        <f>IFERROR(__xludf.DUMMYFUNCTION("""COMPUTED_VALUE"""),2.07231809E8)</f>
        <v>207231809</v>
      </c>
      <c r="B327" s="67" t="str">
        <f>IFERROR(__xludf.DUMMYFUNCTION("""COMPUTED_VALUE"""),"MUH. SAFIT")</f>
        <v>MUH. SAFIT</v>
      </c>
      <c r="C327" s="67">
        <f>IFERROR(__xludf.DUMMYFUNCTION("""COMPUTED_VALUE"""),0.0)</f>
        <v>0</v>
      </c>
      <c r="D327" s="68"/>
      <c r="E327" s="67" t="str">
        <f>IFERROR(__xludf.DUMMYFUNCTION("""COMPUTED_VALUE"""),"CV. Adil Prima Perkasa")</f>
        <v>CV. Adil Prima Perkasa</v>
      </c>
      <c r="F327" s="67" t="str">
        <f>IFERROR(__xludf.DUMMYFUNCTION("""COMPUTED_VALUE"""),"HELPER MEKANIK LV")</f>
        <v>HELPER MEKANIK LV</v>
      </c>
      <c r="G327" s="67" t="str">
        <f>IFERROR(__xludf.DUMMYFUNCTION("""COMPUTED_VALUE"""),"WORKSHOP")</f>
        <v>WORKSHOP</v>
      </c>
      <c r="H327" s="67" t="str">
        <f>IFERROR(__xludf.DUMMYFUNCTION("""COMPUTED_VALUE"""),"[0106190928] NATAN KONDO")</f>
        <v>[0106190928] NATAN KONDO</v>
      </c>
      <c r="I327" s="69"/>
      <c r="J327" s="70" t="str">
        <f t="shared" si="1"/>
        <v>[207231809] MUH. SAFIT</v>
      </c>
      <c r="K327" s="67"/>
      <c r="L327" s="67"/>
      <c r="M327" s="6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</row>
    <row r="328">
      <c r="A328" s="67">
        <f>IFERROR(__xludf.DUMMYFUNCTION("""COMPUTED_VALUE"""),1.0521141E8)</f>
        <v>105211410</v>
      </c>
      <c r="B328" s="67" t="str">
        <f>IFERROR(__xludf.DUMMYFUNCTION("""COMPUTED_VALUE"""),"MUH. TAKDIR")</f>
        <v>MUH. TAKDIR</v>
      </c>
      <c r="C328" s="67">
        <f>IFERROR(__xludf.DUMMYFUNCTION("""COMPUTED_VALUE"""),40.0)</f>
        <v>40</v>
      </c>
      <c r="D328" s="68" t="str">
        <f>IFERROR(__xludf.DUMMYFUNCTION("""COMPUTED_VALUE"""),"Islam")</f>
        <v>Islam</v>
      </c>
      <c r="E328" s="67" t="str">
        <f>IFERROR(__xludf.DUMMYFUNCTION("""COMPUTED_VALUE"""),"CV. SENTOSA ABADI")</f>
        <v>CV. SENTOSA ABADI</v>
      </c>
      <c r="F328" s="67" t="str">
        <f>IFERROR(__xludf.DUMMYFUNCTION("""COMPUTED_VALUE"""),"OPERATOR ADT")</f>
        <v>OPERATOR ADT</v>
      </c>
      <c r="G328" s="67" t="str">
        <f>IFERROR(__xludf.DUMMYFUNCTION("""COMPUTED_VALUE"""),"PRODUKSI")</f>
        <v>PRODUKSI</v>
      </c>
      <c r="H328" s="67" t="str">
        <f>IFERROR(__xludf.DUMMYFUNCTION("""COMPUTED_VALUE"""),"[0102130003] PURNAWAN")</f>
        <v>[0102130003] PURNAWAN</v>
      </c>
      <c r="I328" s="69"/>
      <c r="J328" s="70" t="str">
        <f t="shared" si="1"/>
        <v>[105211410] MUH. TAKDIR</v>
      </c>
      <c r="K328" s="67"/>
      <c r="L328" s="67"/>
      <c r="M328" s="67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</row>
    <row r="329">
      <c r="A329" s="67">
        <f>IFERROR(__xludf.DUMMYFUNCTION("""COMPUTED_VALUE"""),2.06241938E8)</f>
        <v>206241938</v>
      </c>
      <c r="B329" s="67" t="str">
        <f>IFERROR(__xludf.DUMMYFUNCTION("""COMPUTED_VALUE"""),"MUHAMMAD CHAIRIL FATAHILLAH ACHMAD")</f>
        <v>MUHAMMAD CHAIRIL FATAHILLAH ACHMAD</v>
      </c>
      <c r="C329" s="67">
        <f>IFERROR(__xludf.DUMMYFUNCTION("""COMPUTED_VALUE"""),19.0)</f>
        <v>19</v>
      </c>
      <c r="D329" s="68" t="str">
        <f>IFERROR(__xludf.DUMMYFUNCTION("""COMPUTED_VALUE"""),"Kristen Protestan")</f>
        <v>Kristen Protestan</v>
      </c>
      <c r="E329" s="67" t="str">
        <f>IFERROR(__xludf.DUMMYFUNCTION("""COMPUTED_VALUE"""),"CV. Adil Prima Perkasa")</f>
        <v>CV. Adil Prima Perkasa</v>
      </c>
      <c r="F329" s="67" t="str">
        <f>IFERROR(__xludf.DUMMYFUNCTION("""COMPUTED_VALUE"""),"CREW SURVEY")</f>
        <v>CREW SURVEY</v>
      </c>
      <c r="G329" s="67" t="str">
        <f>IFERROR(__xludf.DUMMYFUNCTION("""COMPUTED_VALUE"""),"MPE")</f>
        <v>MPE</v>
      </c>
      <c r="H329" s="67" t="str">
        <f>IFERROR(__xludf.DUMMYFUNCTION("""COMPUTED_VALUE"""),"[0102150008] ERWIN SAPA")</f>
        <v>[0102150008] ERWIN SAPA</v>
      </c>
      <c r="I329" s="69"/>
      <c r="J329" s="70" t="str">
        <f t="shared" si="1"/>
        <v>[206241938] MUHAMMAD CHAIRIL FATAHILLAH ACHMAD</v>
      </c>
      <c r="K329" s="67"/>
      <c r="L329" s="67"/>
      <c r="M329" s="67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</row>
    <row r="330">
      <c r="A330" s="67">
        <f>IFERROR(__xludf.DUMMYFUNCTION("""COMPUTED_VALUE"""),2.09221675E8)</f>
        <v>209221675</v>
      </c>
      <c r="B330" s="67" t="str">
        <f>IFERROR(__xludf.DUMMYFUNCTION("""COMPUTED_VALUE"""),"MUHAMMAD FATHUR RACHMAN")</f>
        <v>MUHAMMAD FATHUR RACHMAN</v>
      </c>
      <c r="C330" s="67">
        <f>IFERROR(__xludf.DUMMYFUNCTION("""COMPUTED_VALUE"""),28.0)</f>
        <v>28</v>
      </c>
      <c r="D330" s="68" t="str">
        <f>IFERROR(__xludf.DUMMYFUNCTION("""COMPUTED_VALUE"""),"Islam")</f>
        <v>Islam</v>
      </c>
      <c r="E330" s="67" t="str">
        <f>IFERROR(__xludf.DUMMYFUNCTION("""COMPUTED_VALUE"""),"CV. Adil Prima Perkasa")</f>
        <v>CV. Adil Prima Perkasa</v>
      </c>
      <c r="F330" s="67" t="str">
        <f>IFERROR(__xludf.DUMMYFUNCTION("""COMPUTED_VALUE"""),"ADMIN KENDARAAN")</f>
        <v>ADMIN KENDARAAN</v>
      </c>
      <c r="G330" s="67" t="str">
        <f>IFERROR(__xludf.DUMMYFUNCTION("""COMPUTED_VALUE"""),"KENDARAAN &amp; UNIT SUPPORT")</f>
        <v>KENDARAAN &amp; UNIT SUPPORT</v>
      </c>
      <c r="H330" s="67" t="str">
        <f>IFERROR(__xludf.DUMMYFUNCTION("""COMPUTED_VALUE"""),"[0102150004] NAFTALI RARE'A, ST")</f>
        <v>[0102150004] NAFTALI RARE'A, ST</v>
      </c>
      <c r="I330" s="69"/>
      <c r="J330" s="70" t="str">
        <f t="shared" si="1"/>
        <v>[209221675] MUHAMMAD FATHUR RACHMAN</v>
      </c>
      <c r="K330" s="67"/>
      <c r="L330" s="67"/>
      <c r="M330" s="67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</row>
    <row r="331">
      <c r="A331" s="67">
        <f>IFERROR(__xludf.DUMMYFUNCTION("""COMPUTED_VALUE"""),2.0524193E8)</f>
        <v>205241930</v>
      </c>
      <c r="B331" s="67" t="str">
        <f>IFERROR(__xludf.DUMMYFUNCTION("""COMPUTED_VALUE"""),"MUHAMMAD NUSRI")</f>
        <v>MUHAMMAD NUSRI</v>
      </c>
      <c r="C331" s="67">
        <f>IFERROR(__xludf.DUMMYFUNCTION("""COMPUTED_VALUE"""),0.0)</f>
        <v>0</v>
      </c>
      <c r="D331" s="68"/>
      <c r="E331" s="67" t="str">
        <f>IFERROR(__xludf.DUMMYFUNCTION("""COMPUTED_VALUE"""),"CV. Adil Prima Perkasa")</f>
        <v>CV. Adil Prima Perkasa</v>
      </c>
      <c r="F331" s="67" t="str">
        <f>IFERROR(__xludf.DUMMYFUNCTION("""COMPUTED_VALUE"""),"OPERATOR EXCAVATOR")</f>
        <v>OPERATOR EXCAVATOR</v>
      </c>
      <c r="G331" s="67" t="str">
        <f>IFERROR(__xludf.DUMMYFUNCTION("""COMPUTED_VALUE"""),"PRODUKSI")</f>
        <v>PRODUKSI</v>
      </c>
      <c r="H331" s="67" t="str">
        <f>IFERROR(__xludf.DUMMYFUNCTION("""COMPUTED_VALUE"""),"[0102130003] PURNAWAN")</f>
        <v>[0102130003] PURNAWAN</v>
      </c>
      <c r="I331" s="69"/>
      <c r="J331" s="70" t="str">
        <f t="shared" si="1"/>
        <v>[205241930] MUHAMMAD NUSRI</v>
      </c>
      <c r="K331" s="67"/>
      <c r="L331" s="67"/>
      <c r="M331" s="6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</row>
    <row r="332">
      <c r="A332" s="67">
        <f>IFERROR(__xludf.DUMMYFUNCTION("""COMPUTED_VALUE"""),1.06211431E8)</f>
        <v>106211431</v>
      </c>
      <c r="B332" s="67" t="str">
        <f>IFERROR(__xludf.DUMMYFUNCTION("""COMPUTED_VALUE"""),"MUHAMMAD RANGGA")</f>
        <v>MUHAMMAD RANGGA</v>
      </c>
      <c r="C332" s="67">
        <f>IFERROR(__xludf.DUMMYFUNCTION("""COMPUTED_VALUE"""),21.0)</f>
        <v>21</v>
      </c>
      <c r="D332" s="68" t="str">
        <f>IFERROR(__xludf.DUMMYFUNCTION("""COMPUTED_VALUE"""),"Islam")</f>
        <v>Islam</v>
      </c>
      <c r="E332" s="67" t="str">
        <f>IFERROR(__xludf.DUMMYFUNCTION("""COMPUTED_VALUE"""),"CV. SENTOSA ABADI")</f>
        <v>CV. SENTOSA ABADI</v>
      </c>
      <c r="F332" s="67" t="str">
        <f>IFERROR(__xludf.DUMMYFUNCTION("""COMPUTED_VALUE"""),"HELPER TYRE")</f>
        <v>HELPER TYRE</v>
      </c>
      <c r="G332" s="67" t="str">
        <f>IFERROR(__xludf.DUMMYFUNCTION("""COMPUTED_VALUE"""),"WORKSHOP")</f>
        <v>WORKSHOP</v>
      </c>
      <c r="H332" s="67" t="str">
        <f>IFERROR(__xludf.DUMMYFUNCTION("""COMPUTED_VALUE"""),"[0102120144] JUFRY KOMALING")</f>
        <v>[0102120144] JUFRY KOMALING</v>
      </c>
      <c r="I332" s="69"/>
      <c r="J332" s="70" t="str">
        <f t="shared" si="1"/>
        <v>[106211431] MUHAMMAD RANGGA</v>
      </c>
      <c r="K332" s="67"/>
      <c r="L332" s="67"/>
      <c r="M332" s="67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</row>
    <row r="333">
      <c r="A333" s="67">
        <f>IFERROR(__xludf.DUMMYFUNCTION("""COMPUTED_VALUE"""),1.06211426E8)</f>
        <v>106211426</v>
      </c>
      <c r="B333" s="67" t="str">
        <f>IFERROR(__xludf.DUMMYFUNCTION("""COMPUTED_VALUE"""),"MUHAMMAD YASIN")</f>
        <v>MUHAMMAD YASIN</v>
      </c>
      <c r="C333" s="67">
        <f>IFERROR(__xludf.DUMMYFUNCTION("""COMPUTED_VALUE"""),22.0)</f>
        <v>22</v>
      </c>
      <c r="D333" s="68" t="str">
        <f>IFERROR(__xludf.DUMMYFUNCTION("""COMPUTED_VALUE"""),"Islam")</f>
        <v>Islam</v>
      </c>
      <c r="E333" s="67" t="str">
        <f>IFERROR(__xludf.DUMMYFUNCTION("""COMPUTED_VALUE"""),"CV. SENTOSA ABADI")</f>
        <v>CV. SENTOSA ABADI</v>
      </c>
      <c r="F333" s="67" t="str">
        <f>IFERROR(__xludf.DUMMYFUNCTION("""COMPUTED_VALUE"""),"HELPER MAINTENANCE")</f>
        <v>HELPER MAINTENANCE</v>
      </c>
      <c r="G333" s="67" t="str">
        <f>IFERROR(__xludf.DUMMYFUNCTION("""COMPUTED_VALUE"""),"WORKSHOP")</f>
        <v>WORKSHOP</v>
      </c>
      <c r="H333" s="67" t="str">
        <f>IFERROR(__xludf.DUMMYFUNCTION("""COMPUTED_VALUE"""),"[0102120144] JUFRY KOMALING")</f>
        <v>[0102120144] JUFRY KOMALING</v>
      </c>
      <c r="I333" s="69"/>
      <c r="J333" s="70" t="str">
        <f t="shared" si="1"/>
        <v>[106211426] MUHAMMAD YASIN</v>
      </c>
      <c r="K333" s="67"/>
      <c r="L333" s="67"/>
      <c r="M333" s="67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</row>
    <row r="334">
      <c r="A334" s="67">
        <f>IFERROR(__xludf.DUMMYFUNCTION("""COMPUTED_VALUE"""),2.09201227E8)</f>
        <v>209201227</v>
      </c>
      <c r="B334" s="67" t="str">
        <f>IFERROR(__xludf.DUMMYFUNCTION("""COMPUTED_VALUE"""),"MUKSIN")</f>
        <v>MUKSIN</v>
      </c>
      <c r="C334" s="67">
        <f>IFERROR(__xludf.DUMMYFUNCTION("""COMPUTED_VALUE"""),41.0)</f>
        <v>41</v>
      </c>
      <c r="D334" s="68" t="str">
        <f>IFERROR(__xludf.DUMMYFUNCTION("""COMPUTED_VALUE"""),"Islam")</f>
        <v>Islam</v>
      </c>
      <c r="E334" s="67" t="str">
        <f>IFERROR(__xludf.DUMMYFUNCTION("""COMPUTED_VALUE"""),"CV. Adil Prima Perkasa")</f>
        <v>CV. Adil Prima Perkasa</v>
      </c>
      <c r="F334" s="67" t="str">
        <f>IFERROR(__xludf.DUMMYFUNCTION("""COMPUTED_VALUE"""),"DRIVER DT H700ZY")</f>
        <v>DRIVER DT H700ZY</v>
      </c>
      <c r="G334" s="67" t="str">
        <f>IFERROR(__xludf.DUMMYFUNCTION("""COMPUTED_VALUE"""),"KENDARAAN &amp; UNIT SUPPORT")</f>
        <v>KENDARAAN &amp; UNIT SUPPORT</v>
      </c>
      <c r="H334" s="67" t="str">
        <f>IFERROR(__xludf.DUMMYFUNCTION("""COMPUTED_VALUE"""),"[0102150004] NAFTALI RARE'A, ST")</f>
        <v>[0102150004] NAFTALI RARE'A, ST</v>
      </c>
      <c r="I334" s="69">
        <f>IFERROR(__xludf.DUMMYFUNCTION("""COMPUTED_VALUE"""),30750.0)</f>
        <v>30750</v>
      </c>
      <c r="J334" s="70" t="str">
        <f t="shared" si="1"/>
        <v>[209201227] MUKSIN</v>
      </c>
      <c r="K334" s="67"/>
      <c r="L334" s="67"/>
      <c r="M334" s="67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</row>
    <row r="335">
      <c r="A335" s="67">
        <f>IFERROR(__xludf.DUMMYFUNCTION("""COMPUTED_VALUE"""),1.09201237E8)</f>
        <v>109201237</v>
      </c>
      <c r="B335" s="67" t="str">
        <f>IFERROR(__xludf.DUMMYFUNCTION("""COMPUTED_VALUE"""),"MUPADLI")</f>
        <v>MUPADLI</v>
      </c>
      <c r="C335" s="67">
        <f>IFERROR(__xludf.DUMMYFUNCTION("""COMPUTED_VALUE"""),34.0)</f>
        <v>34</v>
      </c>
      <c r="D335" s="68" t="str">
        <f>IFERROR(__xludf.DUMMYFUNCTION("""COMPUTED_VALUE"""),"Islam")</f>
        <v>Islam</v>
      </c>
      <c r="E335" s="67" t="str">
        <f>IFERROR(__xludf.DUMMYFUNCTION("""COMPUTED_VALUE"""),"CV. SENTOSA ABADI")</f>
        <v>CV. SENTOSA ABADI</v>
      </c>
      <c r="F335" s="67" t="str">
        <f>IFERROR(__xludf.DUMMYFUNCTION("""COMPUTED_VALUE"""),"HELPER MEKANIK")</f>
        <v>HELPER MEKANIK</v>
      </c>
      <c r="G335" s="67" t="str">
        <f>IFERROR(__xludf.DUMMYFUNCTION("""COMPUTED_VALUE"""),"WORKSHOP")</f>
        <v>WORKSHOP</v>
      </c>
      <c r="H335" s="67" t="str">
        <f>IFERROR(__xludf.DUMMYFUNCTION("""COMPUTED_VALUE"""),"[0106190928] NATAN KONDO")</f>
        <v>[0106190928] NATAN KONDO</v>
      </c>
      <c r="I335" s="69">
        <f>IFERROR(__xludf.DUMMYFUNCTION("""COMPUTED_VALUE"""),33133.0)</f>
        <v>33133</v>
      </c>
      <c r="J335" s="70" t="str">
        <f t="shared" si="1"/>
        <v>[109201237] MUPADLI</v>
      </c>
      <c r="K335" s="67"/>
      <c r="L335" s="67"/>
      <c r="M335" s="67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</row>
    <row r="336">
      <c r="A336" s="67">
        <f>IFERROR(__xludf.DUMMYFUNCTION("""COMPUTED_VALUE"""),1.04190817E8)</f>
        <v>104190817</v>
      </c>
      <c r="B336" s="67" t="str">
        <f>IFERROR(__xludf.DUMMYFUNCTION("""COMPUTED_VALUE"""),"MURDOV MAINTI")</f>
        <v>MURDOV MAINTI</v>
      </c>
      <c r="C336" s="67">
        <f>IFERROR(__xludf.DUMMYFUNCTION("""COMPUTED_VALUE"""),39.0)</f>
        <v>39</v>
      </c>
      <c r="D336" s="68" t="str">
        <f>IFERROR(__xludf.DUMMYFUNCTION("""COMPUTED_VALUE"""),"Kristen Protestan")</f>
        <v>Kristen Protestan</v>
      </c>
      <c r="E336" s="67" t="str">
        <f>IFERROR(__xludf.DUMMYFUNCTION("""COMPUTED_VALUE"""),"CV. SENTOSA ABADI")</f>
        <v>CV. SENTOSA ABADI</v>
      </c>
      <c r="F336" s="67" t="str">
        <f>IFERROR(__xludf.DUMMYFUNCTION("""COMPUTED_VALUE"""),"HELPER TYRE")</f>
        <v>HELPER TYRE</v>
      </c>
      <c r="G336" s="67" t="str">
        <f>IFERROR(__xludf.DUMMYFUNCTION("""COMPUTED_VALUE"""),"WORKSHOP")</f>
        <v>WORKSHOP</v>
      </c>
      <c r="H336" s="67" t="str">
        <f>IFERROR(__xludf.DUMMYFUNCTION("""COMPUTED_VALUE"""),"[0102120144] JUFRY KOMALING")</f>
        <v>[0102120144] JUFRY KOMALING</v>
      </c>
      <c r="I336" s="69"/>
      <c r="J336" s="70" t="str">
        <f t="shared" si="1"/>
        <v>[104190817] MURDOV MAINTI</v>
      </c>
      <c r="K336" s="67"/>
      <c r="L336" s="67"/>
      <c r="M336" s="67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</row>
    <row r="337">
      <c r="A337" s="67">
        <f>IFERROR(__xludf.DUMMYFUNCTION("""COMPUTED_VALUE"""),2.03190797E8)</f>
        <v>203190797</v>
      </c>
      <c r="B337" s="67" t="str">
        <f>IFERROR(__xludf.DUMMYFUNCTION("""COMPUTED_VALUE"""),"MURFA")</f>
        <v>MURFA</v>
      </c>
      <c r="C337" s="67">
        <f>IFERROR(__xludf.DUMMYFUNCTION("""COMPUTED_VALUE"""),34.0)</f>
        <v>34</v>
      </c>
      <c r="D337" s="68" t="str">
        <f>IFERROR(__xludf.DUMMYFUNCTION("""COMPUTED_VALUE"""),"Islam")</f>
        <v>Islam</v>
      </c>
      <c r="E337" s="67" t="str">
        <f>IFERROR(__xludf.DUMMYFUNCTION("""COMPUTED_VALUE"""),"CV. Adil Prima Perkasa")</f>
        <v>CV. Adil Prima Perkasa</v>
      </c>
      <c r="F337" s="67" t="str">
        <f>IFERROR(__xludf.DUMMYFUNCTION("""COMPUTED_VALUE"""),"DRIVER DT H700ZY")</f>
        <v>DRIVER DT H700ZY</v>
      </c>
      <c r="G337" s="67" t="str">
        <f>IFERROR(__xludf.DUMMYFUNCTION("""COMPUTED_VALUE"""),"KENDARAAN &amp; UNIT SUPPORT")</f>
        <v>KENDARAAN &amp; UNIT SUPPORT</v>
      </c>
      <c r="H337" s="67" t="str">
        <f>IFERROR(__xludf.DUMMYFUNCTION("""COMPUTED_VALUE"""),"[0102150004] NAFTALI RARE'A, ST")</f>
        <v>[0102150004] NAFTALI RARE'A, ST</v>
      </c>
      <c r="I337" s="69">
        <f>IFERROR(__xludf.DUMMYFUNCTION("""COMPUTED_VALUE"""),33383.0)</f>
        <v>33383</v>
      </c>
      <c r="J337" s="70" t="str">
        <f t="shared" si="1"/>
        <v>[203190797] MURFA</v>
      </c>
      <c r="K337" s="67"/>
      <c r="L337" s="67"/>
      <c r="M337" s="67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</row>
    <row r="338">
      <c r="A338" s="67">
        <f>IFERROR(__xludf.DUMMYFUNCTION("""COMPUTED_VALUE"""),2.04231751E8)</f>
        <v>204231751</v>
      </c>
      <c r="B338" s="67" t="str">
        <f>IFERROR(__xludf.DUMMYFUNCTION("""COMPUTED_VALUE"""),"MUSAKKAR")</f>
        <v>MUSAKKAR</v>
      </c>
      <c r="C338" s="67">
        <f>IFERROR(__xludf.DUMMYFUNCTION("""COMPUTED_VALUE"""),44.0)</f>
        <v>44</v>
      </c>
      <c r="D338" s="68" t="str">
        <f>IFERROR(__xludf.DUMMYFUNCTION("""COMPUTED_VALUE"""),"Islam")</f>
        <v>Islam</v>
      </c>
      <c r="E338" s="67" t="str">
        <f>IFERROR(__xludf.DUMMYFUNCTION("""COMPUTED_VALUE"""),"CV. Adil Prima Perkasa")</f>
        <v>CV. Adil Prima Perkasa</v>
      </c>
      <c r="F338" s="67" t="str">
        <f>IFERROR(__xludf.DUMMYFUNCTION("""COMPUTED_VALUE"""),"DRIVER DT H700ZS")</f>
        <v>DRIVER DT H700ZS</v>
      </c>
      <c r="G338" s="67" t="str">
        <f>IFERROR(__xludf.DUMMYFUNCTION("""COMPUTED_VALUE"""),"KENDARAAN &amp; UNIT SUPPORT")</f>
        <v>KENDARAAN &amp; UNIT SUPPORT</v>
      </c>
      <c r="H338" s="67" t="str">
        <f>IFERROR(__xludf.DUMMYFUNCTION("""COMPUTED_VALUE"""),"[0102150004] NAFTALI RARE'A, ST")</f>
        <v>[0102150004] NAFTALI RARE'A, ST</v>
      </c>
      <c r="I338" s="69"/>
      <c r="J338" s="70" t="str">
        <f t="shared" si="1"/>
        <v>[204231751] MUSAKKAR</v>
      </c>
      <c r="K338" s="67"/>
      <c r="L338" s="67"/>
      <c r="M338" s="67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</row>
    <row r="339">
      <c r="A339" s="67">
        <f>IFERROR(__xludf.DUMMYFUNCTION("""COMPUTED_VALUE"""),1.01199001E8)</f>
        <v>101199001</v>
      </c>
      <c r="B339" s="67" t="str">
        <f>IFERROR(__xludf.DUMMYFUNCTION("""COMPUTED_VALUE"""),"Monita Febyanti")</f>
        <v>Monita Febyanti</v>
      </c>
      <c r="C339" s="67">
        <f>IFERROR(__xludf.DUMMYFUNCTION("""COMPUTED_VALUE"""),0.0)</f>
        <v>0</v>
      </c>
      <c r="D339" s="68"/>
      <c r="E339" s="67" t="str">
        <f>IFERROR(__xludf.DUMMYFUNCTION("""COMPUTED_VALUE"""),"CV. SENTOSA ABADI")</f>
        <v>CV. SENTOSA ABADI</v>
      </c>
      <c r="F339" s="67" t="str">
        <f>IFERROR(__xludf.DUMMYFUNCTION("""COMPUTED_VALUE"""),"FALSE")</f>
        <v>FALSE</v>
      </c>
      <c r="G339" s="67" t="str">
        <f>IFERROR(__xludf.DUMMYFUNCTION("""COMPUTED_VALUE"""),"FALSE")</f>
        <v>FALSE</v>
      </c>
      <c r="H339" s="67" t="str">
        <f>IFERROR(__xludf.DUMMYFUNCTION("""COMPUTED_VALUE"""),"FALSE")</f>
        <v>FALSE</v>
      </c>
      <c r="I339" s="69"/>
      <c r="J339" s="70" t="str">
        <f t="shared" si="1"/>
        <v>[101199001] Monita Febyanti</v>
      </c>
      <c r="K339" s="67"/>
      <c r="L339" s="67"/>
      <c r="M339" s="67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</row>
    <row r="340">
      <c r="A340" s="67">
        <f>IFERROR(__xludf.DUMMYFUNCTION("""COMPUTED_VALUE"""),1.02150004E8)</f>
        <v>102150004</v>
      </c>
      <c r="B340" s="67" t="str">
        <f>IFERROR(__xludf.DUMMYFUNCTION("""COMPUTED_VALUE"""),"NAFTALI RARE'A, ST")</f>
        <v>NAFTALI RARE'A, ST</v>
      </c>
      <c r="C340" s="67">
        <f>IFERROR(__xludf.DUMMYFUNCTION("""COMPUTED_VALUE"""),34.0)</f>
        <v>34</v>
      </c>
      <c r="D340" s="68" t="str">
        <f>IFERROR(__xludf.DUMMYFUNCTION("""COMPUTED_VALUE"""),"Kristen Protestan")</f>
        <v>Kristen Protestan</v>
      </c>
      <c r="E340" s="67" t="str">
        <f>IFERROR(__xludf.DUMMYFUNCTION("""COMPUTED_VALUE"""),"CV. SENTOSA ABADI")</f>
        <v>CV. SENTOSA ABADI</v>
      </c>
      <c r="F340" s="67" t="str">
        <f>IFERROR(__xludf.DUMMYFUNCTION("""COMPUTED_VALUE"""),"HEAD OF VEHICLE")</f>
        <v>HEAD OF VEHICLE</v>
      </c>
      <c r="G340" s="67" t="str">
        <f>IFERROR(__xludf.DUMMYFUNCTION("""COMPUTED_VALUE"""),"KENDARAAN &amp; UNIT SUPPORT")</f>
        <v>KENDARAAN &amp; UNIT SUPPORT</v>
      </c>
      <c r="H340" s="67" t="str">
        <f>IFERROR(__xludf.DUMMYFUNCTION("""COMPUTED_VALUE"""),"[0102150007] EKY SIDIK PRATAMA, ST")</f>
        <v>[0102150007] EKY SIDIK PRATAMA, ST</v>
      </c>
      <c r="I340" s="69"/>
      <c r="J340" s="70" t="str">
        <f t="shared" si="1"/>
        <v>[102150004] NAFTALI RARE'A, ST</v>
      </c>
      <c r="K340" s="67"/>
      <c r="L340" s="67"/>
      <c r="M340" s="67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</row>
    <row r="341">
      <c r="A341" s="67">
        <f>IFERROR(__xludf.DUMMYFUNCTION("""COMPUTED_VALUE"""),2.0224191E8)</f>
        <v>202241910</v>
      </c>
      <c r="B341" s="67" t="str">
        <f>IFERROR(__xludf.DUMMYFUNCTION("""COMPUTED_VALUE"""),"NASAR")</f>
        <v>NASAR</v>
      </c>
      <c r="C341" s="67">
        <f>IFERROR(__xludf.DUMMYFUNCTION("""COMPUTED_VALUE"""),0.0)</f>
        <v>0</v>
      </c>
      <c r="D341" s="68"/>
      <c r="E341" s="67" t="str">
        <f>IFERROR(__xludf.DUMMYFUNCTION("""COMPUTED_VALUE"""),"CV. Adil Prima Perkasa")</f>
        <v>CV. Adil Prima Perkasa</v>
      </c>
      <c r="F341" s="67" t="str">
        <f>IFERROR(__xludf.DUMMYFUNCTION("""COMPUTED_VALUE"""),"HELPER TYRE")</f>
        <v>HELPER TYRE</v>
      </c>
      <c r="G341" s="67" t="str">
        <f>IFERROR(__xludf.DUMMYFUNCTION("""COMPUTED_VALUE"""),"WORKSHOP")</f>
        <v>WORKSHOP</v>
      </c>
      <c r="H341" s="67" t="str">
        <f>IFERROR(__xludf.DUMMYFUNCTION("""COMPUTED_VALUE"""),"[0106190928] NATAN KONDO")</f>
        <v>[0106190928] NATAN KONDO</v>
      </c>
      <c r="I341" s="69"/>
      <c r="J341" s="70" t="str">
        <f t="shared" si="1"/>
        <v>[202241910] NASAR</v>
      </c>
      <c r="K341" s="67"/>
      <c r="L341" s="67"/>
      <c r="M341" s="67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</row>
    <row r="342">
      <c r="A342" s="67">
        <f>IFERROR(__xludf.DUMMYFUNCTION("""COMPUTED_VALUE"""),1.12191119E8)</f>
        <v>112191119</v>
      </c>
      <c r="B342" s="67" t="str">
        <f>IFERROR(__xludf.DUMMYFUNCTION("""COMPUTED_VALUE"""),"NASRUN")</f>
        <v>NASRUN</v>
      </c>
      <c r="C342" s="67">
        <f>IFERROR(__xludf.DUMMYFUNCTION("""COMPUTED_VALUE"""),49.0)</f>
        <v>49</v>
      </c>
      <c r="D342" s="68" t="str">
        <f>IFERROR(__xludf.DUMMYFUNCTION("""COMPUTED_VALUE"""),"Islam")</f>
        <v>Islam</v>
      </c>
      <c r="E342" s="67" t="str">
        <f>IFERROR(__xludf.DUMMYFUNCTION("""COMPUTED_VALUE"""),"CV. SENTOSA ABADI")</f>
        <v>CV. SENTOSA ABADI</v>
      </c>
      <c r="F342" s="67" t="str">
        <f>IFERROR(__xludf.DUMMYFUNCTION("""COMPUTED_VALUE"""),"OPERATOR ADT")</f>
        <v>OPERATOR ADT</v>
      </c>
      <c r="G342" s="67" t="str">
        <f>IFERROR(__xludf.DUMMYFUNCTION("""COMPUTED_VALUE"""),"PRODUKSI")</f>
        <v>PRODUKSI</v>
      </c>
      <c r="H342" s="67" t="str">
        <f>IFERROR(__xludf.DUMMYFUNCTION("""COMPUTED_VALUE"""),"FALSE")</f>
        <v>FALSE</v>
      </c>
      <c r="I342" s="69">
        <f>IFERROR(__xludf.DUMMYFUNCTION("""COMPUTED_VALUE"""),27759.0)</f>
        <v>27759</v>
      </c>
      <c r="J342" s="70" t="str">
        <f t="shared" si="1"/>
        <v>[112191119] NASRUN</v>
      </c>
      <c r="K342" s="67"/>
      <c r="L342" s="67"/>
      <c r="M342" s="67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</row>
    <row r="343">
      <c r="A343" s="67">
        <f>IFERROR(__xludf.DUMMYFUNCTION("""COMPUTED_VALUE"""),1.06190928E8)</f>
        <v>106190928</v>
      </c>
      <c r="B343" s="67" t="str">
        <f>IFERROR(__xludf.DUMMYFUNCTION("""COMPUTED_VALUE"""),"NATAN KONDO")</f>
        <v>NATAN KONDO</v>
      </c>
      <c r="C343" s="67">
        <f>IFERROR(__xludf.DUMMYFUNCTION("""COMPUTED_VALUE"""),44.0)</f>
        <v>44</v>
      </c>
      <c r="D343" s="68" t="str">
        <f>IFERROR(__xludf.DUMMYFUNCTION("""COMPUTED_VALUE"""),"Kristen Protestan")</f>
        <v>Kristen Protestan</v>
      </c>
      <c r="E343" s="67" t="str">
        <f>IFERROR(__xludf.DUMMYFUNCTION("""COMPUTED_VALUE"""),"CV. SENTOSA ABADI")</f>
        <v>CV. SENTOSA ABADI</v>
      </c>
      <c r="F343" s="67" t="str">
        <f>IFERROR(__xludf.DUMMYFUNCTION("""COMPUTED_VALUE"""),"HEAD OF WORKSHOP")</f>
        <v>HEAD OF WORKSHOP</v>
      </c>
      <c r="G343" s="67" t="str">
        <f>IFERROR(__xludf.DUMMYFUNCTION("""COMPUTED_VALUE"""),"WORKSHOP")</f>
        <v>WORKSHOP</v>
      </c>
      <c r="H343" s="67" t="str">
        <f>IFERROR(__xludf.DUMMYFUNCTION("""COMPUTED_VALUE"""),"FALSE")</f>
        <v>FALSE</v>
      </c>
      <c r="I343" s="69"/>
      <c r="J343" s="70" t="str">
        <f t="shared" si="1"/>
        <v>[106190928] NATAN KONDO</v>
      </c>
      <c r="K343" s="67"/>
      <c r="L343" s="67"/>
      <c r="M343" s="67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</row>
    <row r="344">
      <c r="A344" s="67">
        <f>IFERROR(__xludf.DUMMYFUNCTION("""COMPUTED_VALUE"""),1.05190857E8)</f>
        <v>105190857</v>
      </c>
      <c r="B344" s="67" t="str">
        <f>IFERROR(__xludf.DUMMYFUNCTION("""COMPUTED_VALUE"""),"NATANIEL")</f>
        <v>NATANIEL</v>
      </c>
      <c r="C344" s="67">
        <f>IFERROR(__xludf.DUMMYFUNCTION("""COMPUTED_VALUE"""),24.0)</f>
        <v>24</v>
      </c>
      <c r="D344" s="68" t="str">
        <f>IFERROR(__xludf.DUMMYFUNCTION("""COMPUTED_VALUE"""),"Kristen Khatolik")</f>
        <v>Kristen Khatolik</v>
      </c>
      <c r="E344" s="67" t="str">
        <f>IFERROR(__xludf.DUMMYFUNCTION("""COMPUTED_VALUE"""),"CV. SENTOSA ABADI")</f>
        <v>CV. SENTOSA ABADI</v>
      </c>
      <c r="F344" s="67" t="str">
        <f>IFERROR(__xludf.DUMMYFUNCTION("""COMPUTED_VALUE"""),"HELPER MECHANIC MAINTENANCE")</f>
        <v>HELPER MECHANIC MAINTENANCE</v>
      </c>
      <c r="G344" s="67" t="str">
        <f>IFERROR(__xludf.DUMMYFUNCTION("""COMPUTED_VALUE"""),"WORKSHOP")</f>
        <v>WORKSHOP</v>
      </c>
      <c r="H344" s="67" t="str">
        <f>IFERROR(__xludf.DUMMYFUNCTION("""COMPUTED_VALUE"""),"[0107190958] DIPINTO TANGKAMBU")</f>
        <v>[0107190958] DIPINTO TANGKAMBU</v>
      </c>
      <c r="I344" s="69"/>
      <c r="J344" s="70" t="str">
        <f t="shared" si="1"/>
        <v>[105190857] NATANIEL</v>
      </c>
      <c r="K344" s="67"/>
      <c r="L344" s="67"/>
      <c r="M344" s="67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</row>
    <row r="345">
      <c r="A345" s="67">
        <f>IFERROR(__xludf.DUMMYFUNCTION("""COMPUTED_VALUE"""),2.06221635E8)</f>
        <v>206221635</v>
      </c>
      <c r="B345" s="67" t="str">
        <f>IFERROR(__xludf.DUMMYFUNCTION("""COMPUTED_VALUE"""),"NOFRI FERDIANTO")</f>
        <v>NOFRI FERDIANTO</v>
      </c>
      <c r="C345" s="67">
        <f>IFERROR(__xludf.DUMMYFUNCTION("""COMPUTED_VALUE"""),29.0)</f>
        <v>29</v>
      </c>
      <c r="D345" s="68" t="str">
        <f>IFERROR(__xludf.DUMMYFUNCTION("""COMPUTED_VALUE"""),"Islam")</f>
        <v>Islam</v>
      </c>
      <c r="E345" s="67" t="str">
        <f>IFERROR(__xludf.DUMMYFUNCTION("""COMPUTED_VALUE"""),"CV. Adil Prima Perkasa")</f>
        <v>CV. Adil Prima Perkasa</v>
      </c>
      <c r="F345" s="67" t="str">
        <f>IFERROR(__xludf.DUMMYFUNCTION("""COMPUTED_VALUE"""),"HELPER WELDER")</f>
        <v>HELPER WELDER</v>
      </c>
      <c r="G345" s="67" t="str">
        <f>IFERROR(__xludf.DUMMYFUNCTION("""COMPUTED_VALUE"""),"WORKSHOP")</f>
        <v>WORKSHOP</v>
      </c>
      <c r="H345" s="67" t="str">
        <f>IFERROR(__xludf.DUMMYFUNCTION("""COMPUTED_VALUE"""),"[0106190928] NATAN KONDO")</f>
        <v>[0106190928] NATAN KONDO</v>
      </c>
      <c r="I345" s="69"/>
      <c r="J345" s="70" t="str">
        <f t="shared" si="1"/>
        <v>[206221635] NOFRI FERDIANTO</v>
      </c>
      <c r="K345" s="67"/>
      <c r="L345" s="67"/>
      <c r="M345" s="67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</row>
    <row r="346">
      <c r="A346" s="67">
        <f>IFERROR(__xludf.DUMMYFUNCTION("""COMPUTED_VALUE"""),1.02201135E8)</f>
        <v>102201135</v>
      </c>
      <c r="B346" s="67" t="str">
        <f>IFERROR(__xludf.DUMMYFUNCTION("""COMPUTED_VALUE"""),"NOLDI POHU")</f>
        <v>NOLDI POHU</v>
      </c>
      <c r="C346" s="67">
        <f>IFERROR(__xludf.DUMMYFUNCTION("""COMPUTED_VALUE"""),36.0)</f>
        <v>36</v>
      </c>
      <c r="D346" s="68" t="str">
        <f>IFERROR(__xludf.DUMMYFUNCTION("""COMPUTED_VALUE"""),"Kristen Protestan")</f>
        <v>Kristen Protestan</v>
      </c>
      <c r="E346" s="67" t="str">
        <f>IFERROR(__xludf.DUMMYFUNCTION("""COMPUTED_VALUE"""),"CV. SENTOSA ABADI")</f>
        <v>CV. SENTOSA ABADI</v>
      </c>
      <c r="F346" s="67" t="str">
        <f>IFERROR(__xludf.DUMMYFUNCTION("""COMPUTED_VALUE"""),"DRIVER DT H700ZY")</f>
        <v>DRIVER DT H700ZY</v>
      </c>
      <c r="G346" s="67" t="str">
        <f>IFERROR(__xludf.DUMMYFUNCTION("""COMPUTED_VALUE"""),"KENDARAAN &amp; UNIT SUPPORT")</f>
        <v>KENDARAAN &amp; UNIT SUPPORT</v>
      </c>
      <c r="H346" s="67" t="str">
        <f>IFERROR(__xludf.DUMMYFUNCTION("""COMPUTED_VALUE"""),"[0102150004] NAFTALI RARE'A, ST")</f>
        <v>[0102150004] NAFTALI RARE'A, ST</v>
      </c>
      <c r="I346" s="69"/>
      <c r="J346" s="70" t="str">
        <f t="shared" si="1"/>
        <v>[102201135] NOLDI POHU</v>
      </c>
      <c r="K346" s="67"/>
      <c r="L346" s="67"/>
      <c r="M346" s="67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</row>
    <row r="347">
      <c r="A347" s="67">
        <f>IFERROR(__xludf.DUMMYFUNCTION("""COMPUTED_VALUE"""),1.06201156E8)</f>
        <v>106201156</v>
      </c>
      <c r="B347" s="67" t="str">
        <f>IFERROR(__xludf.DUMMYFUNCTION("""COMPUTED_VALUE"""),"NORCE LATONTJE")</f>
        <v>NORCE LATONTJE</v>
      </c>
      <c r="C347" s="67">
        <f>IFERROR(__xludf.DUMMYFUNCTION("""COMPUTED_VALUE"""),56.0)</f>
        <v>56</v>
      </c>
      <c r="D347" s="68" t="str">
        <f>IFERROR(__xludf.DUMMYFUNCTION("""COMPUTED_VALUE"""),"Kristen Protestan")</f>
        <v>Kristen Protestan</v>
      </c>
      <c r="E347" s="67" t="str">
        <f>IFERROR(__xludf.DUMMYFUNCTION("""COMPUTED_VALUE"""),"CV. SENTOSA ABADI")</f>
        <v>CV. SENTOSA ABADI</v>
      </c>
      <c r="F347" s="67" t="str">
        <f>IFERROR(__xludf.DUMMYFUNCTION("""COMPUTED_VALUE"""),"STOCKER")</f>
        <v>STOCKER</v>
      </c>
      <c r="G347" s="67" t="str">
        <f>IFERROR(__xludf.DUMMYFUNCTION("""COMPUTED_VALUE"""),"HRD &amp; GA")</f>
        <v>HRD &amp; GA</v>
      </c>
      <c r="H347" s="67" t="str">
        <f>IFERROR(__xludf.DUMMYFUNCTION("""COMPUTED_VALUE"""),"[0103231738] MARYA SUSAN SIMBANGU")</f>
        <v>[0103231738] MARYA SUSAN SIMBANGU</v>
      </c>
      <c r="I347" s="69"/>
      <c r="J347" s="70" t="str">
        <f t="shared" si="1"/>
        <v>[106201156] NORCE LATONTJE</v>
      </c>
      <c r="K347" s="67"/>
      <c r="L347" s="67"/>
      <c r="M347" s="67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</row>
    <row r="348">
      <c r="A348" s="67">
        <f>IFERROR(__xludf.DUMMYFUNCTION("""COMPUTED_VALUE"""),2.03241901E8)</f>
        <v>203241901</v>
      </c>
      <c r="B348" s="67" t="str">
        <f>IFERROR(__xludf.DUMMYFUNCTION("""COMPUTED_VALUE"""),"NUGIE")</f>
        <v>NUGIE</v>
      </c>
      <c r="C348" s="67">
        <f>IFERROR(__xludf.DUMMYFUNCTION("""COMPUTED_VALUE"""),0.0)</f>
        <v>0</v>
      </c>
      <c r="D348" s="68"/>
      <c r="E348" s="67" t="str">
        <f>IFERROR(__xludf.DUMMYFUNCTION("""COMPUTED_VALUE"""),"CV. Adil Prima Perkasa")</f>
        <v>CV. Adil Prima Perkasa</v>
      </c>
      <c r="F348" s="67" t="str">
        <f>IFERROR(__xludf.DUMMYFUNCTION("""COMPUTED_VALUE"""),"DRIVER LT")</f>
        <v>DRIVER LT</v>
      </c>
      <c r="G348" s="67" t="str">
        <f>IFERROR(__xludf.DUMMYFUNCTION("""COMPUTED_VALUE"""),"KENDARAAN &amp; UNIT SUPPORT")</f>
        <v>KENDARAAN &amp; UNIT SUPPORT</v>
      </c>
      <c r="H348" s="67" t="str">
        <f>IFERROR(__xludf.DUMMYFUNCTION("""COMPUTED_VALUE"""),"[0102150004] NAFTALI RARE'A, ST")</f>
        <v>[0102150004] NAFTALI RARE'A, ST</v>
      </c>
      <c r="I348" s="69"/>
      <c r="J348" s="70" t="str">
        <f t="shared" si="1"/>
        <v>[203241901] NUGIE</v>
      </c>
      <c r="K348" s="67"/>
      <c r="L348" s="67"/>
      <c r="M348" s="67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</row>
    <row r="349">
      <c r="A349" s="67">
        <f>IFERROR(__xludf.DUMMYFUNCTION("""COMPUTED_VALUE"""),3.01210045E8)</f>
        <v>301210045</v>
      </c>
      <c r="B349" s="67" t="str">
        <f>IFERROR(__xludf.DUMMYFUNCTION("""COMPUTED_VALUE"""),"NULDIN LAEME")</f>
        <v>NULDIN LAEME</v>
      </c>
      <c r="C349" s="67">
        <f>IFERROR(__xludf.DUMMYFUNCTION("""COMPUTED_VALUE"""),45.0)</f>
        <v>45</v>
      </c>
      <c r="D349" s="68" t="str">
        <f>IFERROR(__xludf.DUMMYFUNCTION("""COMPUTED_VALUE"""),"Kristen Protestan")</f>
        <v>Kristen Protestan</v>
      </c>
      <c r="E349" s="67" t="str">
        <f>IFERROR(__xludf.DUMMYFUNCTION("""COMPUTED_VALUE"""),"CV. Monalisa")</f>
        <v>CV. Monalisa</v>
      </c>
      <c r="F349" s="67" t="str">
        <f>IFERROR(__xludf.DUMMYFUNCTION("""COMPUTED_VALUE"""),"OPERATOR GRADER")</f>
        <v>OPERATOR GRADER</v>
      </c>
      <c r="G349" s="67" t="str">
        <f>IFERROR(__xludf.DUMMYFUNCTION("""COMPUTED_VALUE"""),"PRODUKSI")</f>
        <v>PRODUKSI</v>
      </c>
      <c r="H349" s="67" t="str">
        <f>IFERROR(__xludf.DUMMYFUNCTION("""COMPUTED_VALUE"""),"FALSE")</f>
        <v>FALSE</v>
      </c>
      <c r="I349" s="69"/>
      <c r="J349" s="70" t="str">
        <f t="shared" si="1"/>
        <v>[301210045] NULDIN LAEME</v>
      </c>
      <c r="K349" s="67"/>
      <c r="L349" s="67"/>
      <c r="M349" s="67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</row>
    <row r="350">
      <c r="A350" s="67">
        <f>IFERROR(__xludf.DUMMYFUNCTION("""COMPUTED_VALUE"""),1.11201276E8)</f>
        <v>111201276</v>
      </c>
      <c r="B350" s="67" t="str">
        <f>IFERROR(__xludf.DUMMYFUNCTION("""COMPUTED_VALUE"""),"NUR USMAN BOLIS")</f>
        <v>NUR USMAN BOLIS</v>
      </c>
      <c r="C350" s="67">
        <f>IFERROR(__xludf.DUMMYFUNCTION("""COMPUTED_VALUE"""),48.0)</f>
        <v>48</v>
      </c>
      <c r="D350" s="68" t="str">
        <f>IFERROR(__xludf.DUMMYFUNCTION("""COMPUTED_VALUE"""),"Islam")</f>
        <v>Islam</v>
      </c>
      <c r="E350" s="67" t="str">
        <f>IFERROR(__xludf.DUMMYFUNCTION("""COMPUTED_VALUE"""),"CV. SENTOSA ABADI")</f>
        <v>CV. SENTOSA ABADI</v>
      </c>
      <c r="F350" s="67" t="str">
        <f>IFERROR(__xludf.DUMMYFUNCTION("""COMPUTED_VALUE"""),"OPERATOR BULLDOZER")</f>
        <v>OPERATOR BULLDOZER</v>
      </c>
      <c r="G350" s="67" t="str">
        <f>IFERROR(__xludf.DUMMYFUNCTION("""COMPUTED_VALUE"""),"PRODUKSI")</f>
        <v>PRODUKSI</v>
      </c>
      <c r="H350" s="67" t="str">
        <f>IFERROR(__xludf.DUMMYFUNCTION("""COMPUTED_VALUE"""),"[0102130003] PURNAWAN")</f>
        <v>[0102130003] PURNAWAN</v>
      </c>
      <c r="I350" s="69">
        <f>IFERROR(__xludf.DUMMYFUNCTION("""COMPUTED_VALUE"""),28395.0)</f>
        <v>28395</v>
      </c>
      <c r="J350" s="70" t="str">
        <f t="shared" si="1"/>
        <v>[111201276] NUR USMAN BOLIS</v>
      </c>
      <c r="K350" s="67"/>
      <c r="L350" s="67"/>
      <c r="M350" s="67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</row>
    <row r="351">
      <c r="A351" s="67">
        <f>IFERROR(__xludf.DUMMYFUNCTION("""COMPUTED_VALUE"""),2.10221697E8)</f>
        <v>210221697</v>
      </c>
      <c r="B351" s="67" t="str">
        <f>IFERROR(__xludf.DUMMYFUNCTION("""COMPUTED_VALUE"""),"NUR VERI FADLI")</f>
        <v>NUR VERI FADLI</v>
      </c>
      <c r="C351" s="67">
        <f>IFERROR(__xludf.DUMMYFUNCTION("""COMPUTED_VALUE"""),20.0)</f>
        <v>20</v>
      </c>
      <c r="D351" s="68" t="str">
        <f>IFERROR(__xludf.DUMMYFUNCTION("""COMPUTED_VALUE"""),"Islam")</f>
        <v>Islam</v>
      </c>
      <c r="E351" s="67" t="str">
        <f>IFERROR(__xludf.DUMMYFUNCTION("""COMPUTED_VALUE"""),"CV. Adil Prima Perkasa")</f>
        <v>CV. Adil Prima Perkasa</v>
      </c>
      <c r="F351" s="67" t="str">
        <f>IFERROR(__xludf.DUMMYFUNCTION("""COMPUTED_VALUE"""),"CHECKER PRODUKSI")</f>
        <v>CHECKER PRODUKSI</v>
      </c>
      <c r="G351" s="67" t="str">
        <f>IFERROR(__xludf.DUMMYFUNCTION("""COMPUTED_VALUE"""),"PRODUKSI")</f>
        <v>PRODUKSI</v>
      </c>
      <c r="H351" s="67" t="str">
        <f>IFERROR(__xludf.DUMMYFUNCTION("""COMPUTED_VALUE"""),"[0102130003] PURNAWAN")</f>
        <v>[0102130003] PURNAWAN</v>
      </c>
      <c r="I351" s="69"/>
      <c r="J351" s="70" t="str">
        <f t="shared" si="1"/>
        <v>[210221697] NUR VERI FADLI</v>
      </c>
      <c r="K351" s="67"/>
      <c r="L351" s="67"/>
      <c r="M351" s="67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</row>
    <row r="352">
      <c r="A352" s="67">
        <f>IFERROR(__xludf.DUMMYFUNCTION("""COMPUTED_VALUE"""),1.1019109E8)</f>
        <v>110191090</v>
      </c>
      <c r="B352" s="67" t="str">
        <f>IFERROR(__xludf.DUMMYFUNCTION("""COMPUTED_VALUE"""),"NUR YASIN SIDENG")</f>
        <v>NUR YASIN SIDENG</v>
      </c>
      <c r="C352" s="67">
        <f>IFERROR(__xludf.DUMMYFUNCTION("""COMPUTED_VALUE"""),38.0)</f>
        <v>38</v>
      </c>
      <c r="D352" s="68" t="str">
        <f>IFERROR(__xludf.DUMMYFUNCTION("""COMPUTED_VALUE"""),"Islam")</f>
        <v>Islam</v>
      </c>
      <c r="E352" s="67" t="str">
        <f>IFERROR(__xludf.DUMMYFUNCTION("""COMPUTED_VALUE"""),"CV. SENTOSA ABADI")</f>
        <v>CV. SENTOSA ABADI</v>
      </c>
      <c r="F352" s="67" t="str">
        <f>IFERROR(__xludf.DUMMYFUNCTION("""COMPUTED_VALUE"""),"DRIVER DT H700ZY")</f>
        <v>DRIVER DT H700ZY</v>
      </c>
      <c r="G352" s="67" t="str">
        <f>IFERROR(__xludf.DUMMYFUNCTION("""COMPUTED_VALUE"""),"KENDARAAN &amp; UNIT SUPPORT")</f>
        <v>KENDARAAN &amp; UNIT SUPPORT</v>
      </c>
      <c r="H352" s="67" t="str">
        <f>IFERROR(__xludf.DUMMYFUNCTION("""COMPUTED_VALUE"""),"[0102150004] NAFTALI RARE'A, ST")</f>
        <v>[0102150004] NAFTALI RARE'A, ST</v>
      </c>
      <c r="I352" s="69">
        <f>IFERROR(__xludf.DUMMYFUNCTION("""COMPUTED_VALUE"""),35131.0)</f>
        <v>35131</v>
      </c>
      <c r="J352" s="70" t="str">
        <f t="shared" si="1"/>
        <v>[110191090] NUR YASIN SIDENG</v>
      </c>
      <c r="K352" s="67"/>
      <c r="L352" s="67"/>
      <c r="M352" s="67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</row>
    <row r="353">
      <c r="A353" s="67">
        <f>IFERROR(__xludf.DUMMYFUNCTION("""COMPUTED_VALUE"""),2.06241941E8)</f>
        <v>206241941</v>
      </c>
      <c r="B353" s="67" t="str">
        <f>IFERROR(__xludf.DUMMYFUNCTION("""COMPUTED_VALUE"""),"NURUDDIN FACHRIE")</f>
        <v>NURUDDIN FACHRIE</v>
      </c>
      <c r="C353" s="67">
        <f>IFERROR(__xludf.DUMMYFUNCTION("""COMPUTED_VALUE"""),25.0)</f>
        <v>25</v>
      </c>
      <c r="D353" s="68" t="str">
        <f>IFERROR(__xludf.DUMMYFUNCTION("""COMPUTED_VALUE"""),"Islam")</f>
        <v>Islam</v>
      </c>
      <c r="E353" s="67" t="str">
        <f>IFERROR(__xludf.DUMMYFUNCTION("""COMPUTED_VALUE"""),"CV. Adil Prima Perkasa")</f>
        <v>CV. Adil Prima Perkasa</v>
      </c>
      <c r="F353" s="67" t="str">
        <f>IFERROR(__xludf.DUMMYFUNCTION("""COMPUTED_VALUE"""),"SECURITY")</f>
        <v>SECURITY</v>
      </c>
      <c r="G353" s="67" t="str">
        <f>IFERROR(__xludf.DUMMYFUNCTION("""COMPUTED_VALUE"""),"HRD &amp; GA")</f>
        <v>HRD &amp; GA</v>
      </c>
      <c r="H353" s="67" t="str">
        <f>IFERROR(__xludf.DUMMYFUNCTION("""COMPUTED_VALUE"""),"[0108191037] ERNIE FRISLIA")</f>
        <v>[0108191037] ERNIE FRISLIA</v>
      </c>
      <c r="I353" s="69"/>
      <c r="J353" s="70" t="str">
        <f t="shared" si="1"/>
        <v>[206241941] NURUDDIN FACHRIE</v>
      </c>
      <c r="K353" s="67"/>
      <c r="L353" s="67"/>
      <c r="M353" s="67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</row>
    <row r="354">
      <c r="A354" s="67">
        <f>IFERROR(__xludf.DUMMYFUNCTION("""COMPUTED_VALUE"""),1.10211499E8)</f>
        <v>110211499</v>
      </c>
      <c r="B354" s="67" t="str">
        <f>IFERROR(__xludf.DUMMYFUNCTION("""COMPUTED_VALUE"""),"OKTAVIANUS ANDRO USU")</f>
        <v>OKTAVIANUS ANDRO USU</v>
      </c>
      <c r="C354" s="67">
        <f>IFERROR(__xludf.DUMMYFUNCTION("""COMPUTED_VALUE"""),0.0)</f>
        <v>0</v>
      </c>
      <c r="D354" s="68" t="str">
        <f>IFERROR(__xludf.DUMMYFUNCTION("""COMPUTED_VALUE"""),"Kristen Khatolik")</f>
        <v>Kristen Khatolik</v>
      </c>
      <c r="E354" s="67" t="str">
        <f>IFERROR(__xludf.DUMMYFUNCTION("""COMPUTED_VALUE"""),"CV. SENTOSA ABADI")</f>
        <v>CV. SENTOSA ABADI</v>
      </c>
      <c r="F354" s="67" t="str">
        <f>IFERROR(__xludf.DUMMYFUNCTION("""COMPUTED_VALUE"""),"CHECKER PRODUKSI")</f>
        <v>CHECKER PRODUKSI</v>
      </c>
      <c r="G354" s="67" t="str">
        <f>IFERROR(__xludf.DUMMYFUNCTION("""COMPUTED_VALUE"""),"PRODUKSI")</f>
        <v>PRODUKSI</v>
      </c>
      <c r="H354" s="67" t="str">
        <f>IFERROR(__xludf.DUMMYFUNCTION("""COMPUTED_VALUE"""),"[0102130003] PURNAWAN")</f>
        <v>[0102130003] PURNAWAN</v>
      </c>
      <c r="I354" s="69"/>
      <c r="J354" s="70" t="str">
        <f t="shared" si="1"/>
        <v>[110211499] OKTAVIANUS ANDRO USU</v>
      </c>
      <c r="K354" s="67"/>
      <c r="L354" s="67"/>
      <c r="M354" s="67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</row>
    <row r="355">
      <c r="A355" s="67">
        <f>IFERROR(__xludf.DUMMYFUNCTION("""COMPUTED_VALUE"""),2.02231723E8)</f>
        <v>202231723</v>
      </c>
      <c r="B355" s="67" t="str">
        <f>IFERROR(__xludf.DUMMYFUNCTION("""COMPUTED_VALUE"""),"OKTAVIANUS MAAK")</f>
        <v>OKTAVIANUS MAAK</v>
      </c>
      <c r="C355" s="67">
        <f>IFERROR(__xludf.DUMMYFUNCTION("""COMPUTED_VALUE"""),26.0)</f>
        <v>26</v>
      </c>
      <c r="D355" s="68" t="str">
        <f>IFERROR(__xludf.DUMMYFUNCTION("""COMPUTED_VALUE"""),"Kristen Khatolik")</f>
        <v>Kristen Khatolik</v>
      </c>
      <c r="E355" s="67" t="str">
        <f>IFERROR(__xludf.DUMMYFUNCTION("""COMPUTED_VALUE"""),"CV. Adil Prima Perkasa")</f>
        <v>CV. Adil Prima Perkasa</v>
      </c>
      <c r="F355" s="67" t="str">
        <f>IFERROR(__xludf.DUMMYFUNCTION("""COMPUTED_VALUE"""),"CHECKER PRODUKSI")</f>
        <v>CHECKER PRODUKSI</v>
      </c>
      <c r="G355" s="67" t="str">
        <f>IFERROR(__xludf.DUMMYFUNCTION("""COMPUTED_VALUE"""),"PRODUKSI")</f>
        <v>PRODUKSI</v>
      </c>
      <c r="H355" s="67" t="str">
        <f>IFERROR(__xludf.DUMMYFUNCTION("""COMPUTED_VALUE"""),"[0102130003] PURNAWAN")</f>
        <v>[0102130003] PURNAWAN</v>
      </c>
      <c r="I355" s="69"/>
      <c r="J355" s="70" t="str">
        <f t="shared" si="1"/>
        <v>[202231723] OKTAVIANUS MAAK</v>
      </c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</row>
    <row r="356">
      <c r="A356" s="67">
        <f>IFERROR(__xludf.DUMMYFUNCTION("""COMPUTED_VALUE"""),3.06210074E8)</f>
        <v>306210074</v>
      </c>
      <c r="B356" s="67" t="str">
        <f>IFERROR(__xludf.DUMMYFUNCTION("""COMPUTED_VALUE"""),"OVERUS SEDA")</f>
        <v>OVERUS SEDA</v>
      </c>
      <c r="C356" s="67">
        <f>IFERROR(__xludf.DUMMYFUNCTION("""COMPUTED_VALUE"""),48.0)</f>
        <v>48</v>
      </c>
      <c r="D356" s="68" t="str">
        <f>IFERROR(__xludf.DUMMYFUNCTION("""COMPUTED_VALUE"""),"Kristen Protestan")</f>
        <v>Kristen Protestan</v>
      </c>
      <c r="E356" s="67" t="str">
        <f>IFERROR(__xludf.DUMMYFUNCTION("""COMPUTED_VALUE"""),"CV. Monalisa")</f>
        <v>CV. Monalisa</v>
      </c>
      <c r="F356" s="67" t="str">
        <f>IFERROR(__xludf.DUMMYFUNCTION("""COMPUTED_VALUE"""),"DRIVER DT")</f>
        <v>DRIVER DT</v>
      </c>
      <c r="G356" s="67" t="str">
        <f>IFERROR(__xludf.DUMMYFUNCTION("""COMPUTED_VALUE"""),"KENDARAAN &amp; UNIT SUPPORT")</f>
        <v>KENDARAAN &amp; UNIT SUPPORT</v>
      </c>
      <c r="H356" s="67" t="str">
        <f>IFERROR(__xludf.DUMMYFUNCTION("""COMPUTED_VALUE"""),"[0102150004] NAFTALI RARE'A, ST")</f>
        <v>[0102150004] NAFTALI RARE'A, ST</v>
      </c>
      <c r="I356" s="69"/>
      <c r="J356" s="70" t="str">
        <f t="shared" si="1"/>
        <v>[306210074] OVERUS SEDA</v>
      </c>
      <c r="K356" s="67"/>
      <c r="L356" s="67"/>
      <c r="M356" s="67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</row>
    <row r="357">
      <c r="A357" s="67">
        <f>IFERROR(__xludf.DUMMYFUNCTION("""COMPUTED_VALUE"""),1.08201209E8)</f>
        <v>108201209</v>
      </c>
      <c r="B357" s="67" t="str">
        <f>IFERROR(__xludf.DUMMYFUNCTION("""COMPUTED_VALUE"""),"PAHARUDDIN DG NGALLE")</f>
        <v>PAHARUDDIN DG NGALLE</v>
      </c>
      <c r="C357" s="67">
        <f>IFERROR(__xludf.DUMMYFUNCTION("""COMPUTED_VALUE"""),42.0)</f>
        <v>42</v>
      </c>
      <c r="D357" s="68" t="str">
        <f>IFERROR(__xludf.DUMMYFUNCTION("""COMPUTED_VALUE"""),"Islam")</f>
        <v>Islam</v>
      </c>
      <c r="E357" s="67" t="str">
        <f>IFERROR(__xludf.DUMMYFUNCTION("""COMPUTED_VALUE"""),"CV. SENTOSA ABADI")</f>
        <v>CV. SENTOSA ABADI</v>
      </c>
      <c r="F357" s="67" t="str">
        <f>IFERROR(__xludf.DUMMYFUNCTION("""COMPUTED_VALUE"""),"DRIVER DT H700ZY")</f>
        <v>DRIVER DT H700ZY</v>
      </c>
      <c r="G357" s="67" t="str">
        <f>IFERROR(__xludf.DUMMYFUNCTION("""COMPUTED_VALUE"""),"KENDARAAN &amp; UNIT SUPPORT")</f>
        <v>KENDARAAN &amp; UNIT SUPPORT</v>
      </c>
      <c r="H357" s="67" t="str">
        <f>IFERROR(__xludf.DUMMYFUNCTION("""COMPUTED_VALUE"""),"[0102150004] NAFTALI RARE'A, ST")</f>
        <v>[0102150004] NAFTALI RARE'A, ST</v>
      </c>
      <c r="I357" s="69">
        <f>IFERROR(__xludf.DUMMYFUNCTION("""COMPUTED_VALUE"""),30463.0)</f>
        <v>30463</v>
      </c>
      <c r="J357" s="70" t="str">
        <f t="shared" si="1"/>
        <v>[108201209] PAHARUDDIN DG NGALLE</v>
      </c>
      <c r="K357" s="67"/>
      <c r="L357" s="67"/>
      <c r="M357" s="67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</row>
    <row r="358">
      <c r="A358" s="67">
        <f>IFERROR(__xludf.DUMMYFUNCTION("""COMPUTED_VALUE"""),2.1020125E8)</f>
        <v>210201250</v>
      </c>
      <c r="B358" s="67" t="str">
        <f>IFERROR(__xludf.DUMMYFUNCTION("""COMPUTED_VALUE"""),"PARAHAN")</f>
        <v>PARAHAN</v>
      </c>
      <c r="C358" s="67">
        <f>IFERROR(__xludf.DUMMYFUNCTION("""COMPUTED_VALUE"""),42.0)</f>
        <v>42</v>
      </c>
      <c r="D358" s="68" t="str">
        <f>IFERROR(__xludf.DUMMYFUNCTION("""COMPUTED_VALUE"""),"Islam")</f>
        <v>Islam</v>
      </c>
      <c r="E358" s="67" t="str">
        <f>IFERROR(__xludf.DUMMYFUNCTION("""COMPUTED_VALUE"""),"CV. Adil Prima Perkasa")</f>
        <v>CV. Adil Prima Perkasa</v>
      </c>
      <c r="F358" s="67" t="str">
        <f>IFERROR(__xludf.DUMMYFUNCTION("""COMPUTED_VALUE"""),"DRIVER DT H700ZY")</f>
        <v>DRIVER DT H700ZY</v>
      </c>
      <c r="G358" s="67" t="str">
        <f>IFERROR(__xludf.DUMMYFUNCTION("""COMPUTED_VALUE"""),"KENDARAAN &amp; UNIT SUPPORT")</f>
        <v>KENDARAAN &amp; UNIT SUPPORT</v>
      </c>
      <c r="H358" s="67" t="str">
        <f>IFERROR(__xludf.DUMMYFUNCTION("""COMPUTED_VALUE"""),"[0102150004] NAFTALI RARE'A, ST")</f>
        <v>[0102150004] NAFTALI RARE'A, ST</v>
      </c>
      <c r="I358" s="69"/>
      <c r="J358" s="70" t="str">
        <f t="shared" si="1"/>
        <v>[210201250] PARAHAN</v>
      </c>
      <c r="K358" s="67"/>
      <c r="L358" s="67"/>
      <c r="M358" s="67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</row>
    <row r="359">
      <c r="A359" s="67">
        <f>IFERROR(__xludf.DUMMYFUNCTION("""COMPUTED_VALUE"""),2.02241884E8)</f>
        <v>202241884</v>
      </c>
      <c r="B359" s="67" t="str">
        <f>IFERROR(__xludf.DUMMYFUNCTION("""COMPUTED_VALUE"""),"PASKALIS JUANCI OJO")</f>
        <v>PASKALIS JUANCI OJO</v>
      </c>
      <c r="C359" s="67">
        <f>IFERROR(__xludf.DUMMYFUNCTION("""COMPUTED_VALUE"""),0.0)</f>
        <v>0</v>
      </c>
      <c r="D359" s="68"/>
      <c r="E359" s="67" t="str">
        <f>IFERROR(__xludf.DUMMYFUNCTION("""COMPUTED_VALUE"""),"CV. Adil Prima Perkasa")</f>
        <v>CV. Adil Prima Perkasa</v>
      </c>
      <c r="F359" s="67" t="str">
        <f>IFERROR(__xludf.DUMMYFUNCTION("""COMPUTED_VALUE"""),"HELPER MECHANIC MAINTENANCE")</f>
        <v>HELPER MECHANIC MAINTENANCE</v>
      </c>
      <c r="G359" s="67" t="str">
        <f>IFERROR(__xludf.DUMMYFUNCTION("""COMPUTED_VALUE"""),"WORKSHOP")</f>
        <v>WORKSHOP</v>
      </c>
      <c r="H359" s="67" t="str">
        <f>IFERROR(__xludf.DUMMYFUNCTION("""COMPUTED_VALUE"""),"FALSE")</f>
        <v>FALSE</v>
      </c>
      <c r="I359" s="69"/>
      <c r="J359" s="70" t="str">
        <f t="shared" si="1"/>
        <v>[202241884] PASKALIS JUANCI OJO</v>
      </c>
      <c r="K359" s="67"/>
      <c r="L359" s="67"/>
      <c r="M359" s="67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</row>
    <row r="360">
      <c r="A360" s="67">
        <f>IFERROR(__xludf.DUMMYFUNCTION("""COMPUTED_VALUE"""),1.10201246E8)</f>
        <v>110201246</v>
      </c>
      <c r="B360" s="67" t="str">
        <f>IFERROR(__xludf.DUMMYFUNCTION("""COMPUTED_VALUE"""),"PAULUS LIKI")</f>
        <v>PAULUS LIKI</v>
      </c>
      <c r="C360" s="67">
        <f>IFERROR(__xludf.DUMMYFUNCTION("""COMPUTED_VALUE"""),46.0)</f>
        <v>46</v>
      </c>
      <c r="D360" s="68" t="str">
        <f>IFERROR(__xludf.DUMMYFUNCTION("""COMPUTED_VALUE"""),"Kristen Protestan")</f>
        <v>Kristen Protestan</v>
      </c>
      <c r="E360" s="67" t="str">
        <f>IFERROR(__xludf.DUMMYFUNCTION("""COMPUTED_VALUE"""),"CV. SENTOSA ABADI")</f>
        <v>CV. SENTOSA ABADI</v>
      </c>
      <c r="F360" s="67" t="str">
        <f>IFERROR(__xludf.DUMMYFUNCTION("""COMPUTED_VALUE"""),"FOREMAN PRODUKSI")</f>
        <v>FOREMAN PRODUKSI</v>
      </c>
      <c r="G360" s="67" t="str">
        <f>IFERROR(__xludf.DUMMYFUNCTION("""COMPUTED_VALUE"""),"PRODUKSI")</f>
        <v>PRODUKSI</v>
      </c>
      <c r="H360" s="67" t="str">
        <f>IFERROR(__xludf.DUMMYFUNCTION("""COMPUTED_VALUE"""),"[0102130003] PURNAWAN")</f>
        <v>[0102130003] PURNAWAN</v>
      </c>
      <c r="I360" s="69"/>
      <c r="J360" s="70" t="str">
        <f t="shared" si="1"/>
        <v>[110201246] PAULUS LIKI</v>
      </c>
      <c r="K360" s="67"/>
      <c r="L360" s="67"/>
      <c r="M360" s="67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</row>
    <row r="361">
      <c r="A361" s="67">
        <f>IFERROR(__xludf.DUMMYFUNCTION("""COMPUTED_VALUE"""),1.0117009E8)</f>
        <v>101170090</v>
      </c>
      <c r="B361" s="67" t="str">
        <f>IFERROR(__xludf.DUMMYFUNCTION("""COMPUTED_VALUE"""),"PERDIANTO PALIU")</f>
        <v>PERDIANTO PALIU</v>
      </c>
      <c r="C361" s="67">
        <f>IFERROR(__xludf.DUMMYFUNCTION("""COMPUTED_VALUE"""),0.0)</f>
        <v>0</v>
      </c>
      <c r="D361" s="68"/>
      <c r="E361" s="67" t="str">
        <f>IFERROR(__xludf.DUMMYFUNCTION("""COMPUTED_VALUE"""),"CV. SENTOSA ABADI")</f>
        <v>CV. SENTOSA ABADI</v>
      </c>
      <c r="F361" s="67" t="str">
        <f>IFERROR(__xludf.DUMMYFUNCTION("""COMPUTED_VALUE"""),"HELPER ELECTRICIAN")</f>
        <v>HELPER ELECTRICIAN</v>
      </c>
      <c r="G361" s="67" t="str">
        <f>IFERROR(__xludf.DUMMYFUNCTION("""COMPUTED_VALUE"""),"WORKSHOP")</f>
        <v>WORKSHOP</v>
      </c>
      <c r="H361" s="67" t="str">
        <f>IFERROR(__xludf.DUMMYFUNCTION("""COMPUTED_VALUE"""),"FALSE")</f>
        <v>FALSE</v>
      </c>
      <c r="I361" s="69"/>
      <c r="J361" s="70" t="str">
        <f t="shared" si="1"/>
        <v>[101170090] PERDIANTO PALIU</v>
      </c>
      <c r="K361" s="67"/>
      <c r="L361" s="67"/>
      <c r="M361" s="67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</row>
    <row r="362">
      <c r="A362" s="67">
        <f>IFERROR(__xludf.DUMMYFUNCTION("""COMPUTED_VALUE"""),2.04190819E8)</f>
        <v>204190819</v>
      </c>
      <c r="B362" s="67" t="str">
        <f>IFERROR(__xludf.DUMMYFUNCTION("""COMPUTED_VALUE"""),"PETRUS SULE")</f>
        <v>PETRUS SULE</v>
      </c>
      <c r="C362" s="67">
        <f>IFERROR(__xludf.DUMMYFUNCTION("""COMPUTED_VALUE"""),56.0)</f>
        <v>56</v>
      </c>
      <c r="D362" s="68" t="str">
        <f>IFERROR(__xludf.DUMMYFUNCTION("""COMPUTED_VALUE"""),"Kristen Protestan")</f>
        <v>Kristen Protestan</v>
      </c>
      <c r="E362" s="67" t="str">
        <f>IFERROR(__xludf.DUMMYFUNCTION("""COMPUTED_VALUE"""),"CV. Adil Prima Perkasa")</f>
        <v>CV. Adil Prima Perkasa</v>
      </c>
      <c r="F362" s="67" t="str">
        <f>IFERROR(__xludf.DUMMYFUNCTION("""COMPUTED_VALUE"""),"MEKANIK ALAT BERAT")</f>
        <v>MEKANIK ALAT BERAT</v>
      </c>
      <c r="G362" s="67" t="str">
        <f>IFERROR(__xludf.DUMMYFUNCTION("""COMPUTED_VALUE"""),"WORKSHOP")</f>
        <v>WORKSHOP</v>
      </c>
      <c r="H362" s="67" t="str">
        <f>IFERROR(__xludf.DUMMYFUNCTION("""COMPUTED_VALUE"""),"[0106190928] NATAN KONDO")</f>
        <v>[0106190928] NATAN KONDO</v>
      </c>
      <c r="I362" s="69">
        <f>IFERROR(__xludf.DUMMYFUNCTION("""COMPUTED_VALUE"""),27643.0)</f>
        <v>27643</v>
      </c>
      <c r="J362" s="70" t="str">
        <f t="shared" si="1"/>
        <v>[204190819] PETRUS SULE</v>
      </c>
      <c r="K362" s="67"/>
      <c r="L362" s="67"/>
      <c r="M362" s="67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</row>
    <row r="363">
      <c r="A363" s="67">
        <f>IFERROR(__xludf.DUMMYFUNCTION("""COMPUTED_VALUE"""),1.05241926E8)</f>
        <v>105241926</v>
      </c>
      <c r="B363" s="67" t="str">
        <f>IFERROR(__xludf.DUMMYFUNCTION("""COMPUTED_VALUE"""),"PRISILIA PESIK")</f>
        <v>PRISILIA PESIK</v>
      </c>
      <c r="C363" s="67">
        <f>IFERROR(__xludf.DUMMYFUNCTION("""COMPUTED_VALUE"""),0.0)</f>
        <v>0</v>
      </c>
      <c r="D363" s="68"/>
      <c r="E363" s="67" t="str">
        <f>IFERROR(__xludf.DUMMYFUNCTION("""COMPUTED_VALUE"""),"CV. SENTOSA ABADI")</f>
        <v>CV. SENTOSA ABADI</v>
      </c>
      <c r="F363" s="67" t="str">
        <f>IFERROR(__xludf.DUMMYFUNCTION("""COMPUTED_VALUE"""),"STOCKER")</f>
        <v>STOCKER</v>
      </c>
      <c r="G363" s="67" t="str">
        <f>IFERROR(__xludf.DUMMYFUNCTION("""COMPUTED_VALUE"""),"HRD &amp; GA")</f>
        <v>HRD &amp; GA</v>
      </c>
      <c r="H363" s="67" t="str">
        <f>IFERROR(__xludf.DUMMYFUNCTION("""COMPUTED_VALUE"""),"[0108191037] ERNIE FRISLIA")</f>
        <v>[0108191037] ERNIE FRISLIA</v>
      </c>
      <c r="I363" s="69"/>
      <c r="J363" s="70" t="str">
        <f t="shared" si="1"/>
        <v>[105241926] PRISILIA PESIK</v>
      </c>
      <c r="K363" s="67"/>
      <c r="L363" s="67"/>
      <c r="M363" s="6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</row>
    <row r="364">
      <c r="A364" s="67">
        <f>IFERROR(__xludf.DUMMYFUNCTION("""COMPUTED_VALUE"""),1.12231863E8)</f>
        <v>112231863</v>
      </c>
      <c r="B364" s="67" t="str">
        <f>IFERROR(__xludf.DUMMYFUNCTION("""COMPUTED_VALUE"""),"PRITS SIRODI")</f>
        <v>PRITS SIRODI</v>
      </c>
      <c r="C364" s="67">
        <f>IFERROR(__xludf.DUMMYFUNCTION("""COMPUTED_VALUE"""),0.0)</f>
        <v>0</v>
      </c>
      <c r="D364" s="68"/>
      <c r="E364" s="67" t="str">
        <f>IFERROR(__xludf.DUMMYFUNCTION("""COMPUTED_VALUE"""),"CV. SENTOSA ABADI")</f>
        <v>CV. SENTOSA ABADI</v>
      </c>
      <c r="F364" s="67" t="str">
        <f>IFERROR(__xludf.DUMMYFUNCTION("""COMPUTED_VALUE"""),"DRIVER DT H500")</f>
        <v>DRIVER DT H500</v>
      </c>
      <c r="G364" s="67" t="str">
        <f>IFERROR(__xludf.DUMMYFUNCTION("""COMPUTED_VALUE"""),"KENDARAAN &amp; UNIT SUPPORT")</f>
        <v>KENDARAAN &amp; UNIT SUPPORT</v>
      </c>
      <c r="H364" s="67" t="str">
        <f>IFERROR(__xludf.DUMMYFUNCTION("""COMPUTED_VALUE"""),"[0102150004] NAFTALI RARE'A, ST")</f>
        <v>[0102150004] NAFTALI RARE'A, ST</v>
      </c>
      <c r="I364" s="69">
        <f>IFERROR(__xludf.DUMMYFUNCTION("""COMPUTED_VALUE"""),37555.0)</f>
        <v>37555</v>
      </c>
      <c r="J364" s="70" t="str">
        <f t="shared" si="1"/>
        <v>[112231863] PRITS SIRODI</v>
      </c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</row>
    <row r="365">
      <c r="A365" s="67">
        <f>IFERROR(__xludf.DUMMYFUNCTION("""COMPUTED_VALUE"""),1.02130003E8)</f>
        <v>102130003</v>
      </c>
      <c r="B365" s="67" t="str">
        <f>IFERROR(__xludf.DUMMYFUNCTION("""COMPUTED_VALUE"""),"PURNAWAN")</f>
        <v>PURNAWAN</v>
      </c>
      <c r="C365" s="67">
        <f>IFERROR(__xludf.DUMMYFUNCTION("""COMPUTED_VALUE"""),36.0)</f>
        <v>36</v>
      </c>
      <c r="D365" s="68" t="str">
        <f>IFERROR(__xludf.DUMMYFUNCTION("""COMPUTED_VALUE"""),"Islam")</f>
        <v>Islam</v>
      </c>
      <c r="E365" s="67" t="str">
        <f>IFERROR(__xludf.DUMMYFUNCTION("""COMPUTED_VALUE"""),"CV. SENTOSA ABADI")</f>
        <v>CV. SENTOSA ABADI</v>
      </c>
      <c r="F365" s="67" t="str">
        <f>IFERROR(__xludf.DUMMYFUNCTION("""COMPUTED_VALUE"""),"HEAD OF PRODUCTION")</f>
        <v>HEAD OF PRODUCTION</v>
      </c>
      <c r="G365" s="67" t="str">
        <f>IFERROR(__xludf.DUMMYFUNCTION("""COMPUTED_VALUE"""),"PRODUKSI")</f>
        <v>PRODUKSI</v>
      </c>
      <c r="H365" s="67" t="str">
        <f>IFERROR(__xludf.DUMMYFUNCTION("""COMPUTED_VALUE"""),"FALSE")</f>
        <v>FALSE</v>
      </c>
      <c r="I365" s="69"/>
      <c r="J365" s="70" t="str">
        <f t="shared" si="1"/>
        <v>[102130003] PURNAWAN</v>
      </c>
      <c r="K365" s="67"/>
      <c r="L365" s="67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</row>
    <row r="366">
      <c r="A366" s="67">
        <f>IFERROR(__xludf.DUMMYFUNCTION("""COMPUTED_VALUE"""),2.0820118E8)</f>
        <v>208201180</v>
      </c>
      <c r="B366" s="67" t="str">
        <f>IFERROR(__xludf.DUMMYFUNCTION("""COMPUTED_VALUE"""),"PURNOMO")</f>
        <v>PURNOMO</v>
      </c>
      <c r="C366" s="67">
        <f>IFERROR(__xludf.DUMMYFUNCTION("""COMPUTED_VALUE"""),43.0)</f>
        <v>43</v>
      </c>
      <c r="D366" s="68" t="str">
        <f>IFERROR(__xludf.DUMMYFUNCTION("""COMPUTED_VALUE"""),"Islam")</f>
        <v>Islam</v>
      </c>
      <c r="E366" s="67" t="str">
        <f>IFERROR(__xludf.DUMMYFUNCTION("""COMPUTED_VALUE"""),"CV. Adil Prima Perkasa")</f>
        <v>CV. Adil Prima Perkasa</v>
      </c>
      <c r="F366" s="67" t="str">
        <f>IFERROR(__xludf.DUMMYFUNCTION("""COMPUTED_VALUE"""),"DRIVER DT H700ZY")</f>
        <v>DRIVER DT H700ZY</v>
      </c>
      <c r="G366" s="67" t="str">
        <f>IFERROR(__xludf.DUMMYFUNCTION("""COMPUTED_VALUE"""),"KENDARAAN &amp; UNIT SUPPORT")</f>
        <v>KENDARAAN &amp; UNIT SUPPORT</v>
      </c>
      <c r="H366" s="67" t="str">
        <f>IFERROR(__xludf.DUMMYFUNCTION("""COMPUTED_VALUE"""),"[0102150004] NAFTALI RARE'A, ST")</f>
        <v>[0102150004] NAFTALI RARE'A, ST</v>
      </c>
      <c r="I366" s="69"/>
      <c r="J366" s="70" t="str">
        <f t="shared" si="1"/>
        <v>[208201180] PURNOMO</v>
      </c>
      <c r="K366" s="67"/>
      <c r="L366" s="67"/>
      <c r="M366" s="67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</row>
    <row r="367">
      <c r="A367" s="67">
        <f>IFERROR(__xludf.DUMMYFUNCTION("""COMPUTED_VALUE"""),2.05241923E8)</f>
        <v>205241923</v>
      </c>
      <c r="B367" s="67" t="str">
        <f>IFERROR(__xludf.DUMMYFUNCTION("""COMPUTED_VALUE"""),"PUTRA FAISAL UGAKA")</f>
        <v>PUTRA FAISAL UGAKA</v>
      </c>
      <c r="C367" s="67">
        <f>IFERROR(__xludf.DUMMYFUNCTION("""COMPUTED_VALUE"""),21.0)</f>
        <v>21</v>
      </c>
      <c r="D367" s="68" t="str">
        <f>IFERROR(__xludf.DUMMYFUNCTION("""COMPUTED_VALUE"""),"Islam")</f>
        <v>Islam</v>
      </c>
      <c r="E367" s="67" t="str">
        <f>IFERROR(__xludf.DUMMYFUNCTION("""COMPUTED_VALUE"""),"CV. Adil Prima Perkasa")</f>
        <v>CV. Adil Prima Perkasa</v>
      </c>
      <c r="F367" s="67" t="str">
        <f>IFERROR(__xludf.DUMMYFUNCTION("""COMPUTED_VALUE"""),"HELPER MEKANIK LV")</f>
        <v>HELPER MEKANIK LV</v>
      </c>
      <c r="G367" s="67" t="str">
        <f>IFERROR(__xludf.DUMMYFUNCTION("""COMPUTED_VALUE"""),"WORKSHOP")</f>
        <v>WORKSHOP</v>
      </c>
      <c r="H367" s="67" t="str">
        <f>IFERROR(__xludf.DUMMYFUNCTION("""COMPUTED_VALUE"""),"[0106190928] NATAN KONDO")</f>
        <v>[0106190928] NATAN KONDO</v>
      </c>
      <c r="I367" s="69"/>
      <c r="J367" s="70" t="str">
        <f t="shared" si="1"/>
        <v>[205241923] PUTRA FAISAL UGAKA</v>
      </c>
      <c r="K367" s="67"/>
      <c r="L367" s="67"/>
      <c r="M367" s="67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</row>
    <row r="368">
      <c r="A368" s="67">
        <f>IFERROR(__xludf.DUMMYFUNCTION("""COMPUTED_VALUE"""),2.07231808E8)</f>
        <v>207231808</v>
      </c>
      <c r="B368" s="67" t="str">
        <f>IFERROR(__xludf.DUMMYFUNCTION("""COMPUTED_VALUE"""),"PUTRAWAN PADJO")</f>
        <v>PUTRAWAN PADJO</v>
      </c>
      <c r="C368" s="67">
        <f>IFERROR(__xludf.DUMMYFUNCTION("""COMPUTED_VALUE"""),0.0)</f>
        <v>0</v>
      </c>
      <c r="D368" s="68"/>
      <c r="E368" s="67" t="str">
        <f>IFERROR(__xludf.DUMMYFUNCTION("""COMPUTED_VALUE"""),"CV. Adil Prima Perkasa")</f>
        <v>CV. Adil Prima Perkasa</v>
      </c>
      <c r="F368" s="67" t="str">
        <f>IFERROR(__xludf.DUMMYFUNCTION("""COMPUTED_VALUE"""),"HELPER MECHANIC MAINTENANCE")</f>
        <v>HELPER MECHANIC MAINTENANCE</v>
      </c>
      <c r="G368" s="67" t="str">
        <f>IFERROR(__xludf.DUMMYFUNCTION("""COMPUTED_VALUE"""),"WORKSHOP")</f>
        <v>WORKSHOP</v>
      </c>
      <c r="H368" s="67" t="str">
        <f>IFERROR(__xludf.DUMMYFUNCTION("""COMPUTED_VALUE"""),"[0106190928] NATAN KONDO")</f>
        <v>[0106190928] NATAN KONDO</v>
      </c>
      <c r="I368" s="69"/>
      <c r="J368" s="70" t="str">
        <f t="shared" si="1"/>
        <v>[207231808] PUTRAWAN PADJO</v>
      </c>
      <c r="K368" s="67"/>
      <c r="L368" s="67"/>
      <c r="M368" s="67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</row>
    <row r="369">
      <c r="A369" s="67">
        <f>IFERROR(__xludf.DUMMYFUNCTION("""COMPUTED_VALUE"""),1.09221674E8)</f>
        <v>109221674</v>
      </c>
      <c r="B369" s="67" t="str">
        <f>IFERROR(__xludf.DUMMYFUNCTION("""COMPUTED_VALUE"""),"PUTRI NOVITASARI LAGI")</f>
        <v>PUTRI NOVITASARI LAGI</v>
      </c>
      <c r="C369" s="67">
        <f>IFERROR(__xludf.DUMMYFUNCTION("""COMPUTED_VALUE"""),30.0)</f>
        <v>30</v>
      </c>
      <c r="D369" s="68" t="str">
        <f>IFERROR(__xludf.DUMMYFUNCTION("""COMPUTED_VALUE"""),"Kristen Protestan")</f>
        <v>Kristen Protestan</v>
      </c>
      <c r="E369" s="67" t="str">
        <f>IFERROR(__xludf.DUMMYFUNCTION("""COMPUTED_VALUE"""),"CV. SENTOSA ABADI")</f>
        <v>CV. SENTOSA ABADI</v>
      </c>
      <c r="F369" s="67" t="str">
        <f>IFERROR(__xludf.DUMMYFUNCTION("""COMPUTED_VALUE"""),"ADMIN MPE")</f>
        <v>ADMIN MPE</v>
      </c>
      <c r="G369" s="67" t="str">
        <f>IFERROR(__xludf.DUMMYFUNCTION("""COMPUTED_VALUE"""),"MPE")</f>
        <v>MPE</v>
      </c>
      <c r="H369" s="67" t="str">
        <f>IFERROR(__xludf.DUMMYFUNCTION("""COMPUTED_VALUE"""),"[0102150007] EKY SIDIK PRATAMA, ST")</f>
        <v>[0102150007] EKY SIDIK PRATAMA, ST</v>
      </c>
      <c r="I369" s="69"/>
      <c r="J369" s="70" t="str">
        <f t="shared" si="1"/>
        <v>[109221674] PUTRI NOVITASARI LAGI</v>
      </c>
      <c r="K369" s="67"/>
      <c r="L369" s="67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</row>
    <row r="370">
      <c r="A370" s="67">
        <f>IFERROR(__xludf.DUMMYFUNCTION("""COMPUTED_VALUE"""),1.07211454E8)</f>
        <v>107211454</v>
      </c>
      <c r="B370" s="67" t="str">
        <f>IFERROR(__xludf.DUMMYFUNCTION("""COMPUTED_VALUE"""),"RAFLIN AHMAD")</f>
        <v>RAFLIN AHMAD</v>
      </c>
      <c r="C370" s="67">
        <f>IFERROR(__xludf.DUMMYFUNCTION("""COMPUTED_VALUE"""),44.0)</f>
        <v>44</v>
      </c>
      <c r="D370" s="68" t="str">
        <f>IFERROR(__xludf.DUMMYFUNCTION("""COMPUTED_VALUE"""),"Islam")</f>
        <v>Islam</v>
      </c>
      <c r="E370" s="67" t="str">
        <f>IFERROR(__xludf.DUMMYFUNCTION("""COMPUTED_VALUE"""),"CV. SENTOSA ABADI")</f>
        <v>CV. SENTOSA ABADI</v>
      </c>
      <c r="F370" s="67" t="str">
        <f>IFERROR(__xludf.DUMMYFUNCTION("""COMPUTED_VALUE"""),"DRIVER DT H700ZY")</f>
        <v>DRIVER DT H700ZY</v>
      </c>
      <c r="G370" s="67" t="str">
        <f>IFERROR(__xludf.DUMMYFUNCTION("""COMPUTED_VALUE"""),"KENDARAAN &amp; UNIT SUPPORT")</f>
        <v>KENDARAAN &amp; UNIT SUPPORT</v>
      </c>
      <c r="H370" s="67" t="str">
        <f>IFERROR(__xludf.DUMMYFUNCTION("""COMPUTED_VALUE"""),"[0102150004] NAFTALI RARE'A, ST")</f>
        <v>[0102150004] NAFTALI RARE'A, ST</v>
      </c>
      <c r="I370" s="69">
        <f>IFERROR(__xludf.DUMMYFUNCTION("""COMPUTED_VALUE"""),32103.0)</f>
        <v>32103</v>
      </c>
      <c r="J370" s="70" t="str">
        <f t="shared" si="1"/>
        <v>[107211454] RAFLIN AHMAD</v>
      </c>
      <c r="K370" s="67"/>
      <c r="L370" s="67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</row>
    <row r="371">
      <c r="A371" s="67">
        <f>IFERROR(__xludf.DUMMYFUNCTION("""COMPUTED_VALUE"""),1.03211357E8)</f>
        <v>103211357</v>
      </c>
      <c r="B371" s="67" t="str">
        <f>IFERROR(__xludf.DUMMYFUNCTION("""COMPUTED_VALUE"""),"RAHMAN SUKARDI")</f>
        <v>RAHMAN SUKARDI</v>
      </c>
      <c r="C371" s="67">
        <f>IFERROR(__xludf.DUMMYFUNCTION("""COMPUTED_VALUE"""),34.0)</f>
        <v>34</v>
      </c>
      <c r="D371" s="68" t="str">
        <f>IFERROR(__xludf.DUMMYFUNCTION("""COMPUTED_VALUE"""),"Islam")</f>
        <v>Islam</v>
      </c>
      <c r="E371" s="67" t="str">
        <f>IFERROR(__xludf.DUMMYFUNCTION("""COMPUTED_VALUE"""),"CV. SENTOSA ABADI")</f>
        <v>CV. SENTOSA ABADI</v>
      </c>
      <c r="F371" s="67" t="str">
        <f>IFERROR(__xludf.DUMMYFUNCTION("""COMPUTED_VALUE"""),"DRIVER FUEL MPE")</f>
        <v>DRIVER FUEL MPE</v>
      </c>
      <c r="G371" s="67" t="str">
        <f>IFERROR(__xludf.DUMMYFUNCTION("""COMPUTED_VALUE"""),"MPE")</f>
        <v>MPE</v>
      </c>
      <c r="H371" s="67" t="str">
        <f>IFERROR(__xludf.DUMMYFUNCTION("""COMPUTED_VALUE"""),"[0103110065] DOMINIKUS MITEN LARANTUKAN")</f>
        <v>[0103110065] DOMINIKUS MITEN LARANTUKAN</v>
      </c>
      <c r="I371" s="69"/>
      <c r="J371" s="70" t="str">
        <f t="shared" si="1"/>
        <v>[103211357] RAHMAN SUKARDI</v>
      </c>
      <c r="K371" s="67"/>
      <c r="L371" s="67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</row>
    <row r="372">
      <c r="A372" s="67">
        <f>IFERROR(__xludf.DUMMYFUNCTION("""COMPUTED_VALUE"""),2.0923184E8)</f>
        <v>209231840</v>
      </c>
      <c r="B372" s="67" t="str">
        <f>IFERROR(__xludf.DUMMYFUNCTION("""COMPUTED_VALUE"""),"RAHMAT")</f>
        <v>RAHMAT</v>
      </c>
      <c r="C372" s="67">
        <f>IFERROR(__xludf.DUMMYFUNCTION("""COMPUTED_VALUE"""),0.0)</f>
        <v>0</v>
      </c>
      <c r="D372" s="68"/>
      <c r="E372" s="67" t="str">
        <f>IFERROR(__xludf.DUMMYFUNCTION("""COMPUTED_VALUE"""),"CV. Adil Prima Perkasa")</f>
        <v>CV. Adil Prima Perkasa</v>
      </c>
      <c r="F372" s="67" t="str">
        <f>IFERROR(__xludf.DUMMYFUNCTION("""COMPUTED_VALUE"""),"DRIVER DT H500")</f>
        <v>DRIVER DT H500</v>
      </c>
      <c r="G372" s="67" t="str">
        <f>IFERROR(__xludf.DUMMYFUNCTION("""COMPUTED_VALUE"""),"KENDARAAN &amp; UNIT SUPPORT")</f>
        <v>KENDARAAN &amp; UNIT SUPPORT</v>
      </c>
      <c r="H372" s="67" t="str">
        <f>IFERROR(__xludf.DUMMYFUNCTION("""COMPUTED_VALUE"""),"[0102150004] NAFTALI RARE'A, ST")</f>
        <v>[0102150004] NAFTALI RARE'A, ST</v>
      </c>
      <c r="I372" s="69"/>
      <c r="J372" s="70" t="str">
        <f t="shared" si="1"/>
        <v>[209231840] RAHMAT</v>
      </c>
      <c r="K372" s="67"/>
      <c r="L372" s="67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</row>
    <row r="373">
      <c r="A373" s="67">
        <f>IFERROR(__xludf.DUMMYFUNCTION("""COMPUTED_VALUE"""),2.05241917E8)</f>
        <v>205241917</v>
      </c>
      <c r="B373" s="67" t="str">
        <f>IFERROR(__xludf.DUMMYFUNCTION("""COMPUTED_VALUE"""),"RAHMAT")</f>
        <v>RAHMAT</v>
      </c>
      <c r="C373" s="67">
        <f>IFERROR(__xludf.DUMMYFUNCTION("""COMPUTED_VALUE"""),0.0)</f>
        <v>0</v>
      </c>
      <c r="D373" s="68"/>
      <c r="E373" s="67" t="str">
        <f>IFERROR(__xludf.DUMMYFUNCTION("""COMPUTED_VALUE"""),"CV. Adil Prima Perkasa")</f>
        <v>CV. Adil Prima Perkasa</v>
      </c>
      <c r="F373" s="67" t="str">
        <f>IFERROR(__xludf.DUMMYFUNCTION("""COMPUTED_VALUE"""),"HELPER MECHANIC MAINTENANCE")</f>
        <v>HELPER MECHANIC MAINTENANCE</v>
      </c>
      <c r="G373" s="67" t="str">
        <f>IFERROR(__xludf.DUMMYFUNCTION("""COMPUTED_VALUE"""),"WORKSHOP")</f>
        <v>WORKSHOP</v>
      </c>
      <c r="H373" s="67" t="str">
        <f>IFERROR(__xludf.DUMMYFUNCTION("""COMPUTED_VALUE"""),"[0106190928] NATAN KONDO")</f>
        <v>[0106190928] NATAN KONDO</v>
      </c>
      <c r="I373" s="69"/>
      <c r="J373" s="70" t="str">
        <f t="shared" si="1"/>
        <v>[205241917] RAHMAT</v>
      </c>
      <c r="K373" s="67"/>
      <c r="L373" s="67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</row>
    <row r="374">
      <c r="A374" s="67">
        <f>IFERROR(__xludf.DUMMYFUNCTION("""COMPUTED_VALUE"""),1.04211377E8)</f>
        <v>104211377</v>
      </c>
      <c r="B374" s="67" t="str">
        <f>IFERROR(__xludf.DUMMYFUNCTION("""COMPUTED_VALUE"""),"RAHMAT EVENDI")</f>
        <v>RAHMAT EVENDI</v>
      </c>
      <c r="C374" s="67">
        <f>IFERROR(__xludf.DUMMYFUNCTION("""COMPUTED_VALUE"""),22.0)</f>
        <v>22</v>
      </c>
      <c r="D374" s="68" t="str">
        <f>IFERROR(__xludf.DUMMYFUNCTION("""COMPUTED_VALUE"""),"Islam")</f>
        <v>Islam</v>
      </c>
      <c r="E374" s="67" t="str">
        <f>IFERROR(__xludf.DUMMYFUNCTION("""COMPUTED_VALUE"""),"CV. SENTOSA ABADI")</f>
        <v>CV. SENTOSA ABADI</v>
      </c>
      <c r="F374" s="67" t="str">
        <f>IFERROR(__xludf.DUMMYFUNCTION("""COMPUTED_VALUE"""),"HELPER TYRE")</f>
        <v>HELPER TYRE</v>
      </c>
      <c r="G374" s="67" t="str">
        <f>IFERROR(__xludf.DUMMYFUNCTION("""COMPUTED_VALUE"""),"WORKSHOP")</f>
        <v>WORKSHOP</v>
      </c>
      <c r="H374" s="67" t="str">
        <f>IFERROR(__xludf.DUMMYFUNCTION("""COMPUTED_VALUE"""),"[0106190928] NATAN KONDO")</f>
        <v>[0106190928] NATAN KONDO</v>
      </c>
      <c r="I374" s="69"/>
      <c r="J374" s="70" t="str">
        <f t="shared" si="1"/>
        <v>[104211377] RAHMAT EVENDI</v>
      </c>
      <c r="K374" s="67"/>
      <c r="L374" s="67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</row>
    <row r="375">
      <c r="A375" s="67">
        <f>IFERROR(__xludf.DUMMYFUNCTION("""COMPUTED_VALUE"""),1.12191124E8)</f>
        <v>112191124</v>
      </c>
      <c r="B375" s="67" t="str">
        <f>IFERROR(__xludf.DUMMYFUNCTION("""COMPUTED_VALUE"""),"RAOLINUS HENDRO HATU")</f>
        <v>RAOLINUS HENDRO HATU</v>
      </c>
      <c r="C375" s="67">
        <f>IFERROR(__xludf.DUMMYFUNCTION("""COMPUTED_VALUE"""),24.0)</f>
        <v>24</v>
      </c>
      <c r="D375" s="68" t="str">
        <f>IFERROR(__xludf.DUMMYFUNCTION("""COMPUTED_VALUE"""),"Kristen Khatolik")</f>
        <v>Kristen Khatolik</v>
      </c>
      <c r="E375" s="67" t="str">
        <f>IFERROR(__xludf.DUMMYFUNCTION("""COMPUTED_VALUE"""),"CV. SENTOSA ABADI")</f>
        <v>CV. SENTOSA ABADI</v>
      </c>
      <c r="F375" s="67" t="str">
        <f>IFERROR(__xludf.DUMMYFUNCTION("""COMPUTED_VALUE"""),"OPERATOR COMPACTOR")</f>
        <v>OPERATOR COMPACTOR</v>
      </c>
      <c r="G375" s="67" t="str">
        <f>IFERROR(__xludf.DUMMYFUNCTION("""COMPUTED_VALUE"""),"PRODUKSI")</f>
        <v>PRODUKSI</v>
      </c>
      <c r="H375" s="67" t="str">
        <f>IFERROR(__xludf.DUMMYFUNCTION("""COMPUTED_VALUE"""),"FALSE")</f>
        <v>FALSE</v>
      </c>
      <c r="I375" s="69"/>
      <c r="J375" s="70" t="str">
        <f t="shared" si="1"/>
        <v>[112191124] RAOLINUS HENDRO HATU</v>
      </c>
      <c r="K375" s="67"/>
      <c r="L375" s="67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</row>
    <row r="376">
      <c r="A376" s="67">
        <f>IFERROR(__xludf.DUMMYFUNCTION("""COMPUTED_VALUE"""),2.12231873E8)</f>
        <v>212231873</v>
      </c>
      <c r="B376" s="67" t="str">
        <f>IFERROR(__xludf.DUMMYFUNCTION("""COMPUTED_VALUE"""),"RASMAN")</f>
        <v>RASMAN</v>
      </c>
      <c r="C376" s="67">
        <f>IFERROR(__xludf.DUMMYFUNCTION("""COMPUTED_VALUE"""),0.0)</f>
        <v>0</v>
      </c>
      <c r="D376" s="68"/>
      <c r="E376" s="67" t="str">
        <f>IFERROR(__xludf.DUMMYFUNCTION("""COMPUTED_VALUE"""),"CV. Adil Prima Perkasa")</f>
        <v>CV. Adil Prima Perkasa</v>
      </c>
      <c r="F376" s="67" t="str">
        <f>IFERROR(__xludf.DUMMYFUNCTION("""COMPUTED_VALUE"""),"OPERATOR EXCAVATOR")</f>
        <v>OPERATOR EXCAVATOR</v>
      </c>
      <c r="G376" s="67" t="str">
        <f>IFERROR(__xludf.DUMMYFUNCTION("""COMPUTED_VALUE"""),"PRODUKSI")</f>
        <v>PRODUKSI</v>
      </c>
      <c r="H376" s="67" t="str">
        <f>IFERROR(__xludf.DUMMYFUNCTION("""COMPUTED_VALUE"""),"[0102130003] PURNAWAN")</f>
        <v>[0102130003] PURNAWAN</v>
      </c>
      <c r="I376" s="69"/>
      <c r="J376" s="70" t="str">
        <f t="shared" si="1"/>
        <v>[212231873] RASMAN</v>
      </c>
      <c r="K376" s="67"/>
      <c r="L376" s="67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</row>
    <row r="377">
      <c r="A377" s="67">
        <f>IFERROR(__xludf.DUMMYFUNCTION("""COMPUTED_VALUE"""),3.06200008E8)</f>
        <v>306200008</v>
      </c>
      <c r="B377" s="67" t="str">
        <f>IFERROR(__xludf.DUMMYFUNCTION("""COMPUTED_VALUE"""),"REGI ADITIA")</f>
        <v>REGI ADITIA</v>
      </c>
      <c r="C377" s="67">
        <f>IFERROR(__xludf.DUMMYFUNCTION("""COMPUTED_VALUE"""),23.0)</f>
        <v>23</v>
      </c>
      <c r="D377" s="68" t="str">
        <f>IFERROR(__xludf.DUMMYFUNCTION("""COMPUTED_VALUE"""),"Islam")</f>
        <v>Islam</v>
      </c>
      <c r="E377" s="67" t="str">
        <f>IFERROR(__xludf.DUMMYFUNCTION("""COMPUTED_VALUE"""),"CV. Monalisa")</f>
        <v>CV. Monalisa</v>
      </c>
      <c r="F377" s="67" t="str">
        <f>IFERROR(__xludf.DUMMYFUNCTION("""COMPUTED_VALUE"""),"CREW SURVEY")</f>
        <v>CREW SURVEY</v>
      </c>
      <c r="G377" s="67" t="str">
        <f>IFERROR(__xludf.DUMMYFUNCTION("""COMPUTED_VALUE"""),"MPE")</f>
        <v>MPE</v>
      </c>
      <c r="H377" s="67" t="str">
        <f>IFERROR(__xludf.DUMMYFUNCTION("""COMPUTED_VALUE"""),"FALSE")</f>
        <v>FALSE</v>
      </c>
      <c r="I377" s="69"/>
      <c r="J377" s="70" t="str">
        <f t="shared" si="1"/>
        <v>[306200008] REGI ADITIA</v>
      </c>
      <c r="K377" s="67"/>
      <c r="L377" s="67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</row>
    <row r="378">
      <c r="A378" s="67">
        <f>IFERROR(__xludf.DUMMYFUNCTION("""COMPUTED_VALUE"""),2.02241887E8)</f>
        <v>202241887</v>
      </c>
      <c r="B378" s="67" t="str">
        <f>IFERROR(__xludf.DUMMYFUNCTION("""COMPUTED_VALUE"""),"REGIS SAMARA")</f>
        <v>REGIS SAMARA</v>
      </c>
      <c r="C378" s="67">
        <f>IFERROR(__xludf.DUMMYFUNCTION("""COMPUTED_VALUE"""),24.0)</f>
        <v>24</v>
      </c>
      <c r="D378" s="68" t="str">
        <f>IFERROR(__xludf.DUMMYFUNCTION("""COMPUTED_VALUE"""),"Kristen Protestan")</f>
        <v>Kristen Protestan</v>
      </c>
      <c r="E378" s="67" t="str">
        <f>IFERROR(__xludf.DUMMYFUNCTION("""COMPUTED_VALUE"""),"CV. Adil Prima Perkasa")</f>
        <v>CV. Adil Prima Perkasa</v>
      </c>
      <c r="F378" s="67" t="str">
        <f>IFERROR(__xludf.DUMMYFUNCTION("""COMPUTED_VALUE"""),"HELPER MEKANIK ALAT BERAT")</f>
        <v>HELPER MEKANIK ALAT BERAT</v>
      </c>
      <c r="G378" s="67" t="str">
        <f>IFERROR(__xludf.DUMMYFUNCTION("""COMPUTED_VALUE"""),"WORKSHOP")</f>
        <v>WORKSHOP</v>
      </c>
      <c r="H378" s="67" t="str">
        <f>IFERROR(__xludf.DUMMYFUNCTION("""COMPUTED_VALUE"""),"[0106190928] NATAN KONDO")</f>
        <v>[0106190928] NATAN KONDO</v>
      </c>
      <c r="I378" s="69"/>
      <c r="J378" s="70" t="str">
        <f t="shared" si="1"/>
        <v>[202241887] REGIS SAMARA</v>
      </c>
      <c r="K378" s="67"/>
      <c r="L378" s="67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</row>
    <row r="379">
      <c r="A379" s="67">
        <f>IFERROR(__xludf.DUMMYFUNCTION("""COMPUTED_VALUE"""),2.05241916E8)</f>
        <v>205241916</v>
      </c>
      <c r="B379" s="67" t="str">
        <f>IFERROR(__xludf.DUMMYFUNCTION("""COMPUTED_VALUE"""),"RENAL")</f>
        <v>RENAL</v>
      </c>
      <c r="C379" s="67">
        <f>IFERROR(__xludf.DUMMYFUNCTION("""COMPUTED_VALUE"""),0.0)</f>
        <v>0</v>
      </c>
      <c r="D379" s="68"/>
      <c r="E379" s="67" t="str">
        <f>IFERROR(__xludf.DUMMYFUNCTION("""COMPUTED_VALUE"""),"CV. Adil Prima Perkasa")</f>
        <v>CV. Adil Prima Perkasa</v>
      </c>
      <c r="F379" s="67" t="str">
        <f>IFERROR(__xludf.DUMMYFUNCTION("""COMPUTED_VALUE"""),"HELPER TYRE")</f>
        <v>HELPER TYRE</v>
      </c>
      <c r="G379" s="67" t="str">
        <f>IFERROR(__xludf.DUMMYFUNCTION("""COMPUTED_VALUE"""),"WORKSHOP")</f>
        <v>WORKSHOP</v>
      </c>
      <c r="H379" s="67" t="str">
        <f>IFERROR(__xludf.DUMMYFUNCTION("""COMPUTED_VALUE"""),"[0106190928] NATAN KONDO")</f>
        <v>[0106190928] NATAN KONDO</v>
      </c>
      <c r="I379" s="69"/>
      <c r="J379" s="70" t="str">
        <f t="shared" si="1"/>
        <v>[205241916] RENAL</v>
      </c>
      <c r="K379" s="67"/>
      <c r="L379" s="67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</row>
    <row r="380">
      <c r="A380" s="67">
        <f>IFERROR(__xludf.DUMMYFUNCTION("""COMPUTED_VALUE"""),2.05231771E8)</f>
        <v>205231771</v>
      </c>
      <c r="B380" s="67" t="str">
        <f>IFERROR(__xludf.DUMMYFUNCTION("""COMPUTED_VALUE"""),"RENALDI")</f>
        <v>RENALDI</v>
      </c>
      <c r="C380" s="67">
        <f>IFERROR(__xludf.DUMMYFUNCTION("""COMPUTED_VALUE"""),23.0)</f>
        <v>23</v>
      </c>
      <c r="D380" s="68" t="str">
        <f>IFERROR(__xludf.DUMMYFUNCTION("""COMPUTED_VALUE"""),"Islam")</f>
        <v>Islam</v>
      </c>
      <c r="E380" s="67" t="str">
        <f>IFERROR(__xludf.DUMMYFUNCTION("""COMPUTED_VALUE"""),"CV. Adil Prima Perkasa")</f>
        <v>CV. Adil Prima Perkasa</v>
      </c>
      <c r="F380" s="67" t="str">
        <f>IFERROR(__xludf.DUMMYFUNCTION("""COMPUTED_VALUE"""),"SECURITY")</f>
        <v>SECURITY</v>
      </c>
      <c r="G380" s="67" t="str">
        <f>IFERROR(__xludf.DUMMYFUNCTION("""COMPUTED_VALUE"""),"HRD &amp; GA")</f>
        <v>HRD &amp; GA</v>
      </c>
      <c r="H380" s="67" t="str">
        <f>IFERROR(__xludf.DUMMYFUNCTION("""COMPUTED_VALUE"""),"[0108191037] ERNIE FRISLIA")</f>
        <v>[0108191037] ERNIE FRISLIA</v>
      </c>
      <c r="I380" s="69"/>
      <c r="J380" s="70" t="str">
        <f t="shared" si="1"/>
        <v>[205231771] RENALDI</v>
      </c>
      <c r="K380" s="67"/>
      <c r="L380" s="67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</row>
    <row r="381">
      <c r="A381" s="67">
        <f>IFERROR(__xludf.DUMMYFUNCTION("""COMPUTED_VALUE"""),1.07211445E8)</f>
        <v>107211445</v>
      </c>
      <c r="B381" s="67" t="str">
        <f>IFERROR(__xludf.DUMMYFUNCTION("""COMPUTED_VALUE"""),"RESKI BULELA")</f>
        <v>RESKI BULELA</v>
      </c>
      <c r="C381" s="67">
        <f>IFERROR(__xludf.DUMMYFUNCTION("""COMPUTED_VALUE"""),24.0)</f>
        <v>24</v>
      </c>
      <c r="D381" s="68" t="str">
        <f>IFERROR(__xludf.DUMMYFUNCTION("""COMPUTED_VALUE"""),"Kristen Protestan")</f>
        <v>Kristen Protestan</v>
      </c>
      <c r="E381" s="67" t="str">
        <f>IFERROR(__xludf.DUMMYFUNCTION("""COMPUTED_VALUE"""),"CV. SENTOSA ABADI")</f>
        <v>CV. SENTOSA ABADI</v>
      </c>
      <c r="F381" s="67" t="str">
        <f>IFERROR(__xludf.DUMMYFUNCTION("""COMPUTED_VALUE"""),"HELPER FUEL")</f>
        <v>HELPER FUEL</v>
      </c>
      <c r="G381" s="67" t="str">
        <f>IFERROR(__xludf.DUMMYFUNCTION("""COMPUTED_VALUE"""),"WORKSHOP")</f>
        <v>WORKSHOP</v>
      </c>
      <c r="H381" s="67" t="str">
        <f>IFERROR(__xludf.DUMMYFUNCTION("""COMPUTED_VALUE"""),"[0102150007] EKY SIDIK PRATAMA, ST")</f>
        <v>[0102150007] EKY SIDIK PRATAMA, ST</v>
      </c>
      <c r="I381" s="69"/>
      <c r="J381" s="70" t="str">
        <f t="shared" si="1"/>
        <v>[107211445] RESKI BULELA</v>
      </c>
      <c r="K381" s="67"/>
      <c r="L381" s="67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</row>
    <row r="382">
      <c r="A382" s="67">
        <f>IFERROR(__xludf.DUMMYFUNCTION("""COMPUTED_VALUE"""),2.08180635E8)</f>
        <v>208180635</v>
      </c>
      <c r="B382" s="67" t="str">
        <f>IFERROR(__xludf.DUMMYFUNCTION("""COMPUTED_VALUE"""),"RESKIJAYANTI HAMDI, ST")</f>
        <v>RESKIJAYANTI HAMDI, ST</v>
      </c>
      <c r="C382" s="67">
        <f>IFERROR(__xludf.DUMMYFUNCTION("""COMPUTED_VALUE"""),31.0)</f>
        <v>31</v>
      </c>
      <c r="D382" s="68" t="str">
        <f>IFERROR(__xludf.DUMMYFUNCTION("""COMPUTED_VALUE"""),"Islam")</f>
        <v>Islam</v>
      </c>
      <c r="E382" s="67" t="str">
        <f>IFERROR(__xludf.DUMMYFUNCTION("""COMPUTED_VALUE"""),"CV. Adil Prima Perkasa")</f>
        <v>CV. Adil Prima Perkasa</v>
      </c>
      <c r="F382" s="67" t="str">
        <f>IFERROR(__xludf.DUMMYFUNCTION("""COMPUTED_VALUE"""),"ADMIN PRODUKSI")</f>
        <v>ADMIN PRODUKSI</v>
      </c>
      <c r="G382" s="67" t="str">
        <f>IFERROR(__xludf.DUMMYFUNCTION("""COMPUTED_VALUE"""),"PRODUKSI")</f>
        <v>PRODUKSI</v>
      </c>
      <c r="H382" s="67" t="str">
        <f>IFERROR(__xludf.DUMMYFUNCTION("""COMPUTED_VALUE"""),"[0102130003] PURNAWAN")</f>
        <v>[0102130003] PURNAWAN</v>
      </c>
      <c r="I382" s="69">
        <f>IFERROR(__xludf.DUMMYFUNCTION("""COMPUTED_VALUE"""),31255.0)</f>
        <v>31255</v>
      </c>
      <c r="J382" s="70" t="str">
        <f t="shared" si="1"/>
        <v>[208180635] RESKIJAYANTI HAMDI, ST</v>
      </c>
      <c r="K382" s="67"/>
      <c r="L382" s="67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</row>
    <row r="383">
      <c r="A383" s="67">
        <f>IFERROR(__xludf.DUMMYFUNCTION("""COMPUTED_VALUE"""),2.07231807E8)</f>
        <v>207231807</v>
      </c>
      <c r="B383" s="67" t="str">
        <f>IFERROR(__xludf.DUMMYFUNCTION("""COMPUTED_VALUE"""),"RESKY")</f>
        <v>RESKY</v>
      </c>
      <c r="C383" s="67">
        <f>IFERROR(__xludf.DUMMYFUNCTION("""COMPUTED_VALUE"""),0.0)</f>
        <v>0</v>
      </c>
      <c r="D383" s="68"/>
      <c r="E383" s="67" t="str">
        <f>IFERROR(__xludf.DUMMYFUNCTION("""COMPUTED_VALUE"""),"CV. Adil Prima Perkasa")</f>
        <v>CV. Adil Prima Perkasa</v>
      </c>
      <c r="F383" s="67" t="str">
        <f>IFERROR(__xludf.DUMMYFUNCTION("""COMPUTED_VALUE"""),"HELPER TYRE")</f>
        <v>HELPER TYRE</v>
      </c>
      <c r="G383" s="67" t="str">
        <f>IFERROR(__xludf.DUMMYFUNCTION("""COMPUTED_VALUE"""),"WORKSHOP")</f>
        <v>WORKSHOP</v>
      </c>
      <c r="H383" s="67" t="str">
        <f>IFERROR(__xludf.DUMMYFUNCTION("""COMPUTED_VALUE"""),"[0106190928] NATAN KONDO")</f>
        <v>[0106190928] NATAN KONDO</v>
      </c>
      <c r="I383" s="69"/>
      <c r="J383" s="70" t="str">
        <f t="shared" si="1"/>
        <v>[207231807] RESKY</v>
      </c>
      <c r="K383" s="67"/>
      <c r="L383" s="67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</row>
    <row r="384">
      <c r="A384" s="67">
        <f>IFERROR(__xludf.DUMMYFUNCTION("""COMPUTED_VALUE"""),2.04231754E8)</f>
        <v>204231754</v>
      </c>
      <c r="B384" s="67" t="str">
        <f>IFERROR(__xludf.DUMMYFUNCTION("""COMPUTED_VALUE"""),"REZKY TIKU PASANG")</f>
        <v>REZKY TIKU PASANG</v>
      </c>
      <c r="C384" s="67">
        <f>IFERROR(__xludf.DUMMYFUNCTION("""COMPUTED_VALUE"""),26.0)</f>
        <v>26</v>
      </c>
      <c r="D384" s="68" t="str">
        <f>IFERROR(__xludf.DUMMYFUNCTION("""COMPUTED_VALUE"""),"Islam")</f>
        <v>Islam</v>
      </c>
      <c r="E384" s="67" t="str">
        <f>IFERROR(__xludf.DUMMYFUNCTION("""COMPUTED_VALUE"""),"CV. Adil Prima Perkasa")</f>
        <v>CV. Adil Prima Perkasa</v>
      </c>
      <c r="F384" s="67" t="str">
        <f>IFERROR(__xludf.DUMMYFUNCTION("""COMPUTED_VALUE"""),"DRIVER DT H500")</f>
        <v>DRIVER DT H500</v>
      </c>
      <c r="G384" s="67" t="str">
        <f>IFERROR(__xludf.DUMMYFUNCTION("""COMPUTED_VALUE"""),"KENDARAAN &amp; UNIT SUPPORT")</f>
        <v>KENDARAAN &amp; UNIT SUPPORT</v>
      </c>
      <c r="H384" s="67" t="str">
        <f>IFERROR(__xludf.DUMMYFUNCTION("""COMPUTED_VALUE"""),"[0102150004] NAFTALI RARE'A, ST")</f>
        <v>[0102150004] NAFTALI RARE'A, ST</v>
      </c>
      <c r="I384" s="69"/>
      <c r="J384" s="70" t="str">
        <f t="shared" si="1"/>
        <v>[204231754] REZKY TIKU PASANG</v>
      </c>
      <c r="K384" s="67"/>
      <c r="L384" s="67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</row>
    <row r="385">
      <c r="A385" s="67">
        <f>IFERROR(__xludf.DUMMYFUNCTION("""COMPUTED_VALUE"""),1.06241943E8)</f>
        <v>106241943</v>
      </c>
      <c r="B385" s="67" t="str">
        <f>IFERROR(__xludf.DUMMYFUNCTION("""COMPUTED_VALUE"""),"RIANI LOBO")</f>
        <v>RIANI LOBO</v>
      </c>
      <c r="C385" s="67">
        <f>IFERROR(__xludf.DUMMYFUNCTION("""COMPUTED_VALUE"""),21.0)</f>
        <v>21</v>
      </c>
      <c r="D385" s="68" t="str">
        <f>IFERROR(__xludf.DUMMYFUNCTION("""COMPUTED_VALUE"""),"Kristen Protestan")</f>
        <v>Kristen Protestan</v>
      </c>
      <c r="E385" s="67" t="str">
        <f>IFERROR(__xludf.DUMMYFUNCTION("""COMPUTED_VALUE"""),"CV. SENTOSA ABADI")</f>
        <v>CV. SENTOSA ABADI</v>
      </c>
      <c r="F385" s="67" t="str">
        <f>IFERROR(__xludf.DUMMYFUNCTION("""COMPUTED_VALUE"""),"STOCKER")</f>
        <v>STOCKER</v>
      </c>
      <c r="G385" s="67" t="str">
        <f>IFERROR(__xludf.DUMMYFUNCTION("""COMPUTED_VALUE"""),"HRD &amp; GA")</f>
        <v>HRD &amp; GA</v>
      </c>
      <c r="H385" s="67" t="str">
        <f>IFERROR(__xludf.DUMMYFUNCTION("""COMPUTED_VALUE"""),"[0108191037] ERNIE FRISLIA")</f>
        <v>[0108191037] ERNIE FRISLIA</v>
      </c>
      <c r="I385" s="69"/>
      <c r="J385" s="70" t="str">
        <f t="shared" si="1"/>
        <v>[106241943] RIANI LOBO</v>
      </c>
      <c r="K385" s="67"/>
      <c r="L385" s="67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</row>
    <row r="386">
      <c r="A386" s="67">
        <f>IFERROR(__xludf.DUMMYFUNCTION("""COMPUTED_VALUE"""),2.05211392E8)</f>
        <v>205211392</v>
      </c>
      <c r="B386" s="67" t="str">
        <f>IFERROR(__xludf.DUMMYFUNCTION("""COMPUTED_VALUE"""),"RIANSYAH RETY")</f>
        <v>RIANSYAH RETY</v>
      </c>
      <c r="C386" s="67">
        <f>IFERROR(__xludf.DUMMYFUNCTION("""COMPUTED_VALUE"""),39.0)</f>
        <v>39</v>
      </c>
      <c r="D386" s="68" t="str">
        <f>IFERROR(__xludf.DUMMYFUNCTION("""COMPUTED_VALUE"""),"Islam")</f>
        <v>Islam</v>
      </c>
      <c r="E386" s="67" t="str">
        <f>IFERROR(__xludf.DUMMYFUNCTION("""COMPUTED_VALUE"""),"CV. Adil Prima Perkasa")</f>
        <v>CV. Adil Prima Perkasa</v>
      </c>
      <c r="F386" s="67" t="str">
        <f>IFERROR(__xludf.DUMMYFUNCTION("""COMPUTED_VALUE"""),"OPERATOR EXCAVATOR")</f>
        <v>OPERATOR EXCAVATOR</v>
      </c>
      <c r="G386" s="67" t="str">
        <f>IFERROR(__xludf.DUMMYFUNCTION("""COMPUTED_VALUE"""),"PRODUKSI")</f>
        <v>PRODUKSI</v>
      </c>
      <c r="H386" s="67" t="str">
        <f>IFERROR(__xludf.DUMMYFUNCTION("""COMPUTED_VALUE"""),"[0102130003] PURNAWAN")</f>
        <v>[0102130003] PURNAWAN</v>
      </c>
      <c r="I386" s="69">
        <f>IFERROR(__xludf.DUMMYFUNCTION("""COMPUTED_VALUE"""),31514.0)</f>
        <v>31514</v>
      </c>
      <c r="J386" s="70" t="str">
        <f t="shared" si="1"/>
        <v>[205211392] RIANSYAH RETY</v>
      </c>
      <c r="K386" s="67"/>
      <c r="L386" s="67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</row>
    <row r="387">
      <c r="A387" s="67">
        <f>IFERROR(__xludf.DUMMYFUNCTION("""COMPUTED_VALUE"""),2.05231765E8)</f>
        <v>205231765</v>
      </c>
      <c r="B387" s="67" t="str">
        <f>IFERROR(__xludf.DUMMYFUNCTION("""COMPUTED_VALUE"""),"RICHARD VALDO SADURI")</f>
        <v>RICHARD VALDO SADURI</v>
      </c>
      <c r="C387" s="67">
        <f>IFERROR(__xludf.DUMMYFUNCTION("""COMPUTED_VALUE"""),33.0)</f>
        <v>33</v>
      </c>
      <c r="D387" s="68" t="str">
        <f>IFERROR(__xludf.DUMMYFUNCTION("""COMPUTED_VALUE"""),"Kristen Protestan")</f>
        <v>Kristen Protestan</v>
      </c>
      <c r="E387" s="67" t="str">
        <f>IFERROR(__xludf.DUMMYFUNCTION("""COMPUTED_VALUE"""),"CV. Adil Prima Perkasa")</f>
        <v>CV. Adil Prima Perkasa</v>
      </c>
      <c r="F387" s="67" t="str">
        <f>IFERROR(__xludf.DUMMYFUNCTION("""COMPUTED_VALUE"""),"DRIVER DT H700ZS")</f>
        <v>DRIVER DT H700ZS</v>
      </c>
      <c r="G387" s="67" t="str">
        <f>IFERROR(__xludf.DUMMYFUNCTION("""COMPUTED_VALUE"""),"KENDARAAN &amp; UNIT SUPPORT")</f>
        <v>KENDARAAN &amp; UNIT SUPPORT</v>
      </c>
      <c r="H387" s="67" t="str">
        <f>IFERROR(__xludf.DUMMYFUNCTION("""COMPUTED_VALUE"""),"[0102150004] NAFTALI RARE'A, ST")</f>
        <v>[0102150004] NAFTALI RARE'A, ST</v>
      </c>
      <c r="I387" s="69"/>
      <c r="J387" s="70" t="str">
        <f t="shared" si="1"/>
        <v>[205231765] RICHARD VALDO SADURI</v>
      </c>
      <c r="K387" s="67"/>
      <c r="L387" s="67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</row>
    <row r="388">
      <c r="A388" s="67">
        <f>IFERROR(__xludf.DUMMYFUNCTION("""COMPUTED_VALUE"""),2.06241937E8)</f>
        <v>206241937</v>
      </c>
      <c r="B388" s="67" t="str">
        <f>IFERROR(__xludf.DUMMYFUNCTION("""COMPUTED_VALUE"""),"RICKO KURNIAWAN TOII")</f>
        <v>RICKO KURNIAWAN TOII</v>
      </c>
      <c r="C388" s="67">
        <f>IFERROR(__xludf.DUMMYFUNCTION("""COMPUTED_VALUE"""),22.0)</f>
        <v>22</v>
      </c>
      <c r="D388" s="68" t="str">
        <f>IFERROR(__xludf.DUMMYFUNCTION("""COMPUTED_VALUE"""),"Kristen Protestan")</f>
        <v>Kristen Protestan</v>
      </c>
      <c r="E388" s="67" t="str">
        <f>IFERROR(__xludf.DUMMYFUNCTION("""COMPUTED_VALUE"""),"CV. Adil Prima Perkasa")</f>
        <v>CV. Adil Prima Perkasa</v>
      </c>
      <c r="F388" s="67" t="str">
        <f>IFERROR(__xludf.DUMMYFUNCTION("""COMPUTED_VALUE"""),"SECURITY")</f>
        <v>SECURITY</v>
      </c>
      <c r="G388" s="67" t="str">
        <f>IFERROR(__xludf.DUMMYFUNCTION("""COMPUTED_VALUE"""),"HRD &amp; GA")</f>
        <v>HRD &amp; GA</v>
      </c>
      <c r="H388" s="67" t="str">
        <f>IFERROR(__xludf.DUMMYFUNCTION("""COMPUTED_VALUE"""),"[0108191037] ERNIE FRISLIA")</f>
        <v>[0108191037] ERNIE FRISLIA</v>
      </c>
      <c r="I388" s="69"/>
      <c r="J388" s="70" t="str">
        <f t="shared" si="1"/>
        <v>[206241937] RICKO KURNIAWAN TOII</v>
      </c>
      <c r="K388" s="67"/>
      <c r="L388" s="67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</row>
    <row r="389">
      <c r="A389" s="67">
        <f>IFERROR(__xludf.DUMMYFUNCTION("""COMPUTED_VALUE"""),2.11211535E8)</f>
        <v>211211535</v>
      </c>
      <c r="B389" s="67" t="str">
        <f>IFERROR(__xludf.DUMMYFUNCTION("""COMPUTED_VALUE"""),"RIDWAN SITUJU")</f>
        <v>RIDWAN SITUJU</v>
      </c>
      <c r="C389" s="67">
        <f>IFERROR(__xludf.DUMMYFUNCTION("""COMPUTED_VALUE"""),51.0)</f>
        <v>51</v>
      </c>
      <c r="D389" s="68" t="str">
        <f>IFERROR(__xludf.DUMMYFUNCTION("""COMPUTED_VALUE"""),"Islam")</f>
        <v>Islam</v>
      </c>
      <c r="E389" s="67" t="str">
        <f>IFERROR(__xludf.DUMMYFUNCTION("""COMPUTED_VALUE"""),"CV. Adil Prima Perkasa")</f>
        <v>CV. Adil Prima Perkasa</v>
      </c>
      <c r="F389" s="67" t="str">
        <f>IFERROR(__xludf.DUMMYFUNCTION("""COMPUTED_VALUE"""),"OPERATOR ADT")</f>
        <v>OPERATOR ADT</v>
      </c>
      <c r="G389" s="67" t="str">
        <f>IFERROR(__xludf.DUMMYFUNCTION("""COMPUTED_VALUE"""),"PRODUKSI")</f>
        <v>PRODUKSI</v>
      </c>
      <c r="H389" s="67" t="str">
        <f>IFERROR(__xludf.DUMMYFUNCTION("""COMPUTED_VALUE"""),"[0102130003] PURNAWAN")</f>
        <v>[0102130003] PURNAWAN</v>
      </c>
      <c r="I389" s="69">
        <f>IFERROR(__xludf.DUMMYFUNCTION("""COMPUTED_VALUE"""),26436.0)</f>
        <v>26436</v>
      </c>
      <c r="J389" s="70" t="str">
        <f t="shared" si="1"/>
        <v>[211211535] RIDWAN SITUJU</v>
      </c>
      <c r="K389" s="67"/>
      <c r="L389" s="67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</row>
    <row r="390">
      <c r="A390" s="67">
        <f>IFERROR(__xludf.DUMMYFUNCTION("""COMPUTED_VALUE"""),1.09191073E8)</f>
        <v>109191073</v>
      </c>
      <c r="B390" s="67" t="str">
        <f>IFERROR(__xludf.DUMMYFUNCTION("""COMPUTED_VALUE"""),"RIFKI RUSMANTO LAPANDI")</f>
        <v>RIFKI RUSMANTO LAPANDI</v>
      </c>
      <c r="C390" s="67">
        <f>IFERROR(__xludf.DUMMYFUNCTION("""COMPUTED_VALUE"""),32.0)</f>
        <v>32</v>
      </c>
      <c r="D390" s="68" t="str">
        <f>IFERROR(__xludf.DUMMYFUNCTION("""COMPUTED_VALUE"""),"Kristen Protestan")</f>
        <v>Kristen Protestan</v>
      </c>
      <c r="E390" s="67" t="str">
        <f>IFERROR(__xludf.DUMMYFUNCTION("""COMPUTED_VALUE"""),"CV. SENTOSA ABADI")</f>
        <v>CV. SENTOSA ABADI</v>
      </c>
      <c r="F390" s="67" t="str">
        <f>IFERROR(__xludf.DUMMYFUNCTION("""COMPUTED_VALUE"""),"HELPER WELDER")</f>
        <v>HELPER WELDER</v>
      </c>
      <c r="G390" s="67" t="str">
        <f>IFERROR(__xludf.DUMMYFUNCTION("""COMPUTED_VALUE"""),"WORKSHOP")</f>
        <v>WORKSHOP</v>
      </c>
      <c r="H390" s="67" t="str">
        <f>IFERROR(__xludf.DUMMYFUNCTION("""COMPUTED_VALUE"""),"[0106190928] NATAN KONDO")</f>
        <v>[0106190928] NATAN KONDO</v>
      </c>
      <c r="I390" s="69"/>
      <c r="J390" s="70" t="str">
        <f t="shared" si="1"/>
        <v>[109191073] RIFKI RUSMANTO LAPANDI</v>
      </c>
      <c r="K390" s="67"/>
      <c r="L390" s="67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</row>
    <row r="391">
      <c r="A391" s="67">
        <f>IFERROR(__xludf.DUMMYFUNCTION("""COMPUTED_VALUE"""),2.01231716E8)</f>
        <v>201231716</v>
      </c>
      <c r="B391" s="67" t="str">
        <f>IFERROR(__xludf.DUMMYFUNCTION("""COMPUTED_VALUE"""),"RIKARDUS NOGOR")</f>
        <v>RIKARDUS NOGOR</v>
      </c>
      <c r="C391" s="67">
        <f>IFERROR(__xludf.DUMMYFUNCTION("""COMPUTED_VALUE"""),39.0)</f>
        <v>39</v>
      </c>
      <c r="D391" s="68" t="str">
        <f>IFERROR(__xludf.DUMMYFUNCTION("""COMPUTED_VALUE"""),"Kristen Khatolik")</f>
        <v>Kristen Khatolik</v>
      </c>
      <c r="E391" s="67" t="str">
        <f>IFERROR(__xludf.DUMMYFUNCTION("""COMPUTED_VALUE"""),"CV. Adil Prima Perkasa")</f>
        <v>CV. Adil Prima Perkasa</v>
      </c>
      <c r="F391" s="67" t="str">
        <f>IFERROR(__xludf.DUMMYFUNCTION("""COMPUTED_VALUE"""),"ASISTEN FOREMAN KENDARAAN")</f>
        <v>ASISTEN FOREMAN KENDARAAN</v>
      </c>
      <c r="G391" s="67" t="str">
        <f>IFERROR(__xludf.DUMMYFUNCTION("""COMPUTED_VALUE"""),"KENDARAAN &amp; UNIT SUPPORT")</f>
        <v>KENDARAAN &amp; UNIT SUPPORT</v>
      </c>
      <c r="H391" s="67" t="str">
        <f>IFERROR(__xludf.DUMMYFUNCTION("""COMPUTED_VALUE"""),"[0102150004] NAFTALI RARE'A, ST")</f>
        <v>[0102150004] NAFTALI RARE'A, ST</v>
      </c>
      <c r="I391" s="69">
        <f>IFERROR(__xludf.DUMMYFUNCTION("""COMPUTED_VALUE"""),33028.0)</f>
        <v>33028</v>
      </c>
      <c r="J391" s="70" t="str">
        <f t="shared" si="1"/>
        <v>[201231716] RIKARDUS NOGOR</v>
      </c>
      <c r="K391" s="67"/>
      <c r="L391" s="67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</row>
    <row r="392">
      <c r="A392" s="67">
        <f>IFERROR(__xludf.DUMMYFUNCTION("""COMPUTED_VALUE"""),2.03241892E8)</f>
        <v>203241892</v>
      </c>
      <c r="B392" s="67" t="str">
        <f>IFERROR(__xludf.DUMMYFUNCTION("""COMPUTED_VALUE"""),"RIKI ISMANTO")</f>
        <v>RIKI ISMANTO</v>
      </c>
      <c r="C392" s="67">
        <f>IFERROR(__xludf.DUMMYFUNCTION("""COMPUTED_VALUE"""),0.0)</f>
        <v>0</v>
      </c>
      <c r="D392" s="68"/>
      <c r="E392" s="67" t="str">
        <f>IFERROR(__xludf.DUMMYFUNCTION("""COMPUTED_VALUE"""),"CV. Adil Prima Perkasa")</f>
        <v>CV. Adil Prima Perkasa</v>
      </c>
      <c r="F392" s="67" t="str">
        <f>IFERROR(__xludf.DUMMYFUNCTION("""COMPUTED_VALUE"""),"DRIVER LV")</f>
        <v>DRIVER LV</v>
      </c>
      <c r="G392" s="67" t="str">
        <f>IFERROR(__xludf.DUMMYFUNCTION("""COMPUTED_VALUE"""),"KENDARAAN &amp; UNIT SUPPORT")</f>
        <v>KENDARAAN &amp; UNIT SUPPORT</v>
      </c>
      <c r="H392" s="67" t="str">
        <f>IFERROR(__xludf.DUMMYFUNCTION("""COMPUTED_VALUE"""),"[0102150004] NAFTALI RARE'A, ST")</f>
        <v>[0102150004] NAFTALI RARE'A, ST</v>
      </c>
      <c r="I392" s="69"/>
      <c r="J392" s="70" t="str">
        <f t="shared" si="1"/>
        <v>[203241892] RIKI ISMANTO</v>
      </c>
      <c r="K392" s="67"/>
      <c r="L392" s="67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</row>
    <row r="393">
      <c r="A393" s="67">
        <f>IFERROR(__xludf.DUMMYFUNCTION("""COMPUTED_VALUE"""),1.0715001E8)</f>
        <v>107150010</v>
      </c>
      <c r="B393" s="67" t="str">
        <f>IFERROR(__xludf.DUMMYFUNCTION("""COMPUTED_VALUE"""),"RINI PALINGGI,ST")</f>
        <v>RINI PALINGGI,ST</v>
      </c>
      <c r="C393" s="67">
        <f>IFERROR(__xludf.DUMMYFUNCTION("""COMPUTED_VALUE"""),33.0)</f>
        <v>33</v>
      </c>
      <c r="D393" s="68" t="str">
        <f>IFERROR(__xludf.DUMMYFUNCTION("""COMPUTED_VALUE"""),"Kristen Protestan")</f>
        <v>Kristen Protestan</v>
      </c>
      <c r="E393" s="67" t="str">
        <f>IFERROR(__xludf.DUMMYFUNCTION("""COMPUTED_VALUE"""),"CV. SENTOSA ABADI")</f>
        <v>CV. SENTOSA ABADI</v>
      </c>
      <c r="F393" s="67" t="str">
        <f>IFERROR(__xludf.DUMMYFUNCTION("""COMPUTED_VALUE"""),"MAINTENANCE PLANNER")</f>
        <v>MAINTENANCE PLANNER</v>
      </c>
      <c r="G393" s="67" t="str">
        <f>IFERROR(__xludf.DUMMYFUNCTION("""COMPUTED_VALUE"""),"WORKSHOP")</f>
        <v>WORKSHOP</v>
      </c>
      <c r="H393" s="67" t="str">
        <f>IFERROR(__xludf.DUMMYFUNCTION("""COMPUTED_VALUE"""),"[0106190928] NATAN KONDO")</f>
        <v>[0106190928] NATAN KONDO</v>
      </c>
      <c r="I393" s="69">
        <f>IFERROR(__xludf.DUMMYFUNCTION("""COMPUTED_VALUE"""),32994.0)</f>
        <v>32994</v>
      </c>
      <c r="J393" s="70" t="str">
        <f t="shared" si="1"/>
        <v>[107150010] RINI PALINGGI,ST</v>
      </c>
      <c r="K393" s="67"/>
      <c r="L393" s="67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</row>
    <row r="394">
      <c r="A394" s="67">
        <f>IFERROR(__xludf.DUMMYFUNCTION("""COMPUTED_VALUE"""),1.12231865E8)</f>
        <v>112231865</v>
      </c>
      <c r="B394" s="67" t="str">
        <f>IFERROR(__xludf.DUMMYFUNCTION("""COMPUTED_VALUE"""),"RINO OKTAFIANUS TIBE")</f>
        <v>RINO OKTAFIANUS TIBE</v>
      </c>
      <c r="C394" s="67">
        <f>IFERROR(__xludf.DUMMYFUNCTION("""COMPUTED_VALUE"""),0.0)</f>
        <v>0</v>
      </c>
      <c r="D394" s="68"/>
      <c r="E394" s="67" t="str">
        <f>IFERROR(__xludf.DUMMYFUNCTION("""COMPUTED_VALUE"""),"CV. SENTOSA ABADI")</f>
        <v>CV. SENTOSA ABADI</v>
      </c>
      <c r="F394" s="67" t="str">
        <f>IFERROR(__xludf.DUMMYFUNCTION("""COMPUTED_VALUE"""),"DRIVER DT H500")</f>
        <v>DRIVER DT H500</v>
      </c>
      <c r="G394" s="67" t="str">
        <f>IFERROR(__xludf.DUMMYFUNCTION("""COMPUTED_VALUE"""),"KENDARAAN &amp; UNIT SUPPORT")</f>
        <v>KENDARAAN &amp; UNIT SUPPORT</v>
      </c>
      <c r="H394" s="67" t="str">
        <f>IFERROR(__xludf.DUMMYFUNCTION("""COMPUTED_VALUE"""),"[0102150004] NAFTALI RARE'A, ST")</f>
        <v>[0102150004] NAFTALI RARE'A, ST</v>
      </c>
      <c r="I394" s="69"/>
      <c r="J394" s="70" t="str">
        <f t="shared" si="1"/>
        <v>[112231865] RINO OKTAFIANUS TIBE</v>
      </c>
      <c r="K394" s="67"/>
      <c r="L394" s="67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</row>
    <row r="395">
      <c r="A395" s="67">
        <f>IFERROR(__xludf.DUMMYFUNCTION("""COMPUTED_VALUE"""),2.02231722E8)</f>
        <v>202231722</v>
      </c>
      <c r="B395" s="67" t="str">
        <f>IFERROR(__xludf.DUMMYFUNCTION("""COMPUTED_VALUE"""),"RISFAL")</f>
        <v>RISFAL</v>
      </c>
      <c r="C395" s="67">
        <f>IFERROR(__xludf.DUMMYFUNCTION("""COMPUTED_VALUE"""),36.0)</f>
        <v>36</v>
      </c>
      <c r="D395" s="68" t="str">
        <f>IFERROR(__xludf.DUMMYFUNCTION("""COMPUTED_VALUE"""),"Islam")</f>
        <v>Islam</v>
      </c>
      <c r="E395" s="67" t="str">
        <f>IFERROR(__xludf.DUMMYFUNCTION("""COMPUTED_VALUE"""),"CV. Adil Prima Perkasa")</f>
        <v>CV. Adil Prima Perkasa</v>
      </c>
      <c r="F395" s="67" t="str">
        <f>IFERROR(__xludf.DUMMYFUNCTION("""COMPUTED_VALUE"""),"DRIVER DT H700ZY")</f>
        <v>DRIVER DT H700ZY</v>
      </c>
      <c r="G395" s="67" t="str">
        <f>IFERROR(__xludf.DUMMYFUNCTION("""COMPUTED_VALUE"""),"KENDARAAN &amp; UNIT SUPPORT")</f>
        <v>KENDARAAN &amp; UNIT SUPPORT</v>
      </c>
      <c r="H395" s="67" t="str">
        <f>IFERROR(__xludf.DUMMYFUNCTION("""COMPUTED_VALUE"""),"[0102150004] NAFTALI RARE'A, ST")</f>
        <v>[0102150004] NAFTALI RARE'A, ST</v>
      </c>
      <c r="I395" s="69">
        <f>IFERROR(__xludf.DUMMYFUNCTION("""COMPUTED_VALUE"""),35635.0)</f>
        <v>35635</v>
      </c>
      <c r="J395" s="70" t="str">
        <f t="shared" si="1"/>
        <v>[202231722] RISFAL</v>
      </c>
      <c r="K395" s="67"/>
      <c r="L395" s="67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</row>
    <row r="396">
      <c r="A396" s="67">
        <f>IFERROR(__xludf.DUMMYFUNCTION("""COMPUTED_VALUE"""),3.02230108E8)</f>
        <v>302230108</v>
      </c>
      <c r="B396" s="67" t="str">
        <f>IFERROR(__xludf.DUMMYFUNCTION("""COMPUTED_VALUE"""),"RISKI S. RAJULAINI P.")</f>
        <v>RISKI S. RAJULAINI P.</v>
      </c>
      <c r="C396" s="67">
        <f>IFERROR(__xludf.DUMMYFUNCTION("""COMPUTED_VALUE"""),23.0)</f>
        <v>23</v>
      </c>
      <c r="D396" s="68" t="str">
        <f>IFERROR(__xludf.DUMMYFUNCTION("""COMPUTED_VALUE"""),"Islam")</f>
        <v>Islam</v>
      </c>
      <c r="E396" s="67" t="str">
        <f>IFERROR(__xludf.DUMMYFUNCTION("""COMPUTED_VALUE"""),"CV. Monalisa")</f>
        <v>CV. Monalisa</v>
      </c>
      <c r="F396" s="67" t="str">
        <f>IFERROR(__xludf.DUMMYFUNCTION("""COMPUTED_VALUE"""),"SECURITY")</f>
        <v>SECURITY</v>
      </c>
      <c r="G396" s="67" t="str">
        <f>IFERROR(__xludf.DUMMYFUNCTION("""COMPUTED_VALUE"""),"HRD &amp; GA")</f>
        <v>HRD &amp; GA</v>
      </c>
      <c r="H396" s="67" t="str">
        <f>IFERROR(__xludf.DUMMYFUNCTION("""COMPUTED_VALUE"""),"FALSE")</f>
        <v>FALSE</v>
      </c>
      <c r="I396" s="69"/>
      <c r="J396" s="70" t="str">
        <f t="shared" si="1"/>
        <v>[302230108] RISKI S. RAJULAINI P.</v>
      </c>
      <c r="K396" s="67"/>
      <c r="L396" s="67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</row>
    <row r="397">
      <c r="A397" s="67">
        <f>IFERROR(__xludf.DUMMYFUNCTION("""COMPUTED_VALUE"""),2.07231795E8)</f>
        <v>207231795</v>
      </c>
      <c r="B397" s="67" t="str">
        <f>IFERROR(__xludf.DUMMYFUNCTION("""COMPUTED_VALUE"""),"RIYAN")</f>
        <v>RIYAN</v>
      </c>
      <c r="C397" s="67">
        <f>IFERROR(__xludf.DUMMYFUNCTION("""COMPUTED_VALUE"""),26.0)</f>
        <v>26</v>
      </c>
      <c r="D397" s="68" t="str">
        <f>IFERROR(__xludf.DUMMYFUNCTION("""COMPUTED_VALUE"""),"Islam")</f>
        <v>Islam</v>
      </c>
      <c r="E397" s="67" t="str">
        <f>IFERROR(__xludf.DUMMYFUNCTION("""COMPUTED_VALUE"""),"CV. Adil Prima Perkasa")</f>
        <v>CV. Adil Prima Perkasa</v>
      </c>
      <c r="F397" s="67" t="str">
        <f>IFERROR(__xludf.DUMMYFUNCTION("""COMPUTED_VALUE"""),"OPERATOR LOADER")</f>
        <v>OPERATOR LOADER</v>
      </c>
      <c r="G397" s="67" t="str">
        <f>IFERROR(__xludf.DUMMYFUNCTION("""COMPUTED_VALUE"""),"PRODUKSI")</f>
        <v>PRODUKSI</v>
      </c>
      <c r="H397" s="67" t="str">
        <f>IFERROR(__xludf.DUMMYFUNCTION("""COMPUTED_VALUE"""),"[0102130003] PURNAWAN")</f>
        <v>[0102130003] PURNAWAN</v>
      </c>
      <c r="I397" s="69">
        <f>IFERROR(__xludf.DUMMYFUNCTION("""COMPUTED_VALUE"""),35677.0)</f>
        <v>35677</v>
      </c>
      <c r="J397" s="70" t="str">
        <f t="shared" si="1"/>
        <v>[207231795] RIYAN</v>
      </c>
      <c r="K397" s="67"/>
      <c r="L397" s="67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</row>
    <row r="398">
      <c r="A398" s="67">
        <f>IFERROR(__xludf.DUMMYFUNCTION("""COMPUTED_VALUE"""),2.12231871E8)</f>
        <v>212231871</v>
      </c>
      <c r="B398" s="67" t="str">
        <f>IFERROR(__xludf.DUMMYFUNCTION("""COMPUTED_VALUE"""),"RIZALDI")</f>
        <v>RIZALDI</v>
      </c>
      <c r="C398" s="67">
        <f>IFERROR(__xludf.DUMMYFUNCTION("""COMPUTED_VALUE"""),0.0)</f>
        <v>0</v>
      </c>
      <c r="D398" s="68"/>
      <c r="E398" s="67" t="str">
        <f>IFERROR(__xludf.DUMMYFUNCTION("""COMPUTED_VALUE"""),"CV. Adil Prima Perkasa")</f>
        <v>CV. Adil Prima Perkasa</v>
      </c>
      <c r="F398" s="67" t="str">
        <f>IFERROR(__xludf.DUMMYFUNCTION("""COMPUTED_VALUE"""),"DRIVER DT H500")</f>
        <v>DRIVER DT H500</v>
      </c>
      <c r="G398" s="67" t="str">
        <f>IFERROR(__xludf.DUMMYFUNCTION("""COMPUTED_VALUE"""),"KENDARAAN &amp; UNIT SUPPORT")</f>
        <v>KENDARAAN &amp; UNIT SUPPORT</v>
      </c>
      <c r="H398" s="67" t="str">
        <f>IFERROR(__xludf.DUMMYFUNCTION("""COMPUTED_VALUE"""),"[0102150004] NAFTALI RARE'A, ST")</f>
        <v>[0102150004] NAFTALI RARE'A, ST</v>
      </c>
      <c r="I398" s="69"/>
      <c r="J398" s="70" t="str">
        <f t="shared" si="1"/>
        <v>[212231871] RIZALDI</v>
      </c>
      <c r="K398" s="67"/>
      <c r="L398" s="67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</row>
    <row r="399">
      <c r="A399" s="67">
        <f>IFERROR(__xludf.DUMMYFUNCTION("""COMPUTED_VALUE"""),2.08191035E8)</f>
        <v>208191035</v>
      </c>
      <c r="B399" s="67" t="str">
        <f>IFERROR(__xludf.DUMMYFUNCTION("""COMPUTED_VALUE"""),"ROBITUS NAMAT")</f>
        <v>ROBITUS NAMAT</v>
      </c>
      <c r="C399" s="67">
        <f>IFERROR(__xludf.DUMMYFUNCTION("""COMPUTED_VALUE"""),27.0)</f>
        <v>27</v>
      </c>
      <c r="D399" s="68" t="str">
        <f>IFERROR(__xludf.DUMMYFUNCTION("""COMPUTED_VALUE"""),"Kristen Khatolik")</f>
        <v>Kristen Khatolik</v>
      </c>
      <c r="E399" s="67" t="str">
        <f>IFERROR(__xludf.DUMMYFUNCTION("""COMPUTED_VALUE"""),"CV. Adil Prima Perkasa")</f>
        <v>CV. Adil Prima Perkasa</v>
      </c>
      <c r="F399" s="67" t="str">
        <f>IFERROR(__xludf.DUMMYFUNCTION("""COMPUTED_VALUE"""),"OPERATOR EXCAVATOR")</f>
        <v>OPERATOR EXCAVATOR</v>
      </c>
      <c r="G399" s="67" t="str">
        <f>IFERROR(__xludf.DUMMYFUNCTION("""COMPUTED_VALUE"""),"WORKSHOP")</f>
        <v>WORKSHOP</v>
      </c>
      <c r="H399" s="67" t="str">
        <f>IFERROR(__xludf.DUMMYFUNCTION("""COMPUTED_VALUE"""),"[0106190928] NATAN KONDO")</f>
        <v>[0106190928] NATAN KONDO</v>
      </c>
      <c r="I399" s="69"/>
      <c r="J399" s="70" t="str">
        <f t="shared" si="1"/>
        <v>[208191035] ROBITUS NAMAT</v>
      </c>
      <c r="K399" s="67"/>
      <c r="L399" s="67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</row>
    <row r="400">
      <c r="A400" s="67">
        <f>IFERROR(__xludf.DUMMYFUNCTION("""COMPUTED_VALUE"""),2.04231752E8)</f>
        <v>204231752</v>
      </c>
      <c r="B400" s="67" t="str">
        <f>IFERROR(__xludf.DUMMYFUNCTION("""COMPUTED_VALUE"""),"ROFIK")</f>
        <v>ROFIK</v>
      </c>
      <c r="C400" s="67">
        <f>IFERROR(__xludf.DUMMYFUNCTION("""COMPUTED_VALUE"""),39.0)</f>
        <v>39</v>
      </c>
      <c r="D400" s="68" t="str">
        <f>IFERROR(__xludf.DUMMYFUNCTION("""COMPUTED_VALUE"""),"Islam")</f>
        <v>Islam</v>
      </c>
      <c r="E400" s="67" t="str">
        <f>IFERROR(__xludf.DUMMYFUNCTION("""COMPUTED_VALUE"""),"CV. Adil Prima Perkasa")</f>
        <v>CV. Adil Prima Perkasa</v>
      </c>
      <c r="F400" s="67" t="str">
        <f>IFERROR(__xludf.DUMMYFUNCTION("""COMPUTED_VALUE"""),"DRIVER DT H700ZS")</f>
        <v>DRIVER DT H700ZS</v>
      </c>
      <c r="G400" s="67" t="str">
        <f>IFERROR(__xludf.DUMMYFUNCTION("""COMPUTED_VALUE"""),"KENDARAAN &amp; UNIT SUPPORT")</f>
        <v>KENDARAAN &amp; UNIT SUPPORT</v>
      </c>
      <c r="H400" s="67" t="str">
        <f>IFERROR(__xludf.DUMMYFUNCTION("""COMPUTED_VALUE"""),"[0102150004] NAFTALI RARE'A, ST")</f>
        <v>[0102150004] NAFTALI RARE'A, ST</v>
      </c>
      <c r="I400" s="69"/>
      <c r="J400" s="70" t="str">
        <f t="shared" si="1"/>
        <v>[204231752] ROFIK</v>
      </c>
      <c r="K400" s="67"/>
      <c r="L400" s="67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</row>
    <row r="401">
      <c r="A401" s="67">
        <f>IFERROR(__xludf.DUMMYFUNCTION("""COMPUTED_VALUE"""),1.09201238E8)</f>
        <v>109201238</v>
      </c>
      <c r="B401" s="67" t="str">
        <f>IFERROR(__xludf.DUMMYFUNCTION("""COMPUTED_VALUE"""),"ROFINUS")</f>
        <v>ROFINUS</v>
      </c>
      <c r="C401" s="67">
        <f>IFERROR(__xludf.DUMMYFUNCTION("""COMPUTED_VALUE"""),0.0)</f>
        <v>0</v>
      </c>
      <c r="D401" s="68"/>
      <c r="E401" s="67" t="str">
        <f>IFERROR(__xludf.DUMMYFUNCTION("""COMPUTED_VALUE"""),"CV. SENTOSA ABADI")</f>
        <v>CV. SENTOSA ABADI</v>
      </c>
      <c r="F401" s="67" t="str">
        <f>IFERROR(__xludf.DUMMYFUNCTION("""COMPUTED_VALUE"""),"OPERATOR ADT")</f>
        <v>OPERATOR ADT</v>
      </c>
      <c r="G401" s="67" t="str">
        <f>IFERROR(__xludf.DUMMYFUNCTION("""COMPUTED_VALUE"""),"PRODUKSI")</f>
        <v>PRODUKSI</v>
      </c>
      <c r="H401" s="67" t="str">
        <f>IFERROR(__xludf.DUMMYFUNCTION("""COMPUTED_VALUE"""),"[0102130003] PURNAWAN")</f>
        <v>[0102130003] PURNAWAN</v>
      </c>
      <c r="I401" s="69"/>
      <c r="J401" s="70" t="str">
        <f t="shared" si="1"/>
        <v>[109201238] ROFINUS</v>
      </c>
      <c r="K401" s="67"/>
      <c r="L401" s="67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</row>
    <row r="402">
      <c r="A402" s="67">
        <f>IFERROR(__xludf.DUMMYFUNCTION("""COMPUTED_VALUE"""),2.08231819E8)</f>
        <v>208231819</v>
      </c>
      <c r="B402" s="67" t="str">
        <f>IFERROR(__xludf.DUMMYFUNCTION("""COMPUTED_VALUE"""),"ROGEL TEODRA")</f>
        <v>ROGEL TEODRA</v>
      </c>
      <c r="C402" s="67">
        <f>IFERROR(__xludf.DUMMYFUNCTION("""COMPUTED_VALUE"""),19.0)</f>
        <v>19</v>
      </c>
      <c r="D402" s="68" t="str">
        <f>IFERROR(__xludf.DUMMYFUNCTION("""COMPUTED_VALUE"""),"Kristen Protestan")</f>
        <v>Kristen Protestan</v>
      </c>
      <c r="E402" s="67" t="str">
        <f>IFERROR(__xludf.DUMMYFUNCTION("""COMPUTED_VALUE"""),"CV. Adil Prima Perkasa")</f>
        <v>CV. Adil Prima Perkasa</v>
      </c>
      <c r="F402" s="67" t="str">
        <f>IFERROR(__xludf.DUMMYFUNCTION("""COMPUTED_VALUE"""),"OFFICE BOY")</f>
        <v>OFFICE BOY</v>
      </c>
      <c r="G402" s="67" t="str">
        <f>IFERROR(__xludf.DUMMYFUNCTION("""COMPUTED_VALUE"""),"HRD &amp; GA")</f>
        <v>HRD &amp; GA</v>
      </c>
      <c r="H402" s="67" t="str">
        <f>IFERROR(__xludf.DUMMYFUNCTION("""COMPUTED_VALUE"""),"[0108191037] ERNIE FRISLIA")</f>
        <v>[0108191037] ERNIE FRISLIA</v>
      </c>
      <c r="I402" s="69"/>
      <c r="J402" s="70" t="str">
        <f t="shared" si="1"/>
        <v>[208231819] ROGEL TEODRA</v>
      </c>
      <c r="K402" s="67"/>
      <c r="L402" s="67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</row>
    <row r="403">
      <c r="A403" s="67">
        <f>IFERROR(__xludf.DUMMYFUNCTION("""COMPUTED_VALUE"""),1.07190977E8)</f>
        <v>107190977</v>
      </c>
      <c r="B403" s="67" t="str">
        <f>IFERROR(__xludf.DUMMYFUNCTION("""COMPUTED_VALUE"""),"ROI MASSODE")</f>
        <v>ROI MASSODE</v>
      </c>
      <c r="C403" s="67">
        <f>IFERROR(__xludf.DUMMYFUNCTION("""COMPUTED_VALUE"""),35.0)</f>
        <v>35</v>
      </c>
      <c r="D403" s="68" t="str">
        <f>IFERROR(__xludf.DUMMYFUNCTION("""COMPUTED_VALUE"""),"Kristen Protestan")</f>
        <v>Kristen Protestan</v>
      </c>
      <c r="E403" s="67" t="str">
        <f>IFERROR(__xludf.DUMMYFUNCTION("""COMPUTED_VALUE"""),"CV. SENTOSA ABADI")</f>
        <v>CV. SENTOSA ABADI</v>
      </c>
      <c r="F403" s="67" t="str">
        <f>IFERROR(__xludf.DUMMYFUNCTION("""COMPUTED_VALUE"""),"HELPER MEKANIK ALAT BERAT")</f>
        <v>HELPER MEKANIK ALAT BERAT</v>
      </c>
      <c r="G403" s="67" t="str">
        <f>IFERROR(__xludf.DUMMYFUNCTION("""COMPUTED_VALUE"""),"WORKSHOP")</f>
        <v>WORKSHOP</v>
      </c>
      <c r="H403" s="67" t="str">
        <f>IFERROR(__xludf.DUMMYFUNCTION("""COMPUTED_VALUE"""),"[0106190928] NATAN KONDO")</f>
        <v>[0106190928] NATAN KONDO</v>
      </c>
      <c r="I403" s="69"/>
      <c r="J403" s="70" t="str">
        <f t="shared" si="1"/>
        <v>[107190977] ROI MASSODE</v>
      </c>
      <c r="K403" s="67"/>
      <c r="L403" s="67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</row>
    <row r="404">
      <c r="A404" s="67">
        <f>IFERROR(__xludf.DUMMYFUNCTION("""COMPUTED_VALUE"""),1.04211371E8)</f>
        <v>104211371</v>
      </c>
      <c r="B404" s="67" t="str">
        <f>IFERROR(__xludf.DUMMYFUNCTION("""COMPUTED_VALUE"""),"ROMI RAHAMIS")</f>
        <v>ROMI RAHAMIS</v>
      </c>
      <c r="C404" s="67">
        <f>IFERROR(__xludf.DUMMYFUNCTION("""COMPUTED_VALUE"""),29.0)</f>
        <v>29</v>
      </c>
      <c r="D404" s="68" t="str">
        <f>IFERROR(__xludf.DUMMYFUNCTION("""COMPUTED_VALUE"""),"Kristen Protestan")</f>
        <v>Kristen Protestan</v>
      </c>
      <c r="E404" s="67" t="str">
        <f>IFERROR(__xludf.DUMMYFUNCTION("""COMPUTED_VALUE"""),"CV. SENTOSA ABADI")</f>
        <v>CV. SENTOSA ABADI</v>
      </c>
      <c r="F404" s="67" t="str">
        <f>IFERROR(__xludf.DUMMYFUNCTION("""COMPUTED_VALUE"""),"OPERATOR ADT")</f>
        <v>OPERATOR ADT</v>
      </c>
      <c r="G404" s="67" t="str">
        <f>IFERROR(__xludf.DUMMYFUNCTION("""COMPUTED_VALUE"""),"KENDARAAN &amp; UNIT SUPPORT")</f>
        <v>KENDARAAN &amp; UNIT SUPPORT</v>
      </c>
      <c r="H404" s="67" t="str">
        <f>IFERROR(__xludf.DUMMYFUNCTION("""COMPUTED_VALUE"""),"[0102150004] NAFTALI RARE'A, ST")</f>
        <v>[0102150004] NAFTALI RARE'A, ST</v>
      </c>
      <c r="I404" s="69"/>
      <c r="J404" s="70" t="str">
        <f t="shared" si="1"/>
        <v>[104211371] ROMI RAHAMIS</v>
      </c>
      <c r="K404" s="67"/>
      <c r="L404" s="67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</row>
    <row r="405">
      <c r="A405" s="67">
        <f>IFERROR(__xludf.DUMMYFUNCTION("""COMPUTED_VALUE"""),1.05211388E8)</f>
        <v>105211388</v>
      </c>
      <c r="B405" s="67" t="str">
        <f>IFERROR(__xludf.DUMMYFUNCTION("""COMPUTED_VALUE"""),"RONAL TODING")</f>
        <v>RONAL TODING</v>
      </c>
      <c r="C405" s="67">
        <f>IFERROR(__xludf.DUMMYFUNCTION("""COMPUTED_VALUE"""),46.0)</f>
        <v>46</v>
      </c>
      <c r="D405" s="68" t="str">
        <f>IFERROR(__xludf.DUMMYFUNCTION("""COMPUTED_VALUE"""),"Islam")</f>
        <v>Islam</v>
      </c>
      <c r="E405" s="67" t="str">
        <f>IFERROR(__xludf.DUMMYFUNCTION("""COMPUTED_VALUE"""),"CV. SENTOSA ABADI")</f>
        <v>CV. SENTOSA ABADI</v>
      </c>
      <c r="F405" s="67" t="str">
        <f>IFERROR(__xludf.DUMMYFUNCTION("""COMPUTED_VALUE"""),"DRIVER DT H700ZY")</f>
        <v>DRIVER DT H700ZY</v>
      </c>
      <c r="G405" s="67" t="str">
        <f>IFERROR(__xludf.DUMMYFUNCTION("""COMPUTED_VALUE"""),"KENDARAAN &amp; UNIT SUPPORT")</f>
        <v>KENDARAAN &amp; UNIT SUPPORT</v>
      </c>
      <c r="H405" s="67" t="str">
        <f>IFERROR(__xludf.DUMMYFUNCTION("""COMPUTED_VALUE"""),"[0102150004] NAFTALI RARE'A, ST")</f>
        <v>[0102150004] NAFTALI RARE'A, ST</v>
      </c>
      <c r="I405" s="69"/>
      <c r="J405" s="70" t="str">
        <f t="shared" si="1"/>
        <v>[105211388] RONAL TODING</v>
      </c>
      <c r="K405" s="67"/>
      <c r="L405" s="67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</row>
    <row r="406">
      <c r="A406" s="67">
        <f>IFERROR(__xludf.DUMMYFUNCTION("""COMPUTED_VALUE"""),2.06211416E8)</f>
        <v>206211416</v>
      </c>
      <c r="B406" s="67" t="str">
        <f>IFERROR(__xludf.DUMMYFUNCTION("""COMPUTED_VALUE"""),"RONALD STANLAY IMBING")</f>
        <v>RONALD STANLAY IMBING</v>
      </c>
      <c r="C406" s="67">
        <f>IFERROR(__xludf.DUMMYFUNCTION("""COMPUTED_VALUE"""),50.0)</f>
        <v>50</v>
      </c>
      <c r="D406" s="68" t="str">
        <f>IFERROR(__xludf.DUMMYFUNCTION("""COMPUTED_VALUE"""),"Kristen Protestan")</f>
        <v>Kristen Protestan</v>
      </c>
      <c r="E406" s="67" t="str">
        <f>IFERROR(__xludf.DUMMYFUNCTION("""COMPUTED_VALUE"""),"CV. Adil Prima Perkasa")</f>
        <v>CV. Adil Prima Perkasa</v>
      </c>
      <c r="F406" s="67" t="str">
        <f>IFERROR(__xludf.DUMMYFUNCTION("""COMPUTED_VALUE"""),"OPERATOR BULLDOZER")</f>
        <v>OPERATOR BULLDOZER</v>
      </c>
      <c r="G406" s="67" t="str">
        <f>IFERROR(__xludf.DUMMYFUNCTION("""COMPUTED_VALUE"""),"PRODUKSI")</f>
        <v>PRODUKSI</v>
      </c>
      <c r="H406" s="67" t="str">
        <f>IFERROR(__xludf.DUMMYFUNCTION("""COMPUTED_VALUE"""),"FALSE")</f>
        <v>FALSE</v>
      </c>
      <c r="I406" s="69">
        <f>IFERROR(__xludf.DUMMYFUNCTION("""COMPUTED_VALUE"""),30600.0)</f>
        <v>30600</v>
      </c>
      <c r="J406" s="70" t="str">
        <f t="shared" si="1"/>
        <v>[206211416] RONALD STANLAY IMBING</v>
      </c>
      <c r="K406" s="67"/>
      <c r="L406" s="67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</row>
    <row r="407">
      <c r="A407" s="67">
        <f>IFERROR(__xludf.DUMMYFUNCTION("""COMPUTED_VALUE"""),2.10211522E8)</f>
        <v>210211522</v>
      </c>
      <c r="B407" s="67" t="str">
        <f>IFERROR(__xludf.DUMMYFUNCTION("""COMPUTED_VALUE"""),"RONIUS FALLO")</f>
        <v>RONIUS FALLO</v>
      </c>
      <c r="C407" s="67">
        <f>IFERROR(__xludf.DUMMYFUNCTION("""COMPUTED_VALUE"""),42.0)</f>
        <v>42</v>
      </c>
      <c r="D407" s="68" t="str">
        <f>IFERROR(__xludf.DUMMYFUNCTION("""COMPUTED_VALUE"""),"Kristen Protestan")</f>
        <v>Kristen Protestan</v>
      </c>
      <c r="E407" s="67" t="str">
        <f>IFERROR(__xludf.DUMMYFUNCTION("""COMPUTED_VALUE"""),"CV. Adil Prima Perkasa")</f>
        <v>CV. Adil Prima Perkasa</v>
      </c>
      <c r="F407" s="67" t="str">
        <f>IFERROR(__xludf.DUMMYFUNCTION("""COMPUTED_VALUE"""),"OPERATOR COMPACTOR")</f>
        <v>OPERATOR COMPACTOR</v>
      </c>
      <c r="G407" s="67" t="str">
        <f>IFERROR(__xludf.DUMMYFUNCTION("""COMPUTED_VALUE"""),"PRODUKSI")</f>
        <v>PRODUKSI</v>
      </c>
      <c r="H407" s="67" t="str">
        <f>IFERROR(__xludf.DUMMYFUNCTION("""COMPUTED_VALUE"""),"FALSE")</f>
        <v>FALSE</v>
      </c>
      <c r="I407" s="69"/>
      <c r="J407" s="70" t="str">
        <f t="shared" si="1"/>
        <v>[210211522] RONIUS FALLO</v>
      </c>
      <c r="K407" s="67"/>
      <c r="L407" s="67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</row>
    <row r="408">
      <c r="A408" s="67">
        <f>IFERROR(__xludf.DUMMYFUNCTION("""COMPUTED_VALUE"""),2.03221599E8)</f>
        <v>203221599</v>
      </c>
      <c r="B408" s="67" t="str">
        <f>IFERROR(__xludf.DUMMYFUNCTION("""COMPUTED_VALUE"""),"ROSMAN SADAT")</f>
        <v>ROSMAN SADAT</v>
      </c>
      <c r="C408" s="67">
        <f>IFERROR(__xludf.DUMMYFUNCTION("""COMPUTED_VALUE"""),31.0)</f>
        <v>31</v>
      </c>
      <c r="D408" s="68" t="str">
        <f>IFERROR(__xludf.DUMMYFUNCTION("""COMPUTED_VALUE"""),"Islam")</f>
        <v>Islam</v>
      </c>
      <c r="E408" s="67" t="str">
        <f>IFERROR(__xludf.DUMMYFUNCTION("""COMPUTED_VALUE"""),"CV. Adil Prima Perkasa")</f>
        <v>CV. Adil Prima Perkasa</v>
      </c>
      <c r="F408" s="67" t="str">
        <f>IFERROR(__xludf.DUMMYFUNCTION("""COMPUTED_VALUE"""),"ADMIN WORKSHOP")</f>
        <v>ADMIN WORKSHOP</v>
      </c>
      <c r="G408" s="67" t="str">
        <f>IFERROR(__xludf.DUMMYFUNCTION("""COMPUTED_VALUE"""),"WORKSHOP")</f>
        <v>WORKSHOP</v>
      </c>
      <c r="H408" s="67" t="str">
        <f>IFERROR(__xludf.DUMMYFUNCTION("""COMPUTED_VALUE"""),"[0107150010] RINI PALINGGI,ST")</f>
        <v>[0107150010] RINI PALINGGI,ST</v>
      </c>
      <c r="I408" s="69"/>
      <c r="J408" s="70" t="str">
        <f t="shared" si="1"/>
        <v>[203221599] ROSMAN SADAT</v>
      </c>
      <c r="K408" s="67"/>
      <c r="L408" s="67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</row>
    <row r="409">
      <c r="A409" s="67">
        <f>IFERROR(__xludf.DUMMYFUNCTION("""COMPUTED_VALUE"""),1.03170231E8)</f>
        <v>103170231</v>
      </c>
      <c r="B409" s="67" t="str">
        <f>IFERROR(__xludf.DUMMYFUNCTION("""COMPUTED_VALUE"""),"ROSNIATI")</f>
        <v>ROSNIATI</v>
      </c>
      <c r="C409" s="67">
        <f>IFERROR(__xludf.DUMMYFUNCTION("""COMPUTED_VALUE"""),49.0)</f>
        <v>49</v>
      </c>
      <c r="D409" s="68" t="str">
        <f>IFERROR(__xludf.DUMMYFUNCTION("""COMPUTED_VALUE"""),"Islam")</f>
        <v>Islam</v>
      </c>
      <c r="E409" s="67" t="str">
        <f>IFERROR(__xludf.DUMMYFUNCTION("""COMPUTED_VALUE"""),"CV. SENTOSA ABADI")</f>
        <v>CV. SENTOSA ABADI</v>
      </c>
      <c r="F409" s="67" t="str">
        <f>IFERROR(__xludf.DUMMYFUNCTION("""COMPUTED_VALUE"""),"STOCKER")</f>
        <v>STOCKER</v>
      </c>
      <c r="G409" s="67" t="str">
        <f>IFERROR(__xludf.DUMMYFUNCTION("""COMPUTED_VALUE"""),"HRD &amp; GA")</f>
        <v>HRD &amp; GA</v>
      </c>
      <c r="H409" s="67" t="str">
        <f>IFERROR(__xludf.DUMMYFUNCTION("""COMPUTED_VALUE"""),"[0103231738] MARYA SUSAN SIMBANGU")</f>
        <v>[0103231738] MARYA SUSAN SIMBANGU</v>
      </c>
      <c r="I409" s="69"/>
      <c r="J409" s="70" t="str">
        <f t="shared" si="1"/>
        <v>[103170231] ROSNIATI</v>
      </c>
      <c r="K409" s="67"/>
      <c r="L409" s="67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</row>
    <row r="410">
      <c r="A410" s="67">
        <f>IFERROR(__xludf.DUMMYFUNCTION("""COMPUTED_VALUE"""),2.03221603E8)</f>
        <v>203221603</v>
      </c>
      <c r="B410" s="67" t="str">
        <f>IFERROR(__xludf.DUMMYFUNCTION("""COMPUTED_VALUE"""),"ROY BARAU")</f>
        <v>ROY BARAU</v>
      </c>
      <c r="C410" s="67">
        <f>IFERROR(__xludf.DUMMYFUNCTION("""COMPUTED_VALUE"""),27.0)</f>
        <v>27</v>
      </c>
      <c r="D410" s="68" t="str">
        <f>IFERROR(__xludf.DUMMYFUNCTION("""COMPUTED_VALUE"""),"Kristen Protestan")</f>
        <v>Kristen Protestan</v>
      </c>
      <c r="E410" s="67" t="str">
        <f>IFERROR(__xludf.DUMMYFUNCTION("""COMPUTED_VALUE"""),"CV. Adil Prima Perkasa")</f>
        <v>CV. Adil Prima Perkasa</v>
      </c>
      <c r="F410" s="67" t="str">
        <f>IFERROR(__xludf.DUMMYFUNCTION("""COMPUTED_VALUE"""),"DRIVER DT H700ZY")</f>
        <v>DRIVER DT H700ZY</v>
      </c>
      <c r="G410" s="67" t="str">
        <f>IFERROR(__xludf.DUMMYFUNCTION("""COMPUTED_VALUE"""),"KENDARAAN &amp; UNIT SUPPORT")</f>
        <v>KENDARAAN &amp; UNIT SUPPORT</v>
      </c>
      <c r="H410" s="67" t="str">
        <f>IFERROR(__xludf.DUMMYFUNCTION("""COMPUTED_VALUE"""),"[0102150004] NAFTALI RARE'A, ST")</f>
        <v>[0102150004] NAFTALI RARE'A, ST</v>
      </c>
      <c r="I410" s="69"/>
      <c r="J410" s="70" t="str">
        <f t="shared" si="1"/>
        <v>[203221603] ROY BARAU</v>
      </c>
      <c r="K410" s="67"/>
      <c r="L410" s="67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</row>
    <row r="411">
      <c r="A411" s="67">
        <f>IFERROR(__xludf.DUMMYFUNCTION("""COMPUTED_VALUE"""),2.02201131E8)</f>
        <v>202201131</v>
      </c>
      <c r="B411" s="67" t="str">
        <f>IFERROR(__xludf.DUMMYFUNCTION("""COMPUTED_VALUE"""),"RUSDI")</f>
        <v>RUSDI</v>
      </c>
      <c r="C411" s="67">
        <f>IFERROR(__xludf.DUMMYFUNCTION("""COMPUTED_VALUE"""),47.0)</f>
        <v>47</v>
      </c>
      <c r="D411" s="68" t="str">
        <f>IFERROR(__xludf.DUMMYFUNCTION("""COMPUTED_VALUE"""),"Islam")</f>
        <v>Islam</v>
      </c>
      <c r="E411" s="67" t="str">
        <f>IFERROR(__xludf.DUMMYFUNCTION("""COMPUTED_VALUE"""),"CV. Adil Prima Perkasa")</f>
        <v>CV. Adil Prima Perkasa</v>
      </c>
      <c r="F411" s="67" t="str">
        <f>IFERROR(__xludf.DUMMYFUNCTION("""COMPUTED_VALUE"""),"OPERATOR ADT")</f>
        <v>OPERATOR ADT</v>
      </c>
      <c r="G411" s="67" t="str">
        <f>IFERROR(__xludf.DUMMYFUNCTION("""COMPUTED_VALUE"""),"PRODUKSI")</f>
        <v>PRODUKSI</v>
      </c>
      <c r="H411" s="67" t="str">
        <f>IFERROR(__xludf.DUMMYFUNCTION("""COMPUTED_VALUE"""),"FALSE")</f>
        <v>FALSE</v>
      </c>
      <c r="I411" s="69">
        <f>IFERROR(__xludf.DUMMYFUNCTION("""COMPUTED_VALUE"""),29316.0)</f>
        <v>29316</v>
      </c>
      <c r="J411" s="70" t="str">
        <f t="shared" si="1"/>
        <v>[202201131] RUSDI</v>
      </c>
      <c r="K411" s="67"/>
      <c r="L411" s="67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</row>
    <row r="412">
      <c r="A412" s="67">
        <f>IFERROR(__xludf.DUMMYFUNCTION("""COMPUTED_VALUE"""),2.06231775E8)</f>
        <v>206231775</v>
      </c>
      <c r="B412" s="67" t="str">
        <f>IFERROR(__xludf.DUMMYFUNCTION("""COMPUTED_VALUE"""),"RUSDIANTO ASKAR")</f>
        <v>RUSDIANTO ASKAR</v>
      </c>
      <c r="C412" s="67">
        <f>IFERROR(__xludf.DUMMYFUNCTION("""COMPUTED_VALUE"""),25.0)</f>
        <v>25</v>
      </c>
      <c r="D412" s="68" t="str">
        <f>IFERROR(__xludf.DUMMYFUNCTION("""COMPUTED_VALUE"""),"Islam")</f>
        <v>Islam</v>
      </c>
      <c r="E412" s="67" t="str">
        <f>IFERROR(__xludf.DUMMYFUNCTION("""COMPUTED_VALUE"""),"CV. Adil Prima Perkasa")</f>
        <v>CV. Adil Prima Perkasa</v>
      </c>
      <c r="F412" s="67" t="str">
        <f>IFERROR(__xludf.DUMMYFUNCTION("""COMPUTED_VALUE"""),"DRIVER LV")</f>
        <v>DRIVER LV</v>
      </c>
      <c r="G412" s="67" t="str">
        <f>IFERROR(__xludf.DUMMYFUNCTION("""COMPUTED_VALUE"""),"KENDARAAN &amp; UNIT SUPPORT")</f>
        <v>KENDARAAN &amp; UNIT SUPPORT</v>
      </c>
      <c r="H412" s="67" t="str">
        <f>IFERROR(__xludf.DUMMYFUNCTION("""COMPUTED_VALUE"""),"[0102150004] NAFTALI RARE'A, ST")</f>
        <v>[0102150004] NAFTALI RARE'A, ST</v>
      </c>
      <c r="I412" s="69"/>
      <c r="J412" s="70" t="str">
        <f t="shared" si="1"/>
        <v>[206231775] RUSDIANTO ASKAR</v>
      </c>
      <c r="K412" s="67"/>
      <c r="L412" s="67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</row>
    <row r="413">
      <c r="A413" s="67">
        <f>IFERROR(__xludf.DUMMYFUNCTION("""COMPUTED_VALUE"""),2.03221604E8)</f>
        <v>203221604</v>
      </c>
      <c r="B413" s="67" t="str">
        <f>IFERROR(__xludf.DUMMYFUNCTION("""COMPUTED_VALUE"""),"RUSLAN KALLA")</f>
        <v>RUSLAN KALLA</v>
      </c>
      <c r="C413" s="67">
        <f>IFERROR(__xludf.DUMMYFUNCTION("""COMPUTED_VALUE"""),46.0)</f>
        <v>46</v>
      </c>
      <c r="D413" s="68" t="str">
        <f>IFERROR(__xludf.DUMMYFUNCTION("""COMPUTED_VALUE"""),"Islam")</f>
        <v>Islam</v>
      </c>
      <c r="E413" s="67" t="str">
        <f>IFERROR(__xludf.DUMMYFUNCTION("""COMPUTED_VALUE"""),"CV. Adil Prima Perkasa")</f>
        <v>CV. Adil Prima Perkasa</v>
      </c>
      <c r="F413" s="67" t="str">
        <f>IFERROR(__xludf.DUMMYFUNCTION("""COMPUTED_VALUE"""),"DRIVER DT H700ZY")</f>
        <v>DRIVER DT H700ZY</v>
      </c>
      <c r="G413" s="67" t="str">
        <f>IFERROR(__xludf.DUMMYFUNCTION("""COMPUTED_VALUE"""),"KENDARAAN &amp; UNIT SUPPORT")</f>
        <v>KENDARAAN &amp; UNIT SUPPORT</v>
      </c>
      <c r="H413" s="67" t="str">
        <f>IFERROR(__xludf.DUMMYFUNCTION("""COMPUTED_VALUE"""),"[0102150004] NAFTALI RARE'A, ST")</f>
        <v>[0102150004] NAFTALI RARE'A, ST</v>
      </c>
      <c r="I413" s="69">
        <f>IFERROR(__xludf.DUMMYFUNCTION("""COMPUTED_VALUE"""),30427.0)</f>
        <v>30427</v>
      </c>
      <c r="J413" s="70" t="str">
        <f t="shared" si="1"/>
        <v>[203221604] RUSLAN KALLA</v>
      </c>
      <c r="K413" s="67"/>
      <c r="L413" s="67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</row>
    <row r="414">
      <c r="A414" s="67">
        <f>IFERROR(__xludf.DUMMYFUNCTION("""COMPUTED_VALUE"""),1.08201192E8)</f>
        <v>108201192</v>
      </c>
      <c r="B414" s="67" t="str">
        <f>IFERROR(__xludf.DUMMYFUNCTION("""COMPUTED_VALUE"""),"RUSLI HULOPI")</f>
        <v>RUSLI HULOPI</v>
      </c>
      <c r="C414" s="67">
        <f>IFERROR(__xludf.DUMMYFUNCTION("""COMPUTED_VALUE"""),47.0)</f>
        <v>47</v>
      </c>
      <c r="D414" s="68" t="str">
        <f>IFERROR(__xludf.DUMMYFUNCTION("""COMPUTED_VALUE"""),"Islam")</f>
        <v>Islam</v>
      </c>
      <c r="E414" s="67" t="str">
        <f>IFERROR(__xludf.DUMMYFUNCTION("""COMPUTED_VALUE"""),"CV. SENTOSA ABADI")</f>
        <v>CV. SENTOSA ABADI</v>
      </c>
      <c r="F414" s="67" t="str">
        <f>IFERROR(__xludf.DUMMYFUNCTION("""COMPUTED_VALUE"""),"DRIVER DT H700ZY")</f>
        <v>DRIVER DT H700ZY</v>
      </c>
      <c r="G414" s="67" t="str">
        <f>IFERROR(__xludf.DUMMYFUNCTION("""COMPUTED_VALUE"""),"KENDARAAN &amp; UNIT SUPPORT")</f>
        <v>KENDARAAN &amp; UNIT SUPPORT</v>
      </c>
      <c r="H414" s="67" t="str">
        <f>IFERROR(__xludf.DUMMYFUNCTION("""COMPUTED_VALUE"""),"[0102150004] NAFTALI RARE'A, ST")</f>
        <v>[0102150004] NAFTALI RARE'A, ST</v>
      </c>
      <c r="I414" s="69">
        <f>IFERROR(__xludf.DUMMYFUNCTION("""COMPUTED_VALUE"""),28183.0)</f>
        <v>28183</v>
      </c>
      <c r="J414" s="70" t="str">
        <f t="shared" si="1"/>
        <v>[108201192] RUSLI HULOPI</v>
      </c>
      <c r="K414" s="67"/>
      <c r="L414" s="67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</row>
    <row r="415">
      <c r="A415" s="67"/>
      <c r="B415" s="67" t="str">
        <f>IFERROR(__xludf.DUMMYFUNCTION("""COMPUTED_VALUE"""),"RUSNI TAHER")</f>
        <v>RUSNI TAHER</v>
      </c>
      <c r="C415" s="67">
        <f>IFERROR(__xludf.DUMMYFUNCTION("""COMPUTED_VALUE"""),0.0)</f>
        <v>0</v>
      </c>
      <c r="D415" s="68"/>
      <c r="E415" s="67" t="str">
        <f>IFERROR(__xludf.DUMMYFUNCTION("""COMPUTED_VALUE"""),"CV. SENTOSA ABADI")</f>
        <v>CV. SENTOSA ABADI</v>
      </c>
      <c r="F415" s="67" t="str">
        <f>IFERROR(__xludf.DUMMYFUNCTION("""COMPUTED_VALUE"""),"FALSE")</f>
        <v>FALSE</v>
      </c>
      <c r="G415" s="67" t="str">
        <f>IFERROR(__xludf.DUMMYFUNCTION("""COMPUTED_VALUE"""),"FALSE")</f>
        <v>FALSE</v>
      </c>
      <c r="H415" s="67" t="str">
        <f>IFERROR(__xludf.DUMMYFUNCTION("""COMPUTED_VALUE"""),"FALSE")</f>
        <v>FALSE</v>
      </c>
      <c r="I415" s="69"/>
      <c r="J415" s="70" t="str">
        <f t="shared" si="1"/>
        <v>[] RUSNI TAHER</v>
      </c>
      <c r="K415" s="67"/>
      <c r="L415" s="67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</row>
    <row r="416">
      <c r="A416" s="67">
        <f>IFERROR(__xludf.DUMMYFUNCTION("""COMPUTED_VALUE"""),1.05241927E8)</f>
        <v>105241927</v>
      </c>
      <c r="B416" s="67" t="str">
        <f>IFERROR(__xludf.DUMMYFUNCTION("""COMPUTED_VALUE"""),"RUSNI TAHER")</f>
        <v>RUSNI TAHER</v>
      </c>
      <c r="C416" s="67">
        <f>IFERROR(__xludf.DUMMYFUNCTION("""COMPUTED_VALUE"""),0.0)</f>
        <v>0</v>
      </c>
      <c r="D416" s="68"/>
      <c r="E416" s="67" t="str">
        <f>IFERROR(__xludf.DUMMYFUNCTION("""COMPUTED_VALUE"""),"CV. SENTOSA ABADI")</f>
        <v>CV. SENTOSA ABADI</v>
      </c>
      <c r="F416" s="67" t="str">
        <f>IFERROR(__xludf.DUMMYFUNCTION("""COMPUTED_VALUE"""),"STOCKER")</f>
        <v>STOCKER</v>
      </c>
      <c r="G416" s="67" t="str">
        <f>IFERROR(__xludf.DUMMYFUNCTION("""COMPUTED_VALUE"""),"HRD &amp; GA")</f>
        <v>HRD &amp; GA</v>
      </c>
      <c r="H416" s="67" t="str">
        <f>IFERROR(__xludf.DUMMYFUNCTION("""COMPUTED_VALUE"""),"[0108191037] ERNIE FRISLIA")</f>
        <v>[0108191037] ERNIE FRISLIA</v>
      </c>
      <c r="I416" s="69"/>
      <c r="J416" s="70" t="str">
        <f t="shared" si="1"/>
        <v>[105241927] RUSNI TAHER</v>
      </c>
      <c r="K416" s="67"/>
      <c r="L416" s="67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</row>
    <row r="417">
      <c r="A417" s="67">
        <f>IFERROR(__xludf.DUMMYFUNCTION("""COMPUTED_VALUE"""),2.03241891E8)</f>
        <v>203241891</v>
      </c>
      <c r="B417" s="67" t="str">
        <f>IFERROR(__xludf.DUMMYFUNCTION("""COMPUTED_VALUE"""),"RUSTAM USULU")</f>
        <v>RUSTAM USULU</v>
      </c>
      <c r="C417" s="67">
        <f>IFERROR(__xludf.DUMMYFUNCTION("""COMPUTED_VALUE"""),46.0)</f>
        <v>46</v>
      </c>
      <c r="D417" s="68" t="str">
        <f>IFERROR(__xludf.DUMMYFUNCTION("""COMPUTED_VALUE"""),"Islam")</f>
        <v>Islam</v>
      </c>
      <c r="E417" s="67" t="str">
        <f>IFERROR(__xludf.DUMMYFUNCTION("""COMPUTED_VALUE"""),"CV. Adil Prima Perkasa")</f>
        <v>CV. Adil Prima Perkasa</v>
      </c>
      <c r="F417" s="67" t="str">
        <f>IFERROR(__xludf.DUMMYFUNCTION("""COMPUTED_VALUE"""),"HELPER TYRE")</f>
        <v>HELPER TYRE</v>
      </c>
      <c r="G417" s="67" t="str">
        <f>IFERROR(__xludf.DUMMYFUNCTION("""COMPUTED_VALUE"""),"WORKSHOP")</f>
        <v>WORKSHOP</v>
      </c>
      <c r="H417" s="67" t="str">
        <f>IFERROR(__xludf.DUMMYFUNCTION("""COMPUTED_VALUE"""),"[0106190928] NATAN KONDO")</f>
        <v>[0106190928] NATAN KONDO</v>
      </c>
      <c r="I417" s="69">
        <f>IFERROR(__xludf.DUMMYFUNCTION("""COMPUTED_VALUE"""),29707.0)</f>
        <v>29707</v>
      </c>
      <c r="J417" s="70" t="str">
        <f t="shared" si="1"/>
        <v>[203241891] RUSTAM USULU</v>
      </c>
      <c r="K417" s="67"/>
      <c r="L417" s="67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</row>
    <row r="418">
      <c r="A418" s="67">
        <f>IFERROR(__xludf.DUMMYFUNCTION("""COMPUTED_VALUE"""),1.01199002E8)</f>
        <v>101199002</v>
      </c>
      <c r="B418" s="67" t="str">
        <f>IFERROR(__xludf.DUMMYFUNCTION("""COMPUTED_VALUE"""),"Rieki Yulianto")</f>
        <v>Rieki Yulianto</v>
      </c>
      <c r="C418" s="67">
        <f>IFERROR(__xludf.DUMMYFUNCTION("""COMPUTED_VALUE"""),0.0)</f>
        <v>0</v>
      </c>
      <c r="D418" s="68"/>
      <c r="E418" s="67" t="str">
        <f>IFERROR(__xludf.DUMMYFUNCTION("""COMPUTED_VALUE"""),"CV. SENTOSA ABADI")</f>
        <v>CV. SENTOSA ABADI</v>
      </c>
      <c r="F418" s="67" t="str">
        <f>IFERROR(__xludf.DUMMYFUNCTION("""COMPUTED_VALUE"""),"FALSE")</f>
        <v>FALSE</v>
      </c>
      <c r="G418" s="67" t="str">
        <f>IFERROR(__xludf.DUMMYFUNCTION("""COMPUTED_VALUE"""),"FALSE")</f>
        <v>FALSE</v>
      </c>
      <c r="H418" s="67" t="str">
        <f>IFERROR(__xludf.DUMMYFUNCTION("""COMPUTED_VALUE"""),"FALSE")</f>
        <v>FALSE</v>
      </c>
      <c r="I418" s="69"/>
      <c r="J418" s="70" t="str">
        <f t="shared" si="1"/>
        <v>[101199002] Rieki Yulianto</v>
      </c>
      <c r="K418" s="67"/>
      <c r="L418" s="67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</row>
    <row r="419">
      <c r="A419" s="67">
        <f>IFERROR(__xludf.DUMMYFUNCTION("""COMPUTED_VALUE"""),2.06241939E8)</f>
        <v>206241939</v>
      </c>
      <c r="B419" s="67" t="str">
        <f>IFERROR(__xludf.DUMMYFUNCTION("""COMPUTED_VALUE"""),"SAHRUL")</f>
        <v>SAHRUL</v>
      </c>
      <c r="C419" s="67">
        <f>IFERROR(__xludf.DUMMYFUNCTION("""COMPUTED_VALUE"""),22.0)</f>
        <v>22</v>
      </c>
      <c r="D419" s="68" t="str">
        <f>IFERROR(__xludf.DUMMYFUNCTION("""COMPUTED_VALUE"""),"Islam")</f>
        <v>Islam</v>
      </c>
      <c r="E419" s="67" t="str">
        <f>IFERROR(__xludf.DUMMYFUNCTION("""COMPUTED_VALUE"""),"CV. Adil Prima Perkasa")</f>
        <v>CV. Adil Prima Perkasa</v>
      </c>
      <c r="F419" s="67" t="str">
        <f>IFERROR(__xludf.DUMMYFUNCTION("""COMPUTED_VALUE"""),"CREW SURVEY")</f>
        <v>CREW SURVEY</v>
      </c>
      <c r="G419" s="67" t="str">
        <f>IFERROR(__xludf.DUMMYFUNCTION("""COMPUTED_VALUE"""),"MPE")</f>
        <v>MPE</v>
      </c>
      <c r="H419" s="67" t="str">
        <f>IFERROR(__xludf.DUMMYFUNCTION("""COMPUTED_VALUE"""),"[0102150008] ERWIN SAPA")</f>
        <v>[0102150008] ERWIN SAPA</v>
      </c>
      <c r="I419" s="69"/>
      <c r="J419" s="70" t="str">
        <f t="shared" si="1"/>
        <v>[206241939] SAHRUL</v>
      </c>
      <c r="K419" s="67"/>
      <c r="L419" s="67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</row>
    <row r="420">
      <c r="A420" s="67">
        <f>IFERROR(__xludf.DUMMYFUNCTION("""COMPUTED_VALUE"""),1.04211369E8)</f>
        <v>104211369</v>
      </c>
      <c r="B420" s="67" t="str">
        <f>IFERROR(__xludf.DUMMYFUNCTION("""COMPUTED_VALUE"""),"SAID PETAA")</f>
        <v>SAID PETAA</v>
      </c>
      <c r="C420" s="67">
        <f>IFERROR(__xludf.DUMMYFUNCTION("""COMPUTED_VALUE"""),59.0)</f>
        <v>59</v>
      </c>
      <c r="D420" s="68" t="str">
        <f>IFERROR(__xludf.DUMMYFUNCTION("""COMPUTED_VALUE"""),"Kristen Protestan")</f>
        <v>Kristen Protestan</v>
      </c>
      <c r="E420" s="67" t="str">
        <f>IFERROR(__xludf.DUMMYFUNCTION("""COMPUTED_VALUE"""),"CV. SENTOSA ABADI")</f>
        <v>CV. SENTOSA ABADI</v>
      </c>
      <c r="F420" s="67" t="str">
        <f>IFERROR(__xludf.DUMMYFUNCTION("""COMPUTED_VALUE"""),"DRIVER DT H700ZY")</f>
        <v>DRIVER DT H700ZY</v>
      </c>
      <c r="G420" s="67" t="str">
        <f>IFERROR(__xludf.DUMMYFUNCTION("""COMPUTED_VALUE"""),"KENDARAAN &amp; UNIT SUPPORT")</f>
        <v>KENDARAAN &amp; UNIT SUPPORT</v>
      </c>
      <c r="H420" s="67" t="str">
        <f>IFERROR(__xludf.DUMMYFUNCTION("""COMPUTED_VALUE"""),"[0102150004] NAFTALI RARE'A, ST")</f>
        <v>[0102150004] NAFTALI RARE'A, ST</v>
      </c>
      <c r="I420" s="69"/>
      <c r="J420" s="70" t="str">
        <f t="shared" si="1"/>
        <v>[104211369] SAID PETAA</v>
      </c>
      <c r="K420" s="67"/>
      <c r="L420" s="67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</row>
    <row r="421">
      <c r="A421" s="67">
        <f>IFERROR(__xludf.DUMMYFUNCTION("""COMPUTED_VALUE"""),1.1220132E8)</f>
        <v>112201320</v>
      </c>
      <c r="B421" s="67" t="str">
        <f>IFERROR(__xludf.DUMMYFUNCTION("""COMPUTED_VALUE"""),"SALDI")</f>
        <v>SALDI</v>
      </c>
      <c r="C421" s="67">
        <f>IFERROR(__xludf.DUMMYFUNCTION("""COMPUTED_VALUE"""),43.0)</f>
        <v>43</v>
      </c>
      <c r="D421" s="68" t="str">
        <f>IFERROR(__xludf.DUMMYFUNCTION("""COMPUTED_VALUE"""),"Islam")</f>
        <v>Islam</v>
      </c>
      <c r="E421" s="67" t="str">
        <f>IFERROR(__xludf.DUMMYFUNCTION("""COMPUTED_VALUE"""),"CV. SENTOSA ABADI")</f>
        <v>CV. SENTOSA ABADI</v>
      </c>
      <c r="F421" s="67" t="str">
        <f>IFERROR(__xludf.DUMMYFUNCTION("""COMPUTED_VALUE"""),"DRIVER DT H700ZY")</f>
        <v>DRIVER DT H700ZY</v>
      </c>
      <c r="G421" s="67" t="str">
        <f>IFERROR(__xludf.DUMMYFUNCTION("""COMPUTED_VALUE"""),"KENDARAAN &amp; UNIT SUPPORT")</f>
        <v>KENDARAAN &amp; UNIT SUPPORT</v>
      </c>
      <c r="H421" s="67" t="str">
        <f>IFERROR(__xludf.DUMMYFUNCTION("""COMPUTED_VALUE"""),"[0102150004] NAFTALI RARE'A, ST")</f>
        <v>[0102150004] NAFTALI RARE'A, ST</v>
      </c>
      <c r="I421" s="69"/>
      <c r="J421" s="70" t="str">
        <f t="shared" si="1"/>
        <v>[112201320] SALDI</v>
      </c>
      <c r="K421" s="67"/>
      <c r="L421" s="67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</row>
    <row r="422">
      <c r="A422" s="67">
        <f>IFERROR(__xludf.DUMMYFUNCTION("""COMPUTED_VALUE"""),1.08191062E8)</f>
        <v>108191062</v>
      </c>
      <c r="B422" s="67" t="str">
        <f>IFERROR(__xludf.DUMMYFUNCTION("""COMPUTED_VALUE"""),"SAMUEL PAPA")</f>
        <v>SAMUEL PAPA</v>
      </c>
      <c r="C422" s="67">
        <f>IFERROR(__xludf.DUMMYFUNCTION("""COMPUTED_VALUE"""),22.0)</f>
        <v>22</v>
      </c>
      <c r="D422" s="68" t="str">
        <f>IFERROR(__xludf.DUMMYFUNCTION("""COMPUTED_VALUE"""),"Kristen Protestan")</f>
        <v>Kristen Protestan</v>
      </c>
      <c r="E422" s="67" t="str">
        <f>IFERROR(__xludf.DUMMYFUNCTION("""COMPUTED_VALUE"""),"CV. SENTOSA ABADI")</f>
        <v>CV. SENTOSA ABADI</v>
      </c>
      <c r="F422" s="67" t="str">
        <f>IFERROR(__xludf.DUMMYFUNCTION("""COMPUTED_VALUE"""),"HELPER MECHANIC DT OTR")</f>
        <v>HELPER MECHANIC DT OTR</v>
      </c>
      <c r="G422" s="67" t="str">
        <f>IFERROR(__xludf.DUMMYFUNCTION("""COMPUTED_VALUE"""),"WORKSHOP")</f>
        <v>WORKSHOP</v>
      </c>
      <c r="H422" s="67" t="str">
        <f>IFERROR(__xludf.DUMMYFUNCTION("""COMPUTED_VALUE"""),"[0104211387] MIRZAL")</f>
        <v>[0104211387] MIRZAL</v>
      </c>
      <c r="I422" s="69"/>
      <c r="J422" s="70" t="str">
        <f t="shared" si="1"/>
        <v>[108191062] SAMUEL PAPA</v>
      </c>
      <c r="K422" s="67"/>
      <c r="L422" s="67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</row>
    <row r="423">
      <c r="A423" s="67">
        <f>IFERROR(__xludf.DUMMYFUNCTION("""COMPUTED_VALUE"""),2.11221702E8)</f>
        <v>211221702</v>
      </c>
      <c r="B423" s="67" t="str">
        <f>IFERROR(__xludf.DUMMYFUNCTION("""COMPUTED_VALUE"""),"SANDI")</f>
        <v>SANDI</v>
      </c>
      <c r="C423" s="67">
        <f>IFERROR(__xludf.DUMMYFUNCTION("""COMPUTED_VALUE"""),29.0)</f>
        <v>29</v>
      </c>
      <c r="D423" s="68" t="str">
        <f>IFERROR(__xludf.DUMMYFUNCTION("""COMPUTED_VALUE"""),"Islam")</f>
        <v>Islam</v>
      </c>
      <c r="E423" s="67" t="str">
        <f>IFERROR(__xludf.DUMMYFUNCTION("""COMPUTED_VALUE"""),"CV. Adil Prima Perkasa")</f>
        <v>CV. Adil Prima Perkasa</v>
      </c>
      <c r="F423" s="67" t="str">
        <f>IFERROR(__xludf.DUMMYFUNCTION("""COMPUTED_VALUE"""),"DRIVER DT H700ZS")</f>
        <v>DRIVER DT H700ZS</v>
      </c>
      <c r="G423" s="67" t="str">
        <f>IFERROR(__xludf.DUMMYFUNCTION("""COMPUTED_VALUE"""),"KENDARAAN &amp; UNIT SUPPORT")</f>
        <v>KENDARAAN &amp; UNIT SUPPORT</v>
      </c>
      <c r="H423" s="67" t="str">
        <f>IFERROR(__xludf.DUMMYFUNCTION("""COMPUTED_VALUE"""),"[0102150004] NAFTALI RARE'A, ST")</f>
        <v>[0102150004] NAFTALI RARE'A, ST</v>
      </c>
      <c r="I423" s="69">
        <f>IFERROR(__xludf.DUMMYFUNCTION("""COMPUTED_VALUE"""),35129.0)</f>
        <v>35129</v>
      </c>
      <c r="J423" s="70" t="str">
        <f t="shared" si="1"/>
        <v>[211221702] SANDI</v>
      </c>
      <c r="K423" s="67"/>
      <c r="L423" s="67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</row>
    <row r="424">
      <c r="A424" s="67">
        <f>IFERROR(__xludf.DUMMYFUNCTION("""COMPUTED_VALUE"""),1.02190885E8)</f>
        <v>102190885</v>
      </c>
      <c r="B424" s="67" t="str">
        <f>IFERROR(__xludf.DUMMYFUNCTION("""COMPUTED_VALUE"""),"SANI")</f>
        <v>SANI</v>
      </c>
      <c r="C424" s="67">
        <f>IFERROR(__xludf.DUMMYFUNCTION("""COMPUTED_VALUE"""),53.0)</f>
        <v>53</v>
      </c>
      <c r="D424" s="68" t="str">
        <f>IFERROR(__xludf.DUMMYFUNCTION("""COMPUTED_VALUE"""),"Islam")</f>
        <v>Islam</v>
      </c>
      <c r="E424" s="67" t="str">
        <f>IFERROR(__xludf.DUMMYFUNCTION("""COMPUTED_VALUE"""),"CV. SENTOSA ABADI")</f>
        <v>CV. SENTOSA ABADI</v>
      </c>
      <c r="F424" s="67" t="str">
        <f>IFERROR(__xludf.DUMMYFUNCTION("""COMPUTED_VALUE"""),"STOCKER")</f>
        <v>STOCKER</v>
      </c>
      <c r="G424" s="67" t="str">
        <f>IFERROR(__xludf.DUMMYFUNCTION("""COMPUTED_VALUE"""),"HRD &amp; GA")</f>
        <v>HRD &amp; GA</v>
      </c>
      <c r="H424" s="67" t="str">
        <f>IFERROR(__xludf.DUMMYFUNCTION("""COMPUTED_VALUE"""),"[0103231738] MARYA SUSAN SIMBANGU")</f>
        <v>[0103231738] MARYA SUSAN SIMBANGU</v>
      </c>
      <c r="I424" s="69"/>
      <c r="J424" s="70" t="str">
        <f t="shared" si="1"/>
        <v>[102190885] SANI</v>
      </c>
      <c r="K424" s="67"/>
      <c r="L424" s="67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</row>
    <row r="425">
      <c r="A425" s="67">
        <f>IFERROR(__xludf.DUMMYFUNCTION("""COMPUTED_VALUE"""),1.06211437E8)</f>
        <v>106211437</v>
      </c>
      <c r="B425" s="67" t="str">
        <f>IFERROR(__xludf.DUMMYFUNCTION("""COMPUTED_VALUE"""),"SAPRIADI DG MALLI")</f>
        <v>SAPRIADI DG MALLI</v>
      </c>
      <c r="C425" s="67">
        <f>IFERROR(__xludf.DUMMYFUNCTION("""COMPUTED_VALUE"""),41.0)</f>
        <v>41</v>
      </c>
      <c r="D425" s="68" t="str">
        <f>IFERROR(__xludf.DUMMYFUNCTION("""COMPUTED_VALUE"""),"Islam")</f>
        <v>Islam</v>
      </c>
      <c r="E425" s="67" t="str">
        <f>IFERROR(__xludf.DUMMYFUNCTION("""COMPUTED_VALUE"""),"CV. SENTOSA ABADI")</f>
        <v>CV. SENTOSA ABADI</v>
      </c>
      <c r="F425" s="67" t="str">
        <f>IFERROR(__xludf.DUMMYFUNCTION("""COMPUTED_VALUE"""),"OPERATOR ADT")</f>
        <v>OPERATOR ADT</v>
      </c>
      <c r="G425" s="67" t="str">
        <f>IFERROR(__xludf.DUMMYFUNCTION("""COMPUTED_VALUE"""),"PRODUKSI")</f>
        <v>PRODUKSI</v>
      </c>
      <c r="H425" s="67" t="str">
        <f>IFERROR(__xludf.DUMMYFUNCTION("""COMPUTED_VALUE"""),"FALSE")</f>
        <v>FALSE</v>
      </c>
      <c r="I425" s="69"/>
      <c r="J425" s="70" t="str">
        <f t="shared" si="1"/>
        <v>[106211437] SAPRIADI DG MALLI</v>
      </c>
      <c r="K425" s="67"/>
      <c r="L425" s="67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</row>
    <row r="426">
      <c r="A426" s="67">
        <f>IFERROR(__xludf.DUMMYFUNCTION("""COMPUTED_VALUE"""),4.07230004E8)</f>
        <v>407230004</v>
      </c>
      <c r="B426" s="67" t="str">
        <f>IFERROR(__xludf.DUMMYFUNCTION("""COMPUTED_VALUE"""),"SARLIN")</f>
        <v>SARLIN</v>
      </c>
      <c r="C426" s="67">
        <f>IFERROR(__xludf.DUMMYFUNCTION("""COMPUTED_VALUE"""),0.0)</f>
        <v>0</v>
      </c>
      <c r="D426" s="68"/>
      <c r="E426" s="67" t="str">
        <f>IFERROR(__xludf.DUMMYFUNCTION("""COMPUTED_VALUE"""),"CV. SENTOSA ABADI")</f>
        <v>CV. SENTOSA ABADI</v>
      </c>
      <c r="F426" s="67" t="str">
        <f>IFERROR(__xludf.DUMMYFUNCTION("""COMPUTED_VALUE"""),"FOREMAN GRADE CONTROL")</f>
        <v>FOREMAN GRADE CONTROL</v>
      </c>
      <c r="G426" s="67" t="str">
        <f>IFERROR(__xludf.DUMMYFUNCTION("""COMPUTED_VALUE"""),"GRADE CONTROL")</f>
        <v>GRADE CONTROL</v>
      </c>
      <c r="H426" s="67" t="str">
        <f>IFERROR(__xludf.DUMMYFUNCTION("""COMPUTED_VALUE"""),"[0107201164] A.CHRISTI ARI WIBOWO")</f>
        <v>[0107201164] A.CHRISTI ARI WIBOWO</v>
      </c>
      <c r="I426" s="69"/>
      <c r="J426" s="70" t="str">
        <f t="shared" si="1"/>
        <v>[407230004] SARLIN</v>
      </c>
      <c r="K426" s="67"/>
      <c r="L426" s="67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</row>
    <row r="427">
      <c r="A427" s="67">
        <f>IFERROR(__xludf.DUMMYFUNCTION("""COMPUTED_VALUE"""),2.08231822E8)</f>
        <v>208231822</v>
      </c>
      <c r="B427" s="67" t="str">
        <f>IFERROR(__xludf.DUMMYFUNCTION("""COMPUTED_VALUE"""),"SARTI BARUNG")</f>
        <v>SARTI BARUNG</v>
      </c>
      <c r="C427" s="67">
        <f>IFERROR(__xludf.DUMMYFUNCTION("""COMPUTED_VALUE"""),27.0)</f>
        <v>27</v>
      </c>
      <c r="D427" s="68" t="str">
        <f>IFERROR(__xludf.DUMMYFUNCTION("""COMPUTED_VALUE"""),"Kristen Protestan")</f>
        <v>Kristen Protestan</v>
      </c>
      <c r="E427" s="67" t="str">
        <f>IFERROR(__xludf.DUMMYFUNCTION("""COMPUTED_VALUE"""),"CV. Adil Prima Perkasa")</f>
        <v>CV. Adil Prima Perkasa</v>
      </c>
      <c r="F427" s="67" t="str">
        <f>IFERROR(__xludf.DUMMYFUNCTION("""COMPUTED_VALUE"""),"STOCKER")</f>
        <v>STOCKER</v>
      </c>
      <c r="G427" s="67" t="str">
        <f>IFERROR(__xludf.DUMMYFUNCTION("""COMPUTED_VALUE"""),"HRD &amp; GA")</f>
        <v>HRD &amp; GA</v>
      </c>
      <c r="H427" s="67" t="str">
        <f>IFERROR(__xludf.DUMMYFUNCTION("""COMPUTED_VALUE"""),"[0108191037] ERNIE FRISLIA")</f>
        <v>[0108191037] ERNIE FRISLIA</v>
      </c>
      <c r="I427" s="69"/>
      <c r="J427" s="70" t="str">
        <f t="shared" si="1"/>
        <v>[208231822] SARTI BARUNG</v>
      </c>
      <c r="K427" s="67"/>
      <c r="L427" s="67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</row>
    <row r="428">
      <c r="A428" s="67">
        <f>IFERROR(__xludf.DUMMYFUNCTION("""COMPUTED_VALUE"""),2.11201268E8)</f>
        <v>211201268</v>
      </c>
      <c r="B428" s="67" t="str">
        <f>IFERROR(__xludf.DUMMYFUNCTION("""COMPUTED_VALUE"""),"SATRULLAH")</f>
        <v>SATRULLAH</v>
      </c>
      <c r="C428" s="67">
        <f>IFERROR(__xludf.DUMMYFUNCTION("""COMPUTED_VALUE"""),37.0)</f>
        <v>37</v>
      </c>
      <c r="D428" s="68" t="str">
        <f>IFERROR(__xludf.DUMMYFUNCTION("""COMPUTED_VALUE"""),"Kristen Protestan")</f>
        <v>Kristen Protestan</v>
      </c>
      <c r="E428" s="67" t="str">
        <f>IFERROR(__xludf.DUMMYFUNCTION("""COMPUTED_VALUE"""),"CV. Adil Prima Perkasa")</f>
        <v>CV. Adil Prima Perkasa</v>
      </c>
      <c r="F428" s="67" t="str">
        <f>IFERROR(__xludf.DUMMYFUNCTION("""COMPUTED_VALUE"""),"DRIVER DT H700ZY")</f>
        <v>DRIVER DT H700ZY</v>
      </c>
      <c r="G428" s="67" t="str">
        <f>IFERROR(__xludf.DUMMYFUNCTION("""COMPUTED_VALUE"""),"KENDARAAN &amp; UNIT SUPPORT")</f>
        <v>KENDARAAN &amp; UNIT SUPPORT</v>
      </c>
      <c r="H428" s="67" t="str">
        <f>IFERROR(__xludf.DUMMYFUNCTION("""COMPUTED_VALUE"""),"[0102150004] NAFTALI RARE'A, ST")</f>
        <v>[0102150004] NAFTALI RARE'A, ST</v>
      </c>
      <c r="I428" s="69">
        <f>IFERROR(__xludf.DUMMYFUNCTION("""COMPUTED_VALUE"""),33532.0)</f>
        <v>33532</v>
      </c>
      <c r="J428" s="70" t="str">
        <f t="shared" si="1"/>
        <v>[211201268] SATRULLAH</v>
      </c>
      <c r="K428" s="67"/>
      <c r="L428" s="67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</row>
    <row r="429">
      <c r="A429" s="67"/>
      <c r="B429" s="67" t="str">
        <f>IFERROR(__xludf.DUMMYFUNCTION("""COMPUTED_VALUE"""),"SELLY HANDOKO")</f>
        <v>SELLY HANDOKO</v>
      </c>
      <c r="C429" s="67">
        <f>IFERROR(__xludf.DUMMYFUNCTION("""COMPUTED_VALUE"""),0.0)</f>
        <v>0</v>
      </c>
      <c r="D429" s="68"/>
      <c r="E429" s="67" t="str">
        <f>IFERROR(__xludf.DUMMYFUNCTION("""COMPUTED_VALUE"""),"CV. SENTOSA ABADI")</f>
        <v>CV. SENTOSA ABADI</v>
      </c>
      <c r="F429" s="67" t="str">
        <f>IFERROR(__xludf.DUMMYFUNCTION("""COMPUTED_VALUE"""),"FALSE")</f>
        <v>FALSE</v>
      </c>
      <c r="G429" s="67" t="str">
        <f>IFERROR(__xludf.DUMMYFUNCTION("""COMPUTED_VALUE"""),"FALSE")</f>
        <v>FALSE</v>
      </c>
      <c r="H429" s="67" t="str">
        <f>IFERROR(__xludf.DUMMYFUNCTION("""COMPUTED_VALUE"""),"FALSE")</f>
        <v>FALSE</v>
      </c>
      <c r="I429" s="69"/>
      <c r="J429" s="70" t="str">
        <f t="shared" si="1"/>
        <v>[] SELLY HANDOKO</v>
      </c>
      <c r="K429" s="67"/>
      <c r="L429" s="67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</row>
    <row r="430">
      <c r="A430" s="67">
        <f>IFERROR(__xludf.DUMMYFUNCTION("""COMPUTED_VALUE"""),1.09201224E8)</f>
        <v>109201224</v>
      </c>
      <c r="B430" s="67" t="str">
        <f>IFERROR(__xludf.DUMMYFUNCTION("""COMPUTED_VALUE"""),"SEPNIM. E. BALEBU")</f>
        <v>SEPNIM. E. BALEBU</v>
      </c>
      <c r="C430" s="67">
        <f>IFERROR(__xludf.DUMMYFUNCTION("""COMPUTED_VALUE"""),42.0)</f>
        <v>42</v>
      </c>
      <c r="D430" s="68" t="str">
        <f>IFERROR(__xludf.DUMMYFUNCTION("""COMPUTED_VALUE"""),"Kristen Protestan")</f>
        <v>Kristen Protestan</v>
      </c>
      <c r="E430" s="67" t="str">
        <f>IFERROR(__xludf.DUMMYFUNCTION("""COMPUTED_VALUE"""),"CV. SENTOSA ABADI")</f>
        <v>CV. SENTOSA ABADI</v>
      </c>
      <c r="F430" s="67" t="str">
        <f>IFERROR(__xludf.DUMMYFUNCTION("""COMPUTED_VALUE"""),"OPERATOR COMPACTOR")</f>
        <v>OPERATOR COMPACTOR</v>
      </c>
      <c r="G430" s="67" t="str">
        <f>IFERROR(__xludf.DUMMYFUNCTION("""COMPUTED_VALUE"""),"PRODUKSI")</f>
        <v>PRODUKSI</v>
      </c>
      <c r="H430" s="67" t="str">
        <f>IFERROR(__xludf.DUMMYFUNCTION("""COMPUTED_VALUE"""),"[0102130003] PURNAWAN")</f>
        <v>[0102130003] PURNAWAN</v>
      </c>
      <c r="I430" s="69">
        <f>IFERROR(__xludf.DUMMYFUNCTION("""COMPUTED_VALUE"""),31877.0)</f>
        <v>31877</v>
      </c>
      <c r="J430" s="70" t="str">
        <f t="shared" si="1"/>
        <v>[109201224] SEPNIM. E. BALEBU</v>
      </c>
      <c r="K430" s="67"/>
      <c r="L430" s="67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</row>
    <row r="431">
      <c r="A431" s="67">
        <f>IFERROR(__xludf.DUMMYFUNCTION("""COMPUTED_VALUE"""),2.06211441E8)</f>
        <v>206211441</v>
      </c>
      <c r="B431" s="67" t="str">
        <f>IFERROR(__xludf.DUMMYFUNCTION("""COMPUTED_VALUE"""),"SEPRI DAUD PAJULA")</f>
        <v>SEPRI DAUD PAJULA</v>
      </c>
      <c r="C431" s="67">
        <f>IFERROR(__xludf.DUMMYFUNCTION("""COMPUTED_VALUE"""),28.0)</f>
        <v>28</v>
      </c>
      <c r="D431" s="68" t="str">
        <f>IFERROR(__xludf.DUMMYFUNCTION("""COMPUTED_VALUE"""),"Kristen Protestan")</f>
        <v>Kristen Protestan</v>
      </c>
      <c r="E431" s="67" t="str">
        <f>IFERROR(__xludf.DUMMYFUNCTION("""COMPUTED_VALUE"""),"CV. Adil Prima Perkasa")</f>
        <v>CV. Adil Prima Perkasa</v>
      </c>
      <c r="F431" s="67" t="str">
        <f>IFERROR(__xludf.DUMMYFUNCTION("""COMPUTED_VALUE"""),"OPERATOR EXCAVATOR")</f>
        <v>OPERATOR EXCAVATOR</v>
      </c>
      <c r="G431" s="67" t="str">
        <f>IFERROR(__xludf.DUMMYFUNCTION("""COMPUTED_VALUE"""),"PRODUKSI")</f>
        <v>PRODUKSI</v>
      </c>
      <c r="H431" s="67" t="str">
        <f>IFERROR(__xludf.DUMMYFUNCTION("""COMPUTED_VALUE"""),"[0102130003] PURNAWAN")</f>
        <v>[0102130003] PURNAWAN</v>
      </c>
      <c r="I431" s="69"/>
      <c r="J431" s="70" t="str">
        <f t="shared" si="1"/>
        <v>[206211441] SEPRI DAUD PAJULA</v>
      </c>
      <c r="K431" s="67"/>
      <c r="L431" s="67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</row>
    <row r="432">
      <c r="A432" s="67">
        <f>IFERROR(__xludf.DUMMYFUNCTION("""COMPUTED_VALUE"""),2.03241904E8)</f>
        <v>203241904</v>
      </c>
      <c r="B432" s="67" t="str">
        <f>IFERROR(__xludf.DUMMYFUNCTION("""COMPUTED_VALUE"""),"SERVUS GIANTO")</f>
        <v>SERVUS GIANTO</v>
      </c>
      <c r="C432" s="67">
        <f>IFERROR(__xludf.DUMMYFUNCTION("""COMPUTED_VALUE"""),0.0)</f>
        <v>0</v>
      </c>
      <c r="D432" s="68"/>
      <c r="E432" s="67" t="str">
        <f>IFERROR(__xludf.DUMMYFUNCTION("""COMPUTED_VALUE"""),"CV. Adil Prima Perkasa")</f>
        <v>CV. Adil Prima Perkasa</v>
      </c>
      <c r="F432" s="67" t="str">
        <f>IFERROR(__xludf.DUMMYFUNCTION("""COMPUTED_VALUE"""),"CREW SURVEY")</f>
        <v>CREW SURVEY</v>
      </c>
      <c r="G432" s="67" t="str">
        <f>IFERROR(__xludf.DUMMYFUNCTION("""COMPUTED_VALUE"""),"MPE")</f>
        <v>MPE</v>
      </c>
      <c r="H432" s="67" t="str">
        <f>IFERROR(__xludf.DUMMYFUNCTION("""COMPUTED_VALUE"""),"[0102150007] EKY SIDIK PRATAMA, ST")</f>
        <v>[0102150007] EKY SIDIK PRATAMA, ST</v>
      </c>
      <c r="I432" s="69"/>
      <c r="J432" s="70" t="str">
        <f t="shared" si="1"/>
        <v>[203241904] SERVUS GIANTO</v>
      </c>
      <c r="K432" s="67"/>
      <c r="L432" s="67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</row>
    <row r="433">
      <c r="A433" s="67">
        <f>IFERROR(__xludf.DUMMYFUNCTION("""COMPUTED_VALUE"""),1.0521139E8)</f>
        <v>105211390</v>
      </c>
      <c r="B433" s="67" t="str">
        <f>IFERROR(__xludf.DUMMYFUNCTION("""COMPUTED_VALUE"""),"SESARIUS JAHUS")</f>
        <v>SESARIUS JAHUS</v>
      </c>
      <c r="C433" s="67">
        <f>IFERROR(__xludf.DUMMYFUNCTION("""COMPUTED_VALUE"""),29.0)</f>
        <v>29</v>
      </c>
      <c r="D433" s="68" t="str">
        <f>IFERROR(__xludf.DUMMYFUNCTION("""COMPUTED_VALUE"""),"Kristen Khatolik")</f>
        <v>Kristen Khatolik</v>
      </c>
      <c r="E433" s="67" t="str">
        <f>IFERROR(__xludf.DUMMYFUNCTION("""COMPUTED_VALUE"""),"CV. SENTOSA ABADI")</f>
        <v>CV. SENTOSA ABADI</v>
      </c>
      <c r="F433" s="67" t="str">
        <f>IFERROR(__xludf.DUMMYFUNCTION("""COMPUTED_VALUE"""),"OPERATOR EXCAVATOR")</f>
        <v>OPERATOR EXCAVATOR</v>
      </c>
      <c r="G433" s="67" t="str">
        <f>IFERROR(__xludf.DUMMYFUNCTION("""COMPUTED_VALUE"""),"PRODUKSI")</f>
        <v>PRODUKSI</v>
      </c>
      <c r="H433" s="67" t="str">
        <f>IFERROR(__xludf.DUMMYFUNCTION("""COMPUTED_VALUE"""),"FALSE")</f>
        <v>FALSE</v>
      </c>
      <c r="I433" s="69"/>
      <c r="J433" s="70" t="str">
        <f t="shared" si="1"/>
        <v>[105211390] SESARIUS JAHUS</v>
      </c>
      <c r="K433" s="67"/>
      <c r="L433" s="67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</row>
    <row r="434">
      <c r="A434" s="67">
        <f>IFERROR(__xludf.DUMMYFUNCTION("""COMPUTED_VALUE"""),1.12180618E8)</f>
        <v>112180618</v>
      </c>
      <c r="B434" s="67" t="str">
        <f>IFERROR(__xludf.DUMMYFUNCTION("""COMPUTED_VALUE"""),"SEWARDI")</f>
        <v>SEWARDI</v>
      </c>
      <c r="C434" s="67">
        <f>IFERROR(__xludf.DUMMYFUNCTION("""COMPUTED_VALUE"""),53.0)</f>
        <v>53</v>
      </c>
      <c r="D434" s="68" t="str">
        <f>IFERROR(__xludf.DUMMYFUNCTION("""COMPUTED_VALUE"""),"Islam")</f>
        <v>Islam</v>
      </c>
      <c r="E434" s="67" t="str">
        <f>IFERROR(__xludf.DUMMYFUNCTION("""COMPUTED_VALUE"""),"CV. SENTOSA ABADI")</f>
        <v>CV. SENTOSA ABADI</v>
      </c>
      <c r="F434" s="67" t="str">
        <f>IFERROR(__xludf.DUMMYFUNCTION("""COMPUTED_VALUE"""),"OPERATOR ADT")</f>
        <v>OPERATOR ADT</v>
      </c>
      <c r="G434" s="67" t="str">
        <f>IFERROR(__xludf.DUMMYFUNCTION("""COMPUTED_VALUE"""),"PRODUKSI")</f>
        <v>PRODUKSI</v>
      </c>
      <c r="H434" s="67" t="str">
        <f>IFERROR(__xludf.DUMMYFUNCTION("""COMPUTED_VALUE"""),"FALSE")</f>
        <v>FALSE</v>
      </c>
      <c r="I434" s="69"/>
      <c r="J434" s="70" t="str">
        <f t="shared" si="1"/>
        <v>[112180618] SEWARDI</v>
      </c>
      <c r="K434" s="67"/>
      <c r="L434" s="67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</row>
    <row r="435">
      <c r="A435" s="67">
        <f>IFERROR(__xludf.DUMMYFUNCTION("""COMPUTED_VALUE"""),2.02231721E8)</f>
        <v>202231721</v>
      </c>
      <c r="B435" s="67" t="str">
        <f>IFERROR(__xludf.DUMMYFUNCTION("""COMPUTED_VALUE"""),"SIDANG")</f>
        <v>SIDANG</v>
      </c>
      <c r="C435" s="67">
        <f>IFERROR(__xludf.DUMMYFUNCTION("""COMPUTED_VALUE"""),26.0)</f>
        <v>26</v>
      </c>
      <c r="D435" s="68" t="str">
        <f>IFERROR(__xludf.DUMMYFUNCTION("""COMPUTED_VALUE"""),"Islam")</f>
        <v>Islam</v>
      </c>
      <c r="E435" s="67" t="str">
        <f>IFERROR(__xludf.DUMMYFUNCTION("""COMPUTED_VALUE"""),"CV. Adil Prima Perkasa")</f>
        <v>CV. Adil Prima Perkasa</v>
      </c>
      <c r="F435" s="67" t="str">
        <f>IFERROR(__xludf.DUMMYFUNCTION("""COMPUTED_VALUE"""),"DRIVER DT H700ZS")</f>
        <v>DRIVER DT H700ZS</v>
      </c>
      <c r="G435" s="67" t="str">
        <f>IFERROR(__xludf.DUMMYFUNCTION("""COMPUTED_VALUE"""),"KENDARAAN &amp; UNIT SUPPORT")</f>
        <v>KENDARAAN &amp; UNIT SUPPORT</v>
      </c>
      <c r="H435" s="67" t="str">
        <f>IFERROR(__xludf.DUMMYFUNCTION("""COMPUTED_VALUE"""),"[0102150004] NAFTALI RARE'A, ST")</f>
        <v>[0102150004] NAFTALI RARE'A, ST</v>
      </c>
      <c r="I435" s="69">
        <f>IFERROR(__xludf.DUMMYFUNCTION("""COMPUTED_VALUE"""),34167.0)</f>
        <v>34167</v>
      </c>
      <c r="J435" s="70" t="str">
        <f t="shared" si="1"/>
        <v>[202231721] SIDANG</v>
      </c>
      <c r="K435" s="67"/>
      <c r="L435" s="67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</row>
    <row r="436">
      <c r="A436" s="67">
        <f>IFERROR(__xludf.DUMMYFUNCTION("""COMPUTED_VALUE"""),2.07231798E8)</f>
        <v>207231798</v>
      </c>
      <c r="B436" s="67" t="str">
        <f>IFERROR(__xludf.DUMMYFUNCTION("""COMPUTED_VALUE"""),"SIMON")</f>
        <v>SIMON</v>
      </c>
      <c r="C436" s="67">
        <f>IFERROR(__xludf.DUMMYFUNCTION("""COMPUTED_VALUE"""),0.0)</f>
        <v>0</v>
      </c>
      <c r="D436" s="68"/>
      <c r="E436" s="67" t="str">
        <f>IFERROR(__xludf.DUMMYFUNCTION("""COMPUTED_VALUE"""),"CV. Adil Prima Perkasa")</f>
        <v>CV. Adil Prima Perkasa</v>
      </c>
      <c r="F436" s="67" t="str">
        <f>IFERROR(__xludf.DUMMYFUNCTION("""COMPUTED_VALUE"""),"HELPER MEKANIK ALAT BERAT")</f>
        <v>HELPER MEKANIK ALAT BERAT</v>
      </c>
      <c r="G436" s="67" t="str">
        <f>IFERROR(__xludf.DUMMYFUNCTION("""COMPUTED_VALUE"""),"WORKSHOP")</f>
        <v>WORKSHOP</v>
      </c>
      <c r="H436" s="67" t="str">
        <f>IFERROR(__xludf.DUMMYFUNCTION("""COMPUTED_VALUE"""),"[0106190928] NATAN KONDO")</f>
        <v>[0106190928] NATAN KONDO</v>
      </c>
      <c r="I436" s="69"/>
      <c r="J436" s="70" t="str">
        <f t="shared" si="1"/>
        <v>[207231798] SIMON</v>
      </c>
      <c r="K436" s="67"/>
      <c r="L436" s="67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</row>
    <row r="437">
      <c r="A437" s="67">
        <f>IFERROR(__xludf.DUMMYFUNCTION("""COMPUTED_VALUE"""),1.08120252E8)</f>
        <v>108120252</v>
      </c>
      <c r="B437" s="67" t="str">
        <f>IFERROR(__xludf.DUMMYFUNCTION("""COMPUTED_VALUE"""),"SINYO NAYOAN")</f>
        <v>SINYO NAYOAN</v>
      </c>
      <c r="C437" s="67">
        <f>IFERROR(__xludf.DUMMYFUNCTION("""COMPUTED_VALUE"""),54.0)</f>
        <v>54</v>
      </c>
      <c r="D437" s="68" t="str">
        <f>IFERROR(__xludf.DUMMYFUNCTION("""COMPUTED_VALUE"""),"Kristen Protestan")</f>
        <v>Kristen Protestan</v>
      </c>
      <c r="E437" s="67" t="str">
        <f>IFERROR(__xludf.DUMMYFUNCTION("""COMPUTED_VALUE"""),"CV. SENTOSA ABADI")</f>
        <v>CV. SENTOSA ABADI</v>
      </c>
      <c r="F437" s="67" t="str">
        <f>IFERROR(__xludf.DUMMYFUNCTION("""COMPUTED_VALUE"""),"DRIVER DT H500")</f>
        <v>DRIVER DT H500</v>
      </c>
      <c r="G437" s="67" t="str">
        <f>IFERROR(__xludf.DUMMYFUNCTION("""COMPUTED_VALUE"""),"KENDARAAN &amp; UNIT SUPPORT")</f>
        <v>KENDARAAN &amp; UNIT SUPPORT</v>
      </c>
      <c r="H437" s="67" t="str">
        <f>IFERROR(__xludf.DUMMYFUNCTION("""COMPUTED_VALUE"""),"[0102150004] NAFTALI RARE'A, ST")</f>
        <v>[0102150004] NAFTALI RARE'A, ST</v>
      </c>
      <c r="I437" s="69"/>
      <c r="J437" s="70" t="str">
        <f t="shared" si="1"/>
        <v>[108120252] SINYO NAYOAN</v>
      </c>
      <c r="K437" s="67"/>
      <c r="L437" s="67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</row>
    <row r="438">
      <c r="A438" s="67">
        <f>IFERROR(__xludf.DUMMYFUNCTION("""COMPUTED_VALUE"""),2.06211433E8)</f>
        <v>206211433</v>
      </c>
      <c r="B438" s="67" t="str">
        <f>IFERROR(__xludf.DUMMYFUNCTION("""COMPUTED_VALUE"""),"SIRAJUDDIN")</f>
        <v>SIRAJUDDIN</v>
      </c>
      <c r="C438" s="67">
        <f>IFERROR(__xludf.DUMMYFUNCTION("""COMPUTED_VALUE"""),49.0)</f>
        <v>49</v>
      </c>
      <c r="D438" s="68" t="str">
        <f>IFERROR(__xludf.DUMMYFUNCTION("""COMPUTED_VALUE"""),"Islam")</f>
        <v>Islam</v>
      </c>
      <c r="E438" s="67" t="str">
        <f>IFERROR(__xludf.DUMMYFUNCTION("""COMPUTED_VALUE"""),"CV. Adil Prima Perkasa")</f>
        <v>CV. Adil Prima Perkasa</v>
      </c>
      <c r="F438" s="67" t="str">
        <f>IFERROR(__xludf.DUMMYFUNCTION("""COMPUTED_VALUE"""),"OPERATOR BULLDOZER")</f>
        <v>OPERATOR BULLDOZER</v>
      </c>
      <c r="G438" s="67" t="str">
        <f>IFERROR(__xludf.DUMMYFUNCTION("""COMPUTED_VALUE"""),"PRODUKSI")</f>
        <v>PRODUKSI</v>
      </c>
      <c r="H438" s="67" t="str">
        <f>IFERROR(__xludf.DUMMYFUNCTION("""COMPUTED_VALUE"""),"FALSE")</f>
        <v>FALSE</v>
      </c>
      <c r="I438" s="69"/>
      <c r="J438" s="70" t="str">
        <f t="shared" si="1"/>
        <v>[206211433] SIRAJUDDIN</v>
      </c>
      <c r="K438" s="67"/>
      <c r="L438" s="67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</row>
    <row r="439">
      <c r="A439" s="67">
        <f>IFERROR(__xludf.DUMMYFUNCTION("""COMPUTED_VALUE"""),1.02180376E8)</f>
        <v>102180376</v>
      </c>
      <c r="B439" s="67" t="str">
        <f>IFERROR(__xludf.DUMMYFUNCTION("""COMPUTED_VALUE"""),"SLAMET PURWADI")</f>
        <v>SLAMET PURWADI</v>
      </c>
      <c r="C439" s="67">
        <f>IFERROR(__xludf.DUMMYFUNCTION("""COMPUTED_VALUE"""),30.0)</f>
        <v>30</v>
      </c>
      <c r="D439" s="68" t="str">
        <f>IFERROR(__xludf.DUMMYFUNCTION("""COMPUTED_VALUE"""),"Islam")</f>
        <v>Islam</v>
      </c>
      <c r="E439" s="67" t="str">
        <f>IFERROR(__xludf.DUMMYFUNCTION("""COMPUTED_VALUE"""),"CV. SENTOSA ABADI")</f>
        <v>CV. SENTOSA ABADI</v>
      </c>
      <c r="F439" s="67" t="str">
        <f>IFERROR(__xludf.DUMMYFUNCTION("""COMPUTED_VALUE"""),"OPERATOR ADT")</f>
        <v>OPERATOR ADT</v>
      </c>
      <c r="G439" s="67" t="str">
        <f>IFERROR(__xludf.DUMMYFUNCTION("""COMPUTED_VALUE"""),"PRODUKSI")</f>
        <v>PRODUKSI</v>
      </c>
      <c r="H439" s="67" t="str">
        <f>IFERROR(__xludf.DUMMYFUNCTION("""COMPUTED_VALUE"""),"[0102130003] PURNAWAN")</f>
        <v>[0102130003] PURNAWAN</v>
      </c>
      <c r="I439" s="69">
        <f>IFERROR(__xludf.DUMMYFUNCTION("""COMPUTED_VALUE"""),34798.0)</f>
        <v>34798</v>
      </c>
      <c r="J439" s="70" t="str">
        <f t="shared" si="1"/>
        <v>[102180376] SLAMET PURWADI</v>
      </c>
      <c r="K439" s="67"/>
      <c r="L439" s="67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</row>
    <row r="440">
      <c r="A440" s="67"/>
      <c r="B440" s="67" t="str">
        <f>IFERROR(__xludf.DUMMYFUNCTION("""COMPUTED_VALUE"""),"SOFIA A. RUSLI")</f>
        <v>SOFIA A. RUSLI</v>
      </c>
      <c r="C440" s="67">
        <f>IFERROR(__xludf.DUMMYFUNCTION("""COMPUTED_VALUE"""),27.0)</f>
        <v>27</v>
      </c>
      <c r="D440" s="68" t="str">
        <f>IFERROR(__xludf.DUMMYFUNCTION("""COMPUTED_VALUE"""),"Islam")</f>
        <v>Islam</v>
      </c>
      <c r="E440" s="67" t="str">
        <f>IFERROR(__xludf.DUMMYFUNCTION("""COMPUTED_VALUE"""),"CV. Monalisa")</f>
        <v>CV. Monalisa</v>
      </c>
      <c r="F440" s="67" t="str">
        <f>IFERROR(__xludf.DUMMYFUNCTION("""COMPUTED_VALUE"""),"ACCOUNTING")</f>
        <v>ACCOUNTING</v>
      </c>
      <c r="G440" s="67" t="str">
        <f>IFERROR(__xludf.DUMMYFUNCTION("""COMPUTED_VALUE"""),"FINANCE")</f>
        <v>FINANCE</v>
      </c>
      <c r="H440" s="67" t="str">
        <f>IFERROR(__xludf.DUMMYFUNCTION("""COMPUTED_VALUE"""),"[0206189004] ALFRETH ALVIAN TIAKI")</f>
        <v>[0206189004] ALFRETH ALVIAN TIAKI</v>
      </c>
      <c r="I440" s="69"/>
      <c r="J440" s="70" t="str">
        <f t="shared" si="1"/>
        <v>[] SOFIA A. RUSLI</v>
      </c>
      <c r="K440" s="67"/>
      <c r="L440" s="67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</row>
    <row r="441">
      <c r="A441" s="67">
        <f>IFERROR(__xludf.DUMMYFUNCTION("""COMPUTED_VALUE"""),1.11201302E8)</f>
        <v>111201302</v>
      </c>
      <c r="B441" s="67" t="str">
        <f>IFERROR(__xludf.DUMMYFUNCTION("""COMPUTED_VALUE"""),"SOFYAN MOTEE")</f>
        <v>SOFYAN MOTEE</v>
      </c>
      <c r="C441" s="67">
        <f>IFERROR(__xludf.DUMMYFUNCTION("""COMPUTED_VALUE"""),30.0)</f>
        <v>30</v>
      </c>
      <c r="D441" s="68" t="str">
        <f>IFERROR(__xludf.DUMMYFUNCTION("""COMPUTED_VALUE"""),"Kristen Protestan")</f>
        <v>Kristen Protestan</v>
      </c>
      <c r="E441" s="67" t="str">
        <f>IFERROR(__xludf.DUMMYFUNCTION("""COMPUTED_VALUE"""),"CV. SENTOSA ABADI")</f>
        <v>CV. SENTOSA ABADI</v>
      </c>
      <c r="F441" s="67" t="str">
        <f>IFERROR(__xludf.DUMMYFUNCTION("""COMPUTED_VALUE"""),"DRIVER FUEL MPE")</f>
        <v>DRIVER FUEL MPE</v>
      </c>
      <c r="G441" s="67" t="str">
        <f>IFERROR(__xludf.DUMMYFUNCTION("""COMPUTED_VALUE"""),"MPE")</f>
        <v>MPE</v>
      </c>
      <c r="H441" s="67" t="str">
        <f>IFERROR(__xludf.DUMMYFUNCTION("""COMPUTED_VALUE"""),"[0103110065] DOMINIKUS MITEN LARANTUKAN")</f>
        <v>[0103110065] DOMINIKUS MITEN LARANTUKAN</v>
      </c>
      <c r="I441" s="69"/>
      <c r="J441" s="70" t="str">
        <f t="shared" si="1"/>
        <v>[111201302] SOFYAN MOTEE</v>
      </c>
      <c r="K441" s="67"/>
      <c r="L441" s="67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</row>
    <row r="442">
      <c r="A442" s="67">
        <f>IFERROR(__xludf.DUMMYFUNCTION("""COMPUTED_VALUE"""),2.0719103E8)</f>
        <v>207191030</v>
      </c>
      <c r="B442" s="67" t="str">
        <f>IFERROR(__xludf.DUMMYFUNCTION("""COMPUTED_VALUE"""),"SOLEMAN LATONTJE TALAMOA")</f>
        <v>SOLEMAN LATONTJE TALAMOA</v>
      </c>
      <c r="C442" s="67">
        <f>IFERROR(__xludf.DUMMYFUNCTION("""COMPUTED_VALUE"""),73.0)</f>
        <v>73</v>
      </c>
      <c r="D442" s="68" t="str">
        <f>IFERROR(__xludf.DUMMYFUNCTION("""COMPUTED_VALUE"""),"Islam")</f>
        <v>Islam</v>
      </c>
      <c r="E442" s="67" t="str">
        <f>IFERROR(__xludf.DUMMYFUNCTION("""COMPUTED_VALUE"""),"CV. Adil Prima Perkasa")</f>
        <v>CV. Adil Prima Perkasa</v>
      </c>
      <c r="F442" s="67" t="str">
        <f>IFERROR(__xludf.DUMMYFUNCTION("""COMPUTED_VALUE"""),"DRIVER DT H500")</f>
        <v>DRIVER DT H500</v>
      </c>
      <c r="G442" s="67" t="str">
        <f>IFERROR(__xludf.DUMMYFUNCTION("""COMPUTED_VALUE"""),"KENDARAAN &amp; UNIT SUPPORT")</f>
        <v>KENDARAAN &amp; UNIT SUPPORT</v>
      </c>
      <c r="H442" s="67" t="str">
        <f>IFERROR(__xludf.DUMMYFUNCTION("""COMPUTED_VALUE"""),"[0102150004] NAFTALI RARE'A, ST")</f>
        <v>[0102150004] NAFTALI RARE'A, ST</v>
      </c>
      <c r="I442" s="69">
        <f>IFERROR(__xludf.DUMMYFUNCTION("""COMPUTED_VALUE"""),28040.0)</f>
        <v>28040</v>
      </c>
      <c r="J442" s="70" t="str">
        <f t="shared" si="1"/>
        <v>[207191030] SOLEMAN LATONTJE TALAMOA</v>
      </c>
      <c r="K442" s="67"/>
      <c r="L442" s="67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</row>
    <row r="443">
      <c r="A443" s="67">
        <f>IFERROR(__xludf.DUMMYFUNCTION("""COMPUTED_VALUE"""),1.03201149E8)</f>
        <v>103201149</v>
      </c>
      <c r="B443" s="67" t="str">
        <f>IFERROR(__xludf.DUMMYFUNCTION("""COMPUTED_VALUE"""),"SRIYANTI BUBEN")</f>
        <v>SRIYANTI BUBEN</v>
      </c>
      <c r="C443" s="67">
        <f>IFERROR(__xludf.DUMMYFUNCTION("""COMPUTED_VALUE"""),0.0)</f>
        <v>0</v>
      </c>
      <c r="D443" s="68"/>
      <c r="E443" s="67" t="str">
        <f>IFERROR(__xludf.DUMMYFUNCTION("""COMPUTED_VALUE"""),"CV. SENTOSA ABADI")</f>
        <v>CV. SENTOSA ABADI</v>
      </c>
      <c r="F443" s="67" t="str">
        <f>IFERROR(__xludf.DUMMYFUNCTION("""COMPUTED_VALUE"""),"ADMIN MAINTENANCE")</f>
        <v>ADMIN MAINTENANCE</v>
      </c>
      <c r="G443" s="67" t="str">
        <f>IFERROR(__xludf.DUMMYFUNCTION("""COMPUTED_VALUE"""),"WORKSHOP")</f>
        <v>WORKSHOP</v>
      </c>
      <c r="H443" s="67" t="str">
        <f>IFERROR(__xludf.DUMMYFUNCTION("""COMPUTED_VALUE"""),"[0107150010] RINI PALINGGI,ST")</f>
        <v>[0107150010] RINI PALINGGI,ST</v>
      </c>
      <c r="I443" s="69"/>
      <c r="J443" s="70" t="str">
        <f t="shared" si="1"/>
        <v>[103201149] SRIYANTI BUBEN</v>
      </c>
      <c r="K443" s="67"/>
      <c r="L443" s="67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</row>
    <row r="444">
      <c r="A444" s="67">
        <f>IFERROR(__xludf.DUMMYFUNCTION("""COMPUTED_VALUE"""),2.04231748E8)</f>
        <v>204231748</v>
      </c>
      <c r="B444" s="67" t="str">
        <f>IFERROR(__xludf.DUMMYFUNCTION("""COMPUTED_VALUE"""),"STANISLAUS MILUS")</f>
        <v>STANISLAUS MILUS</v>
      </c>
      <c r="C444" s="67">
        <f>IFERROR(__xludf.DUMMYFUNCTION("""COMPUTED_VALUE"""),23.0)</f>
        <v>23</v>
      </c>
      <c r="D444" s="68" t="str">
        <f>IFERROR(__xludf.DUMMYFUNCTION("""COMPUTED_VALUE"""),"Kristen Khatolik")</f>
        <v>Kristen Khatolik</v>
      </c>
      <c r="E444" s="67" t="str">
        <f>IFERROR(__xludf.DUMMYFUNCTION("""COMPUTED_VALUE"""),"CV. Adil Prima Perkasa")</f>
        <v>CV. Adil Prima Perkasa</v>
      </c>
      <c r="F444" s="67" t="str">
        <f>IFERROR(__xludf.DUMMYFUNCTION("""COMPUTED_VALUE"""),"HELPER FUEL")</f>
        <v>HELPER FUEL</v>
      </c>
      <c r="G444" s="67" t="str">
        <f>IFERROR(__xludf.DUMMYFUNCTION("""COMPUTED_VALUE"""),"MPE")</f>
        <v>MPE</v>
      </c>
      <c r="H444" s="67" t="str">
        <f>IFERROR(__xludf.DUMMYFUNCTION("""COMPUTED_VALUE"""),"[0102150007] EKY SIDIK PRATAMA, ST")</f>
        <v>[0102150007] EKY SIDIK PRATAMA, ST</v>
      </c>
      <c r="I444" s="69"/>
      <c r="J444" s="70" t="str">
        <f t="shared" si="1"/>
        <v>[204231748] STANISLAUS MILUS</v>
      </c>
      <c r="K444" s="67"/>
      <c r="L444" s="67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</row>
    <row r="445">
      <c r="A445" s="67">
        <f>IFERROR(__xludf.DUMMYFUNCTION("""COMPUTED_VALUE"""),2.07231799E8)</f>
        <v>207231799</v>
      </c>
      <c r="B445" s="67" t="str">
        <f>IFERROR(__xludf.DUMMYFUNCTION("""COMPUTED_VALUE"""),"STEEFALDY JUNIOR TAPPANG")</f>
        <v>STEEFALDY JUNIOR TAPPANG</v>
      </c>
      <c r="C445" s="67">
        <f>IFERROR(__xludf.DUMMYFUNCTION("""COMPUTED_VALUE"""),23.0)</f>
        <v>23</v>
      </c>
      <c r="D445" s="68" t="str">
        <f>IFERROR(__xludf.DUMMYFUNCTION("""COMPUTED_VALUE"""),"Kristen Protestan")</f>
        <v>Kristen Protestan</v>
      </c>
      <c r="E445" s="67" t="str">
        <f>IFERROR(__xludf.DUMMYFUNCTION("""COMPUTED_VALUE"""),"CV. Adil Prima Perkasa")</f>
        <v>CV. Adil Prima Perkasa</v>
      </c>
      <c r="F445" s="67" t="str">
        <f>IFERROR(__xludf.DUMMYFUNCTION("""COMPUTED_VALUE"""),"CREW SURVEY")</f>
        <v>CREW SURVEY</v>
      </c>
      <c r="G445" s="67" t="str">
        <f>IFERROR(__xludf.DUMMYFUNCTION("""COMPUTED_VALUE"""),"MPE")</f>
        <v>MPE</v>
      </c>
      <c r="H445" s="67" t="str">
        <f>IFERROR(__xludf.DUMMYFUNCTION("""COMPUTED_VALUE"""),"[0102150007] EKY SIDIK PRATAMA, ST")</f>
        <v>[0102150007] EKY SIDIK PRATAMA, ST</v>
      </c>
      <c r="I445" s="69"/>
      <c r="J445" s="70" t="str">
        <f t="shared" si="1"/>
        <v>[207231799] STEEFALDY JUNIOR TAPPANG</v>
      </c>
      <c r="K445" s="67"/>
      <c r="L445" s="67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</row>
    <row r="446">
      <c r="A446" s="67">
        <f>IFERROR(__xludf.DUMMYFUNCTION("""COMPUTED_VALUE"""),1.09221681E8)</f>
        <v>109221681</v>
      </c>
      <c r="B446" s="67" t="str">
        <f>IFERROR(__xludf.DUMMYFUNCTION("""COMPUTED_VALUE"""),"STEFANUS EKFRIS BURINTI")</f>
        <v>STEFANUS EKFRIS BURINTI</v>
      </c>
      <c r="C446" s="67">
        <f>IFERROR(__xludf.DUMMYFUNCTION("""COMPUTED_VALUE"""),24.0)</f>
        <v>24</v>
      </c>
      <c r="D446" s="68" t="str">
        <f>IFERROR(__xludf.DUMMYFUNCTION("""COMPUTED_VALUE"""),"Kristen Protestan")</f>
        <v>Kristen Protestan</v>
      </c>
      <c r="E446" s="67" t="str">
        <f>IFERROR(__xludf.DUMMYFUNCTION("""COMPUTED_VALUE"""),"CV. SENTOSA ABADI")</f>
        <v>CV. SENTOSA ABADI</v>
      </c>
      <c r="F446" s="67" t="str">
        <f>IFERROR(__xludf.DUMMYFUNCTION("""COMPUTED_VALUE"""),"BAGIAN UMUM")</f>
        <v>BAGIAN UMUM</v>
      </c>
      <c r="G446" s="67" t="str">
        <f>IFERROR(__xludf.DUMMYFUNCTION("""COMPUTED_VALUE"""),"HRD &amp; GA")</f>
        <v>HRD &amp; GA</v>
      </c>
      <c r="H446" s="67" t="str">
        <f>IFERROR(__xludf.DUMMYFUNCTION("""COMPUTED_VALUE"""),"[0103231738] MARYA SUSAN SIMBANGU")</f>
        <v>[0103231738] MARYA SUSAN SIMBANGU</v>
      </c>
      <c r="I446" s="69"/>
      <c r="J446" s="70" t="str">
        <f t="shared" si="1"/>
        <v>[109221681] STEFANUS EKFRIS BURINTI</v>
      </c>
      <c r="K446" s="67"/>
      <c r="L446" s="67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</row>
    <row r="447">
      <c r="A447" s="67">
        <f>IFERROR(__xludf.DUMMYFUNCTION("""COMPUTED_VALUE"""),4.008219003)</f>
        <v>4.008219003</v>
      </c>
      <c r="B447" s="67" t="str">
        <f>IFERROR(__xludf.DUMMYFUNCTION("""COMPUTED_VALUE"""),"STEPHANIE SHANIA HERLAMBANG")</f>
        <v>STEPHANIE SHANIA HERLAMBANG</v>
      </c>
      <c r="C447" s="67">
        <f>IFERROR(__xludf.DUMMYFUNCTION("""COMPUTED_VALUE"""),0.0)</f>
        <v>0</v>
      </c>
      <c r="D447" s="68"/>
      <c r="E447" s="67" t="str">
        <f>IFERROR(__xludf.DUMMYFUNCTION("""COMPUTED_VALUE"""),"CV. Adil Prima Perkasa")</f>
        <v>CV. Adil Prima Perkasa</v>
      </c>
      <c r="F447" s="67" t="str">
        <f>IFERROR(__xludf.DUMMYFUNCTION("""COMPUTED_VALUE"""),"ACCOUNTING")</f>
        <v>ACCOUNTING</v>
      </c>
      <c r="G447" s="67" t="str">
        <f>IFERROR(__xludf.DUMMYFUNCTION("""COMPUTED_VALUE"""),"FINANCE")</f>
        <v>FINANCE</v>
      </c>
      <c r="H447" s="67" t="str">
        <f>IFERROR(__xludf.DUMMYFUNCTION("""COMPUTED_VALUE"""),"FALSE")</f>
        <v>FALSE</v>
      </c>
      <c r="I447" s="69"/>
      <c r="J447" s="70" t="str">
        <f t="shared" si="1"/>
        <v>[4.008219003] STEPHANIE SHANIA HERLAMBANG</v>
      </c>
      <c r="K447" s="67"/>
      <c r="L447" s="67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</row>
    <row r="448">
      <c r="A448" s="67">
        <f>IFERROR(__xludf.DUMMYFUNCTION("""COMPUTED_VALUE"""),1.06190909E8)</f>
        <v>106190909</v>
      </c>
      <c r="B448" s="67" t="str">
        <f>IFERROR(__xludf.DUMMYFUNCTION("""COMPUTED_VALUE"""),"STEVANUS RAMEGAU")</f>
        <v>STEVANUS RAMEGAU</v>
      </c>
      <c r="C448" s="67">
        <f>IFERROR(__xludf.DUMMYFUNCTION("""COMPUTED_VALUE"""),0.0)</f>
        <v>0</v>
      </c>
      <c r="D448" s="68"/>
      <c r="E448" s="67" t="str">
        <f>IFERROR(__xludf.DUMMYFUNCTION("""COMPUTED_VALUE"""),"CV. SENTOSA ABADI")</f>
        <v>CV. SENTOSA ABADI</v>
      </c>
      <c r="F448" s="67" t="str">
        <f>IFERROR(__xludf.DUMMYFUNCTION("""COMPUTED_VALUE"""),"DRIVER DT H700ZY")</f>
        <v>DRIVER DT H700ZY</v>
      </c>
      <c r="G448" s="67" t="str">
        <f>IFERROR(__xludf.DUMMYFUNCTION("""COMPUTED_VALUE"""),"KENDARAAN &amp; UNIT SUPPORT")</f>
        <v>KENDARAAN &amp; UNIT SUPPORT</v>
      </c>
      <c r="H448" s="67" t="str">
        <f>IFERROR(__xludf.DUMMYFUNCTION("""COMPUTED_VALUE"""),"[0102150004] NAFTALI RARE'A, ST")</f>
        <v>[0102150004] NAFTALI RARE'A, ST</v>
      </c>
      <c r="I448" s="69"/>
      <c r="J448" s="70" t="str">
        <f t="shared" si="1"/>
        <v>[106190909] STEVANUS RAMEGAU</v>
      </c>
      <c r="K448" s="67"/>
      <c r="L448" s="67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</row>
    <row r="449">
      <c r="A449" s="67">
        <f>IFERROR(__xludf.DUMMYFUNCTION("""COMPUTED_VALUE"""),1.08211466E8)</f>
        <v>108211466</v>
      </c>
      <c r="B449" s="67" t="str">
        <f>IFERROR(__xludf.DUMMYFUNCTION("""COMPUTED_VALUE"""),"SUAIB MUNANDAR")</f>
        <v>SUAIB MUNANDAR</v>
      </c>
      <c r="C449" s="67">
        <f>IFERROR(__xludf.DUMMYFUNCTION("""COMPUTED_VALUE"""),1.0)</f>
        <v>1</v>
      </c>
      <c r="D449" s="68" t="str">
        <f>IFERROR(__xludf.DUMMYFUNCTION("""COMPUTED_VALUE"""),"Islam")</f>
        <v>Islam</v>
      </c>
      <c r="E449" s="67" t="str">
        <f>IFERROR(__xludf.DUMMYFUNCTION("""COMPUTED_VALUE"""),"CV. SENTOSA ABADI")</f>
        <v>CV. SENTOSA ABADI</v>
      </c>
      <c r="F449" s="67" t="str">
        <f>IFERROR(__xludf.DUMMYFUNCTION("""COMPUTED_VALUE"""),"HELPER TYRE")</f>
        <v>HELPER TYRE</v>
      </c>
      <c r="G449" s="67" t="str">
        <f>IFERROR(__xludf.DUMMYFUNCTION("""COMPUTED_VALUE"""),"WORKSHOP")</f>
        <v>WORKSHOP</v>
      </c>
      <c r="H449" s="67" t="str">
        <f>IFERROR(__xludf.DUMMYFUNCTION("""COMPUTED_VALUE"""),"[0102120144] JUFRY KOMALING")</f>
        <v>[0102120144] JUFRY KOMALING</v>
      </c>
      <c r="I449" s="69"/>
      <c r="J449" s="70" t="str">
        <f t="shared" si="1"/>
        <v>[108211466] SUAIB MUNANDAR</v>
      </c>
      <c r="K449" s="67"/>
      <c r="L449" s="67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</row>
    <row r="450">
      <c r="A450" s="67">
        <f>IFERROR(__xludf.DUMMYFUNCTION("""COMPUTED_VALUE"""),1.04211379E8)</f>
        <v>104211379</v>
      </c>
      <c r="B450" s="67" t="str">
        <f>IFERROR(__xludf.DUMMYFUNCTION("""COMPUTED_VALUE"""),"SUBRI KURNIAWAN")</f>
        <v>SUBRI KURNIAWAN</v>
      </c>
      <c r="C450" s="67">
        <f>IFERROR(__xludf.DUMMYFUNCTION("""COMPUTED_VALUE"""),24.0)</f>
        <v>24</v>
      </c>
      <c r="D450" s="68" t="str">
        <f>IFERROR(__xludf.DUMMYFUNCTION("""COMPUTED_VALUE"""),"Kristen Protestan")</f>
        <v>Kristen Protestan</v>
      </c>
      <c r="E450" s="67" t="str">
        <f>IFERROR(__xludf.DUMMYFUNCTION("""COMPUTED_VALUE"""),"CV. SENTOSA ABADI")</f>
        <v>CV. SENTOSA ABADI</v>
      </c>
      <c r="F450" s="67" t="str">
        <f>IFERROR(__xludf.DUMMYFUNCTION("""COMPUTED_VALUE"""),"DRIVER DT H700ZY")</f>
        <v>DRIVER DT H700ZY</v>
      </c>
      <c r="G450" s="67" t="str">
        <f>IFERROR(__xludf.DUMMYFUNCTION("""COMPUTED_VALUE"""),"KENDARAAN &amp; UNIT SUPPORT")</f>
        <v>KENDARAAN &amp; UNIT SUPPORT</v>
      </c>
      <c r="H450" s="67" t="str">
        <f>IFERROR(__xludf.DUMMYFUNCTION("""COMPUTED_VALUE"""),"[0102150004] NAFTALI RARE'A, ST")</f>
        <v>[0102150004] NAFTALI RARE'A, ST</v>
      </c>
      <c r="I450" s="69"/>
      <c r="J450" s="70" t="str">
        <f t="shared" si="1"/>
        <v>[104211379] SUBRI KURNIAWAN</v>
      </c>
      <c r="K450" s="67"/>
      <c r="L450" s="67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</row>
    <row r="451">
      <c r="A451" s="67">
        <f>IFERROR(__xludf.DUMMYFUNCTION("""COMPUTED_VALUE"""),2.04150699E8)</f>
        <v>204150699</v>
      </c>
      <c r="B451" s="67" t="str">
        <f>IFERROR(__xludf.DUMMYFUNCTION("""COMPUTED_VALUE"""),"SULTAN")</f>
        <v>SULTAN</v>
      </c>
      <c r="C451" s="67">
        <f>IFERROR(__xludf.DUMMYFUNCTION("""COMPUTED_VALUE"""),63.0)</f>
        <v>63</v>
      </c>
      <c r="D451" s="68" t="str">
        <f>IFERROR(__xludf.DUMMYFUNCTION("""COMPUTED_VALUE"""),"Islam")</f>
        <v>Islam</v>
      </c>
      <c r="E451" s="67" t="str">
        <f>IFERROR(__xludf.DUMMYFUNCTION("""COMPUTED_VALUE"""),"CV. Adil Prima Perkasa")</f>
        <v>CV. Adil Prima Perkasa</v>
      </c>
      <c r="F451" s="67" t="str">
        <f>IFERROR(__xludf.DUMMYFUNCTION("""COMPUTED_VALUE"""),"DRIVER FUEL MPE")</f>
        <v>DRIVER FUEL MPE</v>
      </c>
      <c r="G451" s="67" t="str">
        <f>IFERROR(__xludf.DUMMYFUNCTION("""COMPUTED_VALUE"""),"MPE")</f>
        <v>MPE</v>
      </c>
      <c r="H451" s="67" t="str">
        <f>IFERROR(__xludf.DUMMYFUNCTION("""COMPUTED_VALUE"""),"[0103110065] DOMINIKUS MITEN LARANTUKAN")</f>
        <v>[0103110065] DOMINIKUS MITEN LARANTUKAN</v>
      </c>
      <c r="I451" s="69">
        <f>IFERROR(__xludf.DUMMYFUNCTION("""COMPUTED_VALUE"""),26015.0)</f>
        <v>26015</v>
      </c>
      <c r="J451" s="70" t="str">
        <f t="shared" si="1"/>
        <v>[204150699] SULTAN</v>
      </c>
      <c r="K451" s="67"/>
      <c r="L451" s="67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</row>
    <row r="452">
      <c r="A452" s="67">
        <f>IFERROR(__xludf.DUMMYFUNCTION("""COMPUTED_VALUE"""),2.01241875E8)</f>
        <v>201241875</v>
      </c>
      <c r="B452" s="67" t="str">
        <f>IFERROR(__xludf.DUMMYFUNCTION("""COMPUTED_VALUE"""),"SUPARDI")</f>
        <v>SUPARDI</v>
      </c>
      <c r="C452" s="67">
        <f>IFERROR(__xludf.DUMMYFUNCTION("""COMPUTED_VALUE"""),22.0)</f>
        <v>22</v>
      </c>
      <c r="D452" s="68" t="str">
        <f>IFERROR(__xludf.DUMMYFUNCTION("""COMPUTED_VALUE"""),"Islam")</f>
        <v>Islam</v>
      </c>
      <c r="E452" s="67" t="str">
        <f>IFERROR(__xludf.DUMMYFUNCTION("""COMPUTED_VALUE"""),"CV. Adil Prima Perkasa")</f>
        <v>CV. Adil Prima Perkasa</v>
      </c>
      <c r="F452" s="67" t="str">
        <f>IFERROR(__xludf.DUMMYFUNCTION("""COMPUTED_VALUE"""),"SECURITY")</f>
        <v>SECURITY</v>
      </c>
      <c r="G452" s="67" t="str">
        <f>IFERROR(__xludf.DUMMYFUNCTION("""COMPUTED_VALUE"""),"HRD &amp; GA")</f>
        <v>HRD &amp; GA</v>
      </c>
      <c r="H452" s="67" t="str">
        <f>IFERROR(__xludf.DUMMYFUNCTION("""COMPUTED_VALUE"""),"[0108191037] ERNIE FRISLIA")</f>
        <v>[0108191037] ERNIE FRISLIA</v>
      </c>
      <c r="I452" s="69"/>
      <c r="J452" s="70" t="str">
        <f t="shared" si="1"/>
        <v>[201241875] SUPARDI</v>
      </c>
      <c r="K452" s="67"/>
      <c r="L452" s="67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</row>
    <row r="453">
      <c r="A453" s="67">
        <f>IFERROR(__xludf.DUMMYFUNCTION("""COMPUTED_VALUE"""),2.08231827E8)</f>
        <v>208231827</v>
      </c>
      <c r="B453" s="67" t="str">
        <f>IFERROR(__xludf.DUMMYFUNCTION("""COMPUTED_VALUE"""),"SUPARDIE")</f>
        <v>SUPARDIE</v>
      </c>
      <c r="C453" s="67">
        <f>IFERROR(__xludf.DUMMYFUNCTION("""COMPUTED_VALUE"""),33.0)</f>
        <v>33</v>
      </c>
      <c r="D453" s="68" t="str">
        <f>IFERROR(__xludf.DUMMYFUNCTION("""COMPUTED_VALUE"""),"Islam")</f>
        <v>Islam</v>
      </c>
      <c r="E453" s="67" t="str">
        <f>IFERROR(__xludf.DUMMYFUNCTION("""COMPUTED_VALUE"""),"CV. Adil Prima Perkasa")</f>
        <v>CV. Adil Prima Perkasa</v>
      </c>
      <c r="F453" s="67" t="str">
        <f>IFERROR(__xludf.DUMMYFUNCTION("""COMPUTED_VALUE"""),"OPERATOR EXCAVATOR")</f>
        <v>OPERATOR EXCAVATOR</v>
      </c>
      <c r="G453" s="67" t="str">
        <f>IFERROR(__xludf.DUMMYFUNCTION("""COMPUTED_VALUE"""),"PRODUKSI")</f>
        <v>PRODUKSI</v>
      </c>
      <c r="H453" s="67" t="str">
        <f>IFERROR(__xludf.DUMMYFUNCTION("""COMPUTED_VALUE"""),"[0102130003] PURNAWAN")</f>
        <v>[0102130003] PURNAWAN</v>
      </c>
      <c r="I453" s="69"/>
      <c r="J453" s="70" t="str">
        <f t="shared" si="1"/>
        <v>[208231827] SUPARDIE</v>
      </c>
      <c r="K453" s="67"/>
      <c r="L453" s="67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</row>
    <row r="454">
      <c r="A454" s="67">
        <f>IFERROR(__xludf.DUMMYFUNCTION("""COMPUTED_VALUE"""),2.12211557E8)</f>
        <v>212211557</v>
      </c>
      <c r="B454" s="67" t="str">
        <f>IFERROR(__xludf.DUMMYFUNCTION("""COMPUTED_VALUE"""),"SUPRIONO AMAL")</f>
        <v>SUPRIONO AMAL</v>
      </c>
      <c r="C454" s="67">
        <f>IFERROR(__xludf.DUMMYFUNCTION("""COMPUTED_VALUE"""),46.0)</f>
        <v>46</v>
      </c>
      <c r="D454" s="68" t="str">
        <f>IFERROR(__xludf.DUMMYFUNCTION("""COMPUTED_VALUE"""),"Islam")</f>
        <v>Islam</v>
      </c>
      <c r="E454" s="67" t="str">
        <f>IFERROR(__xludf.DUMMYFUNCTION("""COMPUTED_VALUE"""),"CV. Adil Prima Perkasa")</f>
        <v>CV. Adil Prima Perkasa</v>
      </c>
      <c r="F454" s="67" t="str">
        <f>IFERROR(__xludf.DUMMYFUNCTION("""COMPUTED_VALUE"""),"OPERATOR BULLDOZER")</f>
        <v>OPERATOR BULLDOZER</v>
      </c>
      <c r="G454" s="67" t="str">
        <f>IFERROR(__xludf.DUMMYFUNCTION("""COMPUTED_VALUE"""),"PRODUKSI")</f>
        <v>PRODUKSI</v>
      </c>
      <c r="H454" s="67" t="str">
        <f>IFERROR(__xludf.DUMMYFUNCTION("""COMPUTED_VALUE"""),"FALSE")</f>
        <v>FALSE</v>
      </c>
      <c r="I454" s="69"/>
      <c r="J454" s="70" t="str">
        <f t="shared" si="1"/>
        <v>[212211557] SUPRIONO AMAL</v>
      </c>
      <c r="K454" s="67"/>
      <c r="L454" s="67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</row>
    <row r="455">
      <c r="A455" s="67">
        <f>IFERROR(__xludf.DUMMYFUNCTION("""COMPUTED_VALUE"""),2.08201175E8)</f>
        <v>208201175</v>
      </c>
      <c r="B455" s="67" t="str">
        <f>IFERROR(__xludf.DUMMYFUNCTION("""COMPUTED_VALUE"""),"SUPRIYADI DG NAKKU")</f>
        <v>SUPRIYADI DG NAKKU</v>
      </c>
      <c r="C455" s="67">
        <f>IFERROR(__xludf.DUMMYFUNCTION("""COMPUTED_VALUE"""),48.0)</f>
        <v>48</v>
      </c>
      <c r="D455" s="68" t="str">
        <f>IFERROR(__xludf.DUMMYFUNCTION("""COMPUTED_VALUE"""),"Islam")</f>
        <v>Islam</v>
      </c>
      <c r="E455" s="67" t="str">
        <f>IFERROR(__xludf.DUMMYFUNCTION("""COMPUTED_VALUE"""),"CV. Adil Prima Perkasa")</f>
        <v>CV. Adil Prima Perkasa</v>
      </c>
      <c r="F455" s="67" t="str">
        <f>IFERROR(__xludf.DUMMYFUNCTION("""COMPUTED_VALUE"""),"DRIVER DT H700ZY")</f>
        <v>DRIVER DT H700ZY</v>
      </c>
      <c r="G455" s="67" t="str">
        <f>IFERROR(__xludf.DUMMYFUNCTION("""COMPUTED_VALUE"""),"KENDARAAN &amp; UNIT SUPPORT")</f>
        <v>KENDARAAN &amp; UNIT SUPPORT</v>
      </c>
      <c r="H455" s="67" t="str">
        <f>IFERROR(__xludf.DUMMYFUNCTION("""COMPUTED_VALUE"""),"[0102150004] NAFTALI RARE'A, ST")</f>
        <v>[0102150004] NAFTALI RARE'A, ST</v>
      </c>
      <c r="I455" s="69">
        <f>IFERROR(__xludf.DUMMYFUNCTION("""COMPUTED_VALUE"""),27433.0)</f>
        <v>27433</v>
      </c>
      <c r="J455" s="70" t="str">
        <f t="shared" si="1"/>
        <v>[208201175] SUPRIYADI DG NAKKU</v>
      </c>
      <c r="K455" s="67"/>
      <c r="L455" s="67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</row>
    <row r="456">
      <c r="A456" s="67">
        <f>IFERROR(__xludf.DUMMYFUNCTION("""COMPUTED_VALUE"""),2.01211333E8)</f>
        <v>201211333</v>
      </c>
      <c r="B456" s="67" t="str">
        <f>IFERROR(__xludf.DUMMYFUNCTION("""COMPUTED_VALUE"""),"SURIANTO")</f>
        <v>SURIANTO</v>
      </c>
      <c r="C456" s="67">
        <f>IFERROR(__xludf.DUMMYFUNCTION("""COMPUTED_VALUE"""),29.0)</f>
        <v>29</v>
      </c>
      <c r="D456" s="68" t="str">
        <f>IFERROR(__xludf.DUMMYFUNCTION("""COMPUTED_VALUE"""),"Kristen Protestan")</f>
        <v>Kristen Protestan</v>
      </c>
      <c r="E456" s="67" t="str">
        <f>IFERROR(__xludf.DUMMYFUNCTION("""COMPUTED_VALUE"""),"CV. Adil Prima Perkasa")</f>
        <v>CV. Adil Prima Perkasa</v>
      </c>
      <c r="F456" s="67" t="str">
        <f>IFERROR(__xludf.DUMMYFUNCTION("""COMPUTED_VALUE"""),"OPERATOR EXCAVATOR")</f>
        <v>OPERATOR EXCAVATOR</v>
      </c>
      <c r="G456" s="67" t="str">
        <f>IFERROR(__xludf.DUMMYFUNCTION("""COMPUTED_VALUE"""),"PRODUKSI")</f>
        <v>PRODUKSI</v>
      </c>
      <c r="H456" s="67" t="str">
        <f>IFERROR(__xludf.DUMMYFUNCTION("""COMPUTED_VALUE"""),"[0102130003] PURNAWAN")</f>
        <v>[0102130003] PURNAWAN</v>
      </c>
      <c r="I456" s="69"/>
      <c r="J456" s="70" t="str">
        <f t="shared" si="1"/>
        <v>[201211333] SURIANTO</v>
      </c>
      <c r="K456" s="67"/>
      <c r="L456" s="67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</row>
    <row r="457">
      <c r="A457" s="67">
        <f>IFERROR(__xludf.DUMMYFUNCTION("""COMPUTED_VALUE"""),1.07211451E8)</f>
        <v>107211451</v>
      </c>
      <c r="B457" s="67" t="str">
        <f>IFERROR(__xludf.DUMMYFUNCTION("""COMPUTED_VALUE"""),"SURIANTO")</f>
        <v>SURIANTO</v>
      </c>
      <c r="C457" s="67">
        <f>IFERROR(__xludf.DUMMYFUNCTION("""COMPUTED_VALUE"""),48.0)</f>
        <v>48</v>
      </c>
      <c r="D457" s="68" t="str">
        <f>IFERROR(__xludf.DUMMYFUNCTION("""COMPUTED_VALUE"""),"Islam")</f>
        <v>Islam</v>
      </c>
      <c r="E457" s="67" t="str">
        <f>IFERROR(__xludf.DUMMYFUNCTION("""COMPUTED_VALUE"""),"CV. SENTOSA ABADI")</f>
        <v>CV. SENTOSA ABADI</v>
      </c>
      <c r="F457" s="67" t="str">
        <f>IFERROR(__xludf.DUMMYFUNCTION("""COMPUTED_VALUE"""),"DRIVER DT H700ZY")</f>
        <v>DRIVER DT H700ZY</v>
      </c>
      <c r="G457" s="67" t="str">
        <f>IFERROR(__xludf.DUMMYFUNCTION("""COMPUTED_VALUE"""),"KENDARAAN &amp; UNIT SUPPORT")</f>
        <v>KENDARAAN &amp; UNIT SUPPORT</v>
      </c>
      <c r="H457" s="67" t="str">
        <f>IFERROR(__xludf.DUMMYFUNCTION("""COMPUTED_VALUE"""),"[0102150004] NAFTALI RARE'A, ST")</f>
        <v>[0102150004] NAFTALI RARE'A, ST</v>
      </c>
      <c r="I457" s="69"/>
      <c r="J457" s="70" t="str">
        <f t="shared" si="1"/>
        <v>[107211451] SURIANTO</v>
      </c>
      <c r="K457" s="67"/>
      <c r="L457" s="67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</row>
    <row r="458">
      <c r="A458" s="67">
        <f>IFERROR(__xludf.DUMMYFUNCTION("""COMPUTED_VALUE"""),1.08201196E8)</f>
        <v>108201196</v>
      </c>
      <c r="B458" s="67" t="str">
        <f>IFERROR(__xludf.DUMMYFUNCTION("""COMPUTED_VALUE"""),"SURIYADI")</f>
        <v>SURIYADI</v>
      </c>
      <c r="C458" s="67">
        <f>IFERROR(__xludf.DUMMYFUNCTION("""COMPUTED_VALUE"""),60.0)</f>
        <v>60</v>
      </c>
      <c r="D458" s="68" t="str">
        <f>IFERROR(__xludf.DUMMYFUNCTION("""COMPUTED_VALUE"""),"Islam")</f>
        <v>Islam</v>
      </c>
      <c r="E458" s="67" t="str">
        <f>IFERROR(__xludf.DUMMYFUNCTION("""COMPUTED_VALUE"""),"CV. SENTOSA ABADI")</f>
        <v>CV. SENTOSA ABADI</v>
      </c>
      <c r="F458" s="67" t="str">
        <f>IFERROR(__xludf.DUMMYFUNCTION("""COMPUTED_VALUE"""),"DRIVER DT H700ZY")</f>
        <v>DRIVER DT H700ZY</v>
      </c>
      <c r="G458" s="67" t="str">
        <f>IFERROR(__xludf.DUMMYFUNCTION("""COMPUTED_VALUE"""),"KENDARAAN &amp; UNIT SUPPORT")</f>
        <v>KENDARAAN &amp; UNIT SUPPORT</v>
      </c>
      <c r="H458" s="67" t="str">
        <f>IFERROR(__xludf.DUMMYFUNCTION("""COMPUTED_VALUE"""),"[0102150004] NAFTALI RARE'A, ST")</f>
        <v>[0102150004] NAFTALI RARE'A, ST</v>
      </c>
      <c r="I458" s="69"/>
      <c r="J458" s="70" t="str">
        <f t="shared" si="1"/>
        <v>[108201196] SURIYADI</v>
      </c>
      <c r="K458" s="67"/>
      <c r="L458" s="67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</row>
    <row r="459">
      <c r="A459" s="67">
        <f>IFERROR(__xludf.DUMMYFUNCTION("""COMPUTED_VALUE"""),2.09201235E8)</f>
        <v>209201235</v>
      </c>
      <c r="B459" s="67" t="str">
        <f>IFERROR(__xludf.DUMMYFUNCTION("""COMPUTED_VALUE"""),"SURONO")</f>
        <v>SURONO</v>
      </c>
      <c r="C459" s="67">
        <f>IFERROR(__xludf.DUMMYFUNCTION("""COMPUTED_VALUE"""),0.0)</f>
        <v>0</v>
      </c>
      <c r="D459" s="68" t="str">
        <f>IFERROR(__xludf.DUMMYFUNCTION("""COMPUTED_VALUE"""),"Islam")</f>
        <v>Islam</v>
      </c>
      <c r="E459" s="67" t="str">
        <f>IFERROR(__xludf.DUMMYFUNCTION("""COMPUTED_VALUE"""),"CV. Adil Prima Perkasa")</f>
        <v>CV. Adil Prima Perkasa</v>
      </c>
      <c r="F459" s="67" t="str">
        <f>IFERROR(__xludf.DUMMYFUNCTION("""COMPUTED_VALUE"""),"OPERATOR GRADER")</f>
        <v>OPERATOR GRADER</v>
      </c>
      <c r="G459" s="67" t="str">
        <f>IFERROR(__xludf.DUMMYFUNCTION("""COMPUTED_VALUE"""),"PRODUKSI")</f>
        <v>PRODUKSI</v>
      </c>
      <c r="H459" s="67" t="str">
        <f>IFERROR(__xludf.DUMMYFUNCTION("""COMPUTED_VALUE"""),"FALSE")</f>
        <v>FALSE</v>
      </c>
      <c r="I459" s="69">
        <f>IFERROR(__xludf.DUMMYFUNCTION("""COMPUTED_VALUE"""),27466.0)</f>
        <v>27466</v>
      </c>
      <c r="J459" s="70" t="str">
        <f t="shared" si="1"/>
        <v>[209201235] SURONO</v>
      </c>
      <c r="K459" s="67"/>
      <c r="L459" s="67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</row>
    <row r="460">
      <c r="A460" s="67">
        <f>IFERROR(__xludf.DUMMYFUNCTION("""COMPUTED_VALUE"""),2.11211543E8)</f>
        <v>211211543</v>
      </c>
      <c r="B460" s="67" t="str">
        <f>IFERROR(__xludf.DUMMYFUNCTION("""COMPUTED_VALUE"""),"SUSILO AFRIYANTO PETA'A")</f>
        <v>SUSILO AFRIYANTO PETA'A</v>
      </c>
      <c r="C460" s="67">
        <f>IFERROR(__xludf.DUMMYFUNCTION("""COMPUTED_VALUE"""),28.0)</f>
        <v>28</v>
      </c>
      <c r="D460" s="68" t="str">
        <f>IFERROR(__xludf.DUMMYFUNCTION("""COMPUTED_VALUE"""),"Kristen Protestan")</f>
        <v>Kristen Protestan</v>
      </c>
      <c r="E460" s="67" t="str">
        <f>IFERROR(__xludf.DUMMYFUNCTION("""COMPUTED_VALUE"""),"CV. Adil Prima Perkasa")</f>
        <v>CV. Adil Prima Perkasa</v>
      </c>
      <c r="F460" s="67" t="str">
        <f>IFERROR(__xludf.DUMMYFUNCTION("""COMPUTED_VALUE"""),"DRIVER DT H700ZY")</f>
        <v>DRIVER DT H700ZY</v>
      </c>
      <c r="G460" s="67" t="str">
        <f>IFERROR(__xludf.DUMMYFUNCTION("""COMPUTED_VALUE"""),"KENDARAAN &amp; UNIT SUPPORT")</f>
        <v>KENDARAAN &amp; UNIT SUPPORT</v>
      </c>
      <c r="H460" s="67" t="str">
        <f>IFERROR(__xludf.DUMMYFUNCTION("""COMPUTED_VALUE"""),"[0103180405] ALKHISER M. LUMIMPUO")</f>
        <v>[0103180405] ALKHISER M. LUMIMPUO</v>
      </c>
      <c r="I460" s="69">
        <f>IFERROR(__xludf.DUMMYFUNCTION("""COMPUTED_VALUE"""),34441.0)</f>
        <v>34441</v>
      </c>
      <c r="J460" s="70" t="str">
        <f t="shared" si="1"/>
        <v>[211211543] SUSILO AFRIYANTO PETA'A</v>
      </c>
      <c r="K460" s="67"/>
      <c r="L460" s="67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</row>
    <row r="461">
      <c r="A461" s="67">
        <f>IFERROR(__xludf.DUMMYFUNCTION("""COMPUTED_VALUE"""),2.0122158E8)</f>
        <v>201221580</v>
      </c>
      <c r="B461" s="67" t="str">
        <f>IFERROR(__xludf.DUMMYFUNCTION("""COMPUTED_VALUE"""),"SUTRIYANTO ARMAN S.")</f>
        <v>SUTRIYANTO ARMAN S.</v>
      </c>
      <c r="C461" s="67">
        <f>IFERROR(__xludf.DUMMYFUNCTION("""COMPUTED_VALUE"""),30.0)</f>
        <v>30</v>
      </c>
      <c r="D461" s="68" t="str">
        <f>IFERROR(__xludf.DUMMYFUNCTION("""COMPUTED_VALUE"""),"Islam")</f>
        <v>Islam</v>
      </c>
      <c r="E461" s="67" t="str">
        <f>IFERROR(__xludf.DUMMYFUNCTION("""COMPUTED_VALUE"""),"CV. Adil Prima Perkasa")</f>
        <v>CV. Adil Prima Perkasa</v>
      </c>
      <c r="F461" s="67" t="str">
        <f>IFERROR(__xludf.DUMMYFUNCTION("""COMPUTED_VALUE"""),"DRIVER DT H700ZY")</f>
        <v>DRIVER DT H700ZY</v>
      </c>
      <c r="G461" s="67" t="str">
        <f>IFERROR(__xludf.DUMMYFUNCTION("""COMPUTED_VALUE"""),"KENDARAAN &amp; UNIT SUPPORT")</f>
        <v>KENDARAAN &amp; UNIT SUPPORT</v>
      </c>
      <c r="H461" s="67" t="str">
        <f>IFERROR(__xludf.DUMMYFUNCTION("""COMPUTED_VALUE"""),"[0102150004] NAFTALI RARE'A, ST")</f>
        <v>[0102150004] NAFTALI RARE'A, ST</v>
      </c>
      <c r="I461" s="69">
        <f>IFERROR(__xludf.DUMMYFUNCTION("""COMPUTED_VALUE"""),33154.0)</f>
        <v>33154</v>
      </c>
      <c r="J461" s="70" t="str">
        <f t="shared" si="1"/>
        <v>[201221580] SUTRIYANTO ARMAN S.</v>
      </c>
      <c r="K461" s="67"/>
      <c r="L461" s="67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</row>
    <row r="462">
      <c r="A462" s="67">
        <f>IFERROR(__xludf.DUMMYFUNCTION("""COMPUTED_VALUE"""),2.12211558E8)</f>
        <v>212211558</v>
      </c>
      <c r="B462" s="67" t="str">
        <f>IFERROR(__xludf.DUMMYFUNCTION("""COMPUTED_VALUE"""),"SYABIR")</f>
        <v>SYABIR</v>
      </c>
      <c r="C462" s="67">
        <f>IFERROR(__xludf.DUMMYFUNCTION("""COMPUTED_VALUE"""),43.0)</f>
        <v>43</v>
      </c>
      <c r="D462" s="68" t="str">
        <f>IFERROR(__xludf.DUMMYFUNCTION("""COMPUTED_VALUE"""),"Islam")</f>
        <v>Islam</v>
      </c>
      <c r="E462" s="67" t="str">
        <f>IFERROR(__xludf.DUMMYFUNCTION("""COMPUTED_VALUE"""),"CV. Adil Prima Perkasa")</f>
        <v>CV. Adil Prima Perkasa</v>
      </c>
      <c r="F462" s="67" t="str">
        <f>IFERROR(__xludf.DUMMYFUNCTION("""COMPUTED_VALUE"""),"DRIVER DT H700ZY")</f>
        <v>DRIVER DT H700ZY</v>
      </c>
      <c r="G462" s="67" t="str">
        <f>IFERROR(__xludf.DUMMYFUNCTION("""COMPUTED_VALUE"""),"KENDARAAN &amp; UNIT SUPPORT")</f>
        <v>KENDARAAN &amp; UNIT SUPPORT</v>
      </c>
      <c r="H462" s="67" t="str">
        <f>IFERROR(__xludf.DUMMYFUNCTION("""COMPUTED_VALUE"""),"[0102150004] NAFTALI RARE'A, ST")</f>
        <v>[0102150004] NAFTALI RARE'A, ST</v>
      </c>
      <c r="I462" s="69">
        <f>IFERROR(__xludf.DUMMYFUNCTION("""COMPUTED_VALUE"""),30420.0)</f>
        <v>30420</v>
      </c>
      <c r="J462" s="70" t="str">
        <f t="shared" si="1"/>
        <v>[212211558] SYABIR</v>
      </c>
      <c r="K462" s="67"/>
      <c r="L462" s="67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</row>
    <row r="463">
      <c r="A463" s="67">
        <f>IFERROR(__xludf.DUMMYFUNCTION("""COMPUTED_VALUE"""),2.05241915E8)</f>
        <v>205241915</v>
      </c>
      <c r="B463" s="67" t="str">
        <f>IFERROR(__xludf.DUMMYFUNCTION("""COMPUTED_VALUE"""),"SYAHDANG KURNIAWAN")</f>
        <v>SYAHDANG KURNIAWAN</v>
      </c>
      <c r="C463" s="67">
        <f>IFERROR(__xludf.DUMMYFUNCTION("""COMPUTED_VALUE"""),0.0)</f>
        <v>0</v>
      </c>
      <c r="D463" s="68"/>
      <c r="E463" s="67" t="str">
        <f>IFERROR(__xludf.DUMMYFUNCTION("""COMPUTED_VALUE"""),"CV. Adil Prima Perkasa")</f>
        <v>CV. Adil Prima Perkasa</v>
      </c>
      <c r="F463" s="67" t="str">
        <f>IFERROR(__xludf.DUMMYFUNCTION("""COMPUTED_VALUE"""),"HELPER TYRE")</f>
        <v>HELPER TYRE</v>
      </c>
      <c r="G463" s="67" t="str">
        <f>IFERROR(__xludf.DUMMYFUNCTION("""COMPUTED_VALUE"""),"WORKSHOP")</f>
        <v>WORKSHOP</v>
      </c>
      <c r="H463" s="67" t="str">
        <f>IFERROR(__xludf.DUMMYFUNCTION("""COMPUTED_VALUE"""),"[0106190928] NATAN KONDO")</f>
        <v>[0106190928] NATAN KONDO</v>
      </c>
      <c r="I463" s="69"/>
      <c r="J463" s="70" t="str">
        <f t="shared" si="1"/>
        <v>[205241915] SYAHDANG KURNIAWAN</v>
      </c>
      <c r="K463" s="67"/>
      <c r="L463" s="67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</row>
    <row r="464">
      <c r="A464" s="67">
        <f>IFERROR(__xludf.DUMMYFUNCTION("""COMPUTED_VALUE"""),2.09211495E8)</f>
        <v>209211495</v>
      </c>
      <c r="B464" s="67" t="str">
        <f>IFERROR(__xludf.DUMMYFUNCTION("""COMPUTED_VALUE"""),"SYAMSIR")</f>
        <v>SYAMSIR</v>
      </c>
      <c r="C464" s="67">
        <f>IFERROR(__xludf.DUMMYFUNCTION("""COMPUTED_VALUE"""),36.0)</f>
        <v>36</v>
      </c>
      <c r="D464" s="68" t="str">
        <f>IFERROR(__xludf.DUMMYFUNCTION("""COMPUTED_VALUE"""),"Islam")</f>
        <v>Islam</v>
      </c>
      <c r="E464" s="67" t="str">
        <f>IFERROR(__xludf.DUMMYFUNCTION("""COMPUTED_VALUE"""),"CV. Adil Prima Perkasa")</f>
        <v>CV. Adil Prima Perkasa</v>
      </c>
      <c r="F464" s="67" t="str">
        <f>IFERROR(__xludf.DUMMYFUNCTION("""COMPUTED_VALUE"""),"OPERATOR EXCAVATOR")</f>
        <v>OPERATOR EXCAVATOR</v>
      </c>
      <c r="G464" s="67" t="str">
        <f>IFERROR(__xludf.DUMMYFUNCTION("""COMPUTED_VALUE"""),"PRODUKSI")</f>
        <v>PRODUKSI</v>
      </c>
      <c r="H464" s="67" t="str">
        <f>IFERROR(__xludf.DUMMYFUNCTION("""COMPUTED_VALUE"""),"FALSE")</f>
        <v>FALSE</v>
      </c>
      <c r="I464" s="69">
        <f>IFERROR(__xludf.DUMMYFUNCTION("""COMPUTED_VALUE"""),31967.0)</f>
        <v>31967</v>
      </c>
      <c r="J464" s="70" t="str">
        <f t="shared" si="1"/>
        <v>[209211495] SYAMSIR</v>
      </c>
      <c r="K464" s="67"/>
      <c r="L464" s="67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</row>
    <row r="465">
      <c r="A465" s="67">
        <f>IFERROR(__xludf.DUMMYFUNCTION("""COMPUTED_VALUE"""),1.08201195E8)</f>
        <v>108201195</v>
      </c>
      <c r="B465" s="67" t="str">
        <f>IFERROR(__xludf.DUMMYFUNCTION("""COMPUTED_VALUE"""),"SYAMSUL")</f>
        <v>SYAMSUL</v>
      </c>
      <c r="C465" s="67">
        <f>IFERROR(__xludf.DUMMYFUNCTION("""COMPUTED_VALUE"""),32.0)</f>
        <v>32</v>
      </c>
      <c r="D465" s="68" t="str">
        <f>IFERROR(__xludf.DUMMYFUNCTION("""COMPUTED_VALUE"""),"Islam")</f>
        <v>Islam</v>
      </c>
      <c r="E465" s="67" t="str">
        <f>IFERROR(__xludf.DUMMYFUNCTION("""COMPUTED_VALUE"""),"CV. SENTOSA ABADI")</f>
        <v>CV. SENTOSA ABADI</v>
      </c>
      <c r="F465" s="67" t="str">
        <f>IFERROR(__xludf.DUMMYFUNCTION("""COMPUTED_VALUE"""),"OPERATOR BULLDOZER")</f>
        <v>OPERATOR BULLDOZER</v>
      </c>
      <c r="G465" s="67" t="str">
        <f>IFERROR(__xludf.DUMMYFUNCTION("""COMPUTED_VALUE"""),"PRODUKSI")</f>
        <v>PRODUKSI</v>
      </c>
      <c r="H465" s="67" t="str">
        <f>IFERROR(__xludf.DUMMYFUNCTION("""COMPUTED_VALUE"""),"[0102130003] PURNAWAN")</f>
        <v>[0102130003] PURNAWAN</v>
      </c>
      <c r="I465" s="69">
        <f>IFERROR(__xludf.DUMMYFUNCTION("""COMPUTED_VALUE"""),31028.0)</f>
        <v>31028</v>
      </c>
      <c r="J465" s="70" t="str">
        <f t="shared" si="1"/>
        <v>[108201195] SYAMSUL</v>
      </c>
      <c r="K465" s="67"/>
      <c r="L465" s="67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</row>
    <row r="466">
      <c r="A466" s="67">
        <f>IFERROR(__xludf.DUMMYFUNCTION("""COMPUTED_VALUE"""),1.12201307E8)</f>
        <v>112201307</v>
      </c>
      <c r="B466" s="67" t="str">
        <f>IFERROR(__xludf.DUMMYFUNCTION("""COMPUTED_VALUE"""),"TANDU")</f>
        <v>TANDU</v>
      </c>
      <c r="C466" s="67">
        <f>IFERROR(__xludf.DUMMYFUNCTION("""COMPUTED_VALUE"""),49.0)</f>
        <v>49</v>
      </c>
      <c r="D466" s="68" t="str">
        <f>IFERROR(__xludf.DUMMYFUNCTION("""COMPUTED_VALUE"""),"Kristen Protestan")</f>
        <v>Kristen Protestan</v>
      </c>
      <c r="E466" s="67" t="str">
        <f>IFERROR(__xludf.DUMMYFUNCTION("""COMPUTED_VALUE"""),"CV. SENTOSA ABADI")</f>
        <v>CV. SENTOSA ABADI</v>
      </c>
      <c r="F466" s="67" t="str">
        <f>IFERROR(__xludf.DUMMYFUNCTION("""COMPUTED_VALUE"""),"OPERATOR BUBUT")</f>
        <v>OPERATOR BUBUT</v>
      </c>
      <c r="G466" s="67" t="str">
        <f>IFERROR(__xludf.DUMMYFUNCTION("""COMPUTED_VALUE"""),"WORKSHOP")</f>
        <v>WORKSHOP</v>
      </c>
      <c r="H466" s="67" t="str">
        <f>IFERROR(__xludf.DUMMYFUNCTION("""COMPUTED_VALUE"""),"[0106190928] NATAN KONDO")</f>
        <v>[0106190928] NATAN KONDO</v>
      </c>
      <c r="I466" s="69">
        <f>IFERROR(__xludf.DUMMYFUNCTION("""COMPUTED_VALUE"""),29987.0)</f>
        <v>29987</v>
      </c>
      <c r="J466" s="70" t="str">
        <f t="shared" si="1"/>
        <v>[112201307] TANDU</v>
      </c>
      <c r="K466" s="67"/>
      <c r="L466" s="67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</row>
    <row r="467">
      <c r="A467" s="67">
        <f>IFERROR(__xludf.DUMMYFUNCTION("""COMPUTED_VALUE"""),2.06231779E8)</f>
        <v>206231779</v>
      </c>
      <c r="B467" s="67" t="str">
        <f>IFERROR(__xludf.DUMMYFUNCTION("""COMPUTED_VALUE"""),"TAUFIK MUSJINJA")</f>
        <v>TAUFIK MUSJINJA</v>
      </c>
      <c r="C467" s="67">
        <f>IFERROR(__xludf.DUMMYFUNCTION("""COMPUTED_VALUE"""),21.0)</f>
        <v>21</v>
      </c>
      <c r="D467" s="68" t="str">
        <f>IFERROR(__xludf.DUMMYFUNCTION("""COMPUTED_VALUE"""),"Islam")</f>
        <v>Islam</v>
      </c>
      <c r="E467" s="67" t="str">
        <f>IFERROR(__xludf.DUMMYFUNCTION("""COMPUTED_VALUE"""),"CV. Adil Prima Perkasa")</f>
        <v>CV. Adil Prima Perkasa</v>
      </c>
      <c r="F467" s="67" t="str">
        <f>IFERROR(__xludf.DUMMYFUNCTION("""COMPUTED_VALUE"""),"HELPER TYRE")</f>
        <v>HELPER TYRE</v>
      </c>
      <c r="G467" s="67" t="str">
        <f>IFERROR(__xludf.DUMMYFUNCTION("""COMPUTED_VALUE"""),"WORKSHOP")</f>
        <v>WORKSHOP</v>
      </c>
      <c r="H467" s="67" t="str">
        <f>IFERROR(__xludf.DUMMYFUNCTION("""COMPUTED_VALUE"""),"[0106190928] NATAN KONDO")</f>
        <v>[0106190928] NATAN KONDO</v>
      </c>
      <c r="I467" s="69"/>
      <c r="J467" s="70" t="str">
        <f t="shared" si="1"/>
        <v>[206231779] TAUFIK MUSJINJA</v>
      </c>
      <c r="K467" s="67"/>
      <c r="L467" s="67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</row>
    <row r="468">
      <c r="A468" s="67">
        <f>IFERROR(__xludf.DUMMYFUNCTION("""COMPUTED_VALUE"""),1.07190949E8)</f>
        <v>107190949</v>
      </c>
      <c r="B468" s="67" t="str">
        <f>IFERROR(__xludf.DUMMYFUNCTION("""COMPUTED_VALUE"""),"TAUFIQ HIDAYAT")</f>
        <v>TAUFIQ HIDAYAT</v>
      </c>
      <c r="C468" s="67">
        <f>IFERROR(__xludf.DUMMYFUNCTION("""COMPUTED_VALUE"""),24.0)</f>
        <v>24</v>
      </c>
      <c r="D468" s="68" t="str">
        <f>IFERROR(__xludf.DUMMYFUNCTION("""COMPUTED_VALUE"""),"Islam")</f>
        <v>Islam</v>
      </c>
      <c r="E468" s="67" t="str">
        <f>IFERROR(__xludf.DUMMYFUNCTION("""COMPUTED_VALUE"""),"CV. SENTOSA ABADI")</f>
        <v>CV. SENTOSA ABADI</v>
      </c>
      <c r="F468" s="67" t="str">
        <f>IFERROR(__xludf.DUMMYFUNCTION("""COMPUTED_VALUE"""),"DRIVER LV")</f>
        <v>DRIVER LV</v>
      </c>
      <c r="G468" s="67" t="str">
        <f>IFERROR(__xludf.DUMMYFUNCTION("""COMPUTED_VALUE"""),"KENDARAAN &amp; UNIT SUPPORT")</f>
        <v>KENDARAAN &amp; UNIT SUPPORT</v>
      </c>
      <c r="H468" s="67" t="str">
        <f>IFERROR(__xludf.DUMMYFUNCTION("""COMPUTED_VALUE"""),"[0102150004] NAFTALI RARE'A, ST")</f>
        <v>[0102150004] NAFTALI RARE'A, ST</v>
      </c>
      <c r="I468" s="69"/>
      <c r="J468" s="70" t="str">
        <f t="shared" si="1"/>
        <v>[107190949] TAUFIQ HIDAYAT</v>
      </c>
      <c r="K468" s="67"/>
      <c r="L468" s="67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</row>
    <row r="469">
      <c r="A469" s="67">
        <f>IFERROR(__xludf.DUMMYFUNCTION("""COMPUTED_VALUE"""),1.04211382E8)</f>
        <v>104211382</v>
      </c>
      <c r="B469" s="67" t="str">
        <f>IFERROR(__xludf.DUMMYFUNCTION("""COMPUTED_VALUE"""),"THAMRIN LAIDA")</f>
        <v>THAMRIN LAIDA</v>
      </c>
      <c r="C469" s="67">
        <f>IFERROR(__xludf.DUMMYFUNCTION("""COMPUTED_VALUE"""),55.0)</f>
        <v>55</v>
      </c>
      <c r="D469" s="68" t="str">
        <f>IFERROR(__xludf.DUMMYFUNCTION("""COMPUTED_VALUE"""),"Kristen Protestan")</f>
        <v>Kristen Protestan</v>
      </c>
      <c r="E469" s="67" t="str">
        <f>IFERROR(__xludf.DUMMYFUNCTION("""COMPUTED_VALUE"""),"CV. SENTOSA ABADI")</f>
        <v>CV. SENTOSA ABADI</v>
      </c>
      <c r="F469" s="67" t="str">
        <f>IFERROR(__xludf.DUMMYFUNCTION("""COMPUTED_VALUE"""),"DRIVER DT H700ZY")</f>
        <v>DRIVER DT H700ZY</v>
      </c>
      <c r="G469" s="67" t="str">
        <f>IFERROR(__xludf.DUMMYFUNCTION("""COMPUTED_VALUE"""),"KENDARAAN &amp; UNIT SUPPORT")</f>
        <v>KENDARAAN &amp; UNIT SUPPORT</v>
      </c>
      <c r="H469" s="67" t="str">
        <f>IFERROR(__xludf.DUMMYFUNCTION("""COMPUTED_VALUE"""),"[0102150004] NAFTALI RARE'A, ST")</f>
        <v>[0102150004] NAFTALI RARE'A, ST</v>
      </c>
      <c r="I469" s="69"/>
      <c r="J469" s="70" t="str">
        <f t="shared" si="1"/>
        <v>[104211382] THAMRIN LAIDA</v>
      </c>
      <c r="K469" s="67"/>
      <c r="L469" s="67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</row>
    <row r="470">
      <c r="A470" s="67">
        <f>IFERROR(__xludf.DUMMYFUNCTION("""COMPUTED_VALUE"""),1.05211411E8)</f>
        <v>105211411</v>
      </c>
      <c r="B470" s="67" t="str">
        <f>IFERROR(__xludf.DUMMYFUNCTION("""COMPUTED_VALUE"""),"THEOFILUS KALENGKE")</f>
        <v>THEOFILUS KALENGKE</v>
      </c>
      <c r="C470" s="67">
        <f>IFERROR(__xludf.DUMMYFUNCTION("""COMPUTED_VALUE"""),25.0)</f>
        <v>25</v>
      </c>
      <c r="D470" s="68" t="str">
        <f>IFERROR(__xludf.DUMMYFUNCTION("""COMPUTED_VALUE"""),"Kristen Protestan")</f>
        <v>Kristen Protestan</v>
      </c>
      <c r="E470" s="67" t="str">
        <f>IFERROR(__xludf.DUMMYFUNCTION("""COMPUTED_VALUE"""),"CV. SENTOSA ABADI")</f>
        <v>CV. SENTOSA ABADI</v>
      </c>
      <c r="F470" s="67" t="str">
        <f>IFERROR(__xludf.DUMMYFUNCTION("""COMPUTED_VALUE"""),"HELPER MECHANIC MAINTENANCE")</f>
        <v>HELPER MECHANIC MAINTENANCE</v>
      </c>
      <c r="G470" s="67" t="str">
        <f>IFERROR(__xludf.DUMMYFUNCTION("""COMPUTED_VALUE"""),"WORKSHOP")</f>
        <v>WORKSHOP</v>
      </c>
      <c r="H470" s="67" t="str">
        <f>IFERROR(__xludf.DUMMYFUNCTION("""COMPUTED_VALUE"""),"FALSE")</f>
        <v>FALSE</v>
      </c>
      <c r="I470" s="69"/>
      <c r="J470" s="70" t="str">
        <f t="shared" si="1"/>
        <v>[105211411] THEOFILUS KALENGKE</v>
      </c>
      <c r="K470" s="67"/>
      <c r="L470" s="67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</row>
    <row r="471">
      <c r="A471" s="67">
        <f>IFERROR(__xludf.DUMMYFUNCTION("""COMPUTED_VALUE"""),2.07160685E8)</f>
        <v>207160685</v>
      </c>
      <c r="B471" s="67" t="str">
        <f>IFERROR(__xludf.DUMMYFUNCTION("""COMPUTED_VALUE"""),"THOMAS TARU")</f>
        <v>THOMAS TARU</v>
      </c>
      <c r="C471" s="67">
        <f>IFERROR(__xludf.DUMMYFUNCTION("""COMPUTED_VALUE"""),49.0)</f>
        <v>49</v>
      </c>
      <c r="D471" s="68" t="str">
        <f>IFERROR(__xludf.DUMMYFUNCTION("""COMPUTED_VALUE"""),"Kristen Khatolik")</f>
        <v>Kristen Khatolik</v>
      </c>
      <c r="E471" s="67" t="str">
        <f>IFERROR(__xludf.DUMMYFUNCTION("""COMPUTED_VALUE"""),"CV. Adil Prima Perkasa")</f>
        <v>CV. Adil Prima Perkasa</v>
      </c>
      <c r="F471" s="67" t="str">
        <f>IFERROR(__xludf.DUMMYFUNCTION("""COMPUTED_VALUE"""),"OPERATOR BULLDOZER")</f>
        <v>OPERATOR BULLDOZER</v>
      </c>
      <c r="G471" s="67" t="str">
        <f>IFERROR(__xludf.DUMMYFUNCTION("""COMPUTED_VALUE"""),"PRODUKSI")</f>
        <v>PRODUKSI</v>
      </c>
      <c r="H471" s="67" t="str">
        <f>IFERROR(__xludf.DUMMYFUNCTION("""COMPUTED_VALUE"""),"[0102130003] PURNAWAN")</f>
        <v>[0102130003] PURNAWAN</v>
      </c>
      <c r="I471" s="69">
        <f>IFERROR(__xludf.DUMMYFUNCTION("""COMPUTED_VALUE"""),28775.0)</f>
        <v>28775</v>
      </c>
      <c r="J471" s="70" t="str">
        <f t="shared" si="1"/>
        <v>[207160685] THOMAS TARU</v>
      </c>
      <c r="K471" s="67"/>
      <c r="L471" s="67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</row>
    <row r="472">
      <c r="A472" s="67"/>
      <c r="B472" s="67" t="str">
        <f>IFERROR(__xludf.DUMMYFUNCTION("""COMPUTED_VALUE"""),"Tiara Maharani")</f>
        <v>Tiara Maharani</v>
      </c>
      <c r="C472" s="67">
        <f>IFERROR(__xludf.DUMMYFUNCTION("""COMPUTED_VALUE"""),23.0)</f>
        <v>23</v>
      </c>
      <c r="D472" s="68" t="str">
        <f>IFERROR(__xludf.DUMMYFUNCTION("""COMPUTED_VALUE"""),"Islam")</f>
        <v>Islam</v>
      </c>
      <c r="E472" s="67" t="str">
        <f>IFERROR(__xludf.DUMMYFUNCTION("""COMPUTED_VALUE"""),"CV. SENTOSA ABADI")</f>
        <v>CV. SENTOSA ABADI</v>
      </c>
      <c r="F472" s="67" t="str">
        <f>IFERROR(__xludf.DUMMYFUNCTION("""COMPUTED_VALUE"""),"FALSE")</f>
        <v>FALSE</v>
      </c>
      <c r="G472" s="67" t="str">
        <f>IFERROR(__xludf.DUMMYFUNCTION("""COMPUTED_VALUE"""),"FALSE")</f>
        <v>FALSE</v>
      </c>
      <c r="H472" s="67" t="str">
        <f>IFERROR(__xludf.DUMMYFUNCTION("""COMPUTED_VALUE"""),"FALSE")</f>
        <v>FALSE</v>
      </c>
      <c r="I472" s="69"/>
      <c r="J472" s="70" t="str">
        <f t="shared" si="1"/>
        <v>[] Tiara Maharani</v>
      </c>
      <c r="K472" s="67"/>
      <c r="L472" s="67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</row>
    <row r="473">
      <c r="A473" s="67">
        <f>IFERROR(__xludf.DUMMYFUNCTION("""COMPUTED_VALUE"""),2.06221653E8)</f>
        <v>206221653</v>
      </c>
      <c r="B473" s="67" t="str">
        <f>IFERROR(__xludf.DUMMYFUNCTION("""COMPUTED_VALUE"""),"UJANG SETIAWAN")</f>
        <v>UJANG SETIAWAN</v>
      </c>
      <c r="C473" s="67">
        <f>IFERROR(__xludf.DUMMYFUNCTION("""COMPUTED_VALUE"""),41.0)</f>
        <v>41</v>
      </c>
      <c r="D473" s="68" t="str">
        <f>IFERROR(__xludf.DUMMYFUNCTION("""COMPUTED_VALUE"""),"Kristen Protestan")</f>
        <v>Kristen Protestan</v>
      </c>
      <c r="E473" s="67" t="str">
        <f>IFERROR(__xludf.DUMMYFUNCTION("""COMPUTED_VALUE"""),"CV. Adil Prima Perkasa")</f>
        <v>CV. Adil Prima Perkasa</v>
      </c>
      <c r="F473" s="67" t="str">
        <f>IFERROR(__xludf.DUMMYFUNCTION("""COMPUTED_VALUE"""),"DRIVER DT H700ZY")</f>
        <v>DRIVER DT H700ZY</v>
      </c>
      <c r="G473" s="67" t="str">
        <f>IFERROR(__xludf.DUMMYFUNCTION("""COMPUTED_VALUE"""),"KENDARAAN &amp; UNIT SUPPORT")</f>
        <v>KENDARAAN &amp; UNIT SUPPORT</v>
      </c>
      <c r="H473" s="67" t="str">
        <f>IFERROR(__xludf.DUMMYFUNCTION("""COMPUTED_VALUE"""),"[0102150004] NAFTALI RARE'A, ST")</f>
        <v>[0102150004] NAFTALI RARE'A, ST</v>
      </c>
      <c r="I473" s="69">
        <f>IFERROR(__xludf.DUMMYFUNCTION("""COMPUTED_VALUE"""),32288.0)</f>
        <v>32288</v>
      </c>
      <c r="J473" s="70" t="str">
        <f t="shared" si="1"/>
        <v>[206221653] UJANG SETIAWAN</v>
      </c>
      <c r="K473" s="67"/>
      <c r="L473" s="67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</row>
    <row r="474">
      <c r="A474" s="67">
        <f>IFERROR(__xludf.DUMMYFUNCTION("""COMPUTED_VALUE"""),1.09211493E8)</f>
        <v>109211493</v>
      </c>
      <c r="B474" s="67" t="str">
        <f>IFERROR(__xludf.DUMMYFUNCTION("""COMPUTED_VALUE"""),"VENDLY TADJAMAWO")</f>
        <v>VENDLY TADJAMAWO</v>
      </c>
      <c r="C474" s="67">
        <f>IFERROR(__xludf.DUMMYFUNCTION("""COMPUTED_VALUE"""),32.0)</f>
        <v>32</v>
      </c>
      <c r="D474" s="68" t="str">
        <f>IFERROR(__xludf.DUMMYFUNCTION("""COMPUTED_VALUE"""),"Kristen Protestan")</f>
        <v>Kristen Protestan</v>
      </c>
      <c r="E474" s="67" t="str">
        <f>IFERROR(__xludf.DUMMYFUNCTION("""COMPUTED_VALUE"""),"CV. SENTOSA ABADI")</f>
        <v>CV. SENTOSA ABADI</v>
      </c>
      <c r="F474" s="67" t="str">
        <f>IFERROR(__xludf.DUMMYFUNCTION("""COMPUTED_VALUE"""),"HELPER TYRE")</f>
        <v>HELPER TYRE</v>
      </c>
      <c r="G474" s="67" t="str">
        <f>IFERROR(__xludf.DUMMYFUNCTION("""COMPUTED_VALUE"""),"WORKSHOP")</f>
        <v>WORKSHOP</v>
      </c>
      <c r="H474" s="67" t="str">
        <f>IFERROR(__xludf.DUMMYFUNCTION("""COMPUTED_VALUE"""),"[0102120144] JUFRY KOMALING")</f>
        <v>[0102120144] JUFRY KOMALING</v>
      </c>
      <c r="I474" s="69"/>
      <c r="J474" s="70" t="str">
        <f t="shared" si="1"/>
        <v>[109211493] VENDLY TADJAMAWO</v>
      </c>
      <c r="K474" s="67"/>
      <c r="L474" s="67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</row>
    <row r="475">
      <c r="A475" s="67">
        <f>IFERROR(__xludf.DUMMYFUNCTION("""COMPUTED_VALUE"""),1.06160285E8)</f>
        <v>106160285</v>
      </c>
      <c r="B475" s="67" t="str">
        <f>IFERROR(__xludf.DUMMYFUNCTION("""COMPUTED_VALUE"""),"VIKTOR RARE`A")</f>
        <v>VIKTOR RARE`A</v>
      </c>
      <c r="C475" s="67">
        <f>IFERROR(__xludf.DUMMYFUNCTION("""COMPUTED_VALUE"""),28.0)</f>
        <v>28</v>
      </c>
      <c r="D475" s="68" t="str">
        <f>IFERROR(__xludf.DUMMYFUNCTION("""COMPUTED_VALUE"""),"Kristen Protestan")</f>
        <v>Kristen Protestan</v>
      </c>
      <c r="E475" s="67" t="str">
        <f>IFERROR(__xludf.DUMMYFUNCTION("""COMPUTED_VALUE"""),"CV. SENTOSA ABADI")</f>
        <v>CV. SENTOSA ABADI</v>
      </c>
      <c r="F475" s="67" t="str">
        <f>IFERROR(__xludf.DUMMYFUNCTION("""COMPUTED_VALUE"""),"FOREMAN PRODUKSI")</f>
        <v>FOREMAN PRODUKSI</v>
      </c>
      <c r="G475" s="67" t="str">
        <f>IFERROR(__xludf.DUMMYFUNCTION("""COMPUTED_VALUE"""),"PRODUKSI")</f>
        <v>PRODUKSI</v>
      </c>
      <c r="H475" s="67" t="str">
        <f>IFERROR(__xludf.DUMMYFUNCTION("""COMPUTED_VALUE"""),"FALSE")</f>
        <v>FALSE</v>
      </c>
      <c r="I475" s="69"/>
      <c r="J475" s="70" t="str">
        <f t="shared" si="1"/>
        <v>[106160285] VIKTOR RARE`A</v>
      </c>
      <c r="K475" s="67"/>
      <c r="L475" s="67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</row>
    <row r="476">
      <c r="A476" s="67"/>
      <c r="B476" s="67" t="str">
        <f>IFERROR(__xludf.DUMMYFUNCTION("""COMPUTED_VALUE"""),"WAHYU")</f>
        <v>WAHYU</v>
      </c>
      <c r="C476" s="67">
        <f>IFERROR(__xludf.DUMMYFUNCTION("""COMPUTED_VALUE"""),0.0)</f>
        <v>0</v>
      </c>
      <c r="D476" s="68"/>
      <c r="E476" s="67" t="str">
        <f>IFERROR(__xludf.DUMMYFUNCTION("""COMPUTED_VALUE"""),"CV. Adil Prima Perkasa")</f>
        <v>CV. Adil Prima Perkasa</v>
      </c>
      <c r="F476" s="67" t="str">
        <f>IFERROR(__xludf.DUMMYFUNCTION("""COMPUTED_VALUE"""),"FALSE")</f>
        <v>FALSE</v>
      </c>
      <c r="G476" s="67" t="str">
        <f>IFERROR(__xludf.DUMMYFUNCTION("""COMPUTED_VALUE"""),"FALSE")</f>
        <v>FALSE</v>
      </c>
      <c r="H476" s="67" t="str">
        <f>IFERROR(__xludf.DUMMYFUNCTION("""COMPUTED_VALUE"""),"FALSE")</f>
        <v>FALSE</v>
      </c>
      <c r="I476" s="69"/>
      <c r="J476" s="70" t="str">
        <f t="shared" si="1"/>
        <v>[] WAHYU</v>
      </c>
      <c r="K476" s="67"/>
      <c r="L476" s="67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</row>
    <row r="477">
      <c r="A477" s="67">
        <f>IFERROR(__xludf.DUMMYFUNCTION("""COMPUTED_VALUE"""),1.11231858E8)</f>
        <v>111231858</v>
      </c>
      <c r="B477" s="67" t="str">
        <f>IFERROR(__xludf.DUMMYFUNCTION("""COMPUTED_VALUE"""),"WAHYU HADI PURNOMO")</f>
        <v>WAHYU HADI PURNOMO</v>
      </c>
      <c r="C477" s="67">
        <f>IFERROR(__xludf.DUMMYFUNCTION("""COMPUTED_VALUE"""),0.0)</f>
        <v>0</v>
      </c>
      <c r="D477" s="68"/>
      <c r="E477" s="67" t="str">
        <f>IFERROR(__xludf.DUMMYFUNCTION("""COMPUTED_VALUE"""),"CV. SENTOSA ABADI")</f>
        <v>CV. SENTOSA ABADI</v>
      </c>
      <c r="F477" s="67" t="str">
        <f>IFERROR(__xludf.DUMMYFUNCTION("""COMPUTED_VALUE"""),"CREW SURVEY")</f>
        <v>CREW SURVEY</v>
      </c>
      <c r="G477" s="67" t="str">
        <f>IFERROR(__xludf.DUMMYFUNCTION("""COMPUTED_VALUE"""),"MPE")</f>
        <v>MPE</v>
      </c>
      <c r="H477" s="67" t="str">
        <f>IFERROR(__xludf.DUMMYFUNCTION("""COMPUTED_VALUE"""),"[0102150007] EKY SIDIK PRATAMA, ST")</f>
        <v>[0102150007] EKY SIDIK PRATAMA, ST</v>
      </c>
      <c r="I477" s="69"/>
      <c r="J477" s="70" t="str">
        <f t="shared" si="1"/>
        <v>[111231858] WAHYU HADI PURNOMO</v>
      </c>
      <c r="K477" s="67"/>
      <c r="L477" s="67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</row>
    <row r="478">
      <c r="A478" s="67">
        <f>IFERROR(__xludf.DUMMYFUNCTION("""COMPUTED_VALUE"""),2.11180649E8)</f>
        <v>211180649</v>
      </c>
      <c r="B478" s="67" t="str">
        <f>IFERROR(__xludf.DUMMYFUNCTION("""COMPUTED_VALUE"""),"WAWAN IBRAHIM")</f>
        <v>WAWAN IBRAHIM</v>
      </c>
      <c r="C478" s="67">
        <f>IFERROR(__xludf.DUMMYFUNCTION("""COMPUTED_VALUE"""),30.0)</f>
        <v>30</v>
      </c>
      <c r="D478" s="68" t="str">
        <f>IFERROR(__xludf.DUMMYFUNCTION("""COMPUTED_VALUE"""),"Islam")</f>
        <v>Islam</v>
      </c>
      <c r="E478" s="67" t="str">
        <f>IFERROR(__xludf.DUMMYFUNCTION("""COMPUTED_VALUE"""),"CV. Adil Prima Perkasa")</f>
        <v>CV. Adil Prima Perkasa</v>
      </c>
      <c r="F478" s="67" t="str">
        <f>IFERROR(__xludf.DUMMYFUNCTION("""COMPUTED_VALUE"""),"ADMIN GRADE CONTROL")</f>
        <v>ADMIN GRADE CONTROL</v>
      </c>
      <c r="G478" s="67" t="str">
        <f>IFERROR(__xludf.DUMMYFUNCTION("""COMPUTED_VALUE"""),"GRADE CONTROL")</f>
        <v>GRADE CONTROL</v>
      </c>
      <c r="H478" s="67" t="str">
        <f>IFERROR(__xludf.DUMMYFUNCTION("""COMPUTED_VALUE"""),"[0107201164] A.CHRISTI ARI WIBOWO")</f>
        <v>[0107201164] A.CHRISTI ARI WIBOWO</v>
      </c>
      <c r="I478" s="69"/>
      <c r="J478" s="70" t="str">
        <f t="shared" si="1"/>
        <v>[211180649] WAWAN IBRAHIM</v>
      </c>
      <c r="K478" s="67"/>
      <c r="L478" s="67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</row>
    <row r="479">
      <c r="A479" s="67">
        <f>IFERROR(__xludf.DUMMYFUNCTION("""COMPUTED_VALUE"""),2.09231833E8)</f>
        <v>209231833</v>
      </c>
      <c r="B479" s="67" t="str">
        <f>IFERROR(__xludf.DUMMYFUNCTION("""COMPUTED_VALUE"""),"WELYANTO POHU")</f>
        <v>WELYANTO POHU</v>
      </c>
      <c r="C479" s="67">
        <f>IFERROR(__xludf.DUMMYFUNCTION("""COMPUTED_VALUE"""),0.0)</f>
        <v>0</v>
      </c>
      <c r="D479" s="68" t="str">
        <f>IFERROR(__xludf.DUMMYFUNCTION("""COMPUTED_VALUE"""),"Kristen Protestan")</f>
        <v>Kristen Protestan</v>
      </c>
      <c r="E479" s="67" t="str">
        <f>IFERROR(__xludf.DUMMYFUNCTION("""COMPUTED_VALUE"""),"CV. Adil Prima Perkasa")</f>
        <v>CV. Adil Prima Perkasa</v>
      </c>
      <c r="F479" s="67" t="str">
        <f>IFERROR(__xludf.DUMMYFUNCTION("""COMPUTED_VALUE"""),"DRIVER LV")</f>
        <v>DRIVER LV</v>
      </c>
      <c r="G479" s="67" t="str">
        <f>IFERROR(__xludf.DUMMYFUNCTION("""COMPUTED_VALUE"""),"KENDARAAN &amp; UNIT SUPPORT")</f>
        <v>KENDARAAN &amp; UNIT SUPPORT</v>
      </c>
      <c r="H479" s="67" t="str">
        <f>IFERROR(__xludf.DUMMYFUNCTION("""COMPUTED_VALUE"""),"[0102150004] NAFTALI RARE'A, ST")</f>
        <v>[0102150004] NAFTALI RARE'A, ST</v>
      </c>
      <c r="I479" s="69">
        <f>IFERROR(__xludf.DUMMYFUNCTION("""COMPUTED_VALUE"""),30929.0)</f>
        <v>30929</v>
      </c>
      <c r="J479" s="70" t="str">
        <f t="shared" si="1"/>
        <v>[209231833] WELYANTO POHU</v>
      </c>
      <c r="K479" s="67"/>
      <c r="L479" s="67"/>
      <c r="M479" s="67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</row>
    <row r="480">
      <c r="A480" s="67">
        <f>IFERROR(__xludf.DUMMYFUNCTION("""COMPUTED_VALUE"""),2.04190812E8)</f>
        <v>204190812</v>
      </c>
      <c r="B480" s="67" t="str">
        <f>IFERROR(__xludf.DUMMYFUNCTION("""COMPUTED_VALUE"""),"WENI PASAMBAKA")</f>
        <v>WENI PASAMBAKA</v>
      </c>
      <c r="C480" s="67">
        <f>IFERROR(__xludf.DUMMYFUNCTION("""COMPUTED_VALUE"""),55.0)</f>
        <v>55</v>
      </c>
      <c r="D480" s="68" t="str">
        <f>IFERROR(__xludf.DUMMYFUNCTION("""COMPUTED_VALUE"""),"Kristen Protestan")</f>
        <v>Kristen Protestan</v>
      </c>
      <c r="E480" s="67" t="str">
        <f>IFERROR(__xludf.DUMMYFUNCTION("""COMPUTED_VALUE"""),"CV. Adil Prima Perkasa")</f>
        <v>CV. Adil Prima Perkasa</v>
      </c>
      <c r="F480" s="67" t="str">
        <f>IFERROR(__xludf.DUMMYFUNCTION("""COMPUTED_VALUE"""),"DRIVER DT H700ZY")</f>
        <v>DRIVER DT H700ZY</v>
      </c>
      <c r="G480" s="67" t="str">
        <f>IFERROR(__xludf.DUMMYFUNCTION("""COMPUTED_VALUE"""),"KENDARAAN &amp; UNIT SUPPORT")</f>
        <v>KENDARAAN &amp; UNIT SUPPORT</v>
      </c>
      <c r="H480" s="67" t="str">
        <f>IFERROR(__xludf.DUMMYFUNCTION("""COMPUTED_VALUE"""),"[0102150004] NAFTALI RARE'A, ST")</f>
        <v>[0102150004] NAFTALI RARE'A, ST</v>
      </c>
      <c r="I480" s="69">
        <f>IFERROR(__xludf.DUMMYFUNCTION("""COMPUTED_VALUE"""),25127.0)</f>
        <v>25127</v>
      </c>
      <c r="J480" s="70" t="str">
        <f t="shared" si="1"/>
        <v>[204190812] WENI PASAMBAKA</v>
      </c>
      <c r="K480" s="67"/>
      <c r="L480" s="67"/>
      <c r="M480" s="67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</row>
    <row r="481">
      <c r="A481" s="67">
        <f>IFERROR(__xludf.DUMMYFUNCTION("""COMPUTED_VALUE"""),2.10191092E8)</f>
        <v>210191092</v>
      </c>
      <c r="B481" s="67" t="str">
        <f>IFERROR(__xludf.DUMMYFUNCTION("""COMPUTED_VALUE"""),"WILHELMUS WAWO")</f>
        <v>WILHELMUS WAWO</v>
      </c>
      <c r="C481" s="67">
        <f>IFERROR(__xludf.DUMMYFUNCTION("""COMPUTED_VALUE"""),26.0)</f>
        <v>26</v>
      </c>
      <c r="D481" s="68" t="str">
        <f>IFERROR(__xludf.DUMMYFUNCTION("""COMPUTED_VALUE"""),"Kristen Protestan")</f>
        <v>Kristen Protestan</v>
      </c>
      <c r="E481" s="67" t="str">
        <f>IFERROR(__xludf.DUMMYFUNCTION("""COMPUTED_VALUE"""),"CV. Adil Prima Perkasa")</f>
        <v>CV. Adil Prima Perkasa</v>
      </c>
      <c r="F481" s="67" t="str">
        <f>IFERROR(__xludf.DUMMYFUNCTION("""COMPUTED_VALUE"""),"OPERATOR BULLDOZER")</f>
        <v>OPERATOR BULLDOZER</v>
      </c>
      <c r="G481" s="67" t="str">
        <f>IFERROR(__xludf.DUMMYFUNCTION("""COMPUTED_VALUE"""),"PRODUKSI")</f>
        <v>PRODUKSI</v>
      </c>
      <c r="H481" s="67" t="str">
        <f>IFERROR(__xludf.DUMMYFUNCTION("""COMPUTED_VALUE"""),"[0102130003] PURNAWAN")</f>
        <v>[0102130003] PURNAWAN</v>
      </c>
      <c r="I481" s="69"/>
      <c r="J481" s="70" t="str">
        <f t="shared" si="1"/>
        <v>[210191092] WILHELMUS WAWO</v>
      </c>
      <c r="K481" s="67"/>
      <c r="L481" s="67"/>
      <c r="M481" s="67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</row>
    <row r="482">
      <c r="A482" s="67">
        <f>IFERROR(__xludf.DUMMYFUNCTION("""COMPUTED_VALUE"""),2.02221593E8)</f>
        <v>202221593</v>
      </c>
      <c r="B482" s="67" t="str">
        <f>IFERROR(__xludf.DUMMYFUNCTION("""COMPUTED_VALUE"""),"WILLIAM HANDRI O")</f>
        <v>WILLIAM HANDRI O</v>
      </c>
      <c r="C482" s="67">
        <f>IFERROR(__xludf.DUMMYFUNCTION("""COMPUTED_VALUE"""),25.0)</f>
        <v>25</v>
      </c>
      <c r="D482" s="68" t="str">
        <f>IFERROR(__xludf.DUMMYFUNCTION("""COMPUTED_VALUE"""),"Kristen Protestan")</f>
        <v>Kristen Protestan</v>
      </c>
      <c r="E482" s="67" t="str">
        <f>IFERROR(__xludf.DUMMYFUNCTION("""COMPUTED_VALUE"""),"CV. Adil Prima Perkasa")</f>
        <v>CV. Adil Prima Perkasa</v>
      </c>
      <c r="F482" s="67" t="str">
        <f>IFERROR(__xludf.DUMMYFUNCTION("""COMPUTED_VALUE"""),"DRIVER LV")</f>
        <v>DRIVER LV</v>
      </c>
      <c r="G482" s="67" t="str">
        <f>IFERROR(__xludf.DUMMYFUNCTION("""COMPUTED_VALUE"""),"KENDARAAN &amp; UNIT SUPPORT")</f>
        <v>KENDARAAN &amp; UNIT SUPPORT</v>
      </c>
      <c r="H482" s="67" t="str">
        <f>IFERROR(__xludf.DUMMYFUNCTION("""COMPUTED_VALUE"""),"[0102150004] NAFTALI RARE'A, ST")</f>
        <v>[0102150004] NAFTALI RARE'A, ST</v>
      </c>
      <c r="I482" s="69"/>
      <c r="J482" s="70" t="str">
        <f t="shared" si="1"/>
        <v>[202221593] WILLIAM HANDRI O</v>
      </c>
      <c r="K482" s="67"/>
      <c r="L482" s="67"/>
      <c r="M482" s="67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</row>
    <row r="483">
      <c r="A483" s="67">
        <f>IFERROR(__xludf.DUMMYFUNCTION("""COMPUTED_VALUE"""),2.10180648E8)</f>
        <v>210180648</v>
      </c>
      <c r="B483" s="67" t="str">
        <f>IFERROR(__xludf.DUMMYFUNCTION("""COMPUTED_VALUE"""),"WIWIN")</f>
        <v>WIWIN</v>
      </c>
      <c r="C483" s="67">
        <f>IFERROR(__xludf.DUMMYFUNCTION("""COMPUTED_VALUE"""),23.0)</f>
        <v>23</v>
      </c>
      <c r="D483" s="68" t="str">
        <f>IFERROR(__xludf.DUMMYFUNCTION("""COMPUTED_VALUE"""),"Kristen Protestan")</f>
        <v>Kristen Protestan</v>
      </c>
      <c r="E483" s="67" t="str">
        <f>IFERROR(__xludf.DUMMYFUNCTION("""COMPUTED_VALUE"""),"CV. Adil Prima Perkasa")</f>
        <v>CV. Adil Prima Perkasa</v>
      </c>
      <c r="F483" s="67" t="str">
        <f>IFERROR(__xludf.DUMMYFUNCTION("""COMPUTED_VALUE"""),"ASISTEN SURVEYOR")</f>
        <v>ASISTEN SURVEYOR</v>
      </c>
      <c r="G483" s="67" t="str">
        <f>IFERROR(__xludf.DUMMYFUNCTION("""COMPUTED_VALUE"""),"MPE")</f>
        <v>MPE</v>
      </c>
      <c r="H483" s="67" t="str">
        <f>IFERROR(__xludf.DUMMYFUNCTION("""COMPUTED_VALUE"""),"[0102150008] ERWIN SAPA")</f>
        <v>[0102150008] ERWIN SAPA</v>
      </c>
      <c r="I483" s="69"/>
      <c r="J483" s="70" t="str">
        <f t="shared" si="1"/>
        <v>[210180648] WIWIN</v>
      </c>
      <c r="K483" s="67"/>
      <c r="L483" s="67"/>
      <c r="M483" s="67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</row>
    <row r="484">
      <c r="A484" s="67">
        <f>IFERROR(__xludf.DUMMYFUNCTION("""COMPUTED_VALUE"""),1.09191065E8)</f>
        <v>109191065</v>
      </c>
      <c r="B484" s="67" t="str">
        <f>IFERROR(__xludf.DUMMYFUNCTION("""COMPUTED_VALUE"""),"YAFET SUMBOUW")</f>
        <v>YAFET SUMBOUW</v>
      </c>
      <c r="C484" s="67">
        <f>IFERROR(__xludf.DUMMYFUNCTION("""COMPUTED_VALUE"""),35.0)</f>
        <v>35</v>
      </c>
      <c r="D484" s="68" t="str">
        <f>IFERROR(__xludf.DUMMYFUNCTION("""COMPUTED_VALUE"""),"Kristen Protestan")</f>
        <v>Kristen Protestan</v>
      </c>
      <c r="E484" s="67" t="str">
        <f>IFERROR(__xludf.DUMMYFUNCTION("""COMPUTED_VALUE"""),"CV. SENTOSA ABADI")</f>
        <v>CV. SENTOSA ABADI</v>
      </c>
      <c r="F484" s="67" t="str">
        <f>IFERROR(__xludf.DUMMYFUNCTION("""COMPUTED_VALUE"""),"OPERATOR EXCAVATOR")</f>
        <v>OPERATOR EXCAVATOR</v>
      </c>
      <c r="G484" s="67" t="str">
        <f>IFERROR(__xludf.DUMMYFUNCTION("""COMPUTED_VALUE"""),"PRODUKSI")</f>
        <v>PRODUKSI</v>
      </c>
      <c r="H484" s="67" t="str">
        <f>IFERROR(__xludf.DUMMYFUNCTION("""COMPUTED_VALUE"""),"FALSE")</f>
        <v>FALSE</v>
      </c>
      <c r="I484" s="69"/>
      <c r="J484" s="70" t="str">
        <f t="shared" si="1"/>
        <v>[109191065] YAFET SUMBOUW</v>
      </c>
      <c r="K484" s="67"/>
      <c r="L484" s="67"/>
      <c r="M484" s="67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</row>
    <row r="485">
      <c r="A485" s="67">
        <f>IFERROR(__xludf.DUMMYFUNCTION("""COMPUTED_VALUE"""),2.12231874E8)</f>
        <v>212231874</v>
      </c>
      <c r="B485" s="67" t="str">
        <f>IFERROR(__xludf.DUMMYFUNCTION("""COMPUTED_VALUE"""),"YAKMAN SUMA")</f>
        <v>YAKMAN SUMA</v>
      </c>
      <c r="C485" s="67">
        <f>IFERROR(__xludf.DUMMYFUNCTION("""COMPUTED_VALUE"""),45.0)</f>
        <v>45</v>
      </c>
      <c r="D485" s="68" t="str">
        <f>IFERROR(__xludf.DUMMYFUNCTION("""COMPUTED_VALUE"""),"Islam")</f>
        <v>Islam</v>
      </c>
      <c r="E485" s="67" t="str">
        <f>IFERROR(__xludf.DUMMYFUNCTION("""COMPUTED_VALUE"""),"CV. Adil Prima Perkasa")</f>
        <v>CV. Adil Prima Perkasa</v>
      </c>
      <c r="F485" s="67" t="str">
        <f>IFERROR(__xludf.DUMMYFUNCTION("""COMPUTED_VALUE"""),"FOREMAN GRADE CONTROL")</f>
        <v>FOREMAN GRADE CONTROL</v>
      </c>
      <c r="G485" s="67" t="str">
        <f>IFERROR(__xludf.DUMMYFUNCTION("""COMPUTED_VALUE"""),"GRADE CONTROL")</f>
        <v>GRADE CONTROL</v>
      </c>
      <c r="H485" s="67" t="str">
        <f>IFERROR(__xludf.DUMMYFUNCTION("""COMPUTED_VALUE"""),"[0107201164] A.CHRISTI ARI WIBOWO")</f>
        <v>[0107201164] A.CHRISTI ARI WIBOWO</v>
      </c>
      <c r="I485" s="69">
        <f>IFERROR(__xludf.DUMMYFUNCTION("""COMPUTED_VALUE"""),32162.0)</f>
        <v>32162</v>
      </c>
      <c r="J485" s="70" t="str">
        <f t="shared" si="1"/>
        <v>[212231874] YAKMAN SUMA</v>
      </c>
      <c r="K485" s="67"/>
      <c r="L485" s="67"/>
      <c r="M485" s="67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</row>
    <row r="486">
      <c r="A486" s="67">
        <f>IFERROR(__xludf.DUMMYFUNCTION("""COMPUTED_VALUE"""),2.05241931E8)</f>
        <v>205241931</v>
      </c>
      <c r="B486" s="67" t="str">
        <f>IFERROR(__xludf.DUMMYFUNCTION("""COMPUTED_VALUE"""),"YAKUB")</f>
        <v>YAKUB</v>
      </c>
      <c r="C486" s="67">
        <f>IFERROR(__xludf.DUMMYFUNCTION("""COMPUTED_VALUE"""),0.0)</f>
        <v>0</v>
      </c>
      <c r="D486" s="68"/>
      <c r="E486" s="67" t="str">
        <f>IFERROR(__xludf.DUMMYFUNCTION("""COMPUTED_VALUE"""),"CV. Adil Prima Perkasa")</f>
        <v>CV. Adil Prima Perkasa</v>
      </c>
      <c r="F486" s="67" t="str">
        <f>IFERROR(__xludf.DUMMYFUNCTION("""COMPUTED_VALUE"""),"OPERATOR BULLDOZER")</f>
        <v>OPERATOR BULLDOZER</v>
      </c>
      <c r="G486" s="67" t="str">
        <f>IFERROR(__xludf.DUMMYFUNCTION("""COMPUTED_VALUE"""),"PRODUKSI")</f>
        <v>PRODUKSI</v>
      </c>
      <c r="H486" s="67" t="str">
        <f>IFERROR(__xludf.DUMMYFUNCTION("""COMPUTED_VALUE"""),"[0102130003] PURNAWAN")</f>
        <v>[0102130003] PURNAWAN</v>
      </c>
      <c r="I486" s="69"/>
      <c r="J486" s="70" t="str">
        <f t="shared" si="1"/>
        <v>[205241931] YAKUB</v>
      </c>
      <c r="K486" s="67"/>
      <c r="L486" s="67"/>
      <c r="M486" s="67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</row>
    <row r="487">
      <c r="A487" s="67">
        <f>IFERROR(__xludf.DUMMYFUNCTION("""COMPUTED_VALUE"""),3.12200034E8)</f>
        <v>312200034</v>
      </c>
      <c r="B487" s="67" t="str">
        <f>IFERROR(__xludf.DUMMYFUNCTION("""COMPUTED_VALUE"""),"YAKUB")</f>
        <v>YAKUB</v>
      </c>
      <c r="C487" s="67">
        <f>IFERROR(__xludf.DUMMYFUNCTION("""COMPUTED_VALUE"""),37.0)</f>
        <v>37</v>
      </c>
      <c r="D487" s="68" t="str">
        <f>IFERROR(__xludf.DUMMYFUNCTION("""COMPUTED_VALUE"""),"Kristen Protestan")</f>
        <v>Kristen Protestan</v>
      </c>
      <c r="E487" s="67" t="str">
        <f>IFERROR(__xludf.DUMMYFUNCTION("""COMPUTED_VALUE"""),"CV. Monalisa")</f>
        <v>CV. Monalisa</v>
      </c>
      <c r="F487" s="67" t="str">
        <f>IFERROR(__xludf.DUMMYFUNCTION("""COMPUTED_VALUE"""),"OPERATOR BULLDOZER")</f>
        <v>OPERATOR BULLDOZER</v>
      </c>
      <c r="G487" s="67" t="str">
        <f>IFERROR(__xludf.DUMMYFUNCTION("""COMPUTED_VALUE"""),"PRODUKSI")</f>
        <v>PRODUKSI</v>
      </c>
      <c r="H487" s="67" t="str">
        <f>IFERROR(__xludf.DUMMYFUNCTION("""COMPUTED_VALUE"""),"FALSE")</f>
        <v>FALSE</v>
      </c>
      <c r="I487" s="69"/>
      <c r="J487" s="70" t="str">
        <f t="shared" si="1"/>
        <v>[312200034] YAKUB</v>
      </c>
      <c r="K487" s="67"/>
      <c r="L487" s="67"/>
      <c r="M487" s="67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</row>
    <row r="488">
      <c r="A488" s="67">
        <f>IFERROR(__xludf.DUMMYFUNCTION("""COMPUTED_VALUE"""),2.10221685E8)</f>
        <v>210221685</v>
      </c>
      <c r="B488" s="67" t="str">
        <f>IFERROR(__xludf.DUMMYFUNCTION("""COMPUTED_VALUE"""),"YALDI MAULANA GUMELAR")</f>
        <v>YALDI MAULANA GUMELAR</v>
      </c>
      <c r="C488" s="67">
        <f>IFERROR(__xludf.DUMMYFUNCTION("""COMPUTED_VALUE"""),26.0)</f>
        <v>26</v>
      </c>
      <c r="D488" s="68" t="str">
        <f>IFERROR(__xludf.DUMMYFUNCTION("""COMPUTED_VALUE"""),"Islam")</f>
        <v>Islam</v>
      </c>
      <c r="E488" s="67" t="str">
        <f>IFERROR(__xludf.DUMMYFUNCTION("""COMPUTED_VALUE"""),"CV. Adil Prima Perkasa")</f>
        <v>CV. Adil Prima Perkasa</v>
      </c>
      <c r="F488" s="67" t="str">
        <f>IFERROR(__xludf.DUMMYFUNCTION("""COMPUTED_VALUE"""),"ASISTEN SURVEYOR")</f>
        <v>ASISTEN SURVEYOR</v>
      </c>
      <c r="G488" s="67" t="str">
        <f>IFERROR(__xludf.DUMMYFUNCTION("""COMPUTED_VALUE"""),"MPE")</f>
        <v>MPE</v>
      </c>
      <c r="H488" s="67" t="str">
        <f>IFERROR(__xludf.DUMMYFUNCTION("""COMPUTED_VALUE"""),"[0102150007] EKY SIDIK PRATAMA, ST")</f>
        <v>[0102150007] EKY SIDIK PRATAMA, ST</v>
      </c>
      <c r="I488" s="69"/>
      <c r="J488" s="70" t="str">
        <f t="shared" si="1"/>
        <v>[210221685] YALDI MAULANA GUMELAR</v>
      </c>
      <c r="K488" s="67"/>
      <c r="L488" s="67"/>
      <c r="M488" s="67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</row>
    <row r="489">
      <c r="A489" s="67">
        <f>IFERROR(__xludf.DUMMYFUNCTION("""COMPUTED_VALUE"""),1.0619092E8)</f>
        <v>106190920</v>
      </c>
      <c r="B489" s="67" t="str">
        <f>IFERROR(__xludf.DUMMYFUNCTION("""COMPUTED_VALUE"""),"YAMIN")</f>
        <v>YAMIN</v>
      </c>
      <c r="C489" s="67">
        <f>IFERROR(__xludf.DUMMYFUNCTION("""COMPUTED_VALUE"""),29.0)</f>
        <v>29</v>
      </c>
      <c r="D489" s="68" t="str">
        <f>IFERROR(__xludf.DUMMYFUNCTION("""COMPUTED_VALUE"""),"Islam")</f>
        <v>Islam</v>
      </c>
      <c r="E489" s="67" t="str">
        <f>IFERROR(__xludf.DUMMYFUNCTION("""COMPUTED_VALUE"""),"CV. SENTOSA ABADI")</f>
        <v>CV. SENTOSA ABADI</v>
      </c>
      <c r="F489" s="67" t="str">
        <f>IFERROR(__xludf.DUMMYFUNCTION("""COMPUTED_VALUE"""),"OPERATOR EXCAVATOR")</f>
        <v>OPERATOR EXCAVATOR</v>
      </c>
      <c r="G489" s="67" t="str">
        <f>IFERROR(__xludf.DUMMYFUNCTION("""COMPUTED_VALUE"""),"PRODUKSI")</f>
        <v>PRODUKSI</v>
      </c>
      <c r="H489" s="67" t="str">
        <f>IFERROR(__xludf.DUMMYFUNCTION("""COMPUTED_VALUE"""),"FALSE")</f>
        <v>FALSE</v>
      </c>
      <c r="I489" s="69">
        <f>IFERROR(__xludf.DUMMYFUNCTION("""COMPUTED_VALUE"""),35554.0)</f>
        <v>35554</v>
      </c>
      <c r="J489" s="70" t="str">
        <f t="shared" si="1"/>
        <v>[106190920] YAMIN</v>
      </c>
      <c r="K489" s="67"/>
      <c r="L489" s="67"/>
      <c r="M489" s="67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</row>
    <row r="490">
      <c r="A490" s="67">
        <f>IFERROR(__xludf.DUMMYFUNCTION("""COMPUTED_VALUE"""),2.0321135E8)</f>
        <v>203211350</v>
      </c>
      <c r="B490" s="67" t="str">
        <f>IFERROR(__xludf.DUMMYFUNCTION("""COMPUTED_VALUE"""),"YAMTAR R")</f>
        <v>YAMTAR R</v>
      </c>
      <c r="C490" s="67">
        <f>IFERROR(__xludf.DUMMYFUNCTION("""COMPUTED_VALUE"""),43.0)</f>
        <v>43</v>
      </c>
      <c r="D490" s="68" t="str">
        <f>IFERROR(__xludf.DUMMYFUNCTION("""COMPUTED_VALUE"""),"Islam")</f>
        <v>Islam</v>
      </c>
      <c r="E490" s="67" t="str">
        <f>IFERROR(__xludf.DUMMYFUNCTION("""COMPUTED_VALUE"""),"CV. Adil Prima Perkasa")</f>
        <v>CV. Adil Prima Perkasa</v>
      </c>
      <c r="F490" s="67" t="str">
        <f>IFERROR(__xludf.DUMMYFUNCTION("""COMPUTED_VALUE"""),"OPERATOR EXCAVATOR")</f>
        <v>OPERATOR EXCAVATOR</v>
      </c>
      <c r="G490" s="67" t="str">
        <f>IFERROR(__xludf.DUMMYFUNCTION("""COMPUTED_VALUE"""),"PRODUKSI")</f>
        <v>PRODUKSI</v>
      </c>
      <c r="H490" s="67" t="str">
        <f>IFERROR(__xludf.DUMMYFUNCTION("""COMPUTED_VALUE"""),"FALSE")</f>
        <v>FALSE</v>
      </c>
      <c r="I490" s="69"/>
      <c r="J490" s="70" t="str">
        <f t="shared" si="1"/>
        <v>[203211350] YAMTAR R</v>
      </c>
      <c r="K490" s="67"/>
      <c r="L490" s="67"/>
      <c r="M490" s="67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</row>
    <row r="491">
      <c r="A491" s="67">
        <f>IFERROR(__xludf.DUMMYFUNCTION("""COMPUTED_VALUE"""),2.06231789E8)</f>
        <v>206231789</v>
      </c>
      <c r="B491" s="67" t="str">
        <f>IFERROR(__xludf.DUMMYFUNCTION("""COMPUTED_VALUE"""),"YANCE EFENDI SOLEMAN NUSA")</f>
        <v>YANCE EFENDI SOLEMAN NUSA</v>
      </c>
      <c r="C491" s="67">
        <f>IFERROR(__xludf.DUMMYFUNCTION("""COMPUTED_VALUE"""),40.0)</f>
        <v>40</v>
      </c>
      <c r="D491" s="68" t="str">
        <f>IFERROR(__xludf.DUMMYFUNCTION("""COMPUTED_VALUE"""),"Kristen Protestan")</f>
        <v>Kristen Protestan</v>
      </c>
      <c r="E491" s="67" t="str">
        <f>IFERROR(__xludf.DUMMYFUNCTION("""COMPUTED_VALUE"""),"CV. Adil Prima Perkasa")</f>
        <v>CV. Adil Prima Perkasa</v>
      </c>
      <c r="F491" s="67" t="str">
        <f>IFERROR(__xludf.DUMMYFUNCTION("""COMPUTED_VALUE"""),"OPERATOR EXCAVATOR")</f>
        <v>OPERATOR EXCAVATOR</v>
      </c>
      <c r="G491" s="67" t="str">
        <f>IFERROR(__xludf.DUMMYFUNCTION("""COMPUTED_VALUE"""),"PRODUKSI")</f>
        <v>PRODUKSI</v>
      </c>
      <c r="H491" s="67" t="str">
        <f>IFERROR(__xludf.DUMMYFUNCTION("""COMPUTED_VALUE"""),"[0102130003] PURNAWAN")</f>
        <v>[0102130003] PURNAWAN</v>
      </c>
      <c r="I491" s="69">
        <f>IFERROR(__xludf.DUMMYFUNCTION("""COMPUTED_VALUE"""),31397.0)</f>
        <v>31397</v>
      </c>
      <c r="J491" s="70" t="str">
        <f t="shared" si="1"/>
        <v>[206231789] YANCE EFENDI SOLEMAN NUSA</v>
      </c>
      <c r="K491" s="67"/>
      <c r="L491" s="67"/>
      <c r="M491" s="67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</row>
    <row r="492">
      <c r="A492" s="67">
        <f>IFERROR(__xludf.DUMMYFUNCTION("""COMPUTED_VALUE"""),1.11211529E8)</f>
        <v>111211529</v>
      </c>
      <c r="B492" s="67" t="str">
        <f>IFERROR(__xludf.DUMMYFUNCTION("""COMPUTED_VALUE"""),"YANIS OTOLUWA")</f>
        <v>YANIS OTOLUWA</v>
      </c>
      <c r="C492" s="67">
        <f>IFERROR(__xludf.DUMMYFUNCTION("""COMPUTED_VALUE"""),38.0)</f>
        <v>38</v>
      </c>
      <c r="D492" s="68" t="str">
        <f>IFERROR(__xludf.DUMMYFUNCTION("""COMPUTED_VALUE"""),"Islam")</f>
        <v>Islam</v>
      </c>
      <c r="E492" s="67" t="str">
        <f>IFERROR(__xludf.DUMMYFUNCTION("""COMPUTED_VALUE"""),"CV. SENTOSA ABADI")</f>
        <v>CV. SENTOSA ABADI</v>
      </c>
      <c r="F492" s="67" t="str">
        <f>IFERROR(__xludf.DUMMYFUNCTION("""COMPUTED_VALUE"""),"DRIVER DT H700ZS")</f>
        <v>DRIVER DT H700ZS</v>
      </c>
      <c r="G492" s="67" t="str">
        <f>IFERROR(__xludf.DUMMYFUNCTION("""COMPUTED_VALUE"""),"KENDARAAN &amp; UNIT SUPPORT")</f>
        <v>KENDARAAN &amp; UNIT SUPPORT</v>
      </c>
      <c r="H492" s="67" t="str">
        <f>IFERROR(__xludf.DUMMYFUNCTION("""COMPUTED_VALUE"""),"[0102150004] NAFTALI RARE'A, ST")</f>
        <v>[0102150004] NAFTALI RARE'A, ST</v>
      </c>
      <c r="I492" s="69">
        <f>IFERROR(__xludf.DUMMYFUNCTION("""COMPUTED_VALUE"""),31466.0)</f>
        <v>31466</v>
      </c>
      <c r="J492" s="70" t="str">
        <f t="shared" si="1"/>
        <v>[111211529] YANIS OTOLUWA</v>
      </c>
      <c r="K492" s="67"/>
      <c r="L492" s="67"/>
      <c r="M492" s="67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</row>
    <row r="493">
      <c r="A493" s="67">
        <f>IFERROR(__xludf.DUMMYFUNCTION("""COMPUTED_VALUE"""),1.04190916E8)</f>
        <v>104190916</v>
      </c>
      <c r="B493" s="67" t="str">
        <f>IFERROR(__xludf.DUMMYFUNCTION("""COMPUTED_VALUE"""),"YASMIN AKUBA")</f>
        <v>YASMIN AKUBA</v>
      </c>
      <c r="C493" s="67">
        <f>IFERROR(__xludf.DUMMYFUNCTION("""COMPUTED_VALUE"""),49.0)</f>
        <v>49</v>
      </c>
      <c r="D493" s="68" t="str">
        <f>IFERROR(__xludf.DUMMYFUNCTION("""COMPUTED_VALUE"""),"Islam")</f>
        <v>Islam</v>
      </c>
      <c r="E493" s="67" t="str">
        <f>IFERROR(__xludf.DUMMYFUNCTION("""COMPUTED_VALUE"""),"CV. SENTOSA ABADI")</f>
        <v>CV. SENTOSA ABADI</v>
      </c>
      <c r="F493" s="67" t="str">
        <f>IFERROR(__xludf.DUMMYFUNCTION("""COMPUTED_VALUE"""),"MEKANIK")</f>
        <v>MEKANIK</v>
      </c>
      <c r="G493" s="67" t="str">
        <f>IFERROR(__xludf.DUMMYFUNCTION("""COMPUTED_VALUE"""),"WORKSHOP")</f>
        <v>WORKSHOP</v>
      </c>
      <c r="H493" s="67" t="str">
        <f>IFERROR(__xludf.DUMMYFUNCTION("""COMPUTED_VALUE"""),"FALSE")</f>
        <v>FALSE</v>
      </c>
      <c r="I493" s="69">
        <f>IFERROR(__xludf.DUMMYFUNCTION("""COMPUTED_VALUE"""),29407.0)</f>
        <v>29407</v>
      </c>
      <c r="J493" s="70" t="str">
        <f t="shared" si="1"/>
        <v>[104190916] YASMIN AKUBA</v>
      </c>
      <c r="K493" s="67"/>
      <c r="L493" s="67"/>
      <c r="M493" s="67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</row>
    <row r="494">
      <c r="A494" s="67">
        <f>IFERROR(__xludf.DUMMYFUNCTION("""COMPUTED_VALUE"""),1.01211334E8)</f>
        <v>101211334</v>
      </c>
      <c r="B494" s="67" t="str">
        <f>IFERROR(__xludf.DUMMYFUNCTION("""COMPUTED_VALUE"""),"YATMAN F PANGANDE")</f>
        <v>YATMAN F PANGANDE</v>
      </c>
      <c r="C494" s="67">
        <f>IFERROR(__xludf.DUMMYFUNCTION("""COMPUTED_VALUE"""),51.0)</f>
        <v>51</v>
      </c>
      <c r="D494" s="68" t="str">
        <f>IFERROR(__xludf.DUMMYFUNCTION("""COMPUTED_VALUE"""),"Kristen Khatolik")</f>
        <v>Kristen Khatolik</v>
      </c>
      <c r="E494" s="67" t="str">
        <f>IFERROR(__xludf.DUMMYFUNCTION("""COMPUTED_VALUE"""),"CV. SENTOSA ABADI")</f>
        <v>CV. SENTOSA ABADI</v>
      </c>
      <c r="F494" s="67" t="str">
        <f>IFERROR(__xludf.DUMMYFUNCTION("""COMPUTED_VALUE"""),"DRIVER DT H700ZY")</f>
        <v>DRIVER DT H700ZY</v>
      </c>
      <c r="G494" s="67" t="str">
        <f>IFERROR(__xludf.DUMMYFUNCTION("""COMPUTED_VALUE"""),"KENDARAAN &amp; UNIT SUPPORT")</f>
        <v>KENDARAAN &amp; UNIT SUPPORT</v>
      </c>
      <c r="H494" s="67" t="str">
        <f>IFERROR(__xludf.DUMMYFUNCTION("""COMPUTED_VALUE"""),"[0102150004] NAFTALI RARE'A, ST")</f>
        <v>[0102150004] NAFTALI RARE'A, ST</v>
      </c>
      <c r="I494" s="69">
        <f>IFERROR(__xludf.DUMMYFUNCTION("""COMPUTED_VALUE"""),27956.0)</f>
        <v>27956</v>
      </c>
      <c r="J494" s="70" t="str">
        <f t="shared" si="1"/>
        <v>[101211334] YATMAN F PANGANDE</v>
      </c>
      <c r="K494" s="67"/>
      <c r="L494" s="67"/>
      <c r="M494" s="67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</row>
    <row r="495">
      <c r="A495" s="67">
        <f>IFERROR(__xludf.DUMMYFUNCTION("""COMPUTED_VALUE"""),2.05241922E8)</f>
        <v>205241922</v>
      </c>
      <c r="B495" s="67" t="str">
        <f>IFERROR(__xludf.DUMMYFUNCTION("""COMPUTED_VALUE"""),"YAYAN DARMAWAN")</f>
        <v>YAYAN DARMAWAN</v>
      </c>
      <c r="C495" s="67">
        <f>IFERROR(__xludf.DUMMYFUNCTION("""COMPUTED_VALUE"""),0.0)</f>
        <v>0</v>
      </c>
      <c r="D495" s="68"/>
      <c r="E495" s="67" t="str">
        <f>IFERROR(__xludf.DUMMYFUNCTION("""COMPUTED_VALUE"""),"CV. Adil Prima Perkasa")</f>
        <v>CV. Adil Prima Perkasa</v>
      </c>
      <c r="F495" s="67" t="str">
        <f>IFERROR(__xludf.DUMMYFUNCTION("""COMPUTED_VALUE"""),"HELPER MECHANIC MAINTENANCE")</f>
        <v>HELPER MECHANIC MAINTENANCE</v>
      </c>
      <c r="G495" s="67" t="str">
        <f>IFERROR(__xludf.DUMMYFUNCTION("""COMPUTED_VALUE"""),"WORKSHOP")</f>
        <v>WORKSHOP</v>
      </c>
      <c r="H495" s="67" t="str">
        <f>IFERROR(__xludf.DUMMYFUNCTION("""COMPUTED_VALUE"""),"[0106190928] NATAN KONDO")</f>
        <v>[0106190928] NATAN KONDO</v>
      </c>
      <c r="I495" s="69"/>
      <c r="J495" s="70" t="str">
        <f t="shared" si="1"/>
        <v>[205241922] YAYAN DARMAWAN</v>
      </c>
      <c r="K495" s="67"/>
      <c r="L495" s="67"/>
      <c r="M495" s="67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</row>
    <row r="496">
      <c r="A496" s="67"/>
      <c r="B496" s="67" t="str">
        <f>IFERROR(__xludf.DUMMYFUNCTION("""COMPUTED_VALUE"""),"YAYAN SETIAWAN")</f>
        <v>YAYAN SETIAWAN</v>
      </c>
      <c r="C496" s="67">
        <f>IFERROR(__xludf.DUMMYFUNCTION("""COMPUTED_VALUE"""),0.0)</f>
        <v>0</v>
      </c>
      <c r="D496" s="68"/>
      <c r="E496" s="67" t="str">
        <f>IFERROR(__xludf.DUMMYFUNCTION("""COMPUTED_VALUE"""),"CV. SENTOSA ABADI")</f>
        <v>CV. SENTOSA ABADI</v>
      </c>
      <c r="F496" s="67" t="str">
        <f>IFERROR(__xludf.DUMMYFUNCTION("""COMPUTED_VALUE"""),"FALSE")</f>
        <v>FALSE</v>
      </c>
      <c r="G496" s="67" t="str">
        <f>IFERROR(__xludf.DUMMYFUNCTION("""COMPUTED_VALUE"""),"FALSE")</f>
        <v>FALSE</v>
      </c>
      <c r="H496" s="67" t="str">
        <f>IFERROR(__xludf.DUMMYFUNCTION("""COMPUTED_VALUE"""),"FALSE")</f>
        <v>FALSE</v>
      </c>
      <c r="I496" s="69"/>
      <c r="J496" s="70" t="str">
        <f t="shared" si="1"/>
        <v>[] YAYAN SETIAWAN</v>
      </c>
      <c r="K496" s="67"/>
      <c r="L496" s="67"/>
      <c r="M496" s="67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</row>
    <row r="497">
      <c r="A497" s="67">
        <f>IFERROR(__xludf.DUMMYFUNCTION("""COMPUTED_VALUE"""),1.02211345E8)</f>
        <v>102211345</v>
      </c>
      <c r="B497" s="67" t="str">
        <f>IFERROR(__xludf.DUMMYFUNCTION("""COMPUTED_VALUE"""),"YETTI")</f>
        <v>YETTI</v>
      </c>
      <c r="C497" s="67">
        <f>IFERROR(__xludf.DUMMYFUNCTION("""COMPUTED_VALUE"""),60.0)</f>
        <v>60</v>
      </c>
      <c r="D497" s="68" t="str">
        <f>IFERROR(__xludf.DUMMYFUNCTION("""COMPUTED_VALUE"""),"Kristen Protestan")</f>
        <v>Kristen Protestan</v>
      </c>
      <c r="E497" s="67" t="str">
        <f>IFERROR(__xludf.DUMMYFUNCTION("""COMPUTED_VALUE"""),"CV. SENTOSA ABADI")</f>
        <v>CV. SENTOSA ABADI</v>
      </c>
      <c r="F497" s="67" t="str">
        <f>IFERROR(__xludf.DUMMYFUNCTION("""COMPUTED_VALUE"""),"STOCKER")</f>
        <v>STOCKER</v>
      </c>
      <c r="G497" s="67" t="str">
        <f>IFERROR(__xludf.DUMMYFUNCTION("""COMPUTED_VALUE"""),"HRD &amp; GA")</f>
        <v>HRD &amp; GA</v>
      </c>
      <c r="H497" s="67" t="str">
        <f>IFERROR(__xludf.DUMMYFUNCTION("""COMPUTED_VALUE"""),"[0103231738] MARYA SUSAN SIMBANGU")</f>
        <v>[0103231738] MARYA SUSAN SIMBANGU</v>
      </c>
      <c r="I497" s="69">
        <f>IFERROR(__xludf.DUMMYFUNCTION("""COMPUTED_VALUE"""),25569.0)</f>
        <v>25569</v>
      </c>
      <c r="J497" s="70" t="str">
        <f t="shared" si="1"/>
        <v>[102211345] YETTI</v>
      </c>
      <c r="K497" s="67"/>
      <c r="L497" s="67"/>
      <c r="M497" s="67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</row>
    <row r="498">
      <c r="A498" s="67">
        <f>IFERROR(__xludf.DUMMYFUNCTION("""COMPUTED_VALUE"""),1.0920124E8)</f>
        <v>109201240</v>
      </c>
      <c r="B498" s="67" t="str">
        <f>IFERROR(__xludf.DUMMYFUNCTION("""COMPUTED_VALUE"""),"YOEL MALAENY")</f>
        <v>YOEL MALAENY</v>
      </c>
      <c r="C498" s="67">
        <f>IFERROR(__xludf.DUMMYFUNCTION("""COMPUTED_VALUE"""),30.0)</f>
        <v>30</v>
      </c>
      <c r="D498" s="68" t="str">
        <f>IFERROR(__xludf.DUMMYFUNCTION("""COMPUTED_VALUE"""),"Kristen Protestan")</f>
        <v>Kristen Protestan</v>
      </c>
      <c r="E498" s="67" t="str">
        <f>IFERROR(__xludf.DUMMYFUNCTION("""COMPUTED_VALUE"""),"CV. SENTOSA ABADI")</f>
        <v>CV. SENTOSA ABADI</v>
      </c>
      <c r="F498" s="67" t="str">
        <f>IFERROR(__xludf.DUMMYFUNCTION("""COMPUTED_VALUE"""),"FOREMAN KENDARAAN")</f>
        <v>FOREMAN KENDARAAN</v>
      </c>
      <c r="G498" s="67" t="str">
        <f>IFERROR(__xludf.DUMMYFUNCTION("""COMPUTED_VALUE"""),"KENDARAAN &amp; UNIT SUPPORT")</f>
        <v>KENDARAAN &amp; UNIT SUPPORT</v>
      </c>
      <c r="H498" s="67" t="str">
        <f>IFERROR(__xludf.DUMMYFUNCTION("""COMPUTED_VALUE"""),"[0102150004] NAFTALI RARE'A, ST")</f>
        <v>[0102150004] NAFTALI RARE'A, ST</v>
      </c>
      <c r="I498" s="69"/>
      <c r="J498" s="70" t="str">
        <f t="shared" si="1"/>
        <v>[109201240] YOEL MALAENY</v>
      </c>
      <c r="K498" s="67"/>
      <c r="L498" s="67"/>
      <c r="M498" s="67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</row>
    <row r="499">
      <c r="A499" s="67">
        <f>IFERROR(__xludf.DUMMYFUNCTION("""COMPUTED_VALUE"""),1.05211397E8)</f>
        <v>105211397</v>
      </c>
      <c r="B499" s="67" t="str">
        <f>IFERROR(__xludf.DUMMYFUNCTION("""COMPUTED_VALUE"""),"YOHAN MAKABA")</f>
        <v>YOHAN MAKABA</v>
      </c>
      <c r="C499" s="67">
        <f>IFERROR(__xludf.DUMMYFUNCTION("""COMPUTED_VALUE"""),35.0)</f>
        <v>35</v>
      </c>
      <c r="D499" s="68" t="str">
        <f>IFERROR(__xludf.DUMMYFUNCTION("""COMPUTED_VALUE"""),"Kristen Protestan")</f>
        <v>Kristen Protestan</v>
      </c>
      <c r="E499" s="67" t="str">
        <f>IFERROR(__xludf.DUMMYFUNCTION("""COMPUTED_VALUE"""),"CV. SENTOSA ABADI")</f>
        <v>CV. SENTOSA ABADI</v>
      </c>
      <c r="F499" s="67" t="str">
        <f>IFERROR(__xludf.DUMMYFUNCTION("""COMPUTED_VALUE"""),"HELPER MEKANIK ALAT BERAT")</f>
        <v>HELPER MEKANIK ALAT BERAT</v>
      </c>
      <c r="G499" s="67" t="str">
        <f>IFERROR(__xludf.DUMMYFUNCTION("""COMPUTED_VALUE"""),"WORKSHOP")</f>
        <v>WORKSHOP</v>
      </c>
      <c r="H499" s="67" t="str">
        <f>IFERROR(__xludf.DUMMYFUNCTION("""COMPUTED_VALUE"""),"[0106190928] NATAN KONDO")</f>
        <v>[0106190928] NATAN KONDO</v>
      </c>
      <c r="I499" s="69">
        <f>IFERROR(__xludf.DUMMYFUNCTION("""COMPUTED_VALUE"""),31820.0)</f>
        <v>31820</v>
      </c>
      <c r="J499" s="70" t="str">
        <f t="shared" si="1"/>
        <v>[105211397] YOHAN MAKABA</v>
      </c>
      <c r="K499" s="67"/>
      <c r="L499" s="67"/>
      <c r="M499" s="67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</row>
    <row r="500">
      <c r="A500" s="67">
        <f>IFERROR(__xludf.DUMMYFUNCTION("""COMPUTED_VALUE"""),1.10221688E8)</f>
        <v>110221688</v>
      </c>
      <c r="B500" s="67" t="str">
        <f>IFERROR(__xludf.DUMMYFUNCTION("""COMPUTED_VALUE"""),"YOHANES ARDINI EGOR")</f>
        <v>YOHANES ARDINI EGOR</v>
      </c>
      <c r="C500" s="67">
        <f>IFERROR(__xludf.DUMMYFUNCTION("""COMPUTED_VALUE"""),23.0)</f>
        <v>23</v>
      </c>
      <c r="D500" s="68" t="str">
        <f>IFERROR(__xludf.DUMMYFUNCTION("""COMPUTED_VALUE"""),"Kristen Khatolik")</f>
        <v>Kristen Khatolik</v>
      </c>
      <c r="E500" s="67" t="str">
        <f>IFERROR(__xludf.DUMMYFUNCTION("""COMPUTED_VALUE"""),"CV. SENTOSA ABADI")</f>
        <v>CV. SENTOSA ABADI</v>
      </c>
      <c r="F500" s="67" t="str">
        <f>IFERROR(__xludf.DUMMYFUNCTION("""COMPUTED_VALUE"""),"HELPER MECHANIC MAINTENANCE")</f>
        <v>HELPER MECHANIC MAINTENANCE</v>
      </c>
      <c r="G500" s="67" t="str">
        <f>IFERROR(__xludf.DUMMYFUNCTION("""COMPUTED_VALUE"""),"WORKSHOP")</f>
        <v>WORKSHOP</v>
      </c>
      <c r="H500" s="67" t="str">
        <f>IFERROR(__xludf.DUMMYFUNCTION("""COMPUTED_VALUE"""),"[0106190928] NATAN KONDO")</f>
        <v>[0106190928] NATAN KONDO</v>
      </c>
      <c r="I500" s="69"/>
      <c r="J500" s="70" t="str">
        <f t="shared" si="1"/>
        <v>[110221688] YOHANES ARDINI EGOR</v>
      </c>
      <c r="K500" s="67"/>
      <c r="L500" s="67"/>
      <c r="M500" s="67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</row>
    <row r="501">
      <c r="A501" s="67">
        <f>IFERROR(__xludf.DUMMYFUNCTION("""COMPUTED_VALUE"""),2.02221591E8)</f>
        <v>202221591</v>
      </c>
      <c r="B501" s="67" t="str">
        <f>IFERROR(__xludf.DUMMYFUNCTION("""COMPUTED_VALUE"""),"YOHANES BAHARI")</f>
        <v>YOHANES BAHARI</v>
      </c>
      <c r="C501" s="67">
        <f>IFERROR(__xludf.DUMMYFUNCTION("""COMPUTED_VALUE"""),36.0)</f>
        <v>36</v>
      </c>
      <c r="D501" s="68" t="str">
        <f>IFERROR(__xludf.DUMMYFUNCTION("""COMPUTED_VALUE"""),"Kristen Khatolik")</f>
        <v>Kristen Khatolik</v>
      </c>
      <c r="E501" s="67" t="str">
        <f>IFERROR(__xludf.DUMMYFUNCTION("""COMPUTED_VALUE"""),"CV. Adil Prima Perkasa")</f>
        <v>CV. Adil Prima Perkasa</v>
      </c>
      <c r="F501" s="67" t="str">
        <f>IFERROR(__xludf.DUMMYFUNCTION("""COMPUTED_VALUE"""),"DRIVER DT H700ZY")</f>
        <v>DRIVER DT H700ZY</v>
      </c>
      <c r="G501" s="67" t="str">
        <f>IFERROR(__xludf.DUMMYFUNCTION("""COMPUTED_VALUE"""),"KENDARAAN &amp; UNIT SUPPORT")</f>
        <v>KENDARAAN &amp; UNIT SUPPORT</v>
      </c>
      <c r="H501" s="67" t="str">
        <f>IFERROR(__xludf.DUMMYFUNCTION("""COMPUTED_VALUE"""),"[0102150004] NAFTALI RARE'A, ST")</f>
        <v>[0102150004] NAFTALI RARE'A, ST</v>
      </c>
      <c r="I501" s="69"/>
      <c r="J501" s="70" t="str">
        <f t="shared" si="1"/>
        <v>[202221591] YOHANES BAHARI</v>
      </c>
      <c r="K501" s="67"/>
      <c r="L501" s="67"/>
      <c r="M501" s="67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</row>
    <row r="502">
      <c r="A502" s="67">
        <f>IFERROR(__xludf.DUMMYFUNCTION("""COMPUTED_VALUE"""),2.06221646E8)</f>
        <v>206221646</v>
      </c>
      <c r="B502" s="67" t="str">
        <f>IFERROR(__xludf.DUMMYFUNCTION("""COMPUTED_VALUE"""),"YOHANES BONGGA")</f>
        <v>YOHANES BONGGA</v>
      </c>
      <c r="C502" s="67">
        <f>IFERROR(__xludf.DUMMYFUNCTION("""COMPUTED_VALUE"""),43.0)</f>
        <v>43</v>
      </c>
      <c r="D502" s="68" t="str">
        <f>IFERROR(__xludf.DUMMYFUNCTION("""COMPUTED_VALUE"""),"Kristen Protestan")</f>
        <v>Kristen Protestan</v>
      </c>
      <c r="E502" s="67" t="str">
        <f>IFERROR(__xludf.DUMMYFUNCTION("""COMPUTED_VALUE"""),"CV. Adil Prima Perkasa")</f>
        <v>CV. Adil Prima Perkasa</v>
      </c>
      <c r="F502" s="67" t="str">
        <f>IFERROR(__xludf.DUMMYFUNCTION("""COMPUTED_VALUE"""),"DRIVER DT H500")</f>
        <v>DRIVER DT H500</v>
      </c>
      <c r="G502" s="67" t="str">
        <f>IFERROR(__xludf.DUMMYFUNCTION("""COMPUTED_VALUE"""),"KENDARAAN &amp; UNIT SUPPORT")</f>
        <v>KENDARAAN &amp; UNIT SUPPORT</v>
      </c>
      <c r="H502" s="67" t="str">
        <f>IFERROR(__xludf.DUMMYFUNCTION("""COMPUTED_VALUE"""),"[0102150004] NAFTALI RARE'A, ST")</f>
        <v>[0102150004] NAFTALI RARE'A, ST</v>
      </c>
      <c r="I502" s="69">
        <f>IFERROR(__xludf.DUMMYFUNCTION("""COMPUTED_VALUE"""),30919.0)</f>
        <v>30919</v>
      </c>
      <c r="J502" s="70" t="str">
        <f t="shared" si="1"/>
        <v>[206221646] YOHANES BONGGA</v>
      </c>
      <c r="K502" s="67"/>
      <c r="L502" s="67"/>
      <c r="M502" s="67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</row>
    <row r="503">
      <c r="A503" s="67">
        <f>IFERROR(__xludf.DUMMYFUNCTION("""COMPUTED_VALUE"""),3.04230113E8)</f>
        <v>304230113</v>
      </c>
      <c r="B503" s="67" t="str">
        <f>IFERROR(__xludf.DUMMYFUNCTION("""COMPUTED_VALUE"""),"YOHANES JEREMIAS BEA RIA")</f>
        <v>YOHANES JEREMIAS BEA RIA</v>
      </c>
      <c r="C503" s="67">
        <f>IFERROR(__xludf.DUMMYFUNCTION("""COMPUTED_VALUE"""),20.0)</f>
        <v>20</v>
      </c>
      <c r="D503" s="68" t="str">
        <f>IFERROR(__xludf.DUMMYFUNCTION("""COMPUTED_VALUE"""),"Kristen Khatolik")</f>
        <v>Kristen Khatolik</v>
      </c>
      <c r="E503" s="67" t="str">
        <f>IFERROR(__xludf.DUMMYFUNCTION("""COMPUTED_VALUE"""),"CV. Monalisa")</f>
        <v>CV. Monalisa</v>
      </c>
      <c r="F503" s="67" t="str">
        <f>IFERROR(__xludf.DUMMYFUNCTION("""COMPUTED_VALUE"""),"FALSE")</f>
        <v>FALSE</v>
      </c>
      <c r="G503" s="67" t="str">
        <f>IFERROR(__xludf.DUMMYFUNCTION("""COMPUTED_VALUE"""),"INFRASTRUKTUR")</f>
        <v>INFRASTRUKTUR</v>
      </c>
      <c r="H503" s="67" t="str">
        <f>IFERROR(__xludf.DUMMYFUNCTION("""COMPUTED_VALUE"""),"FALSE")</f>
        <v>FALSE</v>
      </c>
      <c r="I503" s="69"/>
      <c r="J503" s="70" t="str">
        <f t="shared" si="1"/>
        <v>[304230113] YOHANES JEREMIAS BEA RIA</v>
      </c>
      <c r="K503" s="67"/>
      <c r="L503" s="67"/>
      <c r="M503" s="67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</row>
    <row r="504">
      <c r="A504" s="67">
        <f>IFERROR(__xludf.DUMMYFUNCTION("""COMPUTED_VALUE"""),2.11221701E8)</f>
        <v>211221701</v>
      </c>
      <c r="B504" s="67" t="str">
        <f>IFERROR(__xludf.DUMMYFUNCTION("""COMPUTED_VALUE"""),"YOHANIS PAMINNAKAN")</f>
        <v>YOHANIS PAMINNAKAN</v>
      </c>
      <c r="C504" s="67">
        <f>IFERROR(__xludf.DUMMYFUNCTION("""COMPUTED_VALUE"""),36.0)</f>
        <v>36</v>
      </c>
      <c r="D504" s="68" t="str">
        <f>IFERROR(__xludf.DUMMYFUNCTION("""COMPUTED_VALUE"""),"Kristen Khatolik")</f>
        <v>Kristen Khatolik</v>
      </c>
      <c r="E504" s="67" t="str">
        <f>IFERROR(__xludf.DUMMYFUNCTION("""COMPUTED_VALUE"""),"CV. Adil Prima Perkasa")</f>
        <v>CV. Adil Prima Perkasa</v>
      </c>
      <c r="F504" s="67" t="str">
        <f>IFERROR(__xludf.DUMMYFUNCTION("""COMPUTED_VALUE"""),"DRIVER DT H700ZS")</f>
        <v>DRIVER DT H700ZS</v>
      </c>
      <c r="G504" s="67" t="str">
        <f>IFERROR(__xludf.DUMMYFUNCTION("""COMPUTED_VALUE"""),"KENDARAAN &amp; UNIT SUPPORT")</f>
        <v>KENDARAAN &amp; UNIT SUPPORT</v>
      </c>
      <c r="H504" s="67" t="str">
        <f>IFERROR(__xludf.DUMMYFUNCTION("""COMPUTED_VALUE"""),"[0102150004] NAFTALI RARE'A, ST")</f>
        <v>[0102150004] NAFTALI RARE'A, ST</v>
      </c>
      <c r="I504" s="69">
        <f>IFERROR(__xludf.DUMMYFUNCTION("""COMPUTED_VALUE"""),35200.0)</f>
        <v>35200</v>
      </c>
      <c r="J504" s="70" t="str">
        <f t="shared" si="1"/>
        <v>[211221701] YOHANIS PAMINNAKAN</v>
      </c>
      <c r="K504" s="67"/>
      <c r="L504" s="67"/>
      <c r="M504" s="67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</row>
    <row r="505">
      <c r="A505" s="67">
        <f>IFERROR(__xludf.DUMMYFUNCTION("""COMPUTED_VALUE"""),2.07211447E8)</f>
        <v>207211447</v>
      </c>
      <c r="B505" s="67" t="str">
        <f>IFERROR(__xludf.DUMMYFUNCTION("""COMPUTED_VALUE"""),"YOSNAR ALO")</f>
        <v>YOSNAR ALO</v>
      </c>
      <c r="C505" s="67">
        <f>IFERROR(__xludf.DUMMYFUNCTION("""COMPUTED_VALUE"""),28.0)</f>
        <v>28</v>
      </c>
      <c r="D505" s="68" t="str">
        <f>IFERROR(__xludf.DUMMYFUNCTION("""COMPUTED_VALUE"""),"Kristen Protestan")</f>
        <v>Kristen Protestan</v>
      </c>
      <c r="E505" s="67" t="str">
        <f>IFERROR(__xludf.DUMMYFUNCTION("""COMPUTED_VALUE"""),"CV. Adil Prima Perkasa")</f>
        <v>CV. Adil Prima Perkasa</v>
      </c>
      <c r="F505" s="67" t="str">
        <f>IFERROR(__xludf.DUMMYFUNCTION("""COMPUTED_VALUE"""),"OPERATOR EXCAVATOR")</f>
        <v>OPERATOR EXCAVATOR</v>
      </c>
      <c r="G505" s="67" t="str">
        <f>IFERROR(__xludf.DUMMYFUNCTION("""COMPUTED_VALUE"""),"PRODUKSI")</f>
        <v>PRODUKSI</v>
      </c>
      <c r="H505" s="67" t="str">
        <f>IFERROR(__xludf.DUMMYFUNCTION("""COMPUTED_VALUE"""),"[0102130003] PURNAWAN")</f>
        <v>[0102130003] PURNAWAN</v>
      </c>
      <c r="I505" s="69"/>
      <c r="J505" s="70" t="str">
        <f t="shared" si="1"/>
        <v>[207211447] YOSNAR ALO</v>
      </c>
      <c r="K505" s="67"/>
      <c r="L505" s="67"/>
      <c r="M505" s="67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</row>
    <row r="506">
      <c r="A506" s="67">
        <f>IFERROR(__xludf.DUMMYFUNCTION("""COMPUTED_VALUE"""),2.07130696E8)</f>
        <v>207130696</v>
      </c>
      <c r="B506" s="67" t="str">
        <f>IFERROR(__xludf.DUMMYFUNCTION("""COMPUTED_VALUE"""),"YOSRI EFANDI NCAONG")</f>
        <v>YOSRI EFANDI NCAONG</v>
      </c>
      <c r="C506" s="67">
        <f>IFERROR(__xludf.DUMMYFUNCTION("""COMPUTED_VALUE"""),34.0)</f>
        <v>34</v>
      </c>
      <c r="D506" s="68" t="str">
        <f>IFERROR(__xludf.DUMMYFUNCTION("""COMPUTED_VALUE"""),"Kristen Khatolik")</f>
        <v>Kristen Khatolik</v>
      </c>
      <c r="E506" s="67" t="str">
        <f>IFERROR(__xludf.DUMMYFUNCTION("""COMPUTED_VALUE"""),"CV. Adil Prima Perkasa")</f>
        <v>CV. Adil Prima Perkasa</v>
      </c>
      <c r="F506" s="67" t="str">
        <f>IFERROR(__xludf.DUMMYFUNCTION("""COMPUTED_VALUE"""),"OPERATOR ADT")</f>
        <v>OPERATOR ADT</v>
      </c>
      <c r="G506" s="67" t="str">
        <f>IFERROR(__xludf.DUMMYFUNCTION("""COMPUTED_VALUE"""),"PRODUKSI")</f>
        <v>PRODUKSI</v>
      </c>
      <c r="H506" s="67" t="str">
        <f>IFERROR(__xludf.DUMMYFUNCTION("""COMPUTED_VALUE"""),"[0102130003] PURNAWAN")</f>
        <v>[0102130003] PURNAWAN</v>
      </c>
      <c r="I506" s="69"/>
      <c r="J506" s="70" t="str">
        <f t="shared" si="1"/>
        <v>[207130696] YOSRI EFANDI NCAONG</v>
      </c>
      <c r="K506" s="67"/>
      <c r="L506" s="67"/>
      <c r="M506" s="67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</row>
    <row r="507">
      <c r="A507" s="67">
        <f>IFERROR(__xludf.DUMMYFUNCTION("""COMPUTED_VALUE"""),3.07200009E8)</f>
        <v>307200009</v>
      </c>
      <c r="B507" s="67" t="str">
        <f>IFERROR(__xludf.DUMMYFUNCTION("""COMPUTED_VALUE"""),"YUDAS BINDAU")</f>
        <v>YUDAS BINDAU</v>
      </c>
      <c r="C507" s="67">
        <f>IFERROR(__xludf.DUMMYFUNCTION("""COMPUTED_VALUE"""),49.0)</f>
        <v>49</v>
      </c>
      <c r="D507" s="68" t="str">
        <f>IFERROR(__xludf.DUMMYFUNCTION("""COMPUTED_VALUE"""),"Kristen Protestan")</f>
        <v>Kristen Protestan</v>
      </c>
      <c r="E507" s="67" t="str">
        <f>IFERROR(__xludf.DUMMYFUNCTION("""COMPUTED_VALUE"""),"CV. Monalisa")</f>
        <v>CV. Monalisa</v>
      </c>
      <c r="F507" s="67" t="str">
        <f>IFERROR(__xludf.DUMMYFUNCTION("""COMPUTED_VALUE"""),"STOCKER")</f>
        <v>STOCKER</v>
      </c>
      <c r="G507" s="67" t="str">
        <f>IFERROR(__xludf.DUMMYFUNCTION("""COMPUTED_VALUE"""),"HRD &amp; GA")</f>
        <v>HRD &amp; GA</v>
      </c>
      <c r="H507" s="67" t="str">
        <f>IFERROR(__xludf.DUMMYFUNCTION("""COMPUTED_VALUE"""),"[0103231738] MARYA SUSAN SIMBANGU")</f>
        <v>[0103231738] MARYA SUSAN SIMBANGU</v>
      </c>
      <c r="I507" s="69"/>
      <c r="J507" s="70" t="str">
        <f t="shared" si="1"/>
        <v>[307200009] YUDAS BINDAU</v>
      </c>
      <c r="K507" s="67"/>
      <c r="L507" s="67"/>
      <c r="M507" s="67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</row>
    <row r="508">
      <c r="A508" s="67">
        <f>IFERROR(__xludf.DUMMYFUNCTION("""COMPUTED_VALUE"""),1.08160304E8)</f>
        <v>108160304</v>
      </c>
      <c r="B508" s="67" t="str">
        <f>IFERROR(__xludf.DUMMYFUNCTION("""COMPUTED_VALUE"""),"YULIUS LAPU")</f>
        <v>YULIUS LAPU</v>
      </c>
      <c r="C508" s="67">
        <f>IFERROR(__xludf.DUMMYFUNCTION("""COMPUTED_VALUE"""),46.0)</f>
        <v>46</v>
      </c>
      <c r="D508" s="68" t="str">
        <f>IFERROR(__xludf.DUMMYFUNCTION("""COMPUTED_VALUE"""),"Kristen Khatolik")</f>
        <v>Kristen Khatolik</v>
      </c>
      <c r="E508" s="67" t="str">
        <f>IFERROR(__xludf.DUMMYFUNCTION("""COMPUTED_VALUE"""),"CV. SENTOSA ABADI")</f>
        <v>CV. SENTOSA ABADI</v>
      </c>
      <c r="F508" s="67" t="str">
        <f>IFERROR(__xludf.DUMMYFUNCTION("""COMPUTED_VALUE"""),"OPERATOR BULLDOZER")</f>
        <v>OPERATOR BULLDOZER</v>
      </c>
      <c r="G508" s="67" t="str">
        <f>IFERROR(__xludf.DUMMYFUNCTION("""COMPUTED_VALUE"""),"PRODUKSI")</f>
        <v>PRODUKSI</v>
      </c>
      <c r="H508" s="67" t="str">
        <f>IFERROR(__xludf.DUMMYFUNCTION("""COMPUTED_VALUE"""),"FALSE")</f>
        <v>FALSE</v>
      </c>
      <c r="I508" s="69"/>
      <c r="J508" s="70" t="str">
        <f t="shared" si="1"/>
        <v>[108160304] YULIUS LAPU</v>
      </c>
      <c r="K508" s="67"/>
      <c r="L508" s="67"/>
      <c r="M508" s="67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</row>
    <row r="509">
      <c r="A509" s="67">
        <f>IFERROR(__xludf.DUMMYFUNCTION("""COMPUTED_VALUE"""),2.06190933E8)</f>
        <v>206190933</v>
      </c>
      <c r="B509" s="67" t="str">
        <f>IFERROR(__xludf.DUMMYFUNCTION("""COMPUTED_VALUE"""),"YULIUS WALEWANGKO")</f>
        <v>YULIUS WALEWANGKO</v>
      </c>
      <c r="C509" s="67">
        <f>IFERROR(__xludf.DUMMYFUNCTION("""COMPUTED_VALUE"""),59.0)</f>
        <v>59</v>
      </c>
      <c r="D509" s="68" t="str">
        <f>IFERROR(__xludf.DUMMYFUNCTION("""COMPUTED_VALUE"""),"Islam")</f>
        <v>Islam</v>
      </c>
      <c r="E509" s="67" t="str">
        <f>IFERROR(__xludf.DUMMYFUNCTION("""COMPUTED_VALUE"""),"CV. Adil Prima Perkasa")</f>
        <v>CV. Adil Prima Perkasa</v>
      </c>
      <c r="F509" s="67" t="str">
        <f>IFERROR(__xludf.DUMMYFUNCTION("""COMPUTED_VALUE"""),"OPERATOR BULLDOZER")</f>
        <v>OPERATOR BULLDOZER</v>
      </c>
      <c r="G509" s="67" t="str">
        <f>IFERROR(__xludf.DUMMYFUNCTION("""COMPUTED_VALUE"""),"PRODUKSI")</f>
        <v>PRODUKSI</v>
      </c>
      <c r="H509" s="67" t="str">
        <f>IFERROR(__xludf.DUMMYFUNCTION("""COMPUTED_VALUE"""),"[0102130003] PURNAWAN")</f>
        <v>[0102130003] PURNAWAN</v>
      </c>
      <c r="I509" s="69">
        <f>IFERROR(__xludf.DUMMYFUNCTION("""COMPUTED_VALUE"""),24134.0)</f>
        <v>24134</v>
      </c>
      <c r="J509" s="70" t="str">
        <f t="shared" si="1"/>
        <v>[206190933] YULIUS WALEWANGKO</v>
      </c>
      <c r="K509" s="67"/>
      <c r="L509" s="67"/>
      <c r="M509" s="67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</row>
    <row r="510">
      <c r="A510" s="67">
        <f>IFERROR(__xludf.DUMMYFUNCTION("""COMPUTED_VALUE"""),1.10211502E8)</f>
        <v>110211502</v>
      </c>
      <c r="B510" s="67" t="str">
        <f>IFERROR(__xludf.DUMMYFUNCTION("""COMPUTED_VALUE"""),"YULTIN TENGASE")</f>
        <v>YULTIN TENGASE</v>
      </c>
      <c r="C510" s="67">
        <f>IFERROR(__xludf.DUMMYFUNCTION("""COMPUTED_VALUE"""),47.0)</f>
        <v>47</v>
      </c>
      <c r="D510" s="68" t="str">
        <f>IFERROR(__xludf.DUMMYFUNCTION("""COMPUTED_VALUE"""),"Kristen Protestan")</f>
        <v>Kristen Protestan</v>
      </c>
      <c r="E510" s="67" t="str">
        <f>IFERROR(__xludf.DUMMYFUNCTION("""COMPUTED_VALUE"""),"CV. SENTOSA ABADI")</f>
        <v>CV. SENTOSA ABADI</v>
      </c>
      <c r="F510" s="67" t="str">
        <f>IFERROR(__xludf.DUMMYFUNCTION("""COMPUTED_VALUE"""),"STOCKER")</f>
        <v>STOCKER</v>
      </c>
      <c r="G510" s="67" t="str">
        <f>IFERROR(__xludf.DUMMYFUNCTION("""COMPUTED_VALUE"""),"HRD &amp; GA")</f>
        <v>HRD &amp; GA</v>
      </c>
      <c r="H510" s="67" t="str">
        <f>IFERROR(__xludf.DUMMYFUNCTION("""COMPUTED_VALUE"""),"[0103231738] MARYA SUSAN SIMBANGU")</f>
        <v>[0103231738] MARYA SUSAN SIMBANGU</v>
      </c>
      <c r="I510" s="69"/>
      <c r="J510" s="70" t="str">
        <f t="shared" si="1"/>
        <v>[110211502] YULTIN TENGASE</v>
      </c>
      <c r="K510" s="67"/>
      <c r="L510" s="67"/>
      <c r="M510" s="67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</row>
    <row r="511">
      <c r="A511" s="67">
        <f>IFERROR(__xludf.DUMMYFUNCTION("""COMPUTED_VALUE"""),2.02231725E8)</f>
        <v>202231725</v>
      </c>
      <c r="B511" s="67" t="str">
        <f>IFERROR(__xludf.DUMMYFUNCTION("""COMPUTED_VALUE"""),"YUNUS")</f>
        <v>YUNUS</v>
      </c>
      <c r="C511" s="67">
        <f>IFERROR(__xludf.DUMMYFUNCTION("""COMPUTED_VALUE"""),29.0)</f>
        <v>29</v>
      </c>
      <c r="D511" s="68" t="str">
        <f>IFERROR(__xludf.DUMMYFUNCTION("""COMPUTED_VALUE"""),"Kristen Protestan")</f>
        <v>Kristen Protestan</v>
      </c>
      <c r="E511" s="67" t="str">
        <f>IFERROR(__xludf.DUMMYFUNCTION("""COMPUTED_VALUE"""),"CV. Adil Prima Perkasa")</f>
        <v>CV. Adil Prima Perkasa</v>
      </c>
      <c r="F511" s="67" t="str">
        <f>IFERROR(__xludf.DUMMYFUNCTION("""COMPUTED_VALUE"""),"HELPER BUBUT")</f>
        <v>HELPER BUBUT</v>
      </c>
      <c r="G511" s="67" t="str">
        <f>IFERROR(__xludf.DUMMYFUNCTION("""COMPUTED_VALUE"""),"WORKSHOP")</f>
        <v>WORKSHOP</v>
      </c>
      <c r="H511" s="67" t="str">
        <f>IFERROR(__xludf.DUMMYFUNCTION("""COMPUTED_VALUE"""),"[0106190928] NATAN KONDO")</f>
        <v>[0106190928] NATAN KONDO</v>
      </c>
      <c r="I511" s="69"/>
      <c r="J511" s="70" t="str">
        <f t="shared" si="1"/>
        <v>[202231725] YUNUS</v>
      </c>
      <c r="K511" s="67"/>
      <c r="L511" s="67"/>
      <c r="M511" s="67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</row>
    <row r="512">
      <c r="A512" s="67">
        <f>IFERROR(__xludf.DUMMYFUNCTION("""COMPUTED_VALUE"""),1.11211526E8)</f>
        <v>111211526</v>
      </c>
      <c r="B512" s="67" t="str">
        <f>IFERROR(__xludf.DUMMYFUNCTION("""COMPUTED_VALUE"""),"YUSRIN")</f>
        <v>YUSRIN</v>
      </c>
      <c r="C512" s="67">
        <f>IFERROR(__xludf.DUMMYFUNCTION("""COMPUTED_VALUE"""),44.0)</f>
        <v>44</v>
      </c>
      <c r="D512" s="68" t="str">
        <f>IFERROR(__xludf.DUMMYFUNCTION("""COMPUTED_VALUE"""),"Islam")</f>
        <v>Islam</v>
      </c>
      <c r="E512" s="67" t="str">
        <f>IFERROR(__xludf.DUMMYFUNCTION("""COMPUTED_VALUE"""),"CV. SENTOSA ABADI")</f>
        <v>CV. SENTOSA ABADI</v>
      </c>
      <c r="F512" s="67" t="str">
        <f>IFERROR(__xludf.DUMMYFUNCTION("""COMPUTED_VALUE"""),"DRIVER DT")</f>
        <v>DRIVER DT</v>
      </c>
      <c r="G512" s="67" t="str">
        <f>IFERROR(__xludf.DUMMYFUNCTION("""COMPUTED_VALUE"""),"KENDARAAN &amp; UNIT SUPPORT")</f>
        <v>KENDARAAN &amp; UNIT SUPPORT</v>
      </c>
      <c r="H512" s="67" t="str">
        <f>IFERROR(__xludf.DUMMYFUNCTION("""COMPUTED_VALUE"""),"[0102150004] NAFTALI RARE'A, ST")</f>
        <v>[0102150004] NAFTALI RARE'A, ST</v>
      </c>
      <c r="I512" s="69"/>
      <c r="J512" s="70" t="str">
        <f t="shared" si="1"/>
        <v>[111211526] YUSRIN</v>
      </c>
      <c r="K512" s="67"/>
      <c r="L512" s="67"/>
      <c r="M512" s="67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</row>
    <row r="513">
      <c r="A513" s="67">
        <f>IFERROR(__xludf.DUMMYFUNCTION("""COMPUTED_VALUE"""),2.04241909E8)</f>
        <v>204241909</v>
      </c>
      <c r="B513" s="67" t="str">
        <f>IFERROR(__xludf.DUMMYFUNCTION("""COMPUTED_VALUE"""),"YUSTISIO YAYAN PRABOWO")</f>
        <v>YUSTISIO YAYAN PRABOWO</v>
      </c>
      <c r="C513" s="67">
        <f>IFERROR(__xludf.DUMMYFUNCTION("""COMPUTED_VALUE"""),0.0)</f>
        <v>0</v>
      </c>
      <c r="D513" s="68"/>
      <c r="E513" s="67" t="str">
        <f>IFERROR(__xludf.DUMMYFUNCTION("""COMPUTED_VALUE"""),"CV. Adil Prima Perkasa")</f>
        <v>CV. Adil Prima Perkasa</v>
      </c>
      <c r="F513" s="67" t="str">
        <f>IFERROR(__xludf.DUMMYFUNCTION("""COMPUTED_VALUE"""),"DRIVER LV")</f>
        <v>DRIVER LV</v>
      </c>
      <c r="G513" s="67" t="str">
        <f>IFERROR(__xludf.DUMMYFUNCTION("""COMPUTED_VALUE"""),"KENDARAAN &amp; UNIT SUPPORT")</f>
        <v>KENDARAAN &amp; UNIT SUPPORT</v>
      </c>
      <c r="H513" s="67" t="str">
        <f>IFERROR(__xludf.DUMMYFUNCTION("""COMPUTED_VALUE"""),"[0102150004] NAFTALI RARE'A, ST")</f>
        <v>[0102150004] NAFTALI RARE'A, ST</v>
      </c>
      <c r="I513" s="69"/>
      <c r="J513" s="70" t="str">
        <f t="shared" si="1"/>
        <v>[204241909] YUSTISIO YAYAN PRABOWO</v>
      </c>
      <c r="K513" s="67"/>
      <c r="L513" s="67"/>
      <c r="M513" s="67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</row>
    <row r="514">
      <c r="A514" s="67">
        <f>IFERROR(__xludf.DUMMYFUNCTION("""COMPUTED_VALUE"""),1.05190838E8)</f>
        <v>105190838</v>
      </c>
      <c r="B514" s="67" t="str">
        <f>IFERROR(__xludf.DUMMYFUNCTION("""COMPUTED_VALUE"""),"YUSUF")</f>
        <v>YUSUF</v>
      </c>
      <c r="C514" s="67">
        <f>IFERROR(__xludf.DUMMYFUNCTION("""COMPUTED_VALUE"""),24.0)</f>
        <v>24</v>
      </c>
      <c r="D514" s="68" t="str">
        <f>IFERROR(__xludf.DUMMYFUNCTION("""COMPUTED_VALUE"""),"Kristen Protestan")</f>
        <v>Kristen Protestan</v>
      </c>
      <c r="E514" s="67" t="str">
        <f>IFERROR(__xludf.DUMMYFUNCTION("""COMPUTED_VALUE"""),"CV. SENTOSA ABADI")</f>
        <v>CV. SENTOSA ABADI</v>
      </c>
      <c r="F514" s="67" t="str">
        <f>IFERROR(__xludf.DUMMYFUNCTION("""COMPUTED_VALUE"""),"ADMIN LOGISTIC")</f>
        <v>ADMIN LOGISTIC</v>
      </c>
      <c r="G514" s="67" t="str">
        <f>IFERROR(__xludf.DUMMYFUNCTION("""COMPUTED_VALUE"""),"LOGISTIC")</f>
        <v>LOGISTIC</v>
      </c>
      <c r="H514" s="67" t="str">
        <f>IFERROR(__xludf.DUMMYFUNCTION("""COMPUTED_VALUE"""),"[0109170014] JENES R. MANOPPO")</f>
        <v>[0109170014] JENES R. MANOPPO</v>
      </c>
      <c r="I514" s="69"/>
      <c r="J514" s="70" t="str">
        <f t="shared" si="1"/>
        <v>[105190838] YUSUF</v>
      </c>
      <c r="K514" s="67"/>
      <c r="L514" s="67"/>
      <c r="M514" s="67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</row>
    <row r="515">
      <c r="A515" s="67">
        <f>IFERROR(__xludf.DUMMYFUNCTION("""COMPUTED_VALUE"""),2.02150673E8)</f>
        <v>202150673</v>
      </c>
      <c r="B515" s="67" t="str">
        <f>IFERROR(__xludf.DUMMYFUNCTION("""COMPUTED_VALUE"""),"YUSUF RENDY SOLONG")</f>
        <v>YUSUF RENDY SOLONG</v>
      </c>
      <c r="C515" s="67">
        <f>IFERROR(__xludf.DUMMYFUNCTION("""COMPUTED_VALUE"""),30.0)</f>
        <v>30</v>
      </c>
      <c r="D515" s="68" t="str">
        <f>IFERROR(__xludf.DUMMYFUNCTION("""COMPUTED_VALUE"""),"Kristen Protestan")</f>
        <v>Kristen Protestan</v>
      </c>
      <c r="E515" s="67" t="str">
        <f>IFERROR(__xludf.DUMMYFUNCTION("""COMPUTED_VALUE"""),"CV. Adil Prima Perkasa")</f>
        <v>CV. Adil Prima Perkasa</v>
      </c>
      <c r="F515" s="67" t="str">
        <f>IFERROR(__xludf.DUMMYFUNCTION("""COMPUTED_VALUE"""),"OPERATOR EXCAVATOR")</f>
        <v>OPERATOR EXCAVATOR</v>
      </c>
      <c r="G515" s="67" t="str">
        <f>IFERROR(__xludf.DUMMYFUNCTION("""COMPUTED_VALUE"""),"PRODUKSI")</f>
        <v>PRODUKSI</v>
      </c>
      <c r="H515" s="67" t="str">
        <f>IFERROR(__xludf.DUMMYFUNCTION("""COMPUTED_VALUE"""),"FALSE")</f>
        <v>FALSE</v>
      </c>
      <c r="I515" s="69">
        <f>IFERROR(__xludf.DUMMYFUNCTION("""COMPUTED_VALUE"""),30911.0)</f>
        <v>30911</v>
      </c>
      <c r="J515" s="70" t="str">
        <f t="shared" si="1"/>
        <v>[202150673] YUSUF RENDY SOLONG</v>
      </c>
      <c r="K515" s="67"/>
      <c r="L515" s="67"/>
      <c r="M515" s="67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</row>
    <row r="516">
      <c r="A516" s="67">
        <f>IFERROR(__xludf.DUMMYFUNCTION("""COMPUTED_VALUE"""),2.12231869E8)</f>
        <v>212231869</v>
      </c>
      <c r="B516" s="67" t="str">
        <f>IFERROR(__xludf.DUMMYFUNCTION("""COMPUTED_VALUE"""),"ZAINIR A. KOROMPOT")</f>
        <v>ZAINIR A. KOROMPOT</v>
      </c>
      <c r="C516" s="67">
        <f>IFERROR(__xludf.DUMMYFUNCTION("""COMPUTED_VALUE"""),0.0)</f>
        <v>0</v>
      </c>
      <c r="D516" s="68"/>
      <c r="E516" s="67" t="str">
        <f>IFERROR(__xludf.DUMMYFUNCTION("""COMPUTED_VALUE"""),"CV. Adil Prima Perkasa")</f>
        <v>CV. Adil Prima Perkasa</v>
      </c>
      <c r="F516" s="67" t="str">
        <f>IFERROR(__xludf.DUMMYFUNCTION("""COMPUTED_VALUE"""),"DRIVER DT H500")</f>
        <v>DRIVER DT H500</v>
      </c>
      <c r="G516" s="67" t="str">
        <f>IFERROR(__xludf.DUMMYFUNCTION("""COMPUTED_VALUE"""),"KENDARAAN &amp; UNIT SUPPORT")</f>
        <v>KENDARAAN &amp; UNIT SUPPORT</v>
      </c>
      <c r="H516" s="67" t="str">
        <f>IFERROR(__xludf.DUMMYFUNCTION("""COMPUTED_VALUE"""),"[0102150004] NAFTALI RARE'A, ST")</f>
        <v>[0102150004] NAFTALI RARE'A, ST</v>
      </c>
      <c r="I516" s="69"/>
      <c r="J516" s="70" t="str">
        <f t="shared" si="1"/>
        <v>[212231869] ZAINIR A. KOROMPOT</v>
      </c>
      <c r="K516" s="67"/>
      <c r="L516" s="67"/>
      <c r="M516" s="67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</row>
    <row r="517">
      <c r="A517" s="67">
        <f>IFERROR(__xludf.DUMMYFUNCTION("""COMPUTED_VALUE"""),2.07231797E8)</f>
        <v>207231797</v>
      </c>
      <c r="B517" s="67" t="str">
        <f>IFERROR(__xludf.DUMMYFUNCTION("""COMPUTED_VALUE"""),"ZETH")</f>
        <v>ZETH</v>
      </c>
      <c r="C517" s="67">
        <f>IFERROR(__xludf.DUMMYFUNCTION("""COMPUTED_VALUE"""),22.0)</f>
        <v>22</v>
      </c>
      <c r="D517" s="68" t="str">
        <f>IFERROR(__xludf.DUMMYFUNCTION("""COMPUTED_VALUE"""),"Kristen Protestan")</f>
        <v>Kristen Protestan</v>
      </c>
      <c r="E517" s="67" t="str">
        <f>IFERROR(__xludf.DUMMYFUNCTION("""COMPUTED_VALUE"""),"CV. Adil Prima Perkasa")</f>
        <v>CV. Adil Prima Perkasa</v>
      </c>
      <c r="F517" s="67" t="str">
        <f>IFERROR(__xludf.DUMMYFUNCTION("""COMPUTED_VALUE"""),"HELPER MECHANIC DT OTR")</f>
        <v>HELPER MECHANIC DT OTR</v>
      </c>
      <c r="G517" s="67" t="str">
        <f>IFERROR(__xludf.DUMMYFUNCTION("""COMPUTED_VALUE"""),"WORKSHOP")</f>
        <v>WORKSHOP</v>
      </c>
      <c r="H517" s="67" t="str">
        <f>IFERROR(__xludf.DUMMYFUNCTION("""COMPUTED_VALUE"""),"[0106190928] NATAN KONDO")</f>
        <v>[0106190928] NATAN KONDO</v>
      </c>
      <c r="I517" s="69"/>
      <c r="J517" s="70" t="str">
        <f t="shared" si="1"/>
        <v>[207231797] ZETH</v>
      </c>
      <c r="K517" s="67"/>
      <c r="L517" s="67"/>
      <c r="M517" s="67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</row>
    <row r="518">
      <c r="A518" s="67">
        <f>IFERROR(__xludf.DUMMYFUNCTION("""COMPUTED_VALUE"""),1.08201194E8)</f>
        <v>108201194</v>
      </c>
      <c r="B518" s="67" t="str">
        <f>IFERROR(__xludf.DUMMYFUNCTION("""COMPUTED_VALUE"""),"ZULKIFLI")</f>
        <v>ZULKIFLI</v>
      </c>
      <c r="C518" s="67">
        <f>IFERROR(__xludf.DUMMYFUNCTION("""COMPUTED_VALUE"""),27.0)</f>
        <v>27</v>
      </c>
      <c r="D518" s="68" t="str">
        <f>IFERROR(__xludf.DUMMYFUNCTION("""COMPUTED_VALUE"""),"Islam")</f>
        <v>Islam</v>
      </c>
      <c r="E518" s="67" t="str">
        <f>IFERROR(__xludf.DUMMYFUNCTION("""COMPUTED_VALUE"""),"CV. SENTOSA ABADI")</f>
        <v>CV. SENTOSA ABADI</v>
      </c>
      <c r="F518" s="67" t="str">
        <f>IFERROR(__xludf.DUMMYFUNCTION("""COMPUTED_VALUE"""),"OPERATOR COMPACTOR")</f>
        <v>OPERATOR COMPACTOR</v>
      </c>
      <c r="G518" s="67" t="str">
        <f>IFERROR(__xludf.DUMMYFUNCTION("""COMPUTED_VALUE"""),"PRODUKSI")</f>
        <v>PRODUKSI</v>
      </c>
      <c r="H518" s="67" t="str">
        <f>IFERROR(__xludf.DUMMYFUNCTION("""COMPUTED_VALUE"""),"[0102130003] PURNAWAN")</f>
        <v>[0102130003] PURNAWAN</v>
      </c>
      <c r="I518" s="69"/>
      <c r="J518" s="70" t="str">
        <f t="shared" si="1"/>
        <v>[108201194] ZULKIFLI</v>
      </c>
      <c r="K518" s="67"/>
      <c r="L518" s="67"/>
      <c r="M518" s="67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</row>
    <row r="519">
      <c r="A519" s="67">
        <f>IFERROR(__xludf.DUMMYFUNCTION("""COMPUTED_VALUE"""),2.0624194E8)</f>
        <v>206241940</v>
      </c>
      <c r="B519" s="67" t="str">
        <f>IFERROR(__xludf.DUMMYFUNCTION("""COMPUTED_VALUE"""),"ZULKIPLI TAHERONG")</f>
        <v>ZULKIPLI TAHERONG</v>
      </c>
      <c r="C519" s="67">
        <f>IFERROR(__xludf.DUMMYFUNCTION("""COMPUTED_VALUE"""),28.0)</f>
        <v>28</v>
      </c>
      <c r="D519" s="68" t="str">
        <f>IFERROR(__xludf.DUMMYFUNCTION("""COMPUTED_VALUE"""),"Islam")</f>
        <v>Islam</v>
      </c>
      <c r="E519" s="67" t="str">
        <f>IFERROR(__xludf.DUMMYFUNCTION("""COMPUTED_VALUE"""),"CV. Adil Prima Perkasa")</f>
        <v>CV. Adil Prima Perkasa</v>
      </c>
      <c r="F519" s="67" t="str">
        <f>IFERROR(__xludf.DUMMYFUNCTION("""COMPUTED_VALUE"""),"CHECKER KENDARAAN")</f>
        <v>CHECKER KENDARAAN</v>
      </c>
      <c r="G519" s="67" t="str">
        <f>IFERROR(__xludf.DUMMYFUNCTION("""COMPUTED_VALUE"""),"KENDARAAN &amp; UNIT SUPPORT")</f>
        <v>KENDARAAN &amp; UNIT SUPPORT</v>
      </c>
      <c r="H519" s="67" t="str">
        <f>IFERROR(__xludf.DUMMYFUNCTION("""COMPUTED_VALUE"""),"[0102150004] NAFTALI RARE'A, ST")</f>
        <v>[0102150004] NAFTALI RARE'A, ST</v>
      </c>
      <c r="I519" s="69"/>
      <c r="J519" s="70" t="str">
        <f t="shared" si="1"/>
        <v>[206241940] ZULKIPLI TAHERONG</v>
      </c>
      <c r="K519" s="67"/>
      <c r="L519" s="67"/>
      <c r="M519" s="67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</row>
    <row r="520">
      <c r="A520" s="67"/>
      <c r="B520" s="67" t="str">
        <f>IFERROR(__xludf.DUMMYFUNCTION("""COMPUTED_VALUE"""),"[0206241946] AHMAD ATKONI - 3566/APP/HRD/PKWT/VI/2024")</f>
        <v>[0206241946] AHMAD ATKONI - 3566/APP/HRD/PKWT/VI/2024</v>
      </c>
      <c r="C520" s="67">
        <f>IFERROR(__xludf.DUMMYFUNCTION("""COMPUTED_VALUE"""),0.0)</f>
        <v>0</v>
      </c>
      <c r="D520" s="68"/>
      <c r="E520" s="67" t="str">
        <f>IFERROR(__xludf.DUMMYFUNCTION("""COMPUTED_VALUE"""),"CV. Adil Prima Perkasa")</f>
        <v>CV. Adil Prima Perkasa</v>
      </c>
      <c r="F520" s="67" t="str">
        <f>IFERROR(__xludf.DUMMYFUNCTION("""COMPUTED_VALUE"""),"FALSE")</f>
        <v>FALSE</v>
      </c>
      <c r="G520" s="67" t="str">
        <f>IFERROR(__xludf.DUMMYFUNCTION("""COMPUTED_VALUE"""),"FALSE")</f>
        <v>FALSE</v>
      </c>
      <c r="H520" s="67" t="str">
        <f>IFERROR(__xludf.DUMMYFUNCTION("""COMPUTED_VALUE"""),"FALSE")</f>
        <v>FALSE</v>
      </c>
      <c r="I520" s="69"/>
      <c r="J520" s="70" t="str">
        <f t="shared" si="1"/>
        <v>[] [0206241946] AHMAD ATKONI - 3566/APP/HRD/PKWT/VI/2024</v>
      </c>
      <c r="K520" s="67"/>
      <c r="L520" s="67"/>
      <c r="M520" s="67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</row>
    <row r="521">
      <c r="A521" s="67"/>
      <c r="B521" s="67"/>
      <c r="C521" s="67"/>
      <c r="D521" s="68"/>
      <c r="E521" s="67"/>
      <c r="F521" s="67"/>
      <c r="G521" s="67"/>
      <c r="H521" s="67"/>
      <c r="I521" s="67"/>
      <c r="J521" s="70" t="str">
        <f t="shared" si="1"/>
        <v/>
      </c>
      <c r="K521" s="67"/>
      <c r="L521" s="67"/>
      <c r="M521" s="67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</row>
    <row r="522">
      <c r="A522" s="67"/>
      <c r="B522" s="67"/>
      <c r="C522" s="67"/>
      <c r="D522" s="68"/>
      <c r="E522" s="67"/>
      <c r="F522" s="67"/>
      <c r="G522" s="67"/>
      <c r="H522" s="67"/>
      <c r="I522" s="67"/>
      <c r="J522" s="70" t="str">
        <f t="shared" si="1"/>
        <v/>
      </c>
      <c r="K522" s="67"/>
      <c r="L522" s="67"/>
      <c r="M522" s="67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</row>
    <row r="523">
      <c r="A523" s="67"/>
      <c r="B523" s="67"/>
      <c r="C523" s="67"/>
      <c r="D523" s="68"/>
      <c r="E523" s="67"/>
      <c r="F523" s="67"/>
      <c r="G523" s="67"/>
      <c r="H523" s="67"/>
      <c r="I523" s="67"/>
      <c r="J523" s="70" t="str">
        <f t="shared" si="1"/>
        <v/>
      </c>
      <c r="K523" s="67"/>
      <c r="L523" s="67"/>
      <c r="M523" s="67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</row>
    <row r="524">
      <c r="A524" s="67"/>
      <c r="B524" s="67"/>
      <c r="C524" s="67"/>
      <c r="D524" s="68"/>
      <c r="E524" s="67"/>
      <c r="F524" s="67"/>
      <c r="G524" s="67"/>
      <c r="H524" s="67"/>
      <c r="I524" s="67"/>
      <c r="J524" s="70" t="str">
        <f t="shared" si="1"/>
        <v/>
      </c>
      <c r="K524" s="67"/>
      <c r="L524" s="67"/>
      <c r="M524" s="67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</row>
    <row r="525">
      <c r="A525" s="67"/>
      <c r="B525" s="67"/>
      <c r="C525" s="67"/>
      <c r="D525" s="68"/>
      <c r="E525" s="67"/>
      <c r="F525" s="67"/>
      <c r="G525" s="67"/>
      <c r="H525" s="67"/>
      <c r="I525" s="67"/>
      <c r="J525" s="70" t="str">
        <f t="shared" si="1"/>
        <v/>
      </c>
      <c r="K525" s="67"/>
      <c r="L525" s="67"/>
      <c r="M525" s="67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</row>
    <row r="526">
      <c r="A526" s="67"/>
      <c r="B526" s="67"/>
      <c r="C526" s="67"/>
      <c r="D526" s="68"/>
      <c r="E526" s="67"/>
      <c r="F526" s="67"/>
      <c r="G526" s="67"/>
      <c r="H526" s="67"/>
      <c r="I526" s="67"/>
      <c r="J526" s="70" t="str">
        <f t="shared" si="1"/>
        <v/>
      </c>
      <c r="K526" s="67"/>
      <c r="L526" s="67"/>
      <c r="M526" s="67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</row>
    <row r="527">
      <c r="A527" s="67"/>
      <c r="B527" s="67"/>
      <c r="C527" s="67"/>
      <c r="D527" s="68"/>
      <c r="E527" s="67"/>
      <c r="F527" s="67"/>
      <c r="G527" s="67"/>
      <c r="H527" s="67"/>
      <c r="I527" s="67"/>
      <c r="J527" s="70" t="str">
        <f t="shared" si="1"/>
        <v/>
      </c>
      <c r="K527" s="67"/>
      <c r="L527" s="67"/>
      <c r="M527" s="67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</row>
    <row r="528">
      <c r="A528" s="67"/>
      <c r="B528" s="67"/>
      <c r="C528" s="67"/>
      <c r="D528" s="68"/>
      <c r="E528" s="67"/>
      <c r="F528" s="67"/>
      <c r="G528" s="67"/>
      <c r="H528" s="67"/>
      <c r="I528" s="67"/>
      <c r="J528" s="70" t="str">
        <f t="shared" si="1"/>
        <v/>
      </c>
      <c r="K528" s="67"/>
      <c r="L528" s="67"/>
      <c r="M528" s="67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</row>
    <row r="529">
      <c r="A529" s="67"/>
      <c r="B529" s="67"/>
      <c r="C529" s="67"/>
      <c r="D529" s="68"/>
      <c r="E529" s="67"/>
      <c r="F529" s="67"/>
      <c r="G529" s="67"/>
      <c r="H529" s="67"/>
      <c r="I529" s="67"/>
      <c r="J529" s="70" t="str">
        <f t="shared" si="1"/>
        <v/>
      </c>
      <c r="K529" s="67"/>
      <c r="L529" s="67"/>
      <c r="M529" s="67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</row>
    <row r="530">
      <c r="A530" s="67"/>
      <c r="B530" s="67"/>
      <c r="C530" s="67"/>
      <c r="D530" s="68"/>
      <c r="E530" s="67"/>
      <c r="F530" s="67"/>
      <c r="G530" s="67"/>
      <c r="H530" s="67"/>
      <c r="I530" s="67"/>
      <c r="J530" s="70" t="str">
        <f t="shared" si="1"/>
        <v/>
      </c>
      <c r="K530" s="67"/>
      <c r="L530" s="67"/>
      <c r="M530" s="67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</row>
    <row r="531">
      <c r="A531" s="67"/>
      <c r="B531" s="67"/>
      <c r="C531" s="67"/>
      <c r="D531" s="68"/>
      <c r="E531" s="67"/>
      <c r="F531" s="67"/>
      <c r="G531" s="67"/>
      <c r="H531" s="67"/>
      <c r="I531" s="67"/>
      <c r="J531" s="70" t="str">
        <f t="shared" si="1"/>
        <v/>
      </c>
      <c r="K531" s="67"/>
      <c r="L531" s="67"/>
      <c r="M531" s="67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</row>
    <row r="532">
      <c r="A532" s="67"/>
      <c r="B532" s="67"/>
      <c r="C532" s="67"/>
      <c r="D532" s="68"/>
      <c r="E532" s="67"/>
      <c r="F532" s="67"/>
      <c r="G532" s="67"/>
      <c r="H532" s="67"/>
      <c r="I532" s="67"/>
      <c r="J532" s="70" t="str">
        <f t="shared" si="1"/>
        <v/>
      </c>
      <c r="K532" s="67"/>
      <c r="L532" s="67"/>
      <c r="M532" s="67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</row>
    <row r="533">
      <c r="A533" s="67"/>
      <c r="B533" s="67"/>
      <c r="C533" s="67"/>
      <c r="D533" s="68"/>
      <c r="E533" s="67"/>
      <c r="F533" s="67"/>
      <c r="G533" s="67"/>
      <c r="H533" s="67"/>
      <c r="I533" s="67"/>
      <c r="J533" s="70" t="str">
        <f t="shared" si="1"/>
        <v/>
      </c>
      <c r="K533" s="67"/>
      <c r="L533" s="67"/>
      <c r="M533" s="67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</row>
    <row r="534">
      <c r="A534" s="67"/>
      <c r="B534" s="67"/>
      <c r="C534" s="67"/>
      <c r="D534" s="68"/>
      <c r="E534" s="67"/>
      <c r="F534" s="67"/>
      <c r="G534" s="67"/>
      <c r="H534" s="67"/>
      <c r="I534" s="67"/>
      <c r="J534" s="70" t="str">
        <f t="shared" si="1"/>
        <v/>
      </c>
      <c r="K534" s="67"/>
      <c r="L534" s="67"/>
      <c r="M534" s="67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</row>
    <row r="535">
      <c r="A535" s="67"/>
      <c r="B535" s="67"/>
      <c r="C535" s="67"/>
      <c r="D535" s="68"/>
      <c r="E535" s="67"/>
      <c r="F535" s="67"/>
      <c r="G535" s="67"/>
      <c r="H535" s="67"/>
      <c r="I535" s="67"/>
      <c r="J535" s="70" t="str">
        <f t="shared" si="1"/>
        <v/>
      </c>
      <c r="K535" s="67"/>
      <c r="L535" s="67"/>
      <c r="M535" s="67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</row>
    <row r="536">
      <c r="A536" s="67"/>
      <c r="B536" s="67"/>
      <c r="C536" s="67"/>
      <c r="D536" s="68"/>
      <c r="E536" s="67"/>
      <c r="F536" s="67"/>
      <c r="G536" s="67"/>
      <c r="H536" s="67"/>
      <c r="I536" s="67"/>
      <c r="J536" s="70" t="str">
        <f t="shared" si="1"/>
        <v/>
      </c>
      <c r="K536" s="67"/>
      <c r="L536" s="67"/>
      <c r="M536" s="67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</row>
    <row r="537">
      <c r="A537" s="67"/>
      <c r="B537" s="67"/>
      <c r="C537" s="67"/>
      <c r="D537" s="68"/>
      <c r="E537" s="67"/>
      <c r="F537" s="67"/>
      <c r="G537" s="67"/>
      <c r="H537" s="67"/>
      <c r="I537" s="67"/>
      <c r="J537" s="70" t="str">
        <f t="shared" si="1"/>
        <v/>
      </c>
      <c r="K537" s="67"/>
      <c r="L537" s="67"/>
      <c r="M537" s="67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</row>
    <row r="538">
      <c r="A538" s="67"/>
      <c r="B538" s="67"/>
      <c r="C538" s="67"/>
      <c r="D538" s="68"/>
      <c r="E538" s="67"/>
      <c r="F538" s="67"/>
      <c r="G538" s="67"/>
      <c r="H538" s="67"/>
      <c r="I538" s="67"/>
      <c r="J538" s="70" t="str">
        <f t="shared" si="1"/>
        <v/>
      </c>
      <c r="K538" s="67"/>
      <c r="L538" s="67"/>
      <c r="M538" s="67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</row>
    <row r="539">
      <c r="A539" s="67"/>
      <c r="B539" s="67"/>
      <c r="C539" s="67"/>
      <c r="D539" s="68"/>
      <c r="E539" s="67"/>
      <c r="F539" s="67"/>
      <c r="G539" s="67"/>
      <c r="H539" s="67"/>
      <c r="I539" s="67"/>
      <c r="J539" s="70" t="str">
        <f t="shared" si="1"/>
        <v/>
      </c>
      <c r="K539" s="67"/>
      <c r="L539" s="67"/>
      <c r="M539" s="6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</row>
    <row r="540">
      <c r="A540" s="67"/>
      <c r="B540" s="67"/>
      <c r="C540" s="67"/>
      <c r="D540" s="68"/>
      <c r="E540" s="67"/>
      <c r="F540" s="67"/>
      <c r="G540" s="67"/>
      <c r="H540" s="67"/>
      <c r="I540" s="67"/>
      <c r="J540" s="70" t="str">
        <f t="shared" si="1"/>
        <v/>
      </c>
      <c r="K540" s="67"/>
      <c r="L540" s="67"/>
      <c r="M540" s="67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</row>
    <row r="541">
      <c r="A541" s="67"/>
      <c r="B541" s="67"/>
      <c r="C541" s="67"/>
      <c r="D541" s="68"/>
      <c r="E541" s="67"/>
      <c r="F541" s="67"/>
      <c r="G541" s="67"/>
      <c r="H541" s="67"/>
      <c r="I541" s="67"/>
      <c r="J541" s="70" t="str">
        <f t="shared" si="1"/>
        <v/>
      </c>
      <c r="K541" s="67"/>
      <c r="L541" s="67"/>
      <c r="M541" s="67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</row>
    <row r="542">
      <c r="A542" s="67"/>
      <c r="B542" s="67"/>
      <c r="C542" s="67"/>
      <c r="D542" s="68"/>
      <c r="E542" s="67"/>
      <c r="F542" s="67"/>
      <c r="G542" s="67"/>
      <c r="H542" s="67"/>
      <c r="I542" s="67"/>
      <c r="J542" s="70" t="str">
        <f t="shared" si="1"/>
        <v/>
      </c>
      <c r="K542" s="67"/>
      <c r="L542" s="67"/>
      <c r="M542" s="67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</row>
    <row r="543">
      <c r="A543" s="67"/>
      <c r="B543" s="67"/>
      <c r="C543" s="67"/>
      <c r="D543" s="68"/>
      <c r="E543" s="67"/>
      <c r="F543" s="67"/>
      <c r="G543" s="67"/>
      <c r="H543" s="67"/>
      <c r="I543" s="67"/>
      <c r="J543" s="70" t="str">
        <f t="shared" si="1"/>
        <v/>
      </c>
      <c r="K543" s="67"/>
      <c r="L543" s="67"/>
      <c r="M543" s="67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</row>
    <row r="544">
      <c r="A544" s="67"/>
      <c r="B544" s="67"/>
      <c r="C544" s="67"/>
      <c r="D544" s="68"/>
      <c r="E544" s="67"/>
      <c r="F544" s="67"/>
      <c r="G544" s="67"/>
      <c r="H544" s="67"/>
      <c r="I544" s="67"/>
      <c r="J544" s="70" t="str">
        <f t="shared" si="1"/>
        <v/>
      </c>
      <c r="K544" s="67"/>
      <c r="L544" s="67"/>
      <c r="M544" s="67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</row>
    <row r="545">
      <c r="A545" s="67"/>
      <c r="B545" s="67"/>
      <c r="C545" s="67"/>
      <c r="D545" s="68"/>
      <c r="E545" s="67"/>
      <c r="F545" s="67"/>
      <c r="G545" s="67"/>
      <c r="H545" s="67"/>
      <c r="I545" s="67"/>
      <c r="J545" s="70" t="str">
        <f t="shared" si="1"/>
        <v/>
      </c>
      <c r="K545" s="67"/>
      <c r="L545" s="67"/>
      <c r="M545" s="67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</row>
    <row r="546">
      <c r="A546" s="67"/>
      <c r="B546" s="67"/>
      <c r="C546" s="67"/>
      <c r="D546" s="68"/>
      <c r="E546" s="67"/>
      <c r="F546" s="67"/>
      <c r="G546" s="67"/>
      <c r="H546" s="67"/>
      <c r="I546" s="67"/>
      <c r="J546" s="70" t="str">
        <f t="shared" si="1"/>
        <v/>
      </c>
      <c r="K546" s="67"/>
      <c r="L546" s="67"/>
      <c r="M546" s="67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</row>
    <row r="547">
      <c r="A547" s="67"/>
      <c r="B547" s="67"/>
      <c r="C547" s="67"/>
      <c r="D547" s="68"/>
      <c r="E547" s="67"/>
      <c r="F547" s="67"/>
      <c r="G547" s="67"/>
      <c r="H547" s="67"/>
      <c r="I547" s="67"/>
      <c r="J547" s="70" t="str">
        <f t="shared" si="1"/>
        <v/>
      </c>
      <c r="K547" s="67"/>
      <c r="L547" s="67"/>
      <c r="M547" s="67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</row>
    <row r="548">
      <c r="A548" s="67"/>
      <c r="B548" s="67"/>
      <c r="C548" s="67"/>
      <c r="D548" s="68"/>
      <c r="E548" s="67"/>
      <c r="F548" s="67"/>
      <c r="G548" s="67"/>
      <c r="H548" s="67"/>
      <c r="I548" s="67"/>
      <c r="J548" s="70" t="str">
        <f t="shared" si="1"/>
        <v/>
      </c>
      <c r="K548" s="67"/>
      <c r="L548" s="67"/>
      <c r="M548" s="67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</row>
    <row r="549">
      <c r="A549" s="67"/>
      <c r="B549" s="67"/>
      <c r="C549" s="67"/>
      <c r="D549" s="68"/>
      <c r="E549" s="67"/>
      <c r="F549" s="67"/>
      <c r="G549" s="67"/>
      <c r="H549" s="67"/>
      <c r="I549" s="67"/>
      <c r="J549" s="70" t="str">
        <f t="shared" si="1"/>
        <v/>
      </c>
      <c r="K549" s="67"/>
      <c r="L549" s="67"/>
      <c r="M549" s="67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</row>
    <row r="550">
      <c r="A550" s="67"/>
      <c r="B550" s="67"/>
      <c r="C550" s="67"/>
      <c r="D550" s="68"/>
      <c r="E550" s="67"/>
      <c r="F550" s="67"/>
      <c r="G550" s="67"/>
      <c r="H550" s="67"/>
      <c r="I550" s="67"/>
      <c r="J550" s="70" t="str">
        <f t="shared" si="1"/>
        <v/>
      </c>
      <c r="K550" s="67"/>
      <c r="L550" s="67"/>
      <c r="M550" s="67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</row>
    <row r="551">
      <c r="A551" s="67"/>
      <c r="B551" s="67"/>
      <c r="C551" s="67"/>
      <c r="D551" s="68"/>
      <c r="E551" s="67"/>
      <c r="F551" s="67"/>
      <c r="G551" s="67"/>
      <c r="H551" s="67"/>
      <c r="I551" s="67"/>
      <c r="J551" s="70" t="str">
        <f t="shared" si="1"/>
        <v/>
      </c>
      <c r="K551" s="67"/>
      <c r="L551" s="67"/>
      <c r="M551" s="67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</row>
    <row r="552">
      <c r="A552" s="67"/>
      <c r="B552" s="67"/>
      <c r="C552" s="67"/>
      <c r="D552" s="68"/>
      <c r="E552" s="67"/>
      <c r="F552" s="67"/>
      <c r="G552" s="67"/>
      <c r="H552" s="67"/>
      <c r="I552" s="67"/>
      <c r="J552" s="70" t="str">
        <f t="shared" si="1"/>
        <v/>
      </c>
      <c r="K552" s="67"/>
      <c r="L552" s="67"/>
      <c r="M552" s="67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</row>
    <row r="553">
      <c r="A553" s="67"/>
      <c r="B553" s="67"/>
      <c r="C553" s="67"/>
      <c r="D553" s="68"/>
      <c r="E553" s="67"/>
      <c r="F553" s="67"/>
      <c r="G553" s="67"/>
      <c r="H553" s="67"/>
      <c r="I553" s="67"/>
      <c r="J553" s="70" t="str">
        <f t="shared" si="1"/>
        <v/>
      </c>
      <c r="K553" s="67"/>
      <c r="L553" s="67"/>
      <c r="M553" s="67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</row>
    <row r="554">
      <c r="A554" s="67"/>
      <c r="B554" s="67"/>
      <c r="C554" s="67"/>
      <c r="D554" s="68"/>
      <c r="E554" s="67"/>
      <c r="F554" s="67"/>
      <c r="G554" s="67"/>
      <c r="H554" s="67"/>
      <c r="I554" s="67"/>
      <c r="J554" s="70" t="str">
        <f t="shared" si="1"/>
        <v/>
      </c>
      <c r="K554" s="67"/>
      <c r="L554" s="67"/>
      <c r="M554" s="67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</row>
    <row r="555">
      <c r="A555" s="67"/>
      <c r="B555" s="67"/>
      <c r="C555" s="67"/>
      <c r="D555" s="68"/>
      <c r="E555" s="67"/>
      <c r="F555" s="67"/>
      <c r="G555" s="67"/>
      <c r="H555" s="67"/>
      <c r="I555" s="67"/>
      <c r="J555" s="70" t="str">
        <f t="shared" si="1"/>
        <v/>
      </c>
      <c r="K555" s="67"/>
      <c r="L555" s="67"/>
      <c r="M555" s="67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</row>
    <row r="556">
      <c r="A556" s="67"/>
      <c r="B556" s="67"/>
      <c r="C556" s="67"/>
      <c r="D556" s="68"/>
      <c r="E556" s="67"/>
      <c r="F556" s="67"/>
      <c r="G556" s="67"/>
      <c r="H556" s="67"/>
      <c r="I556" s="67"/>
      <c r="J556" s="70" t="str">
        <f t="shared" si="1"/>
        <v/>
      </c>
      <c r="K556" s="67"/>
      <c r="L556" s="67"/>
      <c r="M556" s="67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</row>
    <row r="557">
      <c r="A557" s="67"/>
      <c r="B557" s="67"/>
      <c r="C557" s="67"/>
      <c r="D557" s="68"/>
      <c r="E557" s="67"/>
      <c r="F557" s="67"/>
      <c r="G557" s="67"/>
      <c r="H557" s="67"/>
      <c r="I557" s="67"/>
      <c r="J557" s="70" t="str">
        <f t="shared" si="1"/>
        <v/>
      </c>
      <c r="K557" s="67"/>
      <c r="L557" s="67"/>
      <c r="M557" s="67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</row>
    <row r="558">
      <c r="A558" s="67"/>
      <c r="B558" s="67"/>
      <c r="C558" s="67"/>
      <c r="D558" s="68"/>
      <c r="E558" s="67"/>
      <c r="F558" s="67"/>
      <c r="G558" s="67"/>
      <c r="H558" s="67"/>
      <c r="I558" s="67"/>
      <c r="J558" s="70" t="str">
        <f t="shared" ref="J558:J596" si="2">IFERROR(IF(I558="","",CONCAT(CONCAT(CONCAT("[",A558),"] "),B558)),"")</f>
        <v/>
      </c>
      <c r="K558" s="67"/>
      <c r="L558" s="67"/>
      <c r="M558" s="67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</row>
    <row r="559">
      <c r="A559" s="67"/>
      <c r="B559" s="67"/>
      <c r="C559" s="67"/>
      <c r="D559" s="68"/>
      <c r="E559" s="67"/>
      <c r="F559" s="67"/>
      <c r="G559" s="67"/>
      <c r="H559" s="67"/>
      <c r="I559" s="67"/>
      <c r="J559" s="70" t="str">
        <f t="shared" si="2"/>
        <v/>
      </c>
      <c r="K559" s="67"/>
      <c r="L559" s="67"/>
      <c r="M559" s="67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</row>
    <row r="560">
      <c r="A560" s="67"/>
      <c r="B560" s="67"/>
      <c r="C560" s="67"/>
      <c r="D560" s="68"/>
      <c r="E560" s="67"/>
      <c r="F560" s="67"/>
      <c r="G560" s="67"/>
      <c r="H560" s="67"/>
      <c r="I560" s="67"/>
      <c r="J560" s="70" t="str">
        <f t="shared" si="2"/>
        <v/>
      </c>
      <c r="K560" s="67"/>
      <c r="L560" s="67"/>
      <c r="M560" s="67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</row>
    <row r="561">
      <c r="A561" s="67"/>
      <c r="B561" s="67"/>
      <c r="C561" s="67"/>
      <c r="D561" s="68"/>
      <c r="E561" s="67"/>
      <c r="F561" s="67"/>
      <c r="G561" s="67"/>
      <c r="H561" s="67"/>
      <c r="I561" s="67"/>
      <c r="J561" s="70" t="str">
        <f t="shared" si="2"/>
        <v/>
      </c>
      <c r="K561" s="67"/>
      <c r="L561" s="67"/>
      <c r="M561" s="67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</row>
    <row r="562">
      <c r="A562" s="67"/>
      <c r="B562" s="67"/>
      <c r="C562" s="67"/>
      <c r="D562" s="68"/>
      <c r="E562" s="67"/>
      <c r="F562" s="67"/>
      <c r="G562" s="67"/>
      <c r="H562" s="67"/>
      <c r="I562" s="67"/>
      <c r="J562" s="70" t="str">
        <f t="shared" si="2"/>
        <v/>
      </c>
      <c r="K562" s="67"/>
      <c r="L562" s="67"/>
      <c r="M562" s="67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</row>
    <row r="563">
      <c r="A563" s="67"/>
      <c r="B563" s="67"/>
      <c r="C563" s="67"/>
      <c r="D563" s="68"/>
      <c r="E563" s="67"/>
      <c r="F563" s="67"/>
      <c r="G563" s="67"/>
      <c r="H563" s="67"/>
      <c r="I563" s="67"/>
      <c r="J563" s="70" t="str">
        <f t="shared" si="2"/>
        <v/>
      </c>
      <c r="K563" s="67"/>
      <c r="L563" s="67"/>
      <c r="M563" s="67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</row>
    <row r="564">
      <c r="A564" s="67"/>
      <c r="B564" s="67"/>
      <c r="C564" s="67"/>
      <c r="D564" s="68"/>
      <c r="E564" s="67"/>
      <c r="F564" s="67"/>
      <c r="G564" s="67"/>
      <c r="H564" s="67"/>
      <c r="I564" s="67"/>
      <c r="J564" s="70" t="str">
        <f t="shared" si="2"/>
        <v/>
      </c>
      <c r="K564" s="67"/>
      <c r="L564" s="67"/>
      <c r="M564" s="67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</row>
    <row r="565">
      <c r="A565" s="67"/>
      <c r="B565" s="67"/>
      <c r="C565" s="67"/>
      <c r="D565" s="68"/>
      <c r="E565" s="67"/>
      <c r="F565" s="67"/>
      <c r="G565" s="67"/>
      <c r="H565" s="67"/>
      <c r="I565" s="67"/>
      <c r="J565" s="70" t="str">
        <f t="shared" si="2"/>
        <v/>
      </c>
      <c r="K565" s="67"/>
      <c r="L565" s="67"/>
      <c r="M565" s="67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</row>
    <row r="566">
      <c r="A566" s="67"/>
      <c r="B566" s="67"/>
      <c r="C566" s="67"/>
      <c r="D566" s="68"/>
      <c r="E566" s="67"/>
      <c r="F566" s="67"/>
      <c r="G566" s="67"/>
      <c r="H566" s="67"/>
      <c r="I566" s="67"/>
      <c r="J566" s="70" t="str">
        <f t="shared" si="2"/>
        <v/>
      </c>
      <c r="K566" s="67"/>
      <c r="L566" s="67"/>
      <c r="M566" s="67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</row>
    <row r="567">
      <c r="A567" s="67"/>
      <c r="B567" s="67"/>
      <c r="C567" s="67"/>
      <c r="D567" s="68"/>
      <c r="E567" s="67"/>
      <c r="F567" s="67"/>
      <c r="G567" s="67"/>
      <c r="H567" s="67"/>
      <c r="I567" s="67"/>
      <c r="J567" s="70" t="str">
        <f t="shared" si="2"/>
        <v/>
      </c>
      <c r="K567" s="67"/>
      <c r="L567" s="67"/>
      <c r="M567" s="67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</row>
    <row r="568">
      <c r="A568" s="67"/>
      <c r="B568" s="67"/>
      <c r="C568" s="67"/>
      <c r="D568" s="68"/>
      <c r="E568" s="67"/>
      <c r="F568" s="67"/>
      <c r="G568" s="67"/>
      <c r="H568" s="67"/>
      <c r="I568" s="67"/>
      <c r="J568" s="70" t="str">
        <f t="shared" si="2"/>
        <v/>
      </c>
      <c r="K568" s="67"/>
      <c r="L568" s="67"/>
      <c r="M568" s="67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</row>
    <row r="569">
      <c r="A569" s="67"/>
      <c r="B569" s="67"/>
      <c r="C569" s="67"/>
      <c r="D569" s="68"/>
      <c r="E569" s="67"/>
      <c r="F569" s="67"/>
      <c r="G569" s="67"/>
      <c r="H569" s="67"/>
      <c r="I569" s="67"/>
      <c r="J569" s="70" t="str">
        <f t="shared" si="2"/>
        <v/>
      </c>
      <c r="K569" s="67"/>
      <c r="L569" s="67"/>
      <c r="M569" s="67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</row>
    <row r="570">
      <c r="A570" s="67"/>
      <c r="B570" s="67"/>
      <c r="C570" s="67"/>
      <c r="D570" s="68"/>
      <c r="E570" s="67"/>
      <c r="F570" s="67"/>
      <c r="G570" s="67"/>
      <c r="H570" s="67"/>
      <c r="I570" s="67"/>
      <c r="J570" s="70" t="str">
        <f t="shared" si="2"/>
        <v/>
      </c>
      <c r="K570" s="67"/>
      <c r="L570" s="67"/>
      <c r="M570" s="67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</row>
    <row r="571">
      <c r="A571" s="67"/>
      <c r="B571" s="67"/>
      <c r="C571" s="67"/>
      <c r="D571" s="68"/>
      <c r="E571" s="67"/>
      <c r="F571" s="67"/>
      <c r="G571" s="67"/>
      <c r="H571" s="67"/>
      <c r="I571" s="67"/>
      <c r="J571" s="70" t="str">
        <f t="shared" si="2"/>
        <v/>
      </c>
      <c r="K571" s="67"/>
      <c r="L571" s="67"/>
      <c r="M571" s="67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</row>
    <row r="572">
      <c r="A572" s="67"/>
      <c r="B572" s="67"/>
      <c r="C572" s="67"/>
      <c r="D572" s="68"/>
      <c r="E572" s="67"/>
      <c r="F572" s="67"/>
      <c r="G572" s="67"/>
      <c r="H572" s="67"/>
      <c r="I572" s="67"/>
      <c r="J572" s="70" t="str">
        <f t="shared" si="2"/>
        <v/>
      </c>
      <c r="K572" s="67"/>
      <c r="L572" s="67"/>
      <c r="M572" s="67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</row>
    <row r="573">
      <c r="A573" s="67"/>
      <c r="B573" s="67"/>
      <c r="C573" s="67"/>
      <c r="D573" s="68"/>
      <c r="E573" s="67"/>
      <c r="F573" s="67"/>
      <c r="G573" s="67"/>
      <c r="H573" s="67"/>
      <c r="I573" s="67"/>
      <c r="J573" s="70" t="str">
        <f t="shared" si="2"/>
        <v/>
      </c>
      <c r="K573" s="67"/>
      <c r="L573" s="67"/>
      <c r="M573" s="6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</row>
    <row r="574">
      <c r="A574" s="67"/>
      <c r="B574" s="67"/>
      <c r="C574" s="67"/>
      <c r="D574" s="68"/>
      <c r="E574" s="67"/>
      <c r="F574" s="67"/>
      <c r="G574" s="67"/>
      <c r="H574" s="67"/>
      <c r="I574" s="67"/>
      <c r="J574" s="70" t="str">
        <f t="shared" si="2"/>
        <v/>
      </c>
      <c r="K574" s="67"/>
      <c r="L574" s="67"/>
      <c r="M574" s="67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</row>
    <row r="575">
      <c r="A575" s="67"/>
      <c r="B575" s="67"/>
      <c r="C575" s="67"/>
      <c r="D575" s="68"/>
      <c r="E575" s="67"/>
      <c r="F575" s="67"/>
      <c r="G575" s="67"/>
      <c r="H575" s="67"/>
      <c r="I575" s="67"/>
      <c r="J575" s="70" t="str">
        <f t="shared" si="2"/>
        <v/>
      </c>
      <c r="K575" s="67"/>
      <c r="L575" s="67"/>
      <c r="M575" s="67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</row>
    <row r="576">
      <c r="A576" s="67"/>
      <c r="B576" s="67"/>
      <c r="C576" s="67"/>
      <c r="D576" s="68"/>
      <c r="E576" s="67"/>
      <c r="F576" s="67"/>
      <c r="G576" s="67"/>
      <c r="H576" s="67"/>
      <c r="I576" s="67"/>
      <c r="J576" s="70" t="str">
        <f t="shared" si="2"/>
        <v/>
      </c>
      <c r="K576" s="67"/>
      <c r="L576" s="67"/>
      <c r="M576" s="67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</row>
    <row r="577">
      <c r="A577" s="67"/>
      <c r="B577" s="67"/>
      <c r="C577" s="67"/>
      <c r="D577" s="68"/>
      <c r="E577" s="67"/>
      <c r="F577" s="67"/>
      <c r="G577" s="67"/>
      <c r="H577" s="67"/>
      <c r="I577" s="67"/>
      <c r="J577" s="70" t="str">
        <f t="shared" si="2"/>
        <v/>
      </c>
      <c r="K577" s="67"/>
      <c r="L577" s="67"/>
      <c r="M577" s="67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</row>
    <row r="578">
      <c r="A578" s="67"/>
      <c r="B578" s="67"/>
      <c r="C578" s="67"/>
      <c r="D578" s="68"/>
      <c r="E578" s="67"/>
      <c r="F578" s="67"/>
      <c r="G578" s="67"/>
      <c r="H578" s="67"/>
      <c r="I578" s="67"/>
      <c r="J578" s="70" t="str">
        <f t="shared" si="2"/>
        <v/>
      </c>
      <c r="K578" s="67"/>
      <c r="L578" s="67"/>
      <c r="M578" s="67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</row>
    <row r="579">
      <c r="A579" s="67"/>
      <c r="B579" s="67"/>
      <c r="C579" s="67"/>
      <c r="D579" s="68"/>
      <c r="E579" s="67"/>
      <c r="F579" s="67"/>
      <c r="G579" s="67"/>
      <c r="H579" s="67"/>
      <c r="I579" s="67"/>
      <c r="J579" s="70" t="str">
        <f t="shared" si="2"/>
        <v/>
      </c>
      <c r="K579" s="67"/>
      <c r="L579" s="67"/>
      <c r="M579" s="67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</row>
    <row r="580">
      <c r="A580" s="67"/>
      <c r="B580" s="67"/>
      <c r="C580" s="67"/>
      <c r="D580" s="68"/>
      <c r="E580" s="67"/>
      <c r="F580" s="67"/>
      <c r="G580" s="67"/>
      <c r="H580" s="67"/>
      <c r="I580" s="67"/>
      <c r="J580" s="70" t="str">
        <f t="shared" si="2"/>
        <v/>
      </c>
      <c r="K580" s="67"/>
      <c r="L580" s="67"/>
      <c r="M580" s="67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</row>
    <row r="581">
      <c r="A581" s="67"/>
      <c r="B581" s="67"/>
      <c r="C581" s="67"/>
      <c r="D581" s="68"/>
      <c r="E581" s="67"/>
      <c r="F581" s="67"/>
      <c r="G581" s="67"/>
      <c r="H581" s="67"/>
      <c r="I581" s="67"/>
      <c r="J581" s="70" t="str">
        <f t="shared" si="2"/>
        <v/>
      </c>
      <c r="K581" s="67"/>
      <c r="L581" s="67"/>
      <c r="M581" s="67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</row>
    <row r="582">
      <c r="A582" s="67"/>
      <c r="B582" s="67"/>
      <c r="C582" s="67"/>
      <c r="D582" s="68"/>
      <c r="E582" s="67"/>
      <c r="F582" s="67"/>
      <c r="G582" s="67"/>
      <c r="H582" s="67"/>
      <c r="I582" s="67"/>
      <c r="J582" s="70" t="str">
        <f t="shared" si="2"/>
        <v/>
      </c>
      <c r="K582" s="67"/>
      <c r="L582" s="67"/>
      <c r="M582" s="67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</row>
    <row r="583">
      <c r="A583" s="67"/>
      <c r="B583" s="67"/>
      <c r="C583" s="67"/>
      <c r="D583" s="68"/>
      <c r="E583" s="67"/>
      <c r="F583" s="67"/>
      <c r="G583" s="67"/>
      <c r="H583" s="67"/>
      <c r="I583" s="67"/>
      <c r="J583" s="70" t="str">
        <f t="shared" si="2"/>
        <v/>
      </c>
      <c r="K583" s="67"/>
      <c r="L583" s="67"/>
      <c r="M583" s="67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</row>
    <row r="584">
      <c r="A584" s="67"/>
      <c r="B584" s="67"/>
      <c r="C584" s="67"/>
      <c r="D584" s="68"/>
      <c r="E584" s="67"/>
      <c r="F584" s="67"/>
      <c r="G584" s="67"/>
      <c r="H584" s="67"/>
      <c r="I584" s="67"/>
      <c r="J584" s="70" t="str">
        <f t="shared" si="2"/>
        <v/>
      </c>
      <c r="K584" s="67"/>
      <c r="L584" s="67"/>
      <c r="M584" s="67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</row>
    <row r="585">
      <c r="A585" s="67"/>
      <c r="B585" s="67"/>
      <c r="C585" s="67"/>
      <c r="D585" s="68"/>
      <c r="E585" s="67"/>
      <c r="F585" s="67"/>
      <c r="G585" s="67"/>
      <c r="H585" s="67"/>
      <c r="I585" s="67"/>
      <c r="J585" s="70" t="str">
        <f t="shared" si="2"/>
        <v/>
      </c>
      <c r="K585" s="67"/>
      <c r="L585" s="67"/>
      <c r="M585" s="67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</row>
    <row r="586">
      <c r="A586" s="67"/>
      <c r="B586" s="67"/>
      <c r="C586" s="67"/>
      <c r="D586" s="68"/>
      <c r="E586" s="67"/>
      <c r="F586" s="67"/>
      <c r="G586" s="67"/>
      <c r="H586" s="67"/>
      <c r="I586" s="67"/>
      <c r="J586" s="70" t="str">
        <f t="shared" si="2"/>
        <v/>
      </c>
      <c r="K586" s="67"/>
      <c r="L586" s="67"/>
      <c r="M586" s="67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</row>
    <row r="587">
      <c r="A587" s="67"/>
      <c r="B587" s="67"/>
      <c r="C587" s="67"/>
      <c r="D587" s="68"/>
      <c r="E587" s="67"/>
      <c r="F587" s="67"/>
      <c r="G587" s="67"/>
      <c r="H587" s="67"/>
      <c r="I587" s="67"/>
      <c r="J587" s="70" t="str">
        <f t="shared" si="2"/>
        <v/>
      </c>
      <c r="K587" s="67"/>
      <c r="L587" s="67"/>
      <c r="M587" s="67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</row>
    <row r="588">
      <c r="A588" s="67"/>
      <c r="B588" s="67"/>
      <c r="C588" s="67"/>
      <c r="D588" s="68"/>
      <c r="E588" s="67"/>
      <c r="F588" s="67"/>
      <c r="G588" s="67"/>
      <c r="H588" s="67"/>
      <c r="I588" s="67"/>
      <c r="J588" s="70" t="str">
        <f t="shared" si="2"/>
        <v/>
      </c>
      <c r="K588" s="67"/>
      <c r="L588" s="67"/>
      <c r="M588" s="67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</row>
    <row r="589">
      <c r="A589" s="67"/>
      <c r="B589" s="67"/>
      <c r="C589" s="67"/>
      <c r="D589" s="68"/>
      <c r="E589" s="67"/>
      <c r="F589" s="67"/>
      <c r="G589" s="67"/>
      <c r="H589" s="67"/>
      <c r="I589" s="67"/>
      <c r="J589" s="70" t="str">
        <f t="shared" si="2"/>
        <v/>
      </c>
      <c r="K589" s="67"/>
      <c r="L589" s="67"/>
      <c r="M589" s="67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</row>
    <row r="590">
      <c r="A590" s="67"/>
      <c r="B590" s="67"/>
      <c r="C590" s="67"/>
      <c r="D590" s="68"/>
      <c r="E590" s="67"/>
      <c r="F590" s="67"/>
      <c r="G590" s="67"/>
      <c r="H590" s="67"/>
      <c r="I590" s="67"/>
      <c r="J590" s="70" t="str">
        <f t="shared" si="2"/>
        <v/>
      </c>
      <c r="K590" s="67"/>
      <c r="L590" s="67"/>
      <c r="M590" s="67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</row>
    <row r="591">
      <c r="A591" s="67"/>
      <c r="B591" s="67"/>
      <c r="C591" s="67"/>
      <c r="D591" s="68"/>
      <c r="E591" s="67"/>
      <c r="F591" s="67"/>
      <c r="G591" s="67"/>
      <c r="H591" s="67"/>
      <c r="I591" s="67"/>
      <c r="J591" s="70" t="str">
        <f t="shared" si="2"/>
        <v/>
      </c>
      <c r="K591" s="67"/>
      <c r="L591" s="67"/>
      <c r="M591" s="67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</row>
    <row r="592">
      <c r="A592" s="67"/>
      <c r="B592" s="67"/>
      <c r="C592" s="67"/>
      <c r="D592" s="68"/>
      <c r="E592" s="67"/>
      <c r="F592" s="67"/>
      <c r="G592" s="67"/>
      <c r="H592" s="67"/>
      <c r="I592" s="67"/>
      <c r="J592" s="70" t="str">
        <f t="shared" si="2"/>
        <v/>
      </c>
      <c r="K592" s="67"/>
      <c r="L592" s="67"/>
      <c r="M592" s="67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</row>
    <row r="593">
      <c r="A593" s="67"/>
      <c r="B593" s="67"/>
      <c r="C593" s="67"/>
      <c r="D593" s="68"/>
      <c r="E593" s="67"/>
      <c r="F593" s="67"/>
      <c r="G593" s="67"/>
      <c r="H593" s="67"/>
      <c r="I593" s="67"/>
      <c r="J593" s="70" t="str">
        <f t="shared" si="2"/>
        <v/>
      </c>
      <c r="K593" s="67"/>
      <c r="L593" s="67"/>
      <c r="M593" s="67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</row>
    <row r="594">
      <c r="A594" s="67"/>
      <c r="B594" s="67"/>
      <c r="C594" s="67"/>
      <c r="D594" s="68"/>
      <c r="E594" s="67"/>
      <c r="F594" s="67"/>
      <c r="G594" s="67"/>
      <c r="H594" s="67"/>
      <c r="I594" s="67"/>
      <c r="J594" s="70" t="str">
        <f t="shared" si="2"/>
        <v/>
      </c>
      <c r="K594" s="67"/>
      <c r="L594" s="67"/>
      <c r="M594" s="67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</row>
    <row r="595">
      <c r="A595" s="67"/>
      <c r="B595" s="67"/>
      <c r="C595" s="67"/>
      <c r="D595" s="68"/>
      <c r="E595" s="67"/>
      <c r="F595" s="67"/>
      <c r="G595" s="67"/>
      <c r="H595" s="67"/>
      <c r="I595" s="67"/>
      <c r="J595" s="70" t="str">
        <f t="shared" si="2"/>
        <v/>
      </c>
      <c r="K595" s="67"/>
      <c r="L595" s="67"/>
      <c r="M595" s="67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</row>
    <row r="596">
      <c r="A596" s="67"/>
      <c r="B596" s="67"/>
      <c r="C596" s="67"/>
      <c r="D596" s="68"/>
      <c r="E596" s="67"/>
      <c r="F596" s="67"/>
      <c r="G596" s="67"/>
      <c r="H596" s="67"/>
      <c r="I596" s="67"/>
      <c r="J596" s="70" t="str">
        <f t="shared" si="2"/>
        <v/>
      </c>
      <c r="K596" s="67"/>
      <c r="L596" s="67"/>
      <c r="M596" s="67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</row>
    <row r="597">
      <c r="A597" s="67"/>
      <c r="B597" s="67"/>
      <c r="C597" s="67"/>
      <c r="D597" s="68"/>
      <c r="E597" s="67"/>
      <c r="F597" s="67"/>
      <c r="G597" s="67"/>
      <c r="H597" s="67"/>
      <c r="I597" s="67"/>
      <c r="J597" s="70" t="str">
        <f t="shared" ref="J597:J1000" si="3">IFERROR(IF(I597="","",CONCAT(CONCAT(CONCAT("[",G597),"] "),H597)),"")</f>
        <v/>
      </c>
      <c r="K597" s="67"/>
      <c r="L597" s="67"/>
      <c r="M597" s="67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</row>
    <row r="598">
      <c r="A598" s="67"/>
      <c r="B598" s="67"/>
      <c r="C598" s="67"/>
      <c r="D598" s="68"/>
      <c r="E598" s="67"/>
      <c r="F598" s="67"/>
      <c r="G598" s="67"/>
      <c r="H598" s="67"/>
      <c r="I598" s="67"/>
      <c r="J598" s="70" t="str">
        <f t="shared" si="3"/>
        <v/>
      </c>
      <c r="K598" s="67"/>
      <c r="L598" s="67"/>
      <c r="M598" s="67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</row>
    <row r="599">
      <c r="A599" s="67"/>
      <c r="B599" s="67"/>
      <c r="C599" s="67"/>
      <c r="D599" s="68"/>
      <c r="E599" s="67"/>
      <c r="F599" s="67"/>
      <c r="G599" s="67"/>
      <c r="H599" s="67"/>
      <c r="I599" s="67"/>
      <c r="J599" s="70" t="str">
        <f t="shared" si="3"/>
        <v/>
      </c>
      <c r="K599" s="67"/>
      <c r="L599" s="67"/>
      <c r="M599" s="67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</row>
    <row r="600">
      <c r="A600" s="67"/>
      <c r="B600" s="67"/>
      <c r="C600" s="67"/>
      <c r="D600" s="68"/>
      <c r="E600" s="67"/>
      <c r="F600" s="67"/>
      <c r="G600" s="67"/>
      <c r="H600" s="67"/>
      <c r="I600" s="67"/>
      <c r="J600" s="70" t="str">
        <f t="shared" si="3"/>
        <v/>
      </c>
      <c r="K600" s="67"/>
      <c r="L600" s="67"/>
      <c r="M600" s="67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</row>
    <row r="601">
      <c r="A601" s="67"/>
      <c r="B601" s="67"/>
      <c r="C601" s="67"/>
      <c r="D601" s="68"/>
      <c r="E601" s="67"/>
      <c r="F601" s="67"/>
      <c r="G601" s="67"/>
      <c r="H601" s="67"/>
      <c r="I601" s="67"/>
      <c r="J601" s="70" t="str">
        <f t="shared" si="3"/>
        <v/>
      </c>
      <c r="K601" s="67"/>
      <c r="L601" s="67"/>
      <c r="M601" s="67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</row>
    <row r="602">
      <c r="A602" s="67"/>
      <c r="B602" s="67"/>
      <c r="C602" s="67"/>
      <c r="D602" s="68"/>
      <c r="E602" s="67"/>
      <c r="F602" s="67"/>
      <c r="G602" s="67"/>
      <c r="H602" s="67"/>
      <c r="I602" s="67"/>
      <c r="J602" s="70" t="str">
        <f t="shared" si="3"/>
        <v/>
      </c>
      <c r="K602" s="67"/>
      <c r="L602" s="67"/>
      <c r="M602" s="67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</row>
    <row r="603">
      <c r="A603" s="67"/>
      <c r="B603" s="67"/>
      <c r="C603" s="67"/>
      <c r="D603" s="68"/>
      <c r="E603" s="67"/>
      <c r="F603" s="67"/>
      <c r="G603" s="67"/>
      <c r="H603" s="67"/>
      <c r="I603" s="67"/>
      <c r="J603" s="70" t="str">
        <f t="shared" si="3"/>
        <v/>
      </c>
      <c r="K603" s="67"/>
      <c r="L603" s="67"/>
      <c r="M603" s="67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</row>
    <row r="604">
      <c r="A604" s="67"/>
      <c r="B604" s="67"/>
      <c r="C604" s="67"/>
      <c r="D604" s="68"/>
      <c r="E604" s="67"/>
      <c r="F604" s="67"/>
      <c r="G604" s="67"/>
      <c r="H604" s="67"/>
      <c r="I604" s="67"/>
      <c r="J604" s="70" t="str">
        <f t="shared" si="3"/>
        <v/>
      </c>
      <c r="K604" s="67"/>
      <c r="L604" s="67"/>
      <c r="M604" s="67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</row>
    <row r="605">
      <c r="A605" s="67"/>
      <c r="B605" s="67"/>
      <c r="C605" s="67"/>
      <c r="D605" s="68"/>
      <c r="E605" s="67"/>
      <c r="F605" s="67"/>
      <c r="G605" s="67"/>
      <c r="H605" s="67"/>
      <c r="I605" s="67"/>
      <c r="J605" s="70" t="str">
        <f t="shared" si="3"/>
        <v/>
      </c>
      <c r="K605" s="67"/>
      <c r="L605" s="67"/>
      <c r="M605" s="67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</row>
    <row r="606">
      <c r="A606" s="67"/>
      <c r="B606" s="67"/>
      <c r="C606" s="67"/>
      <c r="D606" s="68"/>
      <c r="E606" s="67"/>
      <c r="F606" s="67"/>
      <c r="G606" s="67"/>
      <c r="H606" s="67"/>
      <c r="I606" s="67"/>
      <c r="J606" s="70" t="str">
        <f t="shared" si="3"/>
        <v/>
      </c>
      <c r="K606" s="67"/>
      <c r="L606" s="67"/>
      <c r="M606" s="67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</row>
    <row r="607">
      <c r="A607" s="67"/>
      <c r="B607" s="67"/>
      <c r="C607" s="67"/>
      <c r="D607" s="68"/>
      <c r="E607" s="67"/>
      <c r="F607" s="67"/>
      <c r="G607" s="67"/>
      <c r="H607" s="67"/>
      <c r="I607" s="67"/>
      <c r="J607" s="70" t="str">
        <f t="shared" si="3"/>
        <v/>
      </c>
      <c r="K607" s="67"/>
      <c r="L607" s="67"/>
      <c r="M607" s="67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</row>
    <row r="608">
      <c r="A608" s="67"/>
      <c r="B608" s="67"/>
      <c r="C608" s="67"/>
      <c r="D608" s="68"/>
      <c r="E608" s="67"/>
      <c r="F608" s="67"/>
      <c r="G608" s="67"/>
      <c r="H608" s="67"/>
      <c r="I608" s="67"/>
      <c r="J608" s="70" t="str">
        <f t="shared" si="3"/>
        <v/>
      </c>
      <c r="K608" s="67"/>
      <c r="L608" s="67"/>
      <c r="M608" s="67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</row>
    <row r="609">
      <c r="A609" s="67"/>
      <c r="B609" s="67"/>
      <c r="C609" s="67"/>
      <c r="D609" s="68"/>
      <c r="E609" s="67"/>
      <c r="F609" s="67"/>
      <c r="G609" s="67"/>
      <c r="H609" s="67"/>
      <c r="I609" s="67"/>
      <c r="J609" s="70" t="str">
        <f t="shared" si="3"/>
        <v/>
      </c>
      <c r="K609" s="67"/>
      <c r="L609" s="67"/>
      <c r="M609" s="67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</row>
    <row r="610">
      <c r="A610" s="67"/>
      <c r="B610" s="67"/>
      <c r="C610" s="67"/>
      <c r="D610" s="68"/>
      <c r="E610" s="67"/>
      <c r="F610" s="67"/>
      <c r="G610" s="67"/>
      <c r="H610" s="67"/>
      <c r="I610" s="67"/>
      <c r="J610" s="70" t="str">
        <f t="shared" si="3"/>
        <v/>
      </c>
      <c r="K610" s="67"/>
      <c r="L610" s="67"/>
      <c r="M610" s="67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</row>
    <row r="611">
      <c r="A611" s="67"/>
      <c r="B611" s="67"/>
      <c r="C611" s="67"/>
      <c r="D611" s="68"/>
      <c r="E611" s="67"/>
      <c r="F611" s="67"/>
      <c r="G611" s="67"/>
      <c r="H611" s="67"/>
      <c r="I611" s="67"/>
      <c r="J611" s="70" t="str">
        <f t="shared" si="3"/>
        <v/>
      </c>
      <c r="K611" s="67"/>
      <c r="L611" s="67"/>
      <c r="M611" s="67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</row>
    <row r="612">
      <c r="A612" s="67"/>
      <c r="B612" s="67"/>
      <c r="C612" s="67"/>
      <c r="D612" s="68"/>
      <c r="E612" s="67"/>
      <c r="F612" s="67"/>
      <c r="G612" s="67"/>
      <c r="H612" s="67"/>
      <c r="I612" s="67"/>
      <c r="J612" s="70" t="str">
        <f t="shared" si="3"/>
        <v/>
      </c>
      <c r="K612" s="67"/>
      <c r="L612" s="67"/>
      <c r="M612" s="67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</row>
    <row r="613">
      <c r="A613" s="67"/>
      <c r="B613" s="67"/>
      <c r="C613" s="67"/>
      <c r="D613" s="68"/>
      <c r="E613" s="67"/>
      <c r="F613" s="67"/>
      <c r="G613" s="67"/>
      <c r="H613" s="67"/>
      <c r="I613" s="67"/>
      <c r="J613" s="70" t="str">
        <f t="shared" si="3"/>
        <v/>
      </c>
      <c r="K613" s="67"/>
      <c r="L613" s="67"/>
      <c r="M613" s="67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</row>
    <row r="614">
      <c r="A614" s="67"/>
      <c r="B614" s="67"/>
      <c r="C614" s="67"/>
      <c r="D614" s="68"/>
      <c r="E614" s="67"/>
      <c r="F614" s="67"/>
      <c r="G614" s="67"/>
      <c r="H614" s="67"/>
      <c r="I614" s="67"/>
      <c r="J614" s="70" t="str">
        <f t="shared" si="3"/>
        <v/>
      </c>
      <c r="K614" s="67"/>
      <c r="L614" s="67"/>
      <c r="M614" s="67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</row>
    <row r="615">
      <c r="A615" s="67"/>
      <c r="B615" s="67"/>
      <c r="C615" s="67"/>
      <c r="D615" s="68"/>
      <c r="E615" s="67"/>
      <c r="F615" s="67"/>
      <c r="G615" s="67"/>
      <c r="H615" s="67"/>
      <c r="I615" s="67"/>
      <c r="J615" s="70" t="str">
        <f t="shared" si="3"/>
        <v/>
      </c>
      <c r="K615" s="67"/>
      <c r="L615" s="67"/>
      <c r="M615" s="67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</row>
    <row r="616">
      <c r="A616" s="67"/>
      <c r="B616" s="67"/>
      <c r="C616" s="67"/>
      <c r="D616" s="68"/>
      <c r="E616" s="67"/>
      <c r="F616" s="67"/>
      <c r="G616" s="67"/>
      <c r="H616" s="67"/>
      <c r="I616" s="67"/>
      <c r="J616" s="70" t="str">
        <f t="shared" si="3"/>
        <v/>
      </c>
      <c r="K616" s="67"/>
      <c r="L616" s="67"/>
      <c r="M616" s="67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</row>
    <row r="617">
      <c r="A617" s="67"/>
      <c r="B617" s="67"/>
      <c r="C617" s="67"/>
      <c r="D617" s="68"/>
      <c r="E617" s="67"/>
      <c r="F617" s="67"/>
      <c r="G617" s="67"/>
      <c r="H617" s="67"/>
      <c r="I617" s="67"/>
      <c r="J617" s="70" t="str">
        <f t="shared" si="3"/>
        <v/>
      </c>
      <c r="K617" s="67"/>
      <c r="L617" s="67"/>
      <c r="M617" s="67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</row>
    <row r="618">
      <c r="A618" s="67"/>
      <c r="B618" s="67"/>
      <c r="C618" s="67"/>
      <c r="D618" s="68"/>
      <c r="E618" s="67"/>
      <c r="F618" s="67"/>
      <c r="G618" s="67"/>
      <c r="H618" s="67"/>
      <c r="I618" s="67"/>
      <c r="J618" s="70" t="str">
        <f t="shared" si="3"/>
        <v/>
      </c>
      <c r="K618" s="67"/>
      <c r="L618" s="67"/>
      <c r="M618" s="67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</row>
    <row r="619">
      <c r="A619" s="67"/>
      <c r="B619" s="67"/>
      <c r="C619" s="67"/>
      <c r="D619" s="68"/>
      <c r="E619" s="67"/>
      <c r="F619" s="67"/>
      <c r="G619" s="67"/>
      <c r="H619" s="67"/>
      <c r="I619" s="67"/>
      <c r="J619" s="70" t="str">
        <f t="shared" si="3"/>
        <v/>
      </c>
      <c r="K619" s="67"/>
      <c r="L619" s="67"/>
      <c r="M619" s="67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</row>
    <row r="620">
      <c r="A620" s="67"/>
      <c r="B620" s="67"/>
      <c r="C620" s="67"/>
      <c r="D620" s="68"/>
      <c r="E620" s="67"/>
      <c r="F620" s="67"/>
      <c r="G620" s="67"/>
      <c r="H620" s="67"/>
      <c r="I620" s="67"/>
      <c r="J620" s="70" t="str">
        <f t="shared" si="3"/>
        <v/>
      </c>
      <c r="K620" s="67"/>
      <c r="L620" s="67"/>
      <c r="M620" s="67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</row>
    <row r="621">
      <c r="A621" s="67"/>
      <c r="B621" s="67"/>
      <c r="C621" s="67"/>
      <c r="D621" s="68"/>
      <c r="E621" s="67"/>
      <c r="F621" s="67"/>
      <c r="G621" s="67"/>
      <c r="H621" s="67"/>
      <c r="I621" s="67"/>
      <c r="J621" s="70" t="str">
        <f t="shared" si="3"/>
        <v/>
      </c>
      <c r="K621" s="67"/>
      <c r="L621" s="67"/>
      <c r="M621" s="67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</row>
    <row r="622">
      <c r="A622" s="67"/>
      <c r="B622" s="67"/>
      <c r="C622" s="67"/>
      <c r="D622" s="68"/>
      <c r="E622" s="67"/>
      <c r="F622" s="67"/>
      <c r="G622" s="67"/>
      <c r="H622" s="67"/>
      <c r="I622" s="67"/>
      <c r="J622" s="70" t="str">
        <f t="shared" si="3"/>
        <v/>
      </c>
      <c r="K622" s="67"/>
      <c r="L622" s="67"/>
      <c r="M622" s="67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</row>
    <row r="623">
      <c r="A623" s="67"/>
      <c r="B623" s="67"/>
      <c r="C623" s="67"/>
      <c r="D623" s="68"/>
      <c r="E623" s="67"/>
      <c r="F623" s="67"/>
      <c r="G623" s="67"/>
      <c r="H623" s="67"/>
      <c r="I623" s="67"/>
      <c r="J623" s="70" t="str">
        <f t="shared" si="3"/>
        <v/>
      </c>
      <c r="K623" s="67"/>
      <c r="L623" s="67"/>
      <c r="M623" s="67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</row>
    <row r="624">
      <c r="A624" s="67"/>
      <c r="B624" s="67"/>
      <c r="C624" s="67"/>
      <c r="D624" s="68"/>
      <c r="E624" s="67"/>
      <c r="F624" s="67"/>
      <c r="G624" s="67"/>
      <c r="H624" s="67"/>
      <c r="I624" s="67"/>
      <c r="J624" s="70" t="str">
        <f t="shared" si="3"/>
        <v/>
      </c>
      <c r="K624" s="67"/>
      <c r="L624" s="67"/>
      <c r="M624" s="67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</row>
    <row r="625">
      <c r="A625" s="67"/>
      <c r="B625" s="67"/>
      <c r="C625" s="67"/>
      <c r="D625" s="68"/>
      <c r="E625" s="67"/>
      <c r="F625" s="67"/>
      <c r="G625" s="67"/>
      <c r="H625" s="67"/>
      <c r="I625" s="67"/>
      <c r="J625" s="70" t="str">
        <f t="shared" si="3"/>
        <v/>
      </c>
      <c r="K625" s="67"/>
      <c r="L625" s="67"/>
      <c r="M625" s="67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</row>
    <row r="626">
      <c r="A626" s="67"/>
      <c r="B626" s="67"/>
      <c r="C626" s="67"/>
      <c r="D626" s="68"/>
      <c r="E626" s="67"/>
      <c r="F626" s="67"/>
      <c r="G626" s="67"/>
      <c r="H626" s="67"/>
      <c r="I626" s="67"/>
      <c r="J626" s="70" t="str">
        <f t="shared" si="3"/>
        <v/>
      </c>
      <c r="K626" s="67"/>
      <c r="L626" s="67"/>
      <c r="M626" s="67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</row>
    <row r="627">
      <c r="A627" s="67"/>
      <c r="B627" s="67"/>
      <c r="C627" s="67"/>
      <c r="D627" s="68"/>
      <c r="E627" s="67"/>
      <c r="F627" s="67"/>
      <c r="G627" s="67"/>
      <c r="H627" s="67"/>
      <c r="I627" s="67"/>
      <c r="J627" s="70" t="str">
        <f t="shared" si="3"/>
        <v/>
      </c>
      <c r="K627" s="67"/>
      <c r="L627" s="67"/>
      <c r="M627" s="67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</row>
    <row r="628">
      <c r="A628" s="67"/>
      <c r="B628" s="67"/>
      <c r="C628" s="67"/>
      <c r="D628" s="68"/>
      <c r="E628" s="67"/>
      <c r="F628" s="67"/>
      <c r="G628" s="67"/>
      <c r="H628" s="67"/>
      <c r="I628" s="67"/>
      <c r="J628" s="70" t="str">
        <f t="shared" si="3"/>
        <v/>
      </c>
      <c r="K628" s="67"/>
      <c r="L628" s="67"/>
      <c r="M628" s="67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</row>
    <row r="629">
      <c r="A629" s="67"/>
      <c r="B629" s="67"/>
      <c r="C629" s="67"/>
      <c r="D629" s="68"/>
      <c r="E629" s="67"/>
      <c r="F629" s="67"/>
      <c r="G629" s="67"/>
      <c r="H629" s="67"/>
      <c r="I629" s="67"/>
      <c r="J629" s="70" t="str">
        <f t="shared" si="3"/>
        <v/>
      </c>
      <c r="K629" s="67"/>
      <c r="L629" s="67"/>
      <c r="M629" s="67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</row>
    <row r="630">
      <c r="A630" s="67"/>
      <c r="B630" s="67"/>
      <c r="C630" s="67"/>
      <c r="D630" s="68"/>
      <c r="E630" s="67"/>
      <c r="F630" s="67"/>
      <c r="G630" s="67"/>
      <c r="H630" s="67"/>
      <c r="I630" s="67"/>
      <c r="J630" s="70" t="str">
        <f t="shared" si="3"/>
        <v/>
      </c>
      <c r="K630" s="67"/>
      <c r="L630" s="67"/>
      <c r="M630" s="67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</row>
    <row r="631">
      <c r="A631" s="67"/>
      <c r="B631" s="67"/>
      <c r="C631" s="67"/>
      <c r="D631" s="68"/>
      <c r="E631" s="67"/>
      <c r="F631" s="67"/>
      <c r="G631" s="67"/>
      <c r="H631" s="67"/>
      <c r="I631" s="67"/>
      <c r="J631" s="70" t="str">
        <f t="shared" si="3"/>
        <v/>
      </c>
      <c r="K631" s="67"/>
      <c r="L631" s="67"/>
      <c r="M631" s="67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</row>
    <row r="632">
      <c r="A632" s="67"/>
      <c r="B632" s="67"/>
      <c r="C632" s="67"/>
      <c r="D632" s="68"/>
      <c r="E632" s="67"/>
      <c r="F632" s="67"/>
      <c r="G632" s="67"/>
      <c r="H632" s="67"/>
      <c r="I632" s="67"/>
      <c r="J632" s="70" t="str">
        <f t="shared" si="3"/>
        <v/>
      </c>
      <c r="K632" s="67"/>
      <c r="L632" s="67"/>
      <c r="M632" s="67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</row>
    <row r="633">
      <c r="A633" s="67"/>
      <c r="B633" s="67"/>
      <c r="C633" s="67"/>
      <c r="D633" s="68"/>
      <c r="E633" s="67"/>
      <c r="F633" s="67"/>
      <c r="G633" s="67"/>
      <c r="H633" s="67"/>
      <c r="I633" s="67"/>
      <c r="J633" s="70" t="str">
        <f t="shared" si="3"/>
        <v/>
      </c>
      <c r="K633" s="67"/>
      <c r="L633" s="67"/>
      <c r="M633" s="67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</row>
    <row r="634">
      <c r="A634" s="67"/>
      <c r="B634" s="67"/>
      <c r="C634" s="67"/>
      <c r="D634" s="68"/>
      <c r="E634" s="67"/>
      <c r="F634" s="67"/>
      <c r="G634" s="67"/>
      <c r="H634" s="67"/>
      <c r="I634" s="67"/>
      <c r="J634" s="70" t="str">
        <f t="shared" si="3"/>
        <v/>
      </c>
      <c r="K634" s="67"/>
      <c r="L634" s="67"/>
      <c r="M634" s="67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</row>
    <row r="635">
      <c r="A635" s="67"/>
      <c r="B635" s="67"/>
      <c r="C635" s="67"/>
      <c r="D635" s="68"/>
      <c r="E635" s="67"/>
      <c r="F635" s="67"/>
      <c r="G635" s="67"/>
      <c r="H635" s="67"/>
      <c r="I635" s="67"/>
      <c r="J635" s="70" t="str">
        <f t="shared" si="3"/>
        <v/>
      </c>
      <c r="K635" s="67"/>
      <c r="L635" s="67"/>
      <c r="M635" s="67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</row>
    <row r="636">
      <c r="A636" s="67"/>
      <c r="B636" s="67"/>
      <c r="C636" s="67"/>
      <c r="D636" s="68"/>
      <c r="E636" s="67"/>
      <c r="F636" s="67"/>
      <c r="G636" s="67"/>
      <c r="H636" s="67"/>
      <c r="I636" s="67"/>
      <c r="J636" s="70" t="str">
        <f t="shared" si="3"/>
        <v/>
      </c>
      <c r="K636" s="67"/>
      <c r="L636" s="67"/>
      <c r="M636" s="67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</row>
    <row r="637">
      <c r="A637" s="67"/>
      <c r="B637" s="67"/>
      <c r="C637" s="67"/>
      <c r="D637" s="68"/>
      <c r="E637" s="67"/>
      <c r="F637" s="67"/>
      <c r="G637" s="67"/>
      <c r="H637" s="67"/>
      <c r="I637" s="67"/>
      <c r="J637" s="70" t="str">
        <f t="shared" si="3"/>
        <v/>
      </c>
      <c r="K637" s="67"/>
      <c r="L637" s="67"/>
      <c r="M637" s="67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</row>
    <row r="638">
      <c r="A638" s="67"/>
      <c r="B638" s="67"/>
      <c r="C638" s="67"/>
      <c r="D638" s="68"/>
      <c r="E638" s="67"/>
      <c r="F638" s="67"/>
      <c r="G638" s="67"/>
      <c r="H638" s="67"/>
      <c r="I638" s="67"/>
      <c r="J638" s="70" t="str">
        <f t="shared" si="3"/>
        <v/>
      </c>
      <c r="K638" s="67"/>
      <c r="L638" s="67"/>
      <c r="M638" s="67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</row>
    <row r="639">
      <c r="A639" s="67"/>
      <c r="B639" s="67"/>
      <c r="C639" s="67"/>
      <c r="D639" s="68"/>
      <c r="E639" s="67"/>
      <c r="F639" s="67"/>
      <c r="G639" s="67"/>
      <c r="H639" s="67"/>
      <c r="I639" s="67"/>
      <c r="J639" s="70" t="str">
        <f t="shared" si="3"/>
        <v/>
      </c>
      <c r="K639" s="67"/>
      <c r="L639" s="67"/>
      <c r="M639" s="67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</row>
    <row r="640">
      <c r="A640" s="67"/>
      <c r="B640" s="67"/>
      <c r="C640" s="67"/>
      <c r="D640" s="68"/>
      <c r="E640" s="67"/>
      <c r="F640" s="67"/>
      <c r="G640" s="67"/>
      <c r="H640" s="67"/>
      <c r="I640" s="67"/>
      <c r="J640" s="70" t="str">
        <f t="shared" si="3"/>
        <v/>
      </c>
      <c r="K640" s="67"/>
      <c r="L640" s="67"/>
      <c r="M640" s="67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</row>
    <row r="641">
      <c r="A641" s="67"/>
      <c r="B641" s="67"/>
      <c r="C641" s="67"/>
      <c r="D641" s="68"/>
      <c r="E641" s="67"/>
      <c r="F641" s="67"/>
      <c r="G641" s="67"/>
      <c r="H641" s="67"/>
      <c r="I641" s="67"/>
      <c r="J641" s="70" t="str">
        <f t="shared" si="3"/>
        <v/>
      </c>
      <c r="K641" s="67"/>
      <c r="L641" s="67"/>
      <c r="M641" s="67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</row>
    <row r="642">
      <c r="A642" s="67"/>
      <c r="B642" s="67"/>
      <c r="C642" s="67"/>
      <c r="D642" s="68"/>
      <c r="E642" s="67"/>
      <c r="F642" s="67"/>
      <c r="G642" s="67"/>
      <c r="H642" s="67"/>
      <c r="I642" s="67"/>
      <c r="J642" s="70" t="str">
        <f t="shared" si="3"/>
        <v/>
      </c>
      <c r="K642" s="67"/>
      <c r="L642" s="67"/>
      <c r="M642" s="67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</row>
    <row r="643">
      <c r="A643" s="67"/>
      <c r="B643" s="67"/>
      <c r="C643" s="67"/>
      <c r="D643" s="68"/>
      <c r="E643" s="67"/>
      <c r="F643" s="67"/>
      <c r="G643" s="67"/>
      <c r="H643" s="67"/>
      <c r="I643" s="67"/>
      <c r="J643" s="70" t="str">
        <f t="shared" si="3"/>
        <v/>
      </c>
      <c r="K643" s="67"/>
      <c r="L643" s="67"/>
      <c r="M643" s="67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</row>
    <row r="644">
      <c r="A644" s="67"/>
      <c r="B644" s="67"/>
      <c r="C644" s="67"/>
      <c r="D644" s="68"/>
      <c r="E644" s="67"/>
      <c r="F644" s="67"/>
      <c r="G644" s="67"/>
      <c r="H644" s="67"/>
      <c r="I644" s="67"/>
      <c r="J644" s="70" t="str">
        <f t="shared" si="3"/>
        <v/>
      </c>
      <c r="K644" s="67"/>
      <c r="L644" s="67"/>
      <c r="M644" s="67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</row>
    <row r="645">
      <c r="A645" s="67"/>
      <c r="B645" s="67"/>
      <c r="C645" s="67"/>
      <c r="D645" s="68"/>
      <c r="E645" s="67"/>
      <c r="F645" s="67"/>
      <c r="G645" s="67"/>
      <c r="H645" s="67"/>
      <c r="I645" s="67"/>
      <c r="J645" s="70" t="str">
        <f t="shared" si="3"/>
        <v/>
      </c>
      <c r="K645" s="67"/>
      <c r="L645" s="67"/>
      <c r="M645" s="67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</row>
    <row r="646">
      <c r="A646" s="67"/>
      <c r="B646" s="67"/>
      <c r="C646" s="67"/>
      <c r="D646" s="68"/>
      <c r="E646" s="67"/>
      <c r="F646" s="67"/>
      <c r="G646" s="67"/>
      <c r="H646" s="67"/>
      <c r="I646" s="67"/>
      <c r="J646" s="70" t="str">
        <f t="shared" si="3"/>
        <v/>
      </c>
      <c r="K646" s="67"/>
      <c r="L646" s="67"/>
      <c r="M646" s="67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</row>
    <row r="647">
      <c r="A647" s="67"/>
      <c r="B647" s="67"/>
      <c r="C647" s="67"/>
      <c r="D647" s="68"/>
      <c r="E647" s="67"/>
      <c r="F647" s="67"/>
      <c r="G647" s="67"/>
      <c r="H647" s="67"/>
      <c r="I647" s="67"/>
      <c r="J647" s="70" t="str">
        <f t="shared" si="3"/>
        <v/>
      </c>
      <c r="K647" s="67"/>
      <c r="L647" s="67"/>
      <c r="M647" s="67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</row>
    <row r="648">
      <c r="A648" s="67"/>
      <c r="B648" s="67"/>
      <c r="C648" s="67"/>
      <c r="D648" s="68"/>
      <c r="E648" s="67"/>
      <c r="F648" s="67"/>
      <c r="G648" s="67"/>
      <c r="H648" s="67"/>
      <c r="I648" s="67"/>
      <c r="J648" s="70" t="str">
        <f t="shared" si="3"/>
        <v/>
      </c>
      <c r="K648" s="67"/>
      <c r="L648" s="67"/>
      <c r="M648" s="67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</row>
    <row r="649">
      <c r="A649" s="67"/>
      <c r="B649" s="67"/>
      <c r="C649" s="67"/>
      <c r="D649" s="68"/>
      <c r="E649" s="67"/>
      <c r="F649" s="67"/>
      <c r="G649" s="67"/>
      <c r="H649" s="67"/>
      <c r="I649" s="67"/>
      <c r="J649" s="70" t="str">
        <f t="shared" si="3"/>
        <v/>
      </c>
      <c r="K649" s="67"/>
      <c r="L649" s="67"/>
      <c r="M649" s="67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</row>
    <row r="650">
      <c r="A650" s="67"/>
      <c r="B650" s="67"/>
      <c r="C650" s="67"/>
      <c r="D650" s="68"/>
      <c r="E650" s="67"/>
      <c r="F650" s="67"/>
      <c r="G650" s="67"/>
      <c r="H650" s="67"/>
      <c r="I650" s="67"/>
      <c r="J650" s="70" t="str">
        <f t="shared" si="3"/>
        <v/>
      </c>
      <c r="K650" s="67"/>
      <c r="L650" s="67"/>
      <c r="M650" s="67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</row>
    <row r="651">
      <c r="A651" s="67"/>
      <c r="B651" s="67"/>
      <c r="C651" s="67"/>
      <c r="D651" s="68"/>
      <c r="E651" s="67"/>
      <c r="F651" s="67"/>
      <c r="G651" s="67"/>
      <c r="H651" s="67"/>
      <c r="I651" s="67"/>
      <c r="J651" s="70" t="str">
        <f t="shared" si="3"/>
        <v/>
      </c>
      <c r="K651" s="67"/>
      <c r="L651" s="67"/>
      <c r="M651" s="67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</row>
    <row r="652">
      <c r="A652" s="67"/>
      <c r="B652" s="67"/>
      <c r="C652" s="67"/>
      <c r="D652" s="68"/>
      <c r="E652" s="67"/>
      <c r="F652" s="67"/>
      <c r="G652" s="67"/>
      <c r="H652" s="67"/>
      <c r="I652" s="67"/>
      <c r="J652" s="70" t="str">
        <f t="shared" si="3"/>
        <v/>
      </c>
      <c r="K652" s="67"/>
      <c r="L652" s="67"/>
      <c r="M652" s="67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</row>
    <row r="653">
      <c r="A653" s="67"/>
      <c r="B653" s="67"/>
      <c r="C653" s="67"/>
      <c r="D653" s="68"/>
      <c r="E653" s="67"/>
      <c r="F653" s="67"/>
      <c r="G653" s="67"/>
      <c r="H653" s="67"/>
      <c r="I653" s="67"/>
      <c r="J653" s="70" t="str">
        <f t="shared" si="3"/>
        <v/>
      </c>
      <c r="K653" s="67"/>
      <c r="L653" s="67"/>
      <c r="M653" s="67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</row>
    <row r="654">
      <c r="A654" s="67"/>
      <c r="B654" s="67"/>
      <c r="C654" s="67"/>
      <c r="D654" s="68"/>
      <c r="E654" s="67"/>
      <c r="F654" s="67"/>
      <c r="G654" s="67"/>
      <c r="H654" s="67"/>
      <c r="I654" s="67"/>
      <c r="J654" s="70" t="str">
        <f t="shared" si="3"/>
        <v/>
      </c>
      <c r="K654" s="67"/>
      <c r="L654" s="67"/>
      <c r="M654" s="67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</row>
    <row r="655">
      <c r="A655" s="67"/>
      <c r="B655" s="67"/>
      <c r="C655" s="67"/>
      <c r="D655" s="68"/>
      <c r="E655" s="67"/>
      <c r="F655" s="67"/>
      <c r="G655" s="67"/>
      <c r="H655" s="67"/>
      <c r="I655" s="67"/>
      <c r="J655" s="70" t="str">
        <f t="shared" si="3"/>
        <v/>
      </c>
      <c r="K655" s="67"/>
      <c r="L655" s="67"/>
      <c r="M655" s="67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</row>
    <row r="656">
      <c r="A656" s="67"/>
      <c r="B656" s="67"/>
      <c r="C656" s="67"/>
      <c r="D656" s="68"/>
      <c r="E656" s="67"/>
      <c r="F656" s="67"/>
      <c r="G656" s="67"/>
      <c r="H656" s="67"/>
      <c r="I656" s="67"/>
      <c r="J656" s="70" t="str">
        <f t="shared" si="3"/>
        <v/>
      </c>
      <c r="K656" s="67"/>
      <c r="L656" s="67"/>
      <c r="M656" s="67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</row>
    <row r="657">
      <c r="A657" s="67"/>
      <c r="B657" s="67"/>
      <c r="C657" s="67"/>
      <c r="D657" s="68"/>
      <c r="E657" s="67"/>
      <c r="F657" s="67"/>
      <c r="G657" s="67"/>
      <c r="H657" s="67"/>
      <c r="I657" s="67"/>
      <c r="J657" s="70" t="str">
        <f t="shared" si="3"/>
        <v/>
      </c>
      <c r="K657" s="67"/>
      <c r="L657" s="67"/>
      <c r="M657" s="67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</row>
    <row r="658">
      <c r="A658" s="67"/>
      <c r="B658" s="67"/>
      <c r="C658" s="67"/>
      <c r="D658" s="68"/>
      <c r="E658" s="67"/>
      <c r="F658" s="67"/>
      <c r="G658" s="67"/>
      <c r="H658" s="67"/>
      <c r="I658" s="67"/>
      <c r="J658" s="70" t="str">
        <f t="shared" si="3"/>
        <v/>
      </c>
      <c r="K658" s="67"/>
      <c r="L658" s="67"/>
      <c r="M658" s="67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</row>
    <row r="659">
      <c r="A659" s="67"/>
      <c r="B659" s="67"/>
      <c r="C659" s="67"/>
      <c r="D659" s="68"/>
      <c r="E659" s="67"/>
      <c r="F659" s="67"/>
      <c r="G659" s="67"/>
      <c r="H659" s="67"/>
      <c r="I659" s="67"/>
      <c r="J659" s="70" t="str">
        <f t="shared" si="3"/>
        <v/>
      </c>
      <c r="K659" s="67"/>
      <c r="L659" s="67"/>
      <c r="M659" s="67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</row>
    <row r="660">
      <c r="A660" s="67"/>
      <c r="B660" s="67"/>
      <c r="C660" s="67"/>
      <c r="D660" s="68"/>
      <c r="E660" s="67"/>
      <c r="F660" s="67"/>
      <c r="G660" s="67"/>
      <c r="H660" s="67"/>
      <c r="I660" s="67"/>
      <c r="J660" s="70" t="str">
        <f t="shared" si="3"/>
        <v/>
      </c>
      <c r="K660" s="67"/>
      <c r="L660" s="67"/>
      <c r="M660" s="67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</row>
    <row r="661">
      <c r="A661" s="67"/>
      <c r="B661" s="67"/>
      <c r="C661" s="67"/>
      <c r="D661" s="68"/>
      <c r="E661" s="67"/>
      <c r="F661" s="67"/>
      <c r="G661" s="67"/>
      <c r="H661" s="67"/>
      <c r="I661" s="67"/>
      <c r="J661" s="70" t="str">
        <f t="shared" si="3"/>
        <v/>
      </c>
      <c r="K661" s="67"/>
      <c r="L661" s="67"/>
      <c r="M661" s="67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</row>
    <row r="662">
      <c r="A662" s="67"/>
      <c r="B662" s="67"/>
      <c r="C662" s="67"/>
      <c r="D662" s="68"/>
      <c r="E662" s="67"/>
      <c r="F662" s="67"/>
      <c r="G662" s="67"/>
      <c r="H662" s="67"/>
      <c r="I662" s="67"/>
      <c r="J662" s="70" t="str">
        <f t="shared" si="3"/>
        <v/>
      </c>
      <c r="K662" s="67"/>
      <c r="L662" s="67"/>
      <c r="M662" s="67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</row>
    <row r="663">
      <c r="A663" s="67"/>
      <c r="B663" s="67"/>
      <c r="C663" s="67"/>
      <c r="D663" s="68"/>
      <c r="E663" s="67"/>
      <c r="F663" s="67"/>
      <c r="G663" s="67"/>
      <c r="H663" s="67"/>
      <c r="I663" s="67"/>
      <c r="J663" s="70" t="str">
        <f t="shared" si="3"/>
        <v/>
      </c>
      <c r="K663" s="67"/>
      <c r="L663" s="67"/>
      <c r="M663" s="67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</row>
    <row r="664">
      <c r="A664" s="67"/>
      <c r="B664" s="67"/>
      <c r="C664" s="67"/>
      <c r="D664" s="68"/>
      <c r="E664" s="67"/>
      <c r="F664" s="67"/>
      <c r="G664" s="67"/>
      <c r="H664" s="67"/>
      <c r="I664" s="67"/>
      <c r="J664" s="70" t="str">
        <f t="shared" si="3"/>
        <v/>
      </c>
      <c r="K664" s="67"/>
      <c r="L664" s="67"/>
      <c r="M664" s="67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</row>
    <row r="665">
      <c r="A665" s="67"/>
      <c r="B665" s="67"/>
      <c r="C665" s="67"/>
      <c r="D665" s="68"/>
      <c r="E665" s="67"/>
      <c r="F665" s="67"/>
      <c r="G665" s="67"/>
      <c r="H665" s="67"/>
      <c r="I665" s="67"/>
      <c r="J665" s="70" t="str">
        <f t="shared" si="3"/>
        <v/>
      </c>
      <c r="K665" s="67"/>
      <c r="L665" s="67"/>
      <c r="M665" s="67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</row>
    <row r="666">
      <c r="A666" s="67"/>
      <c r="B666" s="67"/>
      <c r="C666" s="67"/>
      <c r="D666" s="68"/>
      <c r="E666" s="67"/>
      <c r="F666" s="67"/>
      <c r="G666" s="67"/>
      <c r="H666" s="67"/>
      <c r="I666" s="67"/>
      <c r="J666" s="70" t="str">
        <f t="shared" si="3"/>
        <v/>
      </c>
      <c r="K666" s="67"/>
      <c r="L666" s="67"/>
      <c r="M666" s="67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</row>
    <row r="667">
      <c r="A667" s="67"/>
      <c r="B667" s="67"/>
      <c r="C667" s="67"/>
      <c r="D667" s="68"/>
      <c r="E667" s="67"/>
      <c r="F667" s="67"/>
      <c r="G667" s="67"/>
      <c r="H667" s="67"/>
      <c r="I667" s="67"/>
      <c r="J667" s="70" t="str">
        <f t="shared" si="3"/>
        <v/>
      </c>
      <c r="K667" s="67"/>
      <c r="L667" s="67"/>
      <c r="M667" s="67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</row>
    <row r="668">
      <c r="A668" s="67"/>
      <c r="B668" s="67"/>
      <c r="C668" s="67"/>
      <c r="D668" s="68"/>
      <c r="E668" s="67"/>
      <c r="F668" s="67"/>
      <c r="G668" s="67"/>
      <c r="H668" s="67"/>
      <c r="I668" s="67"/>
      <c r="J668" s="70" t="str">
        <f t="shared" si="3"/>
        <v/>
      </c>
      <c r="K668" s="67"/>
      <c r="L668" s="67"/>
      <c r="M668" s="67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</row>
    <row r="669">
      <c r="A669" s="67"/>
      <c r="B669" s="67"/>
      <c r="C669" s="67"/>
      <c r="D669" s="68"/>
      <c r="E669" s="67"/>
      <c r="F669" s="67"/>
      <c r="G669" s="67"/>
      <c r="H669" s="67"/>
      <c r="I669" s="67"/>
      <c r="J669" s="70" t="str">
        <f t="shared" si="3"/>
        <v/>
      </c>
      <c r="K669" s="67"/>
      <c r="L669" s="67"/>
      <c r="M669" s="67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</row>
    <row r="670">
      <c r="A670" s="67"/>
      <c r="B670" s="67"/>
      <c r="C670" s="67"/>
      <c r="D670" s="68"/>
      <c r="E670" s="67"/>
      <c r="F670" s="67"/>
      <c r="G670" s="67"/>
      <c r="H670" s="67"/>
      <c r="I670" s="67"/>
      <c r="J670" s="70" t="str">
        <f t="shared" si="3"/>
        <v/>
      </c>
      <c r="K670" s="67"/>
      <c r="L670" s="67"/>
      <c r="M670" s="67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</row>
    <row r="671">
      <c r="A671" s="67"/>
      <c r="B671" s="67"/>
      <c r="C671" s="67"/>
      <c r="D671" s="68"/>
      <c r="E671" s="67"/>
      <c r="F671" s="67"/>
      <c r="G671" s="67"/>
      <c r="H671" s="67"/>
      <c r="I671" s="67"/>
      <c r="J671" s="70" t="str">
        <f t="shared" si="3"/>
        <v/>
      </c>
      <c r="K671" s="67"/>
      <c r="L671" s="67"/>
      <c r="M671" s="67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</row>
    <row r="672">
      <c r="A672" s="67"/>
      <c r="B672" s="67"/>
      <c r="C672" s="67"/>
      <c r="D672" s="68"/>
      <c r="E672" s="67"/>
      <c r="F672" s="67"/>
      <c r="G672" s="67"/>
      <c r="H672" s="67"/>
      <c r="I672" s="67"/>
      <c r="J672" s="70" t="str">
        <f t="shared" si="3"/>
        <v/>
      </c>
      <c r="K672" s="67"/>
      <c r="L672" s="67"/>
      <c r="M672" s="67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</row>
    <row r="673">
      <c r="A673" s="67"/>
      <c r="B673" s="67"/>
      <c r="C673" s="67"/>
      <c r="D673" s="68"/>
      <c r="E673" s="67"/>
      <c r="F673" s="67"/>
      <c r="G673" s="67"/>
      <c r="H673" s="67"/>
      <c r="I673" s="67"/>
      <c r="J673" s="70" t="str">
        <f t="shared" si="3"/>
        <v/>
      </c>
      <c r="K673" s="67"/>
      <c r="L673" s="67"/>
      <c r="M673" s="67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</row>
    <row r="674">
      <c r="A674" s="67"/>
      <c r="B674" s="67"/>
      <c r="C674" s="67"/>
      <c r="D674" s="68"/>
      <c r="E674" s="67"/>
      <c r="F674" s="67"/>
      <c r="G674" s="67"/>
      <c r="H674" s="67"/>
      <c r="I674" s="67"/>
      <c r="J674" s="70" t="str">
        <f t="shared" si="3"/>
        <v/>
      </c>
      <c r="K674" s="67"/>
      <c r="L674" s="67"/>
      <c r="M674" s="67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</row>
    <row r="675">
      <c r="A675" s="67"/>
      <c r="B675" s="67"/>
      <c r="C675" s="67"/>
      <c r="D675" s="68"/>
      <c r="E675" s="67"/>
      <c r="F675" s="67"/>
      <c r="G675" s="67"/>
      <c r="H675" s="67"/>
      <c r="I675" s="67"/>
      <c r="J675" s="70" t="str">
        <f t="shared" si="3"/>
        <v/>
      </c>
      <c r="K675" s="67"/>
      <c r="L675" s="67"/>
      <c r="M675" s="67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</row>
    <row r="676">
      <c r="A676" s="67"/>
      <c r="B676" s="67"/>
      <c r="C676" s="67"/>
      <c r="D676" s="68"/>
      <c r="E676" s="67"/>
      <c r="F676" s="67"/>
      <c r="G676" s="67"/>
      <c r="H676" s="67"/>
      <c r="I676" s="67"/>
      <c r="J676" s="70" t="str">
        <f t="shared" si="3"/>
        <v/>
      </c>
      <c r="K676" s="67"/>
      <c r="L676" s="67"/>
      <c r="M676" s="67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</row>
    <row r="677">
      <c r="A677" s="67"/>
      <c r="B677" s="67"/>
      <c r="C677" s="67"/>
      <c r="D677" s="68"/>
      <c r="E677" s="67"/>
      <c r="F677" s="67"/>
      <c r="G677" s="67"/>
      <c r="H677" s="67"/>
      <c r="I677" s="67"/>
      <c r="J677" s="70" t="str">
        <f t="shared" si="3"/>
        <v/>
      </c>
      <c r="K677" s="67"/>
      <c r="L677" s="67"/>
      <c r="M677" s="67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</row>
    <row r="678">
      <c r="A678" s="67"/>
      <c r="B678" s="67"/>
      <c r="C678" s="67"/>
      <c r="D678" s="68"/>
      <c r="E678" s="67"/>
      <c r="F678" s="67"/>
      <c r="G678" s="67"/>
      <c r="H678" s="67"/>
      <c r="I678" s="67"/>
      <c r="J678" s="70" t="str">
        <f t="shared" si="3"/>
        <v/>
      </c>
      <c r="K678" s="67"/>
      <c r="L678" s="67"/>
      <c r="M678" s="67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</row>
    <row r="679">
      <c r="A679" s="67"/>
      <c r="B679" s="67"/>
      <c r="C679" s="67"/>
      <c r="D679" s="68"/>
      <c r="E679" s="67"/>
      <c r="F679" s="67"/>
      <c r="G679" s="67"/>
      <c r="H679" s="67"/>
      <c r="I679" s="67"/>
      <c r="J679" s="70" t="str">
        <f t="shared" si="3"/>
        <v/>
      </c>
      <c r="K679" s="67"/>
      <c r="L679" s="67"/>
      <c r="M679" s="67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</row>
    <row r="680">
      <c r="A680" s="67"/>
      <c r="B680" s="67"/>
      <c r="C680" s="67"/>
      <c r="D680" s="68"/>
      <c r="E680" s="67"/>
      <c r="F680" s="67"/>
      <c r="G680" s="67"/>
      <c r="H680" s="67"/>
      <c r="I680" s="67"/>
      <c r="J680" s="70" t="str">
        <f t="shared" si="3"/>
        <v/>
      </c>
      <c r="K680" s="67"/>
      <c r="L680" s="67"/>
      <c r="M680" s="67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</row>
    <row r="681">
      <c r="A681" s="67"/>
      <c r="B681" s="67"/>
      <c r="C681" s="67"/>
      <c r="D681" s="68"/>
      <c r="E681" s="67"/>
      <c r="F681" s="67"/>
      <c r="G681" s="67"/>
      <c r="H681" s="67"/>
      <c r="I681" s="67"/>
      <c r="J681" s="70" t="str">
        <f t="shared" si="3"/>
        <v/>
      </c>
      <c r="K681" s="67"/>
      <c r="L681" s="67"/>
      <c r="M681" s="67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</row>
    <row r="682">
      <c r="A682" s="67"/>
      <c r="B682" s="67"/>
      <c r="C682" s="67"/>
      <c r="D682" s="68"/>
      <c r="E682" s="67"/>
      <c r="F682" s="67"/>
      <c r="G682" s="67"/>
      <c r="H682" s="67"/>
      <c r="I682" s="67"/>
      <c r="J682" s="70" t="str">
        <f t="shared" si="3"/>
        <v/>
      </c>
      <c r="K682" s="67"/>
      <c r="L682" s="67"/>
      <c r="M682" s="67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</row>
    <row r="683">
      <c r="A683" s="67"/>
      <c r="B683" s="67"/>
      <c r="C683" s="67"/>
      <c r="D683" s="68"/>
      <c r="E683" s="67"/>
      <c r="F683" s="67"/>
      <c r="G683" s="67"/>
      <c r="H683" s="67"/>
      <c r="I683" s="67"/>
      <c r="J683" s="70" t="str">
        <f t="shared" si="3"/>
        <v/>
      </c>
      <c r="K683" s="67"/>
      <c r="L683" s="67"/>
      <c r="M683" s="67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</row>
    <row r="684">
      <c r="A684" s="67"/>
      <c r="B684" s="67"/>
      <c r="C684" s="67"/>
      <c r="D684" s="68"/>
      <c r="E684" s="67"/>
      <c r="F684" s="67"/>
      <c r="G684" s="67"/>
      <c r="H684" s="67"/>
      <c r="I684" s="67"/>
      <c r="J684" s="70" t="str">
        <f t="shared" si="3"/>
        <v/>
      </c>
      <c r="K684" s="67"/>
      <c r="L684" s="67"/>
      <c r="M684" s="67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</row>
    <row r="685">
      <c r="A685" s="67"/>
      <c r="B685" s="67"/>
      <c r="C685" s="67"/>
      <c r="D685" s="68"/>
      <c r="E685" s="67"/>
      <c r="F685" s="67"/>
      <c r="G685" s="67"/>
      <c r="H685" s="67"/>
      <c r="I685" s="67"/>
      <c r="J685" s="70" t="str">
        <f t="shared" si="3"/>
        <v/>
      </c>
      <c r="K685" s="67"/>
      <c r="L685" s="67"/>
      <c r="M685" s="67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</row>
    <row r="686">
      <c r="A686" s="67"/>
      <c r="B686" s="67"/>
      <c r="C686" s="67"/>
      <c r="D686" s="68"/>
      <c r="E686" s="67"/>
      <c r="F686" s="67"/>
      <c r="G686" s="67"/>
      <c r="H686" s="67"/>
      <c r="I686" s="67"/>
      <c r="J686" s="70" t="str">
        <f t="shared" si="3"/>
        <v/>
      </c>
      <c r="K686" s="67"/>
      <c r="L686" s="67"/>
      <c r="M686" s="67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</row>
    <row r="687">
      <c r="A687" s="67"/>
      <c r="B687" s="67"/>
      <c r="C687" s="67"/>
      <c r="D687" s="68"/>
      <c r="E687" s="67"/>
      <c r="F687" s="67"/>
      <c r="G687" s="67"/>
      <c r="H687" s="67"/>
      <c r="I687" s="67"/>
      <c r="J687" s="70" t="str">
        <f t="shared" si="3"/>
        <v/>
      </c>
      <c r="K687" s="67"/>
      <c r="L687" s="67"/>
      <c r="M687" s="67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</row>
    <row r="688">
      <c r="A688" s="67"/>
      <c r="B688" s="67"/>
      <c r="C688" s="67"/>
      <c r="D688" s="68"/>
      <c r="E688" s="67"/>
      <c r="F688" s="67"/>
      <c r="G688" s="67"/>
      <c r="H688" s="67"/>
      <c r="I688" s="67"/>
      <c r="J688" s="70" t="str">
        <f t="shared" si="3"/>
        <v/>
      </c>
      <c r="K688" s="67"/>
      <c r="L688" s="67"/>
      <c r="M688" s="67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</row>
    <row r="689">
      <c r="A689" s="67"/>
      <c r="B689" s="67"/>
      <c r="C689" s="67"/>
      <c r="D689" s="68"/>
      <c r="E689" s="67"/>
      <c r="F689" s="67"/>
      <c r="G689" s="67"/>
      <c r="H689" s="67"/>
      <c r="I689" s="67"/>
      <c r="J689" s="70" t="str">
        <f t="shared" si="3"/>
        <v/>
      </c>
      <c r="K689" s="67"/>
      <c r="L689" s="67"/>
      <c r="M689" s="67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</row>
    <row r="690">
      <c r="A690" s="67"/>
      <c r="B690" s="67"/>
      <c r="C690" s="67"/>
      <c r="D690" s="68"/>
      <c r="E690" s="67"/>
      <c r="F690" s="67"/>
      <c r="G690" s="67"/>
      <c r="H690" s="67"/>
      <c r="I690" s="67"/>
      <c r="J690" s="70" t="str">
        <f t="shared" si="3"/>
        <v/>
      </c>
      <c r="K690" s="67"/>
      <c r="L690" s="67"/>
      <c r="M690" s="67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</row>
    <row r="691">
      <c r="A691" s="67"/>
      <c r="B691" s="67"/>
      <c r="C691" s="67"/>
      <c r="D691" s="68"/>
      <c r="E691" s="67"/>
      <c r="F691" s="67"/>
      <c r="G691" s="67"/>
      <c r="H691" s="67"/>
      <c r="I691" s="67"/>
      <c r="J691" s="70" t="str">
        <f t="shared" si="3"/>
        <v/>
      </c>
      <c r="K691" s="67"/>
      <c r="L691" s="67"/>
      <c r="M691" s="67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</row>
    <row r="692">
      <c r="A692" s="67"/>
      <c r="B692" s="67"/>
      <c r="C692" s="67"/>
      <c r="D692" s="68"/>
      <c r="E692" s="67"/>
      <c r="F692" s="67"/>
      <c r="G692" s="67"/>
      <c r="H692" s="67"/>
      <c r="I692" s="67"/>
      <c r="J692" s="70" t="str">
        <f t="shared" si="3"/>
        <v/>
      </c>
      <c r="K692" s="67"/>
      <c r="L692" s="67"/>
      <c r="M692" s="67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</row>
    <row r="693">
      <c r="A693" s="67"/>
      <c r="B693" s="67"/>
      <c r="C693" s="67"/>
      <c r="D693" s="68"/>
      <c r="E693" s="67"/>
      <c r="F693" s="67"/>
      <c r="G693" s="67"/>
      <c r="H693" s="67"/>
      <c r="I693" s="67"/>
      <c r="J693" s="70" t="str">
        <f t="shared" si="3"/>
        <v/>
      </c>
      <c r="K693" s="67"/>
      <c r="L693" s="67"/>
      <c r="M693" s="67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</row>
    <row r="694">
      <c r="A694" s="67"/>
      <c r="B694" s="67"/>
      <c r="C694" s="67"/>
      <c r="D694" s="68"/>
      <c r="E694" s="67"/>
      <c r="F694" s="67"/>
      <c r="G694" s="67"/>
      <c r="H694" s="67"/>
      <c r="I694" s="67"/>
      <c r="J694" s="70" t="str">
        <f t="shared" si="3"/>
        <v/>
      </c>
      <c r="K694" s="67"/>
      <c r="L694" s="67"/>
      <c r="M694" s="67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</row>
    <row r="695">
      <c r="A695" s="67"/>
      <c r="B695" s="67"/>
      <c r="C695" s="67"/>
      <c r="D695" s="68"/>
      <c r="E695" s="67"/>
      <c r="F695" s="67"/>
      <c r="G695" s="67"/>
      <c r="H695" s="67"/>
      <c r="I695" s="67"/>
      <c r="J695" s="70" t="str">
        <f t="shared" si="3"/>
        <v/>
      </c>
      <c r="K695" s="67"/>
      <c r="L695" s="67"/>
      <c r="M695" s="67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</row>
    <row r="696">
      <c r="A696" s="67"/>
      <c r="B696" s="67"/>
      <c r="C696" s="67"/>
      <c r="D696" s="68"/>
      <c r="E696" s="67"/>
      <c r="F696" s="67"/>
      <c r="G696" s="67"/>
      <c r="H696" s="67"/>
      <c r="I696" s="67"/>
      <c r="J696" s="70" t="str">
        <f t="shared" si="3"/>
        <v/>
      </c>
      <c r="K696" s="67"/>
      <c r="L696" s="67"/>
      <c r="M696" s="67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</row>
    <row r="697">
      <c r="A697" s="67"/>
      <c r="B697" s="67"/>
      <c r="C697" s="67"/>
      <c r="D697" s="68"/>
      <c r="E697" s="67"/>
      <c r="F697" s="67"/>
      <c r="G697" s="67"/>
      <c r="H697" s="67"/>
      <c r="I697" s="67"/>
      <c r="J697" s="70" t="str">
        <f t="shared" si="3"/>
        <v/>
      </c>
      <c r="K697" s="67"/>
      <c r="L697" s="67"/>
      <c r="M697" s="67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</row>
    <row r="698">
      <c r="A698" s="67"/>
      <c r="B698" s="67"/>
      <c r="C698" s="67"/>
      <c r="D698" s="68"/>
      <c r="E698" s="67"/>
      <c r="F698" s="67"/>
      <c r="G698" s="67"/>
      <c r="H698" s="67"/>
      <c r="I698" s="67"/>
      <c r="J698" s="70" t="str">
        <f t="shared" si="3"/>
        <v/>
      </c>
      <c r="K698" s="67"/>
      <c r="L698" s="67"/>
      <c r="M698" s="67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</row>
    <row r="699">
      <c r="A699" s="67"/>
      <c r="B699" s="67"/>
      <c r="C699" s="67"/>
      <c r="D699" s="68"/>
      <c r="E699" s="67"/>
      <c r="F699" s="67"/>
      <c r="G699" s="67"/>
      <c r="H699" s="67"/>
      <c r="I699" s="67"/>
      <c r="J699" s="70" t="str">
        <f t="shared" si="3"/>
        <v/>
      </c>
      <c r="K699" s="67"/>
      <c r="L699" s="67"/>
      <c r="M699" s="67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</row>
    <row r="700">
      <c r="A700" s="67"/>
      <c r="B700" s="67"/>
      <c r="C700" s="67"/>
      <c r="D700" s="68"/>
      <c r="E700" s="67"/>
      <c r="F700" s="67"/>
      <c r="G700" s="67"/>
      <c r="H700" s="67"/>
      <c r="I700" s="67"/>
      <c r="J700" s="70" t="str">
        <f t="shared" si="3"/>
        <v/>
      </c>
      <c r="K700" s="67"/>
      <c r="L700" s="67"/>
      <c r="M700" s="67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</row>
    <row r="701">
      <c r="A701" s="67"/>
      <c r="B701" s="67"/>
      <c r="C701" s="67"/>
      <c r="D701" s="68"/>
      <c r="E701" s="67"/>
      <c r="F701" s="67"/>
      <c r="G701" s="67"/>
      <c r="H701" s="67"/>
      <c r="I701" s="67"/>
      <c r="J701" s="70" t="str">
        <f t="shared" si="3"/>
        <v/>
      </c>
      <c r="K701" s="67"/>
      <c r="L701" s="67"/>
      <c r="M701" s="67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</row>
    <row r="702">
      <c r="A702" s="67"/>
      <c r="B702" s="67"/>
      <c r="C702" s="67"/>
      <c r="D702" s="68"/>
      <c r="E702" s="67"/>
      <c r="F702" s="67"/>
      <c r="G702" s="67"/>
      <c r="H702" s="67"/>
      <c r="I702" s="67"/>
      <c r="J702" s="70" t="str">
        <f t="shared" si="3"/>
        <v/>
      </c>
      <c r="K702" s="67"/>
      <c r="L702" s="67"/>
      <c r="M702" s="67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</row>
    <row r="703">
      <c r="A703" s="67"/>
      <c r="B703" s="67"/>
      <c r="C703" s="67"/>
      <c r="D703" s="68"/>
      <c r="E703" s="67"/>
      <c r="F703" s="67"/>
      <c r="G703" s="67"/>
      <c r="H703" s="67"/>
      <c r="I703" s="67"/>
      <c r="J703" s="70" t="str">
        <f t="shared" si="3"/>
        <v/>
      </c>
      <c r="K703" s="67"/>
      <c r="L703" s="67"/>
      <c r="M703" s="67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</row>
    <row r="704">
      <c r="A704" s="67"/>
      <c r="B704" s="67"/>
      <c r="C704" s="67"/>
      <c r="D704" s="68"/>
      <c r="E704" s="67"/>
      <c r="F704" s="67"/>
      <c r="G704" s="67"/>
      <c r="H704" s="67"/>
      <c r="I704" s="67"/>
      <c r="J704" s="70" t="str">
        <f t="shared" si="3"/>
        <v/>
      </c>
      <c r="K704" s="67"/>
      <c r="L704" s="67"/>
      <c r="M704" s="67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</row>
    <row r="705">
      <c r="A705" s="67"/>
      <c r="B705" s="67"/>
      <c r="C705" s="67"/>
      <c r="D705" s="68"/>
      <c r="E705" s="67"/>
      <c r="F705" s="67"/>
      <c r="G705" s="67"/>
      <c r="H705" s="67"/>
      <c r="I705" s="67"/>
      <c r="J705" s="70" t="str">
        <f t="shared" si="3"/>
        <v/>
      </c>
      <c r="K705" s="67"/>
      <c r="L705" s="67"/>
      <c r="M705" s="67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</row>
    <row r="706">
      <c r="A706" s="67"/>
      <c r="B706" s="67"/>
      <c r="C706" s="67"/>
      <c r="D706" s="68"/>
      <c r="E706" s="67"/>
      <c r="F706" s="67"/>
      <c r="G706" s="67"/>
      <c r="H706" s="67"/>
      <c r="I706" s="67"/>
      <c r="J706" s="70" t="str">
        <f t="shared" si="3"/>
        <v/>
      </c>
      <c r="K706" s="67"/>
      <c r="L706" s="67"/>
      <c r="M706" s="67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</row>
    <row r="707">
      <c r="A707" s="67"/>
      <c r="B707" s="67"/>
      <c r="C707" s="67"/>
      <c r="D707" s="68"/>
      <c r="E707" s="67"/>
      <c r="F707" s="67"/>
      <c r="G707" s="67"/>
      <c r="H707" s="67"/>
      <c r="I707" s="67"/>
      <c r="J707" s="70" t="str">
        <f t="shared" si="3"/>
        <v/>
      </c>
      <c r="K707" s="67"/>
      <c r="L707" s="67"/>
      <c r="M707" s="67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</row>
    <row r="708">
      <c r="A708" s="67"/>
      <c r="B708" s="67"/>
      <c r="C708" s="67"/>
      <c r="D708" s="68"/>
      <c r="E708" s="67"/>
      <c r="F708" s="67"/>
      <c r="G708" s="67"/>
      <c r="H708" s="67"/>
      <c r="I708" s="67"/>
      <c r="J708" s="70" t="str">
        <f t="shared" si="3"/>
        <v/>
      </c>
      <c r="K708" s="67"/>
      <c r="L708" s="67"/>
      <c r="M708" s="67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</row>
    <row r="709">
      <c r="A709" s="67"/>
      <c r="B709" s="67"/>
      <c r="C709" s="67"/>
      <c r="D709" s="68"/>
      <c r="E709" s="67"/>
      <c r="F709" s="67"/>
      <c r="G709" s="67"/>
      <c r="H709" s="67"/>
      <c r="I709" s="67"/>
      <c r="J709" s="70" t="str">
        <f t="shared" si="3"/>
        <v/>
      </c>
      <c r="K709" s="67"/>
      <c r="L709" s="67"/>
      <c r="M709" s="67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</row>
    <row r="710">
      <c r="A710" s="67"/>
      <c r="B710" s="67"/>
      <c r="C710" s="67"/>
      <c r="D710" s="68"/>
      <c r="E710" s="67"/>
      <c r="F710" s="67"/>
      <c r="G710" s="67"/>
      <c r="H710" s="67"/>
      <c r="I710" s="67"/>
      <c r="J710" s="70" t="str">
        <f t="shared" si="3"/>
        <v/>
      </c>
      <c r="K710" s="67"/>
      <c r="L710" s="67"/>
      <c r="M710" s="67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</row>
    <row r="711">
      <c r="A711" s="67"/>
      <c r="B711" s="67"/>
      <c r="C711" s="67"/>
      <c r="D711" s="68"/>
      <c r="E711" s="67"/>
      <c r="F711" s="67"/>
      <c r="G711" s="67"/>
      <c r="H711" s="67"/>
      <c r="I711" s="67"/>
      <c r="J711" s="70" t="str">
        <f t="shared" si="3"/>
        <v/>
      </c>
      <c r="K711" s="67"/>
      <c r="L711" s="67"/>
      <c r="M711" s="67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</row>
    <row r="712">
      <c r="A712" s="67"/>
      <c r="B712" s="67"/>
      <c r="C712" s="67"/>
      <c r="D712" s="68"/>
      <c r="E712" s="67"/>
      <c r="F712" s="67"/>
      <c r="G712" s="67"/>
      <c r="H712" s="67"/>
      <c r="I712" s="67"/>
      <c r="J712" s="70" t="str">
        <f t="shared" si="3"/>
        <v/>
      </c>
      <c r="K712" s="67"/>
      <c r="L712" s="67"/>
      <c r="M712" s="67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</row>
    <row r="713">
      <c r="A713" s="67"/>
      <c r="B713" s="67"/>
      <c r="C713" s="67"/>
      <c r="D713" s="68"/>
      <c r="E713" s="67"/>
      <c r="F713" s="67"/>
      <c r="G713" s="67"/>
      <c r="H713" s="67"/>
      <c r="I713" s="67"/>
      <c r="J713" s="70" t="str">
        <f t="shared" si="3"/>
        <v/>
      </c>
      <c r="K713" s="67"/>
      <c r="L713" s="67"/>
      <c r="M713" s="67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</row>
    <row r="714">
      <c r="A714" s="67"/>
      <c r="B714" s="67"/>
      <c r="C714" s="67"/>
      <c r="D714" s="68"/>
      <c r="E714" s="67"/>
      <c r="F714" s="67"/>
      <c r="G714" s="67"/>
      <c r="H714" s="67"/>
      <c r="I714" s="67"/>
      <c r="J714" s="70" t="str">
        <f t="shared" si="3"/>
        <v/>
      </c>
      <c r="K714" s="67"/>
      <c r="L714" s="67"/>
      <c r="M714" s="67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</row>
    <row r="715">
      <c r="A715" s="67"/>
      <c r="B715" s="67"/>
      <c r="C715" s="67"/>
      <c r="D715" s="68"/>
      <c r="E715" s="67"/>
      <c r="F715" s="67"/>
      <c r="G715" s="67"/>
      <c r="H715" s="67"/>
      <c r="I715" s="67"/>
      <c r="J715" s="70" t="str">
        <f t="shared" si="3"/>
        <v/>
      </c>
      <c r="K715" s="67"/>
      <c r="L715" s="67"/>
      <c r="M715" s="67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</row>
    <row r="716">
      <c r="A716" s="67"/>
      <c r="B716" s="67"/>
      <c r="C716" s="67"/>
      <c r="D716" s="68"/>
      <c r="E716" s="67"/>
      <c r="F716" s="67"/>
      <c r="G716" s="67"/>
      <c r="H716" s="67"/>
      <c r="I716" s="67"/>
      <c r="J716" s="70" t="str">
        <f t="shared" si="3"/>
        <v/>
      </c>
      <c r="K716" s="67"/>
      <c r="L716" s="67"/>
      <c r="M716" s="67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</row>
    <row r="717">
      <c r="A717" s="67"/>
      <c r="B717" s="67"/>
      <c r="C717" s="67"/>
      <c r="D717" s="68"/>
      <c r="E717" s="67"/>
      <c r="F717" s="67"/>
      <c r="G717" s="67"/>
      <c r="H717" s="67"/>
      <c r="I717" s="67"/>
      <c r="J717" s="70" t="str">
        <f t="shared" si="3"/>
        <v/>
      </c>
      <c r="K717" s="67"/>
      <c r="L717" s="67"/>
      <c r="M717" s="67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</row>
    <row r="718">
      <c r="A718" s="67"/>
      <c r="B718" s="67"/>
      <c r="C718" s="67"/>
      <c r="D718" s="68"/>
      <c r="E718" s="67"/>
      <c r="F718" s="67"/>
      <c r="G718" s="67"/>
      <c r="H718" s="67"/>
      <c r="I718" s="67"/>
      <c r="J718" s="70" t="str">
        <f t="shared" si="3"/>
        <v/>
      </c>
      <c r="K718" s="67"/>
      <c r="L718" s="67"/>
      <c r="M718" s="67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</row>
    <row r="719">
      <c r="A719" s="67"/>
      <c r="B719" s="67"/>
      <c r="C719" s="67"/>
      <c r="D719" s="68"/>
      <c r="E719" s="67"/>
      <c r="F719" s="67"/>
      <c r="G719" s="67"/>
      <c r="H719" s="67"/>
      <c r="I719" s="67"/>
      <c r="J719" s="70" t="str">
        <f t="shared" si="3"/>
        <v/>
      </c>
      <c r="K719" s="67"/>
      <c r="L719" s="67"/>
      <c r="M719" s="67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</row>
    <row r="720">
      <c r="A720" s="67"/>
      <c r="B720" s="67"/>
      <c r="C720" s="67"/>
      <c r="D720" s="68"/>
      <c r="E720" s="67"/>
      <c r="F720" s="67"/>
      <c r="G720" s="67"/>
      <c r="H720" s="67"/>
      <c r="I720" s="67"/>
      <c r="J720" s="70" t="str">
        <f t="shared" si="3"/>
        <v/>
      </c>
      <c r="K720" s="67"/>
      <c r="L720" s="67"/>
      <c r="M720" s="67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</row>
    <row r="721">
      <c r="A721" s="67"/>
      <c r="B721" s="67"/>
      <c r="C721" s="67"/>
      <c r="D721" s="68"/>
      <c r="E721" s="67"/>
      <c r="F721" s="67"/>
      <c r="G721" s="67"/>
      <c r="H721" s="67"/>
      <c r="I721" s="67"/>
      <c r="J721" s="70" t="str">
        <f t="shared" si="3"/>
        <v/>
      </c>
      <c r="K721" s="67"/>
      <c r="L721" s="67"/>
      <c r="M721" s="67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</row>
    <row r="722">
      <c r="A722" s="67"/>
      <c r="B722" s="67"/>
      <c r="C722" s="67"/>
      <c r="D722" s="68"/>
      <c r="E722" s="67"/>
      <c r="F722" s="67"/>
      <c r="G722" s="67"/>
      <c r="H722" s="67"/>
      <c r="I722" s="67"/>
      <c r="J722" s="70" t="str">
        <f t="shared" si="3"/>
        <v/>
      </c>
      <c r="K722" s="67"/>
      <c r="L722" s="67"/>
      <c r="M722" s="67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</row>
    <row r="723">
      <c r="A723" s="67"/>
      <c r="B723" s="67"/>
      <c r="C723" s="67"/>
      <c r="D723" s="68"/>
      <c r="E723" s="67"/>
      <c r="F723" s="67"/>
      <c r="G723" s="67"/>
      <c r="H723" s="67"/>
      <c r="I723" s="67"/>
      <c r="J723" s="70" t="str">
        <f t="shared" si="3"/>
        <v/>
      </c>
      <c r="K723" s="67"/>
      <c r="L723" s="67"/>
      <c r="M723" s="67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</row>
    <row r="724">
      <c r="A724" s="67"/>
      <c r="B724" s="67"/>
      <c r="C724" s="67"/>
      <c r="D724" s="68"/>
      <c r="E724" s="67"/>
      <c r="F724" s="67"/>
      <c r="G724" s="67"/>
      <c r="H724" s="67"/>
      <c r="I724" s="67"/>
      <c r="J724" s="70" t="str">
        <f t="shared" si="3"/>
        <v/>
      </c>
      <c r="K724" s="67"/>
      <c r="L724" s="67"/>
      <c r="M724" s="67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</row>
    <row r="725">
      <c r="A725" s="67"/>
      <c r="B725" s="67"/>
      <c r="C725" s="67"/>
      <c r="D725" s="68"/>
      <c r="E725" s="67"/>
      <c r="F725" s="67"/>
      <c r="G725" s="67"/>
      <c r="H725" s="67"/>
      <c r="I725" s="67"/>
      <c r="J725" s="70" t="str">
        <f t="shared" si="3"/>
        <v/>
      </c>
      <c r="K725" s="67"/>
      <c r="L725" s="67"/>
      <c r="M725" s="67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</row>
    <row r="726">
      <c r="A726" s="67"/>
      <c r="B726" s="67"/>
      <c r="C726" s="67"/>
      <c r="D726" s="68"/>
      <c r="E726" s="67"/>
      <c r="F726" s="67"/>
      <c r="G726" s="67"/>
      <c r="H726" s="67"/>
      <c r="I726" s="67"/>
      <c r="J726" s="70" t="str">
        <f t="shared" si="3"/>
        <v/>
      </c>
      <c r="K726" s="67"/>
      <c r="L726" s="67"/>
      <c r="M726" s="67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</row>
    <row r="727">
      <c r="A727" s="67"/>
      <c r="B727" s="67"/>
      <c r="C727" s="67"/>
      <c r="D727" s="68"/>
      <c r="E727" s="67"/>
      <c r="F727" s="67"/>
      <c r="G727" s="67"/>
      <c r="H727" s="67"/>
      <c r="I727" s="67"/>
      <c r="J727" s="70" t="str">
        <f t="shared" si="3"/>
        <v/>
      </c>
      <c r="K727" s="67"/>
      <c r="L727" s="67"/>
      <c r="M727" s="67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</row>
    <row r="728">
      <c r="A728" s="67"/>
      <c r="B728" s="67"/>
      <c r="C728" s="67"/>
      <c r="D728" s="68"/>
      <c r="E728" s="67"/>
      <c r="F728" s="67"/>
      <c r="G728" s="67"/>
      <c r="H728" s="67"/>
      <c r="I728" s="67"/>
      <c r="J728" s="70" t="str">
        <f t="shared" si="3"/>
        <v/>
      </c>
      <c r="K728" s="67"/>
      <c r="L728" s="67"/>
      <c r="M728" s="67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</row>
    <row r="729">
      <c r="A729" s="67"/>
      <c r="B729" s="67"/>
      <c r="C729" s="67"/>
      <c r="D729" s="68"/>
      <c r="E729" s="67"/>
      <c r="F729" s="67"/>
      <c r="G729" s="67"/>
      <c r="H729" s="67"/>
      <c r="I729" s="67"/>
      <c r="J729" s="70" t="str">
        <f t="shared" si="3"/>
        <v/>
      </c>
      <c r="K729" s="67"/>
      <c r="L729" s="67"/>
      <c r="M729" s="67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</row>
    <row r="730">
      <c r="A730" s="67"/>
      <c r="B730" s="67"/>
      <c r="C730" s="67"/>
      <c r="D730" s="68"/>
      <c r="E730" s="67"/>
      <c r="F730" s="67"/>
      <c r="G730" s="67"/>
      <c r="H730" s="67"/>
      <c r="I730" s="67"/>
      <c r="J730" s="70" t="str">
        <f t="shared" si="3"/>
        <v/>
      </c>
      <c r="K730" s="67"/>
      <c r="L730" s="67"/>
      <c r="M730" s="67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</row>
    <row r="731">
      <c r="A731" s="67"/>
      <c r="B731" s="67"/>
      <c r="C731" s="67"/>
      <c r="D731" s="68"/>
      <c r="E731" s="67"/>
      <c r="F731" s="67"/>
      <c r="G731" s="67"/>
      <c r="H731" s="67"/>
      <c r="I731" s="67"/>
      <c r="J731" s="70" t="str">
        <f t="shared" si="3"/>
        <v/>
      </c>
      <c r="K731" s="67"/>
      <c r="L731" s="67"/>
      <c r="M731" s="67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</row>
    <row r="732">
      <c r="A732" s="67"/>
      <c r="B732" s="67"/>
      <c r="C732" s="67"/>
      <c r="D732" s="68"/>
      <c r="E732" s="67"/>
      <c r="F732" s="67"/>
      <c r="G732" s="67"/>
      <c r="H732" s="67"/>
      <c r="I732" s="67"/>
      <c r="J732" s="70" t="str">
        <f t="shared" si="3"/>
        <v/>
      </c>
      <c r="K732" s="67"/>
      <c r="L732" s="67"/>
      <c r="M732" s="67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</row>
    <row r="733">
      <c r="A733" s="67"/>
      <c r="B733" s="67"/>
      <c r="C733" s="67"/>
      <c r="D733" s="68"/>
      <c r="E733" s="67"/>
      <c r="F733" s="67"/>
      <c r="G733" s="67"/>
      <c r="H733" s="67"/>
      <c r="I733" s="67"/>
      <c r="J733" s="70" t="str">
        <f t="shared" si="3"/>
        <v/>
      </c>
      <c r="K733" s="67"/>
      <c r="L733" s="67"/>
      <c r="M733" s="67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</row>
    <row r="734">
      <c r="A734" s="67"/>
      <c r="B734" s="67"/>
      <c r="C734" s="67"/>
      <c r="D734" s="68"/>
      <c r="E734" s="67"/>
      <c r="F734" s="67"/>
      <c r="G734" s="67"/>
      <c r="H734" s="67"/>
      <c r="I734" s="67"/>
      <c r="J734" s="70" t="str">
        <f t="shared" si="3"/>
        <v/>
      </c>
      <c r="K734" s="67"/>
      <c r="L734" s="67"/>
      <c r="M734" s="67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</row>
    <row r="735">
      <c r="A735" s="67"/>
      <c r="B735" s="67"/>
      <c r="C735" s="67"/>
      <c r="D735" s="68"/>
      <c r="E735" s="67"/>
      <c r="F735" s="67"/>
      <c r="G735" s="67"/>
      <c r="H735" s="67"/>
      <c r="I735" s="67"/>
      <c r="J735" s="70" t="str">
        <f t="shared" si="3"/>
        <v/>
      </c>
      <c r="K735" s="67"/>
      <c r="L735" s="67"/>
      <c r="M735" s="67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</row>
    <row r="736">
      <c r="A736" s="67"/>
      <c r="B736" s="67"/>
      <c r="C736" s="67"/>
      <c r="D736" s="68"/>
      <c r="E736" s="67"/>
      <c r="F736" s="67"/>
      <c r="G736" s="67"/>
      <c r="H736" s="67"/>
      <c r="I736" s="67"/>
      <c r="J736" s="70" t="str">
        <f t="shared" si="3"/>
        <v/>
      </c>
      <c r="K736" s="67"/>
      <c r="L736" s="67"/>
      <c r="M736" s="67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</row>
    <row r="737">
      <c r="A737" s="67"/>
      <c r="B737" s="67"/>
      <c r="C737" s="67"/>
      <c r="D737" s="68"/>
      <c r="E737" s="67"/>
      <c r="F737" s="67"/>
      <c r="G737" s="67"/>
      <c r="H737" s="67"/>
      <c r="I737" s="67"/>
      <c r="J737" s="70" t="str">
        <f t="shared" si="3"/>
        <v/>
      </c>
      <c r="K737" s="67"/>
      <c r="L737" s="67"/>
      <c r="M737" s="67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</row>
    <row r="738">
      <c r="A738" s="67"/>
      <c r="B738" s="67"/>
      <c r="C738" s="67"/>
      <c r="D738" s="68"/>
      <c r="E738" s="67"/>
      <c r="F738" s="67"/>
      <c r="G738" s="67"/>
      <c r="H738" s="67"/>
      <c r="I738" s="67"/>
      <c r="J738" s="70" t="str">
        <f t="shared" si="3"/>
        <v/>
      </c>
      <c r="K738" s="67"/>
      <c r="L738" s="67"/>
      <c r="M738" s="67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</row>
    <row r="739">
      <c r="A739" s="67"/>
      <c r="B739" s="67"/>
      <c r="C739" s="67"/>
      <c r="D739" s="68"/>
      <c r="E739" s="67"/>
      <c r="F739" s="67"/>
      <c r="G739" s="67"/>
      <c r="H739" s="67"/>
      <c r="I739" s="67"/>
      <c r="J739" s="70" t="str">
        <f t="shared" si="3"/>
        <v/>
      </c>
      <c r="K739" s="67"/>
      <c r="L739" s="67"/>
      <c r="M739" s="67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</row>
    <row r="740">
      <c r="A740" s="67"/>
      <c r="B740" s="67"/>
      <c r="C740" s="67"/>
      <c r="D740" s="68"/>
      <c r="E740" s="67"/>
      <c r="F740" s="67"/>
      <c r="G740" s="67"/>
      <c r="H740" s="67"/>
      <c r="I740" s="67"/>
      <c r="J740" s="70" t="str">
        <f t="shared" si="3"/>
        <v/>
      </c>
      <c r="K740" s="67"/>
      <c r="L740" s="67"/>
      <c r="M740" s="67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</row>
    <row r="741">
      <c r="A741" s="67"/>
      <c r="B741" s="67"/>
      <c r="C741" s="67"/>
      <c r="D741" s="68"/>
      <c r="E741" s="67"/>
      <c r="F741" s="67"/>
      <c r="G741" s="67"/>
      <c r="H741" s="67"/>
      <c r="I741" s="67"/>
      <c r="J741" s="70" t="str">
        <f t="shared" si="3"/>
        <v/>
      </c>
      <c r="K741" s="67"/>
      <c r="L741" s="67"/>
      <c r="M741" s="67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</row>
    <row r="742">
      <c r="A742" s="67"/>
      <c r="B742" s="67"/>
      <c r="C742" s="67"/>
      <c r="D742" s="68"/>
      <c r="E742" s="67"/>
      <c r="F742" s="67"/>
      <c r="G742" s="67"/>
      <c r="H742" s="67"/>
      <c r="I742" s="67"/>
      <c r="J742" s="70" t="str">
        <f t="shared" si="3"/>
        <v/>
      </c>
      <c r="K742" s="67"/>
      <c r="L742" s="67"/>
      <c r="M742" s="67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</row>
    <row r="743">
      <c r="A743" s="67"/>
      <c r="B743" s="67"/>
      <c r="C743" s="67"/>
      <c r="D743" s="68"/>
      <c r="E743" s="67"/>
      <c r="F743" s="67"/>
      <c r="G743" s="67"/>
      <c r="H743" s="67"/>
      <c r="I743" s="67"/>
      <c r="J743" s="70" t="str">
        <f t="shared" si="3"/>
        <v/>
      </c>
      <c r="K743" s="67"/>
      <c r="L743" s="67"/>
      <c r="M743" s="67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</row>
    <row r="744">
      <c r="A744" s="67"/>
      <c r="B744" s="67"/>
      <c r="C744" s="67"/>
      <c r="D744" s="68"/>
      <c r="E744" s="67"/>
      <c r="F744" s="67"/>
      <c r="G744" s="67"/>
      <c r="H744" s="67"/>
      <c r="I744" s="67"/>
      <c r="J744" s="70" t="str">
        <f t="shared" si="3"/>
        <v/>
      </c>
      <c r="K744" s="67"/>
      <c r="L744" s="67"/>
      <c r="M744" s="67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</row>
    <row r="745">
      <c r="A745" s="67"/>
      <c r="B745" s="67"/>
      <c r="C745" s="67"/>
      <c r="D745" s="68"/>
      <c r="E745" s="67"/>
      <c r="F745" s="67"/>
      <c r="G745" s="67"/>
      <c r="H745" s="67"/>
      <c r="I745" s="67"/>
      <c r="J745" s="70" t="str">
        <f t="shared" si="3"/>
        <v/>
      </c>
      <c r="K745" s="67"/>
      <c r="L745" s="67"/>
      <c r="M745" s="67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</row>
    <row r="746">
      <c r="A746" s="67"/>
      <c r="B746" s="67"/>
      <c r="C746" s="67"/>
      <c r="D746" s="68"/>
      <c r="E746" s="67"/>
      <c r="F746" s="67"/>
      <c r="G746" s="67"/>
      <c r="H746" s="67"/>
      <c r="I746" s="67"/>
      <c r="J746" s="70" t="str">
        <f t="shared" si="3"/>
        <v/>
      </c>
      <c r="K746" s="67"/>
      <c r="L746" s="67"/>
      <c r="M746" s="67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</row>
    <row r="747">
      <c r="A747" s="67"/>
      <c r="B747" s="67"/>
      <c r="C747" s="67"/>
      <c r="D747" s="68"/>
      <c r="E747" s="67"/>
      <c r="F747" s="67"/>
      <c r="G747" s="67"/>
      <c r="H747" s="67"/>
      <c r="I747" s="67"/>
      <c r="J747" s="70" t="str">
        <f t="shared" si="3"/>
        <v/>
      </c>
      <c r="K747" s="67"/>
      <c r="L747" s="67"/>
      <c r="M747" s="67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</row>
    <row r="748">
      <c r="A748" s="67"/>
      <c r="B748" s="67"/>
      <c r="C748" s="67"/>
      <c r="D748" s="68"/>
      <c r="E748" s="67"/>
      <c r="F748" s="67"/>
      <c r="G748" s="67"/>
      <c r="H748" s="67"/>
      <c r="I748" s="67"/>
      <c r="J748" s="70" t="str">
        <f t="shared" si="3"/>
        <v/>
      </c>
      <c r="K748" s="67"/>
      <c r="L748" s="67"/>
      <c r="M748" s="67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</row>
    <row r="749">
      <c r="A749" s="67"/>
      <c r="B749" s="67"/>
      <c r="C749" s="67"/>
      <c r="D749" s="68"/>
      <c r="E749" s="67"/>
      <c r="F749" s="67"/>
      <c r="G749" s="67"/>
      <c r="H749" s="67"/>
      <c r="I749" s="67"/>
      <c r="J749" s="70" t="str">
        <f t="shared" si="3"/>
        <v/>
      </c>
      <c r="K749" s="67"/>
      <c r="L749" s="67"/>
      <c r="M749" s="67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</row>
    <row r="750">
      <c r="A750" s="67"/>
      <c r="B750" s="67"/>
      <c r="C750" s="67"/>
      <c r="D750" s="68"/>
      <c r="E750" s="67"/>
      <c r="F750" s="67"/>
      <c r="G750" s="67"/>
      <c r="H750" s="67"/>
      <c r="I750" s="67"/>
      <c r="J750" s="70" t="str">
        <f t="shared" si="3"/>
        <v/>
      </c>
      <c r="K750" s="67"/>
      <c r="L750" s="67"/>
      <c r="M750" s="67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</row>
    <row r="751">
      <c r="A751" s="67"/>
      <c r="B751" s="67"/>
      <c r="C751" s="67"/>
      <c r="D751" s="68"/>
      <c r="E751" s="67"/>
      <c r="F751" s="67"/>
      <c r="G751" s="67"/>
      <c r="H751" s="67"/>
      <c r="I751" s="67"/>
      <c r="J751" s="70" t="str">
        <f t="shared" si="3"/>
        <v/>
      </c>
      <c r="K751" s="67"/>
      <c r="L751" s="67"/>
      <c r="M751" s="67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</row>
    <row r="752">
      <c r="A752" s="67"/>
      <c r="B752" s="67"/>
      <c r="C752" s="67"/>
      <c r="D752" s="68"/>
      <c r="E752" s="67"/>
      <c r="F752" s="67"/>
      <c r="G752" s="67"/>
      <c r="H752" s="67"/>
      <c r="I752" s="67"/>
      <c r="J752" s="70" t="str">
        <f t="shared" si="3"/>
        <v/>
      </c>
      <c r="K752" s="67"/>
      <c r="L752" s="67"/>
      <c r="M752" s="67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</row>
    <row r="753">
      <c r="A753" s="67"/>
      <c r="B753" s="67"/>
      <c r="C753" s="67"/>
      <c r="D753" s="68"/>
      <c r="E753" s="67"/>
      <c r="F753" s="67"/>
      <c r="G753" s="67"/>
      <c r="H753" s="67"/>
      <c r="I753" s="67"/>
      <c r="J753" s="70" t="str">
        <f t="shared" si="3"/>
        <v/>
      </c>
      <c r="K753" s="67"/>
      <c r="L753" s="67"/>
      <c r="M753" s="67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</row>
    <row r="754">
      <c r="A754" s="67"/>
      <c r="B754" s="67"/>
      <c r="C754" s="67"/>
      <c r="D754" s="68"/>
      <c r="E754" s="67"/>
      <c r="F754" s="67"/>
      <c r="G754" s="67"/>
      <c r="H754" s="67"/>
      <c r="I754" s="67"/>
      <c r="J754" s="70" t="str">
        <f t="shared" si="3"/>
        <v/>
      </c>
      <c r="K754" s="67"/>
      <c r="L754" s="67"/>
      <c r="M754" s="67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</row>
    <row r="755">
      <c r="A755" s="67"/>
      <c r="B755" s="67"/>
      <c r="C755" s="67"/>
      <c r="D755" s="68"/>
      <c r="E755" s="67"/>
      <c r="F755" s="67"/>
      <c r="G755" s="67"/>
      <c r="H755" s="67"/>
      <c r="I755" s="67"/>
      <c r="J755" s="70" t="str">
        <f t="shared" si="3"/>
        <v/>
      </c>
      <c r="K755" s="67"/>
      <c r="L755" s="67"/>
      <c r="M755" s="67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</row>
    <row r="756">
      <c r="A756" s="67"/>
      <c r="B756" s="67"/>
      <c r="C756" s="67"/>
      <c r="D756" s="68"/>
      <c r="E756" s="67"/>
      <c r="F756" s="67"/>
      <c r="G756" s="67"/>
      <c r="H756" s="67"/>
      <c r="I756" s="67"/>
      <c r="J756" s="70" t="str">
        <f t="shared" si="3"/>
        <v/>
      </c>
      <c r="K756" s="67"/>
      <c r="L756" s="67"/>
      <c r="M756" s="67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</row>
    <row r="757">
      <c r="A757" s="67"/>
      <c r="B757" s="67"/>
      <c r="C757" s="67"/>
      <c r="D757" s="68"/>
      <c r="E757" s="67"/>
      <c r="F757" s="67"/>
      <c r="G757" s="67"/>
      <c r="H757" s="67"/>
      <c r="I757" s="67"/>
      <c r="J757" s="70" t="str">
        <f t="shared" si="3"/>
        <v/>
      </c>
      <c r="K757" s="67"/>
      <c r="L757" s="67"/>
      <c r="M757" s="67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</row>
    <row r="758">
      <c r="A758" s="67"/>
      <c r="B758" s="67"/>
      <c r="C758" s="67"/>
      <c r="D758" s="68"/>
      <c r="E758" s="67"/>
      <c r="F758" s="67"/>
      <c r="G758" s="67"/>
      <c r="H758" s="67"/>
      <c r="I758" s="67"/>
      <c r="J758" s="70" t="str">
        <f t="shared" si="3"/>
        <v/>
      </c>
      <c r="K758" s="67"/>
      <c r="L758" s="67"/>
      <c r="M758" s="67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</row>
    <row r="759">
      <c r="A759" s="67"/>
      <c r="B759" s="67"/>
      <c r="C759" s="67"/>
      <c r="D759" s="68"/>
      <c r="E759" s="67"/>
      <c r="F759" s="67"/>
      <c r="G759" s="67"/>
      <c r="H759" s="67"/>
      <c r="I759" s="67"/>
      <c r="J759" s="70" t="str">
        <f t="shared" si="3"/>
        <v/>
      </c>
      <c r="K759" s="67"/>
      <c r="L759" s="67"/>
      <c r="M759" s="67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</row>
    <row r="760">
      <c r="A760" s="67"/>
      <c r="B760" s="67"/>
      <c r="C760" s="67"/>
      <c r="D760" s="68"/>
      <c r="E760" s="67"/>
      <c r="F760" s="67"/>
      <c r="G760" s="67"/>
      <c r="H760" s="67"/>
      <c r="I760" s="67"/>
      <c r="J760" s="70" t="str">
        <f t="shared" si="3"/>
        <v/>
      </c>
      <c r="K760" s="67"/>
      <c r="L760" s="67"/>
      <c r="M760" s="67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</row>
    <row r="761">
      <c r="A761" s="67"/>
      <c r="B761" s="67"/>
      <c r="C761" s="67"/>
      <c r="D761" s="68"/>
      <c r="E761" s="67"/>
      <c r="F761" s="67"/>
      <c r="G761" s="67"/>
      <c r="H761" s="67"/>
      <c r="I761" s="67"/>
      <c r="J761" s="70" t="str">
        <f t="shared" si="3"/>
        <v/>
      </c>
      <c r="K761" s="67"/>
      <c r="L761" s="67"/>
      <c r="M761" s="67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</row>
    <row r="762">
      <c r="A762" s="67"/>
      <c r="B762" s="67"/>
      <c r="C762" s="67"/>
      <c r="D762" s="68"/>
      <c r="E762" s="67"/>
      <c r="F762" s="67"/>
      <c r="G762" s="67"/>
      <c r="H762" s="67"/>
      <c r="I762" s="67"/>
      <c r="J762" s="70" t="str">
        <f t="shared" si="3"/>
        <v/>
      </c>
      <c r="K762" s="67"/>
      <c r="L762" s="67"/>
      <c r="M762" s="67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</row>
    <row r="763">
      <c r="A763" s="67"/>
      <c r="B763" s="67"/>
      <c r="C763" s="67"/>
      <c r="D763" s="68"/>
      <c r="E763" s="67"/>
      <c r="F763" s="67"/>
      <c r="G763" s="67"/>
      <c r="H763" s="67"/>
      <c r="I763" s="67"/>
      <c r="J763" s="70" t="str">
        <f t="shared" si="3"/>
        <v/>
      </c>
      <c r="K763" s="67"/>
      <c r="L763" s="67"/>
      <c r="M763" s="67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</row>
    <row r="764">
      <c r="A764" s="67"/>
      <c r="B764" s="67"/>
      <c r="C764" s="67"/>
      <c r="D764" s="68"/>
      <c r="E764" s="67"/>
      <c r="F764" s="67"/>
      <c r="G764" s="67"/>
      <c r="H764" s="67"/>
      <c r="I764" s="67"/>
      <c r="J764" s="70" t="str">
        <f t="shared" si="3"/>
        <v/>
      </c>
      <c r="K764" s="67"/>
      <c r="L764" s="67"/>
      <c r="M764" s="67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</row>
    <row r="765">
      <c r="A765" s="67"/>
      <c r="B765" s="67"/>
      <c r="C765" s="67"/>
      <c r="D765" s="68"/>
      <c r="E765" s="67"/>
      <c r="F765" s="67"/>
      <c r="G765" s="67"/>
      <c r="H765" s="67"/>
      <c r="I765" s="67"/>
      <c r="J765" s="70" t="str">
        <f t="shared" si="3"/>
        <v/>
      </c>
      <c r="K765" s="67"/>
      <c r="L765" s="67"/>
      <c r="M765" s="67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</row>
    <row r="766">
      <c r="A766" s="67"/>
      <c r="B766" s="67"/>
      <c r="C766" s="67"/>
      <c r="D766" s="68"/>
      <c r="E766" s="67"/>
      <c r="F766" s="67"/>
      <c r="G766" s="67"/>
      <c r="H766" s="67"/>
      <c r="I766" s="67"/>
      <c r="J766" s="70" t="str">
        <f t="shared" si="3"/>
        <v/>
      </c>
      <c r="K766" s="67"/>
      <c r="L766" s="67"/>
      <c r="M766" s="67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</row>
    <row r="767">
      <c r="A767" s="67"/>
      <c r="B767" s="67"/>
      <c r="C767" s="67"/>
      <c r="D767" s="68"/>
      <c r="E767" s="67"/>
      <c r="F767" s="67"/>
      <c r="G767" s="67"/>
      <c r="H767" s="67"/>
      <c r="I767" s="67"/>
      <c r="J767" s="70" t="str">
        <f t="shared" si="3"/>
        <v/>
      </c>
      <c r="K767" s="67"/>
      <c r="L767" s="67"/>
      <c r="M767" s="67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</row>
    <row r="768">
      <c r="A768" s="67"/>
      <c r="B768" s="67"/>
      <c r="C768" s="67"/>
      <c r="D768" s="68"/>
      <c r="E768" s="67"/>
      <c r="F768" s="67"/>
      <c r="G768" s="67"/>
      <c r="H768" s="67"/>
      <c r="I768" s="67"/>
      <c r="J768" s="70" t="str">
        <f t="shared" si="3"/>
        <v/>
      </c>
      <c r="K768" s="67"/>
      <c r="L768" s="67"/>
      <c r="M768" s="67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</row>
    <row r="769">
      <c r="A769" s="67"/>
      <c r="B769" s="67"/>
      <c r="C769" s="67"/>
      <c r="D769" s="68"/>
      <c r="E769" s="67"/>
      <c r="F769" s="67"/>
      <c r="G769" s="67"/>
      <c r="H769" s="67"/>
      <c r="I769" s="67"/>
      <c r="J769" s="70" t="str">
        <f t="shared" si="3"/>
        <v/>
      </c>
      <c r="K769" s="67"/>
      <c r="L769" s="67"/>
      <c r="M769" s="67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</row>
    <row r="770">
      <c r="A770" s="67"/>
      <c r="B770" s="67"/>
      <c r="C770" s="67"/>
      <c r="D770" s="68"/>
      <c r="E770" s="67"/>
      <c r="F770" s="67"/>
      <c r="G770" s="67"/>
      <c r="H770" s="67"/>
      <c r="I770" s="67"/>
      <c r="J770" s="70" t="str">
        <f t="shared" si="3"/>
        <v/>
      </c>
      <c r="K770" s="67"/>
      <c r="L770" s="67"/>
      <c r="M770" s="67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</row>
    <row r="771">
      <c r="A771" s="67"/>
      <c r="B771" s="67"/>
      <c r="C771" s="67"/>
      <c r="D771" s="68"/>
      <c r="E771" s="67"/>
      <c r="F771" s="67"/>
      <c r="G771" s="67"/>
      <c r="H771" s="67"/>
      <c r="I771" s="67"/>
      <c r="J771" s="70" t="str">
        <f t="shared" si="3"/>
        <v/>
      </c>
      <c r="K771" s="67"/>
      <c r="L771" s="67"/>
      <c r="M771" s="67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</row>
    <row r="772">
      <c r="A772" s="67"/>
      <c r="B772" s="67"/>
      <c r="C772" s="67"/>
      <c r="D772" s="68"/>
      <c r="E772" s="67"/>
      <c r="F772" s="67"/>
      <c r="G772" s="67"/>
      <c r="H772" s="67"/>
      <c r="I772" s="67"/>
      <c r="J772" s="70" t="str">
        <f t="shared" si="3"/>
        <v/>
      </c>
      <c r="K772" s="67"/>
      <c r="L772" s="67"/>
      <c r="M772" s="67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</row>
    <row r="773">
      <c r="A773" s="67"/>
      <c r="B773" s="67"/>
      <c r="C773" s="67"/>
      <c r="D773" s="68"/>
      <c r="E773" s="67"/>
      <c r="F773" s="67"/>
      <c r="G773" s="67"/>
      <c r="H773" s="67"/>
      <c r="I773" s="67"/>
      <c r="J773" s="70" t="str">
        <f t="shared" si="3"/>
        <v/>
      </c>
      <c r="K773" s="67"/>
      <c r="L773" s="67"/>
      <c r="M773" s="67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</row>
    <row r="774">
      <c r="A774" s="67"/>
      <c r="B774" s="67"/>
      <c r="C774" s="67"/>
      <c r="D774" s="68"/>
      <c r="E774" s="67"/>
      <c r="F774" s="67"/>
      <c r="G774" s="67"/>
      <c r="H774" s="67"/>
      <c r="I774" s="67"/>
      <c r="J774" s="70" t="str">
        <f t="shared" si="3"/>
        <v/>
      </c>
      <c r="K774" s="67"/>
      <c r="L774" s="67"/>
      <c r="M774" s="67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</row>
    <row r="775">
      <c r="A775" s="67"/>
      <c r="B775" s="67"/>
      <c r="C775" s="67"/>
      <c r="D775" s="68"/>
      <c r="E775" s="67"/>
      <c r="F775" s="67"/>
      <c r="G775" s="67"/>
      <c r="H775" s="67"/>
      <c r="I775" s="67"/>
      <c r="J775" s="70" t="str">
        <f t="shared" si="3"/>
        <v/>
      </c>
      <c r="K775" s="67"/>
      <c r="L775" s="67"/>
      <c r="M775" s="67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</row>
    <row r="776">
      <c r="A776" s="67"/>
      <c r="B776" s="67"/>
      <c r="C776" s="67"/>
      <c r="D776" s="68"/>
      <c r="E776" s="67"/>
      <c r="F776" s="67"/>
      <c r="G776" s="67"/>
      <c r="H776" s="67"/>
      <c r="I776" s="67"/>
      <c r="J776" s="70" t="str">
        <f t="shared" si="3"/>
        <v/>
      </c>
      <c r="K776" s="67"/>
      <c r="L776" s="67"/>
      <c r="M776" s="67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</row>
    <row r="777">
      <c r="A777" s="67"/>
      <c r="B777" s="67"/>
      <c r="C777" s="67"/>
      <c r="D777" s="68"/>
      <c r="E777" s="67"/>
      <c r="F777" s="67"/>
      <c r="G777" s="67"/>
      <c r="H777" s="67"/>
      <c r="I777" s="67"/>
      <c r="J777" s="70" t="str">
        <f t="shared" si="3"/>
        <v/>
      </c>
      <c r="K777" s="67"/>
      <c r="L777" s="67"/>
      <c r="M777" s="67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</row>
    <row r="778">
      <c r="A778" s="67"/>
      <c r="B778" s="67"/>
      <c r="C778" s="67"/>
      <c r="D778" s="68"/>
      <c r="E778" s="67"/>
      <c r="F778" s="67"/>
      <c r="G778" s="67"/>
      <c r="H778" s="67"/>
      <c r="I778" s="67"/>
      <c r="J778" s="70" t="str">
        <f t="shared" si="3"/>
        <v/>
      </c>
      <c r="K778" s="67"/>
      <c r="L778" s="67"/>
      <c r="M778" s="67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</row>
    <row r="779">
      <c r="A779" s="67"/>
      <c r="B779" s="67"/>
      <c r="C779" s="67"/>
      <c r="D779" s="68"/>
      <c r="E779" s="67"/>
      <c r="F779" s="67"/>
      <c r="G779" s="67"/>
      <c r="H779" s="67"/>
      <c r="I779" s="67"/>
      <c r="J779" s="70" t="str">
        <f t="shared" si="3"/>
        <v/>
      </c>
      <c r="K779" s="67"/>
      <c r="L779" s="67"/>
      <c r="M779" s="67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</row>
    <row r="780">
      <c r="A780" s="67"/>
      <c r="B780" s="67"/>
      <c r="C780" s="67"/>
      <c r="D780" s="68"/>
      <c r="E780" s="67"/>
      <c r="F780" s="67"/>
      <c r="G780" s="67"/>
      <c r="H780" s="67"/>
      <c r="I780" s="67"/>
      <c r="J780" s="70" t="str">
        <f t="shared" si="3"/>
        <v/>
      </c>
      <c r="K780" s="67"/>
      <c r="L780" s="67"/>
      <c r="M780" s="67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</row>
    <row r="781">
      <c r="A781" s="67"/>
      <c r="B781" s="67"/>
      <c r="C781" s="67"/>
      <c r="D781" s="68"/>
      <c r="E781" s="67"/>
      <c r="F781" s="67"/>
      <c r="G781" s="67"/>
      <c r="H781" s="67"/>
      <c r="I781" s="67"/>
      <c r="J781" s="70" t="str">
        <f t="shared" si="3"/>
        <v/>
      </c>
      <c r="K781" s="67"/>
      <c r="L781" s="67"/>
      <c r="M781" s="67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</row>
    <row r="782">
      <c r="A782" s="67"/>
      <c r="B782" s="67"/>
      <c r="C782" s="67"/>
      <c r="D782" s="68"/>
      <c r="E782" s="67"/>
      <c r="F782" s="67"/>
      <c r="G782" s="67"/>
      <c r="H782" s="67"/>
      <c r="I782" s="67"/>
      <c r="J782" s="70" t="str">
        <f t="shared" si="3"/>
        <v/>
      </c>
      <c r="K782" s="67"/>
      <c r="L782" s="67"/>
      <c r="M782" s="67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</row>
    <row r="783">
      <c r="A783" s="67"/>
      <c r="B783" s="67"/>
      <c r="C783" s="67"/>
      <c r="D783" s="68"/>
      <c r="E783" s="67"/>
      <c r="F783" s="67"/>
      <c r="G783" s="67"/>
      <c r="H783" s="67"/>
      <c r="I783" s="67"/>
      <c r="J783" s="70" t="str">
        <f t="shared" si="3"/>
        <v/>
      </c>
      <c r="K783" s="67"/>
      <c r="L783" s="67"/>
      <c r="M783" s="67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</row>
    <row r="784">
      <c r="A784" s="67"/>
      <c r="B784" s="67"/>
      <c r="C784" s="67"/>
      <c r="D784" s="68"/>
      <c r="E784" s="67"/>
      <c r="F784" s="67"/>
      <c r="G784" s="67"/>
      <c r="H784" s="67"/>
      <c r="I784" s="67"/>
      <c r="J784" s="70" t="str">
        <f t="shared" si="3"/>
        <v/>
      </c>
      <c r="K784" s="67"/>
      <c r="L784" s="67"/>
      <c r="M784" s="67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</row>
    <row r="785">
      <c r="A785" s="67"/>
      <c r="B785" s="67"/>
      <c r="C785" s="67"/>
      <c r="D785" s="68"/>
      <c r="E785" s="67"/>
      <c r="F785" s="67"/>
      <c r="G785" s="67"/>
      <c r="H785" s="67"/>
      <c r="I785" s="67"/>
      <c r="J785" s="70" t="str">
        <f t="shared" si="3"/>
        <v/>
      </c>
      <c r="K785" s="67"/>
      <c r="L785" s="67"/>
      <c r="M785" s="67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</row>
    <row r="786">
      <c r="A786" s="67"/>
      <c r="B786" s="67"/>
      <c r="C786" s="67"/>
      <c r="D786" s="68"/>
      <c r="E786" s="67"/>
      <c r="F786" s="67"/>
      <c r="G786" s="67"/>
      <c r="H786" s="67"/>
      <c r="I786" s="67"/>
      <c r="J786" s="70" t="str">
        <f t="shared" si="3"/>
        <v/>
      </c>
      <c r="K786" s="67"/>
      <c r="L786" s="67"/>
      <c r="M786" s="67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</row>
    <row r="787">
      <c r="A787" s="67"/>
      <c r="B787" s="67"/>
      <c r="C787" s="67"/>
      <c r="D787" s="68"/>
      <c r="E787" s="67"/>
      <c r="F787" s="67"/>
      <c r="G787" s="67"/>
      <c r="H787" s="67"/>
      <c r="I787" s="67"/>
      <c r="J787" s="70" t="str">
        <f t="shared" si="3"/>
        <v/>
      </c>
      <c r="K787" s="67"/>
      <c r="L787" s="67"/>
      <c r="M787" s="67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</row>
    <row r="788">
      <c r="A788" s="67"/>
      <c r="B788" s="67"/>
      <c r="C788" s="67"/>
      <c r="D788" s="68"/>
      <c r="E788" s="67"/>
      <c r="F788" s="67"/>
      <c r="G788" s="67"/>
      <c r="H788" s="67"/>
      <c r="I788" s="67"/>
      <c r="J788" s="70" t="str">
        <f t="shared" si="3"/>
        <v/>
      </c>
      <c r="K788" s="67"/>
      <c r="L788" s="67"/>
      <c r="M788" s="67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</row>
    <row r="789">
      <c r="A789" s="67"/>
      <c r="B789" s="67"/>
      <c r="C789" s="67"/>
      <c r="D789" s="68"/>
      <c r="E789" s="67"/>
      <c r="F789" s="67"/>
      <c r="G789" s="67"/>
      <c r="H789" s="67"/>
      <c r="I789" s="67"/>
      <c r="J789" s="70" t="str">
        <f t="shared" si="3"/>
        <v/>
      </c>
      <c r="K789" s="67"/>
      <c r="L789" s="67"/>
      <c r="M789" s="67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</row>
    <row r="790">
      <c r="A790" s="67"/>
      <c r="B790" s="67"/>
      <c r="C790" s="67"/>
      <c r="D790" s="68"/>
      <c r="E790" s="67"/>
      <c r="F790" s="67"/>
      <c r="G790" s="67"/>
      <c r="H790" s="67"/>
      <c r="I790" s="67"/>
      <c r="J790" s="70" t="str">
        <f t="shared" si="3"/>
        <v/>
      </c>
      <c r="K790" s="67"/>
      <c r="L790" s="67"/>
      <c r="M790" s="67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</row>
    <row r="791">
      <c r="A791" s="67"/>
      <c r="B791" s="67"/>
      <c r="C791" s="67"/>
      <c r="D791" s="68"/>
      <c r="E791" s="67"/>
      <c r="F791" s="67"/>
      <c r="G791" s="67"/>
      <c r="H791" s="67"/>
      <c r="I791" s="67"/>
      <c r="J791" s="70" t="str">
        <f t="shared" si="3"/>
        <v/>
      </c>
      <c r="K791" s="67"/>
      <c r="L791" s="67"/>
      <c r="M791" s="67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</row>
    <row r="792">
      <c r="A792" s="67"/>
      <c r="B792" s="67"/>
      <c r="C792" s="67"/>
      <c r="D792" s="68"/>
      <c r="E792" s="67"/>
      <c r="F792" s="67"/>
      <c r="G792" s="67"/>
      <c r="H792" s="67"/>
      <c r="I792" s="67"/>
      <c r="J792" s="70" t="str">
        <f t="shared" si="3"/>
        <v/>
      </c>
      <c r="K792" s="67"/>
      <c r="L792" s="67"/>
      <c r="M792" s="67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</row>
    <row r="793">
      <c r="A793" s="67"/>
      <c r="B793" s="67"/>
      <c r="C793" s="67"/>
      <c r="D793" s="68"/>
      <c r="E793" s="67"/>
      <c r="F793" s="67"/>
      <c r="G793" s="67"/>
      <c r="H793" s="67"/>
      <c r="I793" s="67"/>
      <c r="J793" s="70" t="str">
        <f t="shared" si="3"/>
        <v/>
      </c>
      <c r="K793" s="67"/>
      <c r="L793" s="67"/>
      <c r="M793" s="67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</row>
    <row r="794">
      <c r="A794" s="67"/>
      <c r="B794" s="67"/>
      <c r="C794" s="67"/>
      <c r="D794" s="68"/>
      <c r="E794" s="67"/>
      <c r="F794" s="67"/>
      <c r="G794" s="67"/>
      <c r="H794" s="67"/>
      <c r="I794" s="67"/>
      <c r="J794" s="70" t="str">
        <f t="shared" si="3"/>
        <v/>
      </c>
      <c r="K794" s="67"/>
      <c r="L794" s="67"/>
      <c r="M794" s="67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</row>
    <row r="795">
      <c r="A795" s="67"/>
      <c r="B795" s="67"/>
      <c r="C795" s="67"/>
      <c r="D795" s="68"/>
      <c r="E795" s="67"/>
      <c r="F795" s="67"/>
      <c r="G795" s="67"/>
      <c r="H795" s="67"/>
      <c r="I795" s="67"/>
      <c r="J795" s="70" t="str">
        <f t="shared" si="3"/>
        <v/>
      </c>
      <c r="K795" s="67"/>
      <c r="L795" s="67"/>
      <c r="M795" s="67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</row>
    <row r="796">
      <c r="A796" s="67"/>
      <c r="B796" s="67"/>
      <c r="C796" s="67"/>
      <c r="D796" s="68"/>
      <c r="E796" s="67"/>
      <c r="F796" s="67"/>
      <c r="G796" s="67"/>
      <c r="H796" s="67"/>
      <c r="I796" s="67"/>
      <c r="J796" s="70" t="str">
        <f t="shared" si="3"/>
        <v/>
      </c>
      <c r="K796" s="67"/>
      <c r="L796" s="67"/>
      <c r="M796" s="67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</row>
    <row r="797">
      <c r="A797" s="67"/>
      <c r="B797" s="67"/>
      <c r="C797" s="67"/>
      <c r="D797" s="68"/>
      <c r="E797" s="67"/>
      <c r="F797" s="67"/>
      <c r="G797" s="67"/>
      <c r="H797" s="67"/>
      <c r="I797" s="67"/>
      <c r="J797" s="70" t="str">
        <f t="shared" si="3"/>
        <v/>
      </c>
      <c r="K797" s="67"/>
      <c r="L797" s="67"/>
      <c r="M797" s="67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</row>
    <row r="798">
      <c r="A798" s="67"/>
      <c r="B798" s="67"/>
      <c r="C798" s="67"/>
      <c r="D798" s="68"/>
      <c r="E798" s="67"/>
      <c r="F798" s="67"/>
      <c r="G798" s="67"/>
      <c r="H798" s="67"/>
      <c r="I798" s="67"/>
      <c r="J798" s="70" t="str">
        <f t="shared" si="3"/>
        <v/>
      </c>
      <c r="K798" s="67"/>
      <c r="L798" s="67"/>
      <c r="M798" s="67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</row>
    <row r="799">
      <c r="A799" s="67"/>
      <c r="B799" s="67"/>
      <c r="C799" s="67"/>
      <c r="D799" s="68"/>
      <c r="E799" s="67"/>
      <c r="F799" s="67"/>
      <c r="G799" s="67"/>
      <c r="H799" s="67"/>
      <c r="I799" s="67"/>
      <c r="J799" s="70" t="str">
        <f t="shared" si="3"/>
        <v/>
      </c>
      <c r="K799" s="67"/>
      <c r="L799" s="67"/>
      <c r="M799" s="67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</row>
    <row r="800">
      <c r="A800" s="67"/>
      <c r="B800" s="67"/>
      <c r="C800" s="67"/>
      <c r="D800" s="68"/>
      <c r="E800" s="67"/>
      <c r="F800" s="67"/>
      <c r="G800" s="67"/>
      <c r="H800" s="67"/>
      <c r="I800" s="67"/>
      <c r="J800" s="70" t="str">
        <f t="shared" si="3"/>
        <v/>
      </c>
      <c r="K800" s="67"/>
      <c r="L800" s="67"/>
      <c r="M800" s="67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</row>
    <row r="801">
      <c r="A801" s="67"/>
      <c r="B801" s="67"/>
      <c r="C801" s="67"/>
      <c r="D801" s="68"/>
      <c r="E801" s="67"/>
      <c r="F801" s="67"/>
      <c r="G801" s="67"/>
      <c r="H801" s="67"/>
      <c r="I801" s="67"/>
      <c r="J801" s="70" t="str">
        <f t="shared" si="3"/>
        <v/>
      </c>
      <c r="K801" s="67"/>
      <c r="L801" s="67"/>
      <c r="M801" s="67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</row>
    <row r="802">
      <c r="A802" s="67"/>
      <c r="B802" s="67"/>
      <c r="C802" s="67"/>
      <c r="D802" s="68"/>
      <c r="E802" s="67"/>
      <c r="F802" s="67"/>
      <c r="G802" s="67"/>
      <c r="H802" s="67"/>
      <c r="I802" s="67"/>
      <c r="J802" s="70" t="str">
        <f t="shared" si="3"/>
        <v/>
      </c>
      <c r="K802" s="67"/>
      <c r="L802" s="67"/>
      <c r="M802" s="67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</row>
    <row r="803">
      <c r="A803" s="67"/>
      <c r="B803" s="67"/>
      <c r="C803" s="67"/>
      <c r="D803" s="68"/>
      <c r="E803" s="67"/>
      <c r="F803" s="67"/>
      <c r="G803" s="67"/>
      <c r="H803" s="67"/>
      <c r="I803" s="67"/>
      <c r="J803" s="70" t="str">
        <f t="shared" si="3"/>
        <v/>
      </c>
      <c r="K803" s="67"/>
      <c r="L803" s="67"/>
      <c r="M803" s="67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</row>
    <row r="804">
      <c r="A804" s="67"/>
      <c r="B804" s="67"/>
      <c r="C804" s="67"/>
      <c r="D804" s="68"/>
      <c r="E804" s="67"/>
      <c r="F804" s="67"/>
      <c r="G804" s="67"/>
      <c r="H804" s="67"/>
      <c r="I804" s="67"/>
      <c r="J804" s="70" t="str">
        <f t="shared" si="3"/>
        <v/>
      </c>
      <c r="K804" s="67"/>
      <c r="L804" s="67"/>
      <c r="M804" s="67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</row>
    <row r="805">
      <c r="A805" s="67"/>
      <c r="B805" s="67"/>
      <c r="C805" s="67"/>
      <c r="D805" s="68"/>
      <c r="E805" s="67"/>
      <c r="F805" s="67"/>
      <c r="G805" s="67"/>
      <c r="H805" s="67"/>
      <c r="I805" s="67"/>
      <c r="J805" s="70" t="str">
        <f t="shared" si="3"/>
        <v/>
      </c>
      <c r="K805" s="67"/>
      <c r="L805" s="67"/>
      <c r="M805" s="67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</row>
    <row r="806">
      <c r="A806" s="67"/>
      <c r="B806" s="67"/>
      <c r="C806" s="67"/>
      <c r="D806" s="68"/>
      <c r="E806" s="67"/>
      <c r="F806" s="67"/>
      <c r="G806" s="67"/>
      <c r="H806" s="67"/>
      <c r="I806" s="67"/>
      <c r="J806" s="70" t="str">
        <f t="shared" si="3"/>
        <v/>
      </c>
      <c r="K806" s="67"/>
      <c r="L806" s="67"/>
      <c r="M806" s="67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</row>
    <row r="807">
      <c r="A807" s="67"/>
      <c r="B807" s="67"/>
      <c r="C807" s="67"/>
      <c r="D807" s="68"/>
      <c r="E807" s="67"/>
      <c r="F807" s="67"/>
      <c r="G807" s="67"/>
      <c r="H807" s="67"/>
      <c r="I807" s="67"/>
      <c r="J807" s="70" t="str">
        <f t="shared" si="3"/>
        <v/>
      </c>
      <c r="K807" s="67"/>
      <c r="L807" s="67"/>
      <c r="M807" s="67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</row>
    <row r="808">
      <c r="A808" s="67"/>
      <c r="B808" s="67"/>
      <c r="C808" s="67"/>
      <c r="D808" s="68"/>
      <c r="E808" s="67"/>
      <c r="F808" s="67"/>
      <c r="G808" s="67"/>
      <c r="H808" s="67"/>
      <c r="I808" s="67"/>
      <c r="J808" s="70" t="str">
        <f t="shared" si="3"/>
        <v/>
      </c>
      <c r="K808" s="67"/>
      <c r="L808" s="67"/>
      <c r="M808" s="67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</row>
    <row r="809">
      <c r="A809" s="67"/>
      <c r="B809" s="67"/>
      <c r="C809" s="67"/>
      <c r="D809" s="68"/>
      <c r="E809" s="67"/>
      <c r="F809" s="67"/>
      <c r="G809" s="67"/>
      <c r="H809" s="67"/>
      <c r="I809" s="67"/>
      <c r="J809" s="70" t="str">
        <f t="shared" si="3"/>
        <v/>
      </c>
      <c r="K809" s="67"/>
      <c r="L809" s="67"/>
      <c r="M809" s="67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</row>
    <row r="810">
      <c r="A810" s="67"/>
      <c r="B810" s="67"/>
      <c r="C810" s="67"/>
      <c r="D810" s="68"/>
      <c r="E810" s="67"/>
      <c r="F810" s="67"/>
      <c r="G810" s="67"/>
      <c r="H810" s="67"/>
      <c r="I810" s="67"/>
      <c r="J810" s="70" t="str">
        <f t="shared" si="3"/>
        <v/>
      </c>
      <c r="K810" s="67"/>
      <c r="L810" s="67"/>
      <c r="M810" s="67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</row>
    <row r="811">
      <c r="A811" s="67"/>
      <c r="B811" s="67"/>
      <c r="C811" s="67"/>
      <c r="D811" s="68"/>
      <c r="E811" s="67"/>
      <c r="F811" s="67"/>
      <c r="G811" s="67"/>
      <c r="H811" s="67"/>
      <c r="I811" s="67"/>
      <c r="J811" s="70" t="str">
        <f t="shared" si="3"/>
        <v/>
      </c>
      <c r="K811" s="67"/>
      <c r="L811" s="67"/>
      <c r="M811" s="67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</row>
    <row r="812">
      <c r="A812" s="67"/>
      <c r="B812" s="67"/>
      <c r="C812" s="67"/>
      <c r="D812" s="68"/>
      <c r="E812" s="67"/>
      <c r="F812" s="67"/>
      <c r="G812" s="67"/>
      <c r="H812" s="67"/>
      <c r="I812" s="67"/>
      <c r="J812" s="70" t="str">
        <f t="shared" si="3"/>
        <v/>
      </c>
      <c r="K812" s="67"/>
      <c r="L812" s="67"/>
      <c r="M812" s="67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</row>
    <row r="813">
      <c r="A813" s="67"/>
      <c r="B813" s="67"/>
      <c r="C813" s="67"/>
      <c r="D813" s="68"/>
      <c r="E813" s="67"/>
      <c r="F813" s="67"/>
      <c r="G813" s="67"/>
      <c r="H813" s="67"/>
      <c r="I813" s="67"/>
      <c r="J813" s="70" t="str">
        <f t="shared" si="3"/>
        <v/>
      </c>
      <c r="K813" s="67"/>
      <c r="L813" s="67"/>
      <c r="M813" s="67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</row>
    <row r="814">
      <c r="A814" s="67"/>
      <c r="B814" s="67"/>
      <c r="C814" s="67"/>
      <c r="D814" s="68"/>
      <c r="E814" s="67"/>
      <c r="F814" s="67"/>
      <c r="G814" s="67"/>
      <c r="H814" s="67"/>
      <c r="I814" s="67"/>
      <c r="J814" s="70" t="str">
        <f t="shared" si="3"/>
        <v/>
      </c>
      <c r="K814" s="67"/>
      <c r="L814" s="67"/>
      <c r="M814" s="67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</row>
    <row r="815">
      <c r="A815" s="67"/>
      <c r="B815" s="67"/>
      <c r="C815" s="67"/>
      <c r="D815" s="68"/>
      <c r="E815" s="67"/>
      <c r="F815" s="67"/>
      <c r="G815" s="67"/>
      <c r="H815" s="67"/>
      <c r="I815" s="67"/>
      <c r="J815" s="70" t="str">
        <f t="shared" si="3"/>
        <v/>
      </c>
      <c r="K815" s="67"/>
      <c r="L815" s="67"/>
      <c r="M815" s="67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</row>
    <row r="816">
      <c r="A816" s="67"/>
      <c r="B816" s="67"/>
      <c r="C816" s="67"/>
      <c r="D816" s="68"/>
      <c r="E816" s="67"/>
      <c r="F816" s="67"/>
      <c r="G816" s="67"/>
      <c r="H816" s="67"/>
      <c r="I816" s="67"/>
      <c r="J816" s="70" t="str">
        <f t="shared" si="3"/>
        <v/>
      </c>
      <c r="K816" s="67"/>
      <c r="L816" s="67"/>
      <c r="M816" s="67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</row>
    <row r="817">
      <c r="A817" s="67"/>
      <c r="B817" s="67"/>
      <c r="C817" s="67"/>
      <c r="D817" s="68"/>
      <c r="E817" s="67"/>
      <c r="F817" s="67"/>
      <c r="G817" s="67"/>
      <c r="H817" s="67"/>
      <c r="I817" s="67"/>
      <c r="J817" s="70" t="str">
        <f t="shared" si="3"/>
        <v/>
      </c>
      <c r="K817" s="67"/>
      <c r="L817" s="67"/>
      <c r="M817" s="67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</row>
    <row r="818">
      <c r="A818" s="67"/>
      <c r="B818" s="67"/>
      <c r="C818" s="67"/>
      <c r="D818" s="68"/>
      <c r="E818" s="67"/>
      <c r="F818" s="67"/>
      <c r="G818" s="67"/>
      <c r="H818" s="67"/>
      <c r="I818" s="67"/>
      <c r="J818" s="70" t="str">
        <f t="shared" si="3"/>
        <v/>
      </c>
      <c r="K818" s="67"/>
      <c r="L818" s="67"/>
      <c r="M818" s="67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</row>
    <row r="819">
      <c r="A819" s="67"/>
      <c r="B819" s="67"/>
      <c r="C819" s="67"/>
      <c r="D819" s="68"/>
      <c r="E819" s="67"/>
      <c r="F819" s="67"/>
      <c r="G819" s="67"/>
      <c r="H819" s="67"/>
      <c r="I819" s="67"/>
      <c r="J819" s="70" t="str">
        <f t="shared" si="3"/>
        <v/>
      </c>
      <c r="K819" s="67"/>
      <c r="L819" s="67"/>
      <c r="M819" s="67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</row>
    <row r="820">
      <c r="A820" s="67"/>
      <c r="B820" s="67"/>
      <c r="C820" s="67"/>
      <c r="D820" s="68"/>
      <c r="E820" s="67"/>
      <c r="F820" s="67"/>
      <c r="G820" s="67"/>
      <c r="H820" s="67"/>
      <c r="I820" s="67"/>
      <c r="J820" s="70" t="str">
        <f t="shared" si="3"/>
        <v/>
      </c>
      <c r="K820" s="67"/>
      <c r="L820" s="67"/>
      <c r="M820" s="67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</row>
    <row r="821">
      <c r="A821" s="67"/>
      <c r="B821" s="67"/>
      <c r="C821" s="67"/>
      <c r="D821" s="68"/>
      <c r="E821" s="67"/>
      <c r="F821" s="67"/>
      <c r="G821" s="67"/>
      <c r="H821" s="67"/>
      <c r="I821" s="67"/>
      <c r="J821" s="70" t="str">
        <f t="shared" si="3"/>
        <v/>
      </c>
      <c r="K821" s="67"/>
      <c r="L821" s="67"/>
      <c r="M821" s="67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</row>
    <row r="822">
      <c r="A822" s="67"/>
      <c r="B822" s="67"/>
      <c r="C822" s="67"/>
      <c r="D822" s="68"/>
      <c r="E822" s="67"/>
      <c r="F822" s="67"/>
      <c r="G822" s="67"/>
      <c r="H822" s="67"/>
      <c r="I822" s="67"/>
      <c r="J822" s="70" t="str">
        <f t="shared" si="3"/>
        <v/>
      </c>
      <c r="K822" s="67"/>
      <c r="L822" s="67"/>
      <c r="M822" s="67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</row>
    <row r="823">
      <c r="A823" s="67"/>
      <c r="B823" s="67"/>
      <c r="C823" s="67"/>
      <c r="D823" s="68"/>
      <c r="E823" s="67"/>
      <c r="F823" s="67"/>
      <c r="G823" s="67"/>
      <c r="H823" s="67"/>
      <c r="I823" s="67"/>
      <c r="J823" s="70" t="str">
        <f t="shared" si="3"/>
        <v/>
      </c>
      <c r="K823" s="67"/>
      <c r="L823" s="67"/>
      <c r="M823" s="67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</row>
    <row r="824">
      <c r="A824" s="67"/>
      <c r="B824" s="67"/>
      <c r="C824" s="67"/>
      <c r="D824" s="68"/>
      <c r="E824" s="67"/>
      <c r="F824" s="67"/>
      <c r="G824" s="67"/>
      <c r="H824" s="67"/>
      <c r="I824" s="67"/>
      <c r="J824" s="70" t="str">
        <f t="shared" si="3"/>
        <v/>
      </c>
      <c r="K824" s="67"/>
      <c r="L824" s="67"/>
      <c r="M824" s="67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</row>
    <row r="825">
      <c r="A825" s="67"/>
      <c r="B825" s="67"/>
      <c r="C825" s="67"/>
      <c r="D825" s="68"/>
      <c r="E825" s="67"/>
      <c r="F825" s="67"/>
      <c r="G825" s="67"/>
      <c r="H825" s="67"/>
      <c r="I825" s="67"/>
      <c r="J825" s="70" t="str">
        <f t="shared" si="3"/>
        <v/>
      </c>
      <c r="K825" s="67"/>
      <c r="L825" s="67"/>
      <c r="M825" s="67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</row>
    <row r="826">
      <c r="A826" s="67"/>
      <c r="B826" s="67"/>
      <c r="C826" s="67"/>
      <c r="D826" s="68"/>
      <c r="E826" s="67"/>
      <c r="F826" s="67"/>
      <c r="G826" s="67"/>
      <c r="H826" s="67"/>
      <c r="I826" s="67"/>
      <c r="J826" s="70" t="str">
        <f t="shared" si="3"/>
        <v/>
      </c>
      <c r="K826" s="67"/>
      <c r="L826" s="67"/>
      <c r="M826" s="67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</row>
    <row r="827">
      <c r="A827" s="67"/>
      <c r="B827" s="67"/>
      <c r="C827" s="67"/>
      <c r="D827" s="68"/>
      <c r="E827" s="67"/>
      <c r="F827" s="67"/>
      <c r="G827" s="67"/>
      <c r="H827" s="67"/>
      <c r="I827" s="67"/>
      <c r="J827" s="70" t="str">
        <f t="shared" si="3"/>
        <v/>
      </c>
      <c r="K827" s="67"/>
      <c r="L827" s="67"/>
      <c r="M827" s="67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</row>
    <row r="828">
      <c r="A828" s="67"/>
      <c r="B828" s="67"/>
      <c r="C828" s="67"/>
      <c r="D828" s="68"/>
      <c r="E828" s="67"/>
      <c r="F828" s="67"/>
      <c r="G828" s="67"/>
      <c r="H828" s="67"/>
      <c r="I828" s="67"/>
      <c r="J828" s="70" t="str">
        <f t="shared" si="3"/>
        <v/>
      </c>
      <c r="K828" s="67"/>
      <c r="L828" s="67"/>
      <c r="M828" s="67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</row>
    <row r="829">
      <c r="A829" s="67"/>
      <c r="B829" s="67"/>
      <c r="C829" s="67"/>
      <c r="D829" s="68"/>
      <c r="E829" s="67"/>
      <c r="F829" s="67"/>
      <c r="G829" s="67"/>
      <c r="H829" s="67"/>
      <c r="I829" s="67"/>
      <c r="J829" s="70" t="str">
        <f t="shared" si="3"/>
        <v/>
      </c>
      <c r="K829" s="67"/>
      <c r="L829" s="67"/>
      <c r="M829" s="67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</row>
    <row r="830">
      <c r="A830" s="67"/>
      <c r="B830" s="67"/>
      <c r="C830" s="67"/>
      <c r="D830" s="68"/>
      <c r="E830" s="67"/>
      <c r="F830" s="67"/>
      <c r="G830" s="67"/>
      <c r="H830" s="67"/>
      <c r="I830" s="67"/>
      <c r="J830" s="70" t="str">
        <f t="shared" si="3"/>
        <v/>
      </c>
      <c r="K830" s="67"/>
      <c r="L830" s="67"/>
      <c r="M830" s="67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</row>
    <row r="831">
      <c r="A831" s="67"/>
      <c r="B831" s="67"/>
      <c r="C831" s="67"/>
      <c r="D831" s="68"/>
      <c r="E831" s="67"/>
      <c r="F831" s="67"/>
      <c r="G831" s="67"/>
      <c r="H831" s="67"/>
      <c r="I831" s="67"/>
      <c r="J831" s="70" t="str">
        <f t="shared" si="3"/>
        <v/>
      </c>
      <c r="K831" s="67"/>
      <c r="L831" s="67"/>
      <c r="M831" s="67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</row>
    <row r="832">
      <c r="A832" s="67"/>
      <c r="B832" s="67"/>
      <c r="C832" s="67"/>
      <c r="D832" s="68"/>
      <c r="E832" s="67"/>
      <c r="F832" s="67"/>
      <c r="G832" s="67"/>
      <c r="H832" s="67"/>
      <c r="I832" s="67"/>
      <c r="J832" s="70" t="str">
        <f t="shared" si="3"/>
        <v/>
      </c>
      <c r="K832" s="67"/>
      <c r="L832" s="67"/>
      <c r="M832" s="67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</row>
    <row r="833">
      <c r="A833" s="67"/>
      <c r="B833" s="67"/>
      <c r="C833" s="67"/>
      <c r="D833" s="68"/>
      <c r="E833" s="67"/>
      <c r="F833" s="67"/>
      <c r="G833" s="67"/>
      <c r="H833" s="67"/>
      <c r="I833" s="67"/>
      <c r="J833" s="70" t="str">
        <f t="shared" si="3"/>
        <v/>
      </c>
      <c r="K833" s="67"/>
      <c r="L833" s="67"/>
      <c r="M833" s="67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</row>
    <row r="834">
      <c r="A834" s="67"/>
      <c r="B834" s="67"/>
      <c r="C834" s="67"/>
      <c r="D834" s="68"/>
      <c r="E834" s="67"/>
      <c r="F834" s="67"/>
      <c r="G834" s="67"/>
      <c r="H834" s="67"/>
      <c r="I834" s="67"/>
      <c r="J834" s="70" t="str">
        <f t="shared" si="3"/>
        <v/>
      </c>
      <c r="K834" s="67"/>
      <c r="L834" s="67"/>
      <c r="M834" s="67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</row>
    <row r="835">
      <c r="A835" s="67"/>
      <c r="B835" s="67"/>
      <c r="C835" s="67"/>
      <c r="D835" s="68"/>
      <c r="E835" s="67"/>
      <c r="F835" s="67"/>
      <c r="G835" s="67"/>
      <c r="H835" s="67"/>
      <c r="I835" s="67"/>
      <c r="J835" s="70" t="str">
        <f t="shared" si="3"/>
        <v/>
      </c>
      <c r="K835" s="67"/>
      <c r="L835" s="67"/>
      <c r="M835" s="67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</row>
    <row r="836">
      <c r="A836" s="67"/>
      <c r="B836" s="67"/>
      <c r="C836" s="67"/>
      <c r="D836" s="68"/>
      <c r="E836" s="67"/>
      <c r="F836" s="67"/>
      <c r="G836" s="67"/>
      <c r="H836" s="67"/>
      <c r="I836" s="67"/>
      <c r="J836" s="70" t="str">
        <f t="shared" si="3"/>
        <v/>
      </c>
      <c r="K836" s="67"/>
      <c r="L836" s="67"/>
      <c r="M836" s="67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</row>
    <row r="837">
      <c r="A837" s="67"/>
      <c r="B837" s="67"/>
      <c r="C837" s="67"/>
      <c r="D837" s="68"/>
      <c r="E837" s="67"/>
      <c r="F837" s="67"/>
      <c r="G837" s="67"/>
      <c r="H837" s="67"/>
      <c r="I837" s="67"/>
      <c r="J837" s="70" t="str">
        <f t="shared" si="3"/>
        <v/>
      </c>
      <c r="K837" s="67"/>
      <c r="L837" s="67"/>
      <c r="M837" s="67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</row>
    <row r="838">
      <c r="A838" s="67"/>
      <c r="B838" s="67"/>
      <c r="C838" s="67"/>
      <c r="D838" s="68"/>
      <c r="E838" s="67"/>
      <c r="F838" s="67"/>
      <c r="G838" s="67"/>
      <c r="H838" s="67"/>
      <c r="I838" s="67"/>
      <c r="J838" s="70" t="str">
        <f t="shared" si="3"/>
        <v/>
      </c>
      <c r="K838" s="67"/>
      <c r="L838" s="67"/>
      <c r="M838" s="67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</row>
    <row r="839">
      <c r="A839" s="67"/>
      <c r="B839" s="67"/>
      <c r="C839" s="67"/>
      <c r="D839" s="68"/>
      <c r="E839" s="67"/>
      <c r="F839" s="67"/>
      <c r="G839" s="67"/>
      <c r="H839" s="67"/>
      <c r="I839" s="67"/>
      <c r="J839" s="70" t="str">
        <f t="shared" si="3"/>
        <v/>
      </c>
      <c r="K839" s="67"/>
      <c r="L839" s="67"/>
      <c r="M839" s="67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</row>
    <row r="840">
      <c r="A840" s="67"/>
      <c r="B840" s="67"/>
      <c r="C840" s="67"/>
      <c r="D840" s="68"/>
      <c r="E840" s="67"/>
      <c r="F840" s="67"/>
      <c r="G840" s="67"/>
      <c r="H840" s="67"/>
      <c r="I840" s="67"/>
      <c r="J840" s="70" t="str">
        <f t="shared" si="3"/>
        <v/>
      </c>
      <c r="K840" s="67"/>
      <c r="L840" s="67"/>
      <c r="M840" s="67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</row>
    <row r="841">
      <c r="A841" s="67"/>
      <c r="B841" s="67"/>
      <c r="C841" s="67"/>
      <c r="D841" s="68"/>
      <c r="E841" s="67"/>
      <c r="F841" s="67"/>
      <c r="G841" s="67"/>
      <c r="H841" s="67"/>
      <c r="I841" s="67"/>
      <c r="J841" s="70" t="str">
        <f t="shared" si="3"/>
        <v/>
      </c>
      <c r="K841" s="67"/>
      <c r="L841" s="67"/>
      <c r="M841" s="67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</row>
    <row r="842">
      <c r="A842" s="67"/>
      <c r="B842" s="67"/>
      <c r="C842" s="67"/>
      <c r="D842" s="68"/>
      <c r="E842" s="67"/>
      <c r="F842" s="67"/>
      <c r="G842" s="67"/>
      <c r="H842" s="67"/>
      <c r="I842" s="67"/>
      <c r="J842" s="70" t="str">
        <f t="shared" si="3"/>
        <v/>
      </c>
      <c r="K842" s="67"/>
      <c r="L842" s="67"/>
      <c r="M842" s="67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</row>
    <row r="843">
      <c r="A843" s="67"/>
      <c r="B843" s="67"/>
      <c r="C843" s="67"/>
      <c r="D843" s="68"/>
      <c r="E843" s="67"/>
      <c r="F843" s="67"/>
      <c r="G843" s="67"/>
      <c r="H843" s="67"/>
      <c r="I843" s="67"/>
      <c r="J843" s="70" t="str">
        <f t="shared" si="3"/>
        <v/>
      </c>
      <c r="K843" s="67"/>
      <c r="L843" s="67"/>
      <c r="M843" s="67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</row>
    <row r="844">
      <c r="A844" s="67"/>
      <c r="B844" s="67"/>
      <c r="C844" s="67"/>
      <c r="D844" s="68"/>
      <c r="E844" s="67"/>
      <c r="F844" s="67"/>
      <c r="G844" s="67"/>
      <c r="H844" s="67"/>
      <c r="I844" s="67"/>
      <c r="J844" s="70" t="str">
        <f t="shared" si="3"/>
        <v/>
      </c>
      <c r="K844" s="67"/>
      <c r="L844" s="67"/>
      <c r="M844" s="67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</row>
    <row r="845">
      <c r="A845" s="67"/>
      <c r="B845" s="67"/>
      <c r="C845" s="67"/>
      <c r="D845" s="68"/>
      <c r="E845" s="67"/>
      <c r="F845" s="67"/>
      <c r="G845" s="67"/>
      <c r="H845" s="67"/>
      <c r="I845" s="67"/>
      <c r="J845" s="70" t="str">
        <f t="shared" si="3"/>
        <v/>
      </c>
      <c r="K845" s="67"/>
      <c r="L845" s="67"/>
      <c r="M845" s="67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</row>
    <row r="846">
      <c r="A846" s="67"/>
      <c r="B846" s="67"/>
      <c r="C846" s="67"/>
      <c r="D846" s="68"/>
      <c r="E846" s="67"/>
      <c r="F846" s="67"/>
      <c r="G846" s="67"/>
      <c r="H846" s="67"/>
      <c r="I846" s="67"/>
      <c r="J846" s="70" t="str">
        <f t="shared" si="3"/>
        <v/>
      </c>
      <c r="K846" s="67"/>
      <c r="L846" s="67"/>
      <c r="M846" s="67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</row>
    <row r="847">
      <c r="A847" s="67"/>
      <c r="B847" s="67"/>
      <c r="C847" s="67"/>
      <c r="D847" s="68"/>
      <c r="E847" s="67"/>
      <c r="F847" s="67"/>
      <c r="G847" s="67"/>
      <c r="H847" s="67"/>
      <c r="I847" s="67"/>
      <c r="J847" s="70" t="str">
        <f t="shared" si="3"/>
        <v/>
      </c>
      <c r="K847" s="67"/>
      <c r="L847" s="67"/>
      <c r="M847" s="67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</row>
    <row r="848">
      <c r="A848" s="67"/>
      <c r="B848" s="67"/>
      <c r="C848" s="67"/>
      <c r="D848" s="68"/>
      <c r="E848" s="67"/>
      <c r="F848" s="67"/>
      <c r="G848" s="67"/>
      <c r="H848" s="67"/>
      <c r="I848" s="67"/>
      <c r="J848" s="70" t="str">
        <f t="shared" si="3"/>
        <v/>
      </c>
      <c r="K848" s="67"/>
      <c r="L848" s="67"/>
      <c r="M848" s="67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</row>
    <row r="849">
      <c r="A849" s="67"/>
      <c r="B849" s="67"/>
      <c r="C849" s="67"/>
      <c r="D849" s="68"/>
      <c r="E849" s="67"/>
      <c r="F849" s="67"/>
      <c r="G849" s="67"/>
      <c r="H849" s="67"/>
      <c r="I849" s="67"/>
      <c r="J849" s="70" t="str">
        <f t="shared" si="3"/>
        <v/>
      </c>
      <c r="K849" s="67"/>
      <c r="L849" s="67"/>
      <c r="M849" s="67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</row>
    <row r="850">
      <c r="A850" s="67"/>
      <c r="B850" s="67"/>
      <c r="C850" s="67"/>
      <c r="D850" s="68"/>
      <c r="E850" s="67"/>
      <c r="F850" s="67"/>
      <c r="G850" s="67"/>
      <c r="H850" s="67"/>
      <c r="I850" s="67"/>
      <c r="J850" s="70" t="str">
        <f t="shared" si="3"/>
        <v/>
      </c>
      <c r="K850" s="67"/>
      <c r="L850" s="67"/>
      <c r="M850" s="67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</row>
    <row r="851">
      <c r="A851" s="67"/>
      <c r="B851" s="67"/>
      <c r="C851" s="67"/>
      <c r="D851" s="68"/>
      <c r="E851" s="67"/>
      <c r="F851" s="67"/>
      <c r="G851" s="67"/>
      <c r="H851" s="67"/>
      <c r="I851" s="67"/>
      <c r="J851" s="70" t="str">
        <f t="shared" si="3"/>
        <v/>
      </c>
      <c r="K851" s="67"/>
      <c r="L851" s="67"/>
      <c r="M851" s="67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</row>
    <row r="852">
      <c r="A852" s="67"/>
      <c r="B852" s="67"/>
      <c r="C852" s="67"/>
      <c r="D852" s="68"/>
      <c r="E852" s="67"/>
      <c r="F852" s="67"/>
      <c r="G852" s="67"/>
      <c r="H852" s="67"/>
      <c r="I852" s="67"/>
      <c r="J852" s="70" t="str">
        <f t="shared" si="3"/>
        <v/>
      </c>
      <c r="K852" s="67"/>
      <c r="L852" s="67"/>
      <c r="M852" s="67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</row>
    <row r="853">
      <c r="A853" s="67"/>
      <c r="B853" s="67"/>
      <c r="C853" s="67"/>
      <c r="D853" s="68"/>
      <c r="E853" s="67"/>
      <c r="F853" s="67"/>
      <c r="G853" s="67"/>
      <c r="H853" s="67"/>
      <c r="I853" s="67"/>
      <c r="J853" s="70" t="str">
        <f t="shared" si="3"/>
        <v/>
      </c>
      <c r="K853" s="67"/>
      <c r="L853" s="67"/>
      <c r="M853" s="67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</row>
    <row r="854">
      <c r="A854" s="67"/>
      <c r="B854" s="67"/>
      <c r="C854" s="67"/>
      <c r="D854" s="68"/>
      <c r="E854" s="67"/>
      <c r="F854" s="67"/>
      <c r="G854" s="67"/>
      <c r="H854" s="67"/>
      <c r="I854" s="67"/>
      <c r="J854" s="70" t="str">
        <f t="shared" si="3"/>
        <v/>
      </c>
      <c r="K854" s="67"/>
      <c r="L854" s="67"/>
      <c r="M854" s="67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</row>
    <row r="855">
      <c r="A855" s="67"/>
      <c r="B855" s="67"/>
      <c r="C855" s="67"/>
      <c r="D855" s="68"/>
      <c r="E855" s="67"/>
      <c r="F855" s="67"/>
      <c r="G855" s="67"/>
      <c r="H855" s="67"/>
      <c r="I855" s="67"/>
      <c r="J855" s="70" t="str">
        <f t="shared" si="3"/>
        <v/>
      </c>
      <c r="K855" s="67"/>
      <c r="L855" s="67"/>
      <c r="M855" s="67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</row>
    <row r="856">
      <c r="A856" s="67"/>
      <c r="B856" s="67"/>
      <c r="C856" s="67"/>
      <c r="D856" s="68"/>
      <c r="E856" s="67"/>
      <c r="F856" s="67"/>
      <c r="G856" s="67"/>
      <c r="H856" s="67"/>
      <c r="I856" s="67"/>
      <c r="J856" s="70" t="str">
        <f t="shared" si="3"/>
        <v/>
      </c>
      <c r="K856" s="67"/>
      <c r="L856" s="67"/>
      <c r="M856" s="67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</row>
    <row r="857">
      <c r="A857" s="67"/>
      <c r="B857" s="67"/>
      <c r="C857" s="67"/>
      <c r="D857" s="68"/>
      <c r="E857" s="67"/>
      <c r="F857" s="67"/>
      <c r="G857" s="67"/>
      <c r="H857" s="67"/>
      <c r="I857" s="67"/>
      <c r="J857" s="70" t="str">
        <f t="shared" si="3"/>
        <v/>
      </c>
      <c r="K857" s="67"/>
      <c r="L857" s="67"/>
      <c r="M857" s="67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</row>
    <row r="858">
      <c r="A858" s="67"/>
      <c r="B858" s="67"/>
      <c r="C858" s="67"/>
      <c r="D858" s="68"/>
      <c r="E858" s="67"/>
      <c r="F858" s="67"/>
      <c r="G858" s="67"/>
      <c r="H858" s="67"/>
      <c r="I858" s="67"/>
      <c r="J858" s="70" t="str">
        <f t="shared" si="3"/>
        <v/>
      </c>
      <c r="K858" s="67"/>
      <c r="L858" s="67"/>
      <c r="M858" s="67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</row>
    <row r="859">
      <c r="A859" s="67"/>
      <c r="B859" s="67"/>
      <c r="C859" s="67"/>
      <c r="D859" s="68"/>
      <c r="E859" s="67"/>
      <c r="F859" s="67"/>
      <c r="G859" s="67"/>
      <c r="H859" s="67"/>
      <c r="I859" s="67"/>
      <c r="J859" s="70" t="str">
        <f t="shared" si="3"/>
        <v/>
      </c>
      <c r="K859" s="67"/>
      <c r="L859" s="67"/>
      <c r="M859" s="67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</row>
    <row r="860">
      <c r="A860" s="67"/>
      <c r="B860" s="67"/>
      <c r="C860" s="67"/>
      <c r="D860" s="68"/>
      <c r="E860" s="67"/>
      <c r="F860" s="67"/>
      <c r="G860" s="67"/>
      <c r="H860" s="67"/>
      <c r="I860" s="67"/>
      <c r="J860" s="70" t="str">
        <f t="shared" si="3"/>
        <v/>
      </c>
      <c r="K860" s="67"/>
      <c r="L860" s="67"/>
      <c r="M860" s="67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</row>
    <row r="861">
      <c r="A861" s="67"/>
      <c r="B861" s="67"/>
      <c r="C861" s="67"/>
      <c r="D861" s="68"/>
      <c r="E861" s="67"/>
      <c r="F861" s="67"/>
      <c r="G861" s="67"/>
      <c r="H861" s="67"/>
      <c r="I861" s="67"/>
      <c r="J861" s="70" t="str">
        <f t="shared" si="3"/>
        <v/>
      </c>
      <c r="K861" s="67"/>
      <c r="L861" s="67"/>
      <c r="M861" s="67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</row>
    <row r="862">
      <c r="A862" s="67"/>
      <c r="B862" s="67"/>
      <c r="C862" s="67"/>
      <c r="D862" s="68"/>
      <c r="E862" s="67"/>
      <c r="F862" s="67"/>
      <c r="G862" s="67"/>
      <c r="H862" s="67"/>
      <c r="I862" s="67"/>
      <c r="J862" s="70" t="str">
        <f t="shared" si="3"/>
        <v/>
      </c>
      <c r="K862" s="67"/>
      <c r="L862" s="67"/>
      <c r="M862" s="67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</row>
    <row r="863">
      <c r="A863" s="67"/>
      <c r="B863" s="67"/>
      <c r="C863" s="67"/>
      <c r="D863" s="68"/>
      <c r="E863" s="67"/>
      <c r="F863" s="67"/>
      <c r="G863" s="67"/>
      <c r="H863" s="67"/>
      <c r="I863" s="67"/>
      <c r="J863" s="70" t="str">
        <f t="shared" si="3"/>
        <v/>
      </c>
      <c r="K863" s="67"/>
      <c r="L863" s="67"/>
      <c r="M863" s="67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</row>
    <row r="864">
      <c r="A864" s="67"/>
      <c r="B864" s="67"/>
      <c r="C864" s="67"/>
      <c r="D864" s="68"/>
      <c r="E864" s="67"/>
      <c r="F864" s="67"/>
      <c r="G864" s="67"/>
      <c r="H864" s="67"/>
      <c r="I864" s="67"/>
      <c r="J864" s="70" t="str">
        <f t="shared" si="3"/>
        <v/>
      </c>
      <c r="K864" s="67"/>
      <c r="L864" s="67"/>
      <c r="M864" s="67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</row>
    <row r="865">
      <c r="A865" s="67"/>
      <c r="B865" s="67"/>
      <c r="C865" s="67"/>
      <c r="D865" s="68"/>
      <c r="E865" s="67"/>
      <c r="F865" s="67"/>
      <c r="G865" s="67"/>
      <c r="H865" s="67"/>
      <c r="I865" s="67"/>
      <c r="J865" s="70" t="str">
        <f t="shared" si="3"/>
        <v/>
      </c>
      <c r="K865" s="67"/>
      <c r="L865" s="67"/>
      <c r="M865" s="67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</row>
    <row r="866">
      <c r="A866" s="67"/>
      <c r="B866" s="67"/>
      <c r="C866" s="67"/>
      <c r="D866" s="68"/>
      <c r="E866" s="67"/>
      <c r="F866" s="67"/>
      <c r="G866" s="67"/>
      <c r="H866" s="67"/>
      <c r="I866" s="67"/>
      <c r="J866" s="70" t="str">
        <f t="shared" si="3"/>
        <v/>
      </c>
      <c r="K866" s="67"/>
      <c r="L866" s="67"/>
      <c r="M866" s="67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</row>
    <row r="867">
      <c r="A867" s="67"/>
      <c r="B867" s="67"/>
      <c r="C867" s="67"/>
      <c r="D867" s="68"/>
      <c r="E867" s="67"/>
      <c r="F867" s="67"/>
      <c r="G867" s="67"/>
      <c r="H867" s="67"/>
      <c r="I867" s="67"/>
      <c r="J867" s="70" t="str">
        <f t="shared" si="3"/>
        <v/>
      </c>
      <c r="K867" s="67"/>
      <c r="L867" s="67"/>
      <c r="M867" s="67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</row>
    <row r="868">
      <c r="A868" s="67"/>
      <c r="B868" s="67"/>
      <c r="C868" s="67"/>
      <c r="D868" s="68"/>
      <c r="E868" s="67"/>
      <c r="F868" s="67"/>
      <c r="G868" s="67"/>
      <c r="H868" s="67"/>
      <c r="I868" s="67"/>
      <c r="J868" s="70" t="str">
        <f t="shared" si="3"/>
        <v/>
      </c>
      <c r="K868" s="67"/>
      <c r="L868" s="67"/>
      <c r="M868" s="67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</row>
    <row r="869">
      <c r="A869" s="67"/>
      <c r="B869" s="67"/>
      <c r="C869" s="67"/>
      <c r="D869" s="68"/>
      <c r="E869" s="67"/>
      <c r="F869" s="67"/>
      <c r="G869" s="67"/>
      <c r="H869" s="67"/>
      <c r="I869" s="67"/>
      <c r="J869" s="70" t="str">
        <f t="shared" si="3"/>
        <v/>
      </c>
      <c r="K869" s="67"/>
      <c r="L869" s="67"/>
      <c r="M869" s="67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</row>
    <row r="870">
      <c r="A870" s="67"/>
      <c r="B870" s="67"/>
      <c r="C870" s="67"/>
      <c r="D870" s="68"/>
      <c r="E870" s="67"/>
      <c r="F870" s="67"/>
      <c r="G870" s="67"/>
      <c r="H870" s="67"/>
      <c r="I870" s="67"/>
      <c r="J870" s="70" t="str">
        <f t="shared" si="3"/>
        <v/>
      </c>
      <c r="K870" s="67"/>
      <c r="L870" s="67"/>
      <c r="M870" s="67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</row>
    <row r="871">
      <c r="A871" s="67"/>
      <c r="B871" s="67"/>
      <c r="C871" s="67"/>
      <c r="D871" s="68"/>
      <c r="E871" s="67"/>
      <c r="F871" s="67"/>
      <c r="G871" s="67"/>
      <c r="H871" s="67"/>
      <c r="I871" s="67"/>
      <c r="J871" s="70" t="str">
        <f t="shared" si="3"/>
        <v/>
      </c>
      <c r="K871" s="67"/>
      <c r="L871" s="67"/>
      <c r="M871" s="67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</row>
    <row r="872">
      <c r="A872" s="67"/>
      <c r="B872" s="67"/>
      <c r="C872" s="67"/>
      <c r="D872" s="68"/>
      <c r="E872" s="67"/>
      <c r="F872" s="67"/>
      <c r="G872" s="67"/>
      <c r="H872" s="67"/>
      <c r="I872" s="67"/>
      <c r="J872" s="70" t="str">
        <f t="shared" si="3"/>
        <v/>
      </c>
      <c r="K872" s="67"/>
      <c r="L872" s="67"/>
      <c r="M872" s="67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</row>
    <row r="873">
      <c r="A873" s="67"/>
      <c r="B873" s="67"/>
      <c r="C873" s="67"/>
      <c r="D873" s="68"/>
      <c r="E873" s="67"/>
      <c r="F873" s="67"/>
      <c r="G873" s="67"/>
      <c r="H873" s="67"/>
      <c r="I873" s="67"/>
      <c r="J873" s="70" t="str">
        <f t="shared" si="3"/>
        <v/>
      </c>
      <c r="K873" s="67"/>
      <c r="L873" s="67"/>
      <c r="M873" s="67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</row>
    <row r="874">
      <c r="A874" s="67"/>
      <c r="B874" s="67"/>
      <c r="C874" s="67"/>
      <c r="D874" s="68"/>
      <c r="E874" s="67"/>
      <c r="F874" s="67"/>
      <c r="G874" s="67"/>
      <c r="H874" s="67"/>
      <c r="I874" s="67"/>
      <c r="J874" s="70" t="str">
        <f t="shared" si="3"/>
        <v/>
      </c>
      <c r="K874" s="67"/>
      <c r="L874" s="67"/>
      <c r="M874" s="67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</row>
    <row r="875">
      <c r="A875" s="67"/>
      <c r="B875" s="67"/>
      <c r="C875" s="67"/>
      <c r="D875" s="68"/>
      <c r="E875" s="67"/>
      <c r="F875" s="67"/>
      <c r="G875" s="67"/>
      <c r="H875" s="67"/>
      <c r="I875" s="67"/>
      <c r="J875" s="70" t="str">
        <f t="shared" si="3"/>
        <v/>
      </c>
      <c r="K875" s="67"/>
      <c r="L875" s="67"/>
      <c r="M875" s="67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</row>
    <row r="876">
      <c r="A876" s="67"/>
      <c r="B876" s="67"/>
      <c r="C876" s="67"/>
      <c r="D876" s="68"/>
      <c r="E876" s="67"/>
      <c r="F876" s="67"/>
      <c r="G876" s="67"/>
      <c r="H876" s="67"/>
      <c r="I876" s="67"/>
      <c r="J876" s="70" t="str">
        <f t="shared" si="3"/>
        <v/>
      </c>
      <c r="K876" s="67"/>
      <c r="L876" s="67"/>
      <c r="M876" s="67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</row>
    <row r="877">
      <c r="A877" s="67"/>
      <c r="B877" s="67"/>
      <c r="C877" s="67"/>
      <c r="D877" s="68"/>
      <c r="E877" s="67"/>
      <c r="F877" s="67"/>
      <c r="G877" s="67"/>
      <c r="H877" s="67"/>
      <c r="I877" s="67"/>
      <c r="J877" s="70" t="str">
        <f t="shared" si="3"/>
        <v/>
      </c>
      <c r="K877" s="67"/>
      <c r="L877" s="67"/>
      <c r="M877" s="67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</row>
    <row r="878">
      <c r="A878" s="67"/>
      <c r="B878" s="67"/>
      <c r="C878" s="67"/>
      <c r="D878" s="68"/>
      <c r="E878" s="67"/>
      <c r="F878" s="67"/>
      <c r="G878" s="67"/>
      <c r="H878" s="67"/>
      <c r="I878" s="67"/>
      <c r="J878" s="70" t="str">
        <f t="shared" si="3"/>
        <v/>
      </c>
      <c r="K878" s="67"/>
      <c r="L878" s="67"/>
      <c r="M878" s="67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</row>
    <row r="879">
      <c r="A879" s="67"/>
      <c r="B879" s="67"/>
      <c r="C879" s="67"/>
      <c r="D879" s="68"/>
      <c r="E879" s="67"/>
      <c r="F879" s="67"/>
      <c r="G879" s="67"/>
      <c r="H879" s="67"/>
      <c r="I879" s="67"/>
      <c r="J879" s="70" t="str">
        <f t="shared" si="3"/>
        <v/>
      </c>
      <c r="K879" s="67"/>
      <c r="L879" s="67"/>
      <c r="M879" s="67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</row>
    <row r="880">
      <c r="A880" s="67"/>
      <c r="B880" s="67"/>
      <c r="C880" s="67"/>
      <c r="D880" s="68"/>
      <c r="E880" s="67"/>
      <c r="F880" s="67"/>
      <c r="G880" s="67"/>
      <c r="H880" s="67"/>
      <c r="I880" s="67"/>
      <c r="J880" s="70" t="str">
        <f t="shared" si="3"/>
        <v/>
      </c>
      <c r="K880" s="67"/>
      <c r="L880" s="67"/>
      <c r="M880" s="67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</row>
    <row r="881">
      <c r="A881" s="67"/>
      <c r="B881" s="67"/>
      <c r="C881" s="67"/>
      <c r="D881" s="68"/>
      <c r="E881" s="67"/>
      <c r="F881" s="67"/>
      <c r="G881" s="67"/>
      <c r="H881" s="67"/>
      <c r="I881" s="67"/>
      <c r="J881" s="70" t="str">
        <f t="shared" si="3"/>
        <v/>
      </c>
      <c r="K881" s="67"/>
      <c r="L881" s="67"/>
      <c r="M881" s="67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</row>
    <row r="882">
      <c r="A882" s="67"/>
      <c r="B882" s="67"/>
      <c r="C882" s="67"/>
      <c r="D882" s="68"/>
      <c r="E882" s="67"/>
      <c r="F882" s="67"/>
      <c r="G882" s="67"/>
      <c r="H882" s="67"/>
      <c r="I882" s="67"/>
      <c r="J882" s="70" t="str">
        <f t="shared" si="3"/>
        <v/>
      </c>
      <c r="K882" s="67"/>
      <c r="L882" s="67"/>
      <c r="M882" s="67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</row>
    <row r="883">
      <c r="A883" s="67"/>
      <c r="B883" s="67"/>
      <c r="C883" s="67"/>
      <c r="D883" s="68"/>
      <c r="E883" s="67"/>
      <c r="F883" s="67"/>
      <c r="G883" s="67"/>
      <c r="H883" s="67"/>
      <c r="I883" s="67"/>
      <c r="J883" s="70" t="str">
        <f t="shared" si="3"/>
        <v/>
      </c>
      <c r="K883" s="67"/>
      <c r="L883" s="67"/>
      <c r="M883" s="6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</row>
    <row r="884">
      <c r="A884" s="67"/>
      <c r="B884" s="67"/>
      <c r="C884" s="67"/>
      <c r="D884" s="68"/>
      <c r="E884" s="67"/>
      <c r="F884" s="67"/>
      <c r="G884" s="67"/>
      <c r="H884" s="67"/>
      <c r="I884" s="67"/>
      <c r="J884" s="70" t="str">
        <f t="shared" si="3"/>
        <v/>
      </c>
      <c r="K884" s="67"/>
      <c r="L884" s="67"/>
      <c r="M884" s="67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</row>
    <row r="885">
      <c r="A885" s="67"/>
      <c r="B885" s="67"/>
      <c r="C885" s="67"/>
      <c r="D885" s="68"/>
      <c r="E885" s="67"/>
      <c r="F885" s="67"/>
      <c r="G885" s="67"/>
      <c r="H885" s="67"/>
      <c r="I885" s="67"/>
      <c r="J885" s="70" t="str">
        <f t="shared" si="3"/>
        <v/>
      </c>
      <c r="K885" s="67"/>
      <c r="L885" s="67"/>
      <c r="M885" s="67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</row>
    <row r="886">
      <c r="A886" s="67"/>
      <c r="B886" s="67"/>
      <c r="C886" s="67"/>
      <c r="D886" s="68"/>
      <c r="E886" s="67"/>
      <c r="F886" s="67"/>
      <c r="G886" s="67"/>
      <c r="H886" s="67"/>
      <c r="I886" s="67"/>
      <c r="J886" s="70" t="str">
        <f t="shared" si="3"/>
        <v/>
      </c>
      <c r="K886" s="67"/>
      <c r="L886" s="67"/>
      <c r="M886" s="67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</row>
    <row r="887">
      <c r="A887" s="67"/>
      <c r="B887" s="67"/>
      <c r="C887" s="67"/>
      <c r="D887" s="68"/>
      <c r="E887" s="67"/>
      <c r="F887" s="67"/>
      <c r="G887" s="67"/>
      <c r="H887" s="67"/>
      <c r="I887" s="67"/>
      <c r="J887" s="70" t="str">
        <f t="shared" si="3"/>
        <v/>
      </c>
      <c r="K887" s="67"/>
      <c r="L887" s="67"/>
      <c r="M887" s="67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</row>
    <row r="888">
      <c r="A888" s="67"/>
      <c r="B888" s="67"/>
      <c r="C888" s="67"/>
      <c r="D888" s="68"/>
      <c r="E888" s="67"/>
      <c r="F888" s="67"/>
      <c r="G888" s="67"/>
      <c r="H888" s="67"/>
      <c r="I888" s="67"/>
      <c r="J888" s="70" t="str">
        <f t="shared" si="3"/>
        <v/>
      </c>
      <c r="K888" s="67"/>
      <c r="L888" s="67"/>
      <c r="M888" s="67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</row>
    <row r="889">
      <c r="A889" s="67"/>
      <c r="B889" s="67"/>
      <c r="C889" s="67"/>
      <c r="D889" s="68"/>
      <c r="E889" s="67"/>
      <c r="F889" s="67"/>
      <c r="G889" s="67"/>
      <c r="H889" s="67"/>
      <c r="I889" s="67"/>
      <c r="J889" s="70" t="str">
        <f t="shared" si="3"/>
        <v/>
      </c>
      <c r="K889" s="67"/>
      <c r="L889" s="67"/>
      <c r="M889" s="67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</row>
    <row r="890">
      <c r="A890" s="67"/>
      <c r="B890" s="67"/>
      <c r="C890" s="67"/>
      <c r="D890" s="68"/>
      <c r="E890" s="67"/>
      <c r="F890" s="67"/>
      <c r="G890" s="67"/>
      <c r="H890" s="67"/>
      <c r="I890" s="67"/>
      <c r="J890" s="70" t="str">
        <f t="shared" si="3"/>
        <v/>
      </c>
      <c r="K890" s="67"/>
      <c r="L890" s="67"/>
      <c r="M890" s="67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</row>
    <row r="891">
      <c r="A891" s="67"/>
      <c r="B891" s="67"/>
      <c r="C891" s="67"/>
      <c r="D891" s="68"/>
      <c r="E891" s="67"/>
      <c r="F891" s="67"/>
      <c r="G891" s="67"/>
      <c r="H891" s="67"/>
      <c r="I891" s="67"/>
      <c r="J891" s="70" t="str">
        <f t="shared" si="3"/>
        <v/>
      </c>
      <c r="K891" s="67"/>
      <c r="L891" s="67"/>
      <c r="M891" s="67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</row>
    <row r="892">
      <c r="A892" s="67"/>
      <c r="B892" s="67"/>
      <c r="C892" s="67"/>
      <c r="D892" s="68"/>
      <c r="E892" s="67"/>
      <c r="F892" s="67"/>
      <c r="G892" s="67"/>
      <c r="H892" s="67"/>
      <c r="I892" s="67"/>
      <c r="J892" s="70" t="str">
        <f t="shared" si="3"/>
        <v/>
      </c>
      <c r="K892" s="67"/>
      <c r="L892" s="67"/>
      <c r="M892" s="67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</row>
    <row r="893">
      <c r="A893" s="67"/>
      <c r="B893" s="67"/>
      <c r="C893" s="67"/>
      <c r="D893" s="68"/>
      <c r="E893" s="67"/>
      <c r="F893" s="67"/>
      <c r="G893" s="67"/>
      <c r="H893" s="67"/>
      <c r="I893" s="67"/>
      <c r="J893" s="70" t="str">
        <f t="shared" si="3"/>
        <v/>
      </c>
      <c r="K893" s="67"/>
      <c r="L893" s="67"/>
      <c r="M893" s="67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</row>
    <row r="894">
      <c r="A894" s="67"/>
      <c r="B894" s="67"/>
      <c r="C894" s="67"/>
      <c r="D894" s="68"/>
      <c r="E894" s="67"/>
      <c r="F894" s="67"/>
      <c r="G894" s="67"/>
      <c r="H894" s="67"/>
      <c r="I894" s="67"/>
      <c r="J894" s="70" t="str">
        <f t="shared" si="3"/>
        <v/>
      </c>
      <c r="K894" s="67"/>
      <c r="L894" s="67"/>
      <c r="M894" s="67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</row>
    <row r="895">
      <c r="A895" s="67"/>
      <c r="B895" s="67"/>
      <c r="C895" s="67"/>
      <c r="D895" s="68"/>
      <c r="E895" s="67"/>
      <c r="F895" s="67"/>
      <c r="G895" s="67"/>
      <c r="H895" s="67"/>
      <c r="I895" s="67"/>
      <c r="J895" s="70" t="str">
        <f t="shared" si="3"/>
        <v/>
      </c>
      <c r="K895" s="67"/>
      <c r="L895" s="67"/>
      <c r="M895" s="67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</row>
    <row r="896">
      <c r="A896" s="67"/>
      <c r="B896" s="67"/>
      <c r="C896" s="67"/>
      <c r="D896" s="68"/>
      <c r="E896" s="67"/>
      <c r="F896" s="67"/>
      <c r="G896" s="67"/>
      <c r="H896" s="67"/>
      <c r="I896" s="67"/>
      <c r="J896" s="70" t="str">
        <f t="shared" si="3"/>
        <v/>
      </c>
      <c r="K896" s="67"/>
      <c r="L896" s="67"/>
      <c r="M896" s="67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</row>
    <row r="897">
      <c r="A897" s="67"/>
      <c r="B897" s="67"/>
      <c r="C897" s="67"/>
      <c r="D897" s="68"/>
      <c r="E897" s="67"/>
      <c r="F897" s="67"/>
      <c r="G897" s="67"/>
      <c r="H897" s="67"/>
      <c r="I897" s="67"/>
      <c r="J897" s="70" t="str">
        <f t="shared" si="3"/>
        <v/>
      </c>
      <c r="K897" s="67"/>
      <c r="L897" s="67"/>
      <c r="M897" s="67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</row>
    <row r="898">
      <c r="A898" s="67"/>
      <c r="B898" s="67"/>
      <c r="C898" s="67"/>
      <c r="D898" s="68"/>
      <c r="E898" s="67"/>
      <c r="F898" s="67"/>
      <c r="G898" s="67"/>
      <c r="H898" s="67"/>
      <c r="I898" s="67"/>
      <c r="J898" s="70" t="str">
        <f t="shared" si="3"/>
        <v/>
      </c>
      <c r="K898" s="67"/>
      <c r="L898" s="67"/>
      <c r="M898" s="67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</row>
    <row r="899">
      <c r="A899" s="67"/>
      <c r="B899" s="67"/>
      <c r="C899" s="67"/>
      <c r="D899" s="68"/>
      <c r="E899" s="67"/>
      <c r="F899" s="67"/>
      <c r="G899" s="67"/>
      <c r="H899" s="67"/>
      <c r="I899" s="67"/>
      <c r="J899" s="70" t="str">
        <f t="shared" si="3"/>
        <v/>
      </c>
      <c r="K899" s="67"/>
      <c r="L899" s="67"/>
      <c r="M899" s="67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</row>
    <row r="900">
      <c r="A900" s="67"/>
      <c r="B900" s="67"/>
      <c r="C900" s="67"/>
      <c r="D900" s="68"/>
      <c r="E900" s="67"/>
      <c r="F900" s="67"/>
      <c r="G900" s="67"/>
      <c r="H900" s="67"/>
      <c r="I900" s="67"/>
      <c r="J900" s="70" t="str">
        <f t="shared" si="3"/>
        <v/>
      </c>
      <c r="K900" s="67"/>
      <c r="L900" s="67"/>
      <c r="M900" s="67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</row>
    <row r="901">
      <c r="A901" s="67"/>
      <c r="B901" s="67"/>
      <c r="C901" s="67"/>
      <c r="D901" s="68"/>
      <c r="E901" s="67"/>
      <c r="F901" s="67"/>
      <c r="G901" s="67"/>
      <c r="H901" s="67"/>
      <c r="I901" s="67"/>
      <c r="J901" s="70" t="str">
        <f t="shared" si="3"/>
        <v/>
      </c>
      <c r="K901" s="67"/>
      <c r="L901" s="67"/>
      <c r="M901" s="67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</row>
    <row r="902">
      <c r="A902" s="67"/>
      <c r="B902" s="67"/>
      <c r="C902" s="67"/>
      <c r="D902" s="68"/>
      <c r="E902" s="67"/>
      <c r="F902" s="67"/>
      <c r="G902" s="67"/>
      <c r="H902" s="67"/>
      <c r="I902" s="67"/>
      <c r="J902" s="70" t="str">
        <f t="shared" si="3"/>
        <v/>
      </c>
      <c r="K902" s="67"/>
      <c r="L902" s="67"/>
      <c r="M902" s="67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</row>
    <row r="903">
      <c r="A903" s="67"/>
      <c r="B903" s="67"/>
      <c r="C903" s="67"/>
      <c r="D903" s="68"/>
      <c r="E903" s="67"/>
      <c r="F903" s="67"/>
      <c r="G903" s="67"/>
      <c r="H903" s="67"/>
      <c r="I903" s="67"/>
      <c r="J903" s="70" t="str">
        <f t="shared" si="3"/>
        <v/>
      </c>
      <c r="K903" s="67"/>
      <c r="L903" s="67"/>
      <c r="M903" s="67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</row>
    <row r="904">
      <c r="A904" s="67"/>
      <c r="B904" s="67"/>
      <c r="C904" s="67"/>
      <c r="D904" s="68"/>
      <c r="E904" s="67"/>
      <c r="F904" s="67"/>
      <c r="G904" s="67"/>
      <c r="H904" s="67"/>
      <c r="I904" s="67"/>
      <c r="J904" s="70" t="str">
        <f t="shared" si="3"/>
        <v/>
      </c>
      <c r="K904" s="67"/>
      <c r="L904" s="67"/>
      <c r="M904" s="67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</row>
    <row r="905">
      <c r="A905" s="67"/>
      <c r="B905" s="67"/>
      <c r="C905" s="67"/>
      <c r="D905" s="68"/>
      <c r="E905" s="67"/>
      <c r="F905" s="67"/>
      <c r="G905" s="67"/>
      <c r="H905" s="67"/>
      <c r="I905" s="67"/>
      <c r="J905" s="70" t="str">
        <f t="shared" si="3"/>
        <v/>
      </c>
      <c r="K905" s="67"/>
      <c r="L905" s="67"/>
      <c r="M905" s="67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</row>
    <row r="906">
      <c r="A906" s="67"/>
      <c r="B906" s="67"/>
      <c r="C906" s="67"/>
      <c r="D906" s="68"/>
      <c r="E906" s="67"/>
      <c r="F906" s="67"/>
      <c r="G906" s="67"/>
      <c r="H906" s="67"/>
      <c r="I906" s="67"/>
      <c r="J906" s="70" t="str">
        <f t="shared" si="3"/>
        <v/>
      </c>
      <c r="K906" s="67"/>
      <c r="L906" s="67"/>
      <c r="M906" s="67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</row>
    <row r="907">
      <c r="A907" s="67"/>
      <c r="B907" s="67"/>
      <c r="C907" s="67"/>
      <c r="D907" s="68"/>
      <c r="E907" s="67"/>
      <c r="F907" s="67"/>
      <c r="G907" s="67"/>
      <c r="H907" s="67"/>
      <c r="I907" s="67"/>
      <c r="J907" s="70" t="str">
        <f t="shared" si="3"/>
        <v/>
      </c>
      <c r="K907" s="67"/>
      <c r="L907" s="67"/>
      <c r="M907" s="67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</row>
    <row r="908">
      <c r="A908" s="67"/>
      <c r="B908" s="67"/>
      <c r="C908" s="67"/>
      <c r="D908" s="68"/>
      <c r="E908" s="67"/>
      <c r="F908" s="67"/>
      <c r="G908" s="67"/>
      <c r="H908" s="67"/>
      <c r="I908" s="67"/>
      <c r="J908" s="70" t="str">
        <f t="shared" si="3"/>
        <v/>
      </c>
      <c r="K908" s="67"/>
      <c r="L908" s="67"/>
      <c r="M908" s="67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</row>
    <row r="909">
      <c r="A909" s="67"/>
      <c r="B909" s="67"/>
      <c r="C909" s="67"/>
      <c r="D909" s="68"/>
      <c r="E909" s="67"/>
      <c r="F909" s="67"/>
      <c r="G909" s="67"/>
      <c r="H909" s="67"/>
      <c r="I909" s="67"/>
      <c r="J909" s="70" t="str">
        <f t="shared" si="3"/>
        <v/>
      </c>
      <c r="K909" s="67"/>
      <c r="L909" s="67"/>
      <c r="M909" s="67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</row>
    <row r="910">
      <c r="A910" s="67"/>
      <c r="B910" s="67"/>
      <c r="C910" s="67"/>
      <c r="D910" s="68"/>
      <c r="E910" s="67"/>
      <c r="F910" s="67"/>
      <c r="G910" s="67"/>
      <c r="H910" s="67"/>
      <c r="I910" s="67"/>
      <c r="J910" s="70" t="str">
        <f t="shared" si="3"/>
        <v/>
      </c>
      <c r="K910" s="67"/>
      <c r="L910" s="67"/>
      <c r="M910" s="67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</row>
    <row r="911">
      <c r="A911" s="67"/>
      <c r="B911" s="67"/>
      <c r="C911" s="67"/>
      <c r="D911" s="68"/>
      <c r="E911" s="67"/>
      <c r="F911" s="67"/>
      <c r="G911" s="67"/>
      <c r="H911" s="67"/>
      <c r="I911" s="67"/>
      <c r="J911" s="70" t="str">
        <f t="shared" si="3"/>
        <v/>
      </c>
      <c r="K911" s="67"/>
      <c r="L911" s="67"/>
      <c r="M911" s="67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</row>
    <row r="912">
      <c r="A912" s="67"/>
      <c r="B912" s="67"/>
      <c r="C912" s="67"/>
      <c r="D912" s="68"/>
      <c r="E912" s="67"/>
      <c r="F912" s="67"/>
      <c r="G912" s="67"/>
      <c r="H912" s="67"/>
      <c r="I912" s="67"/>
      <c r="J912" s="70" t="str">
        <f t="shared" si="3"/>
        <v/>
      </c>
      <c r="K912" s="67"/>
      <c r="L912" s="67"/>
      <c r="M912" s="67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</row>
    <row r="913">
      <c r="A913" s="67"/>
      <c r="B913" s="67"/>
      <c r="C913" s="67"/>
      <c r="D913" s="68"/>
      <c r="E913" s="67"/>
      <c r="F913" s="67"/>
      <c r="G913" s="67"/>
      <c r="H913" s="67"/>
      <c r="I913" s="67"/>
      <c r="J913" s="70" t="str">
        <f t="shared" si="3"/>
        <v/>
      </c>
      <c r="K913" s="67"/>
      <c r="L913" s="67"/>
      <c r="M913" s="67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</row>
    <row r="914">
      <c r="A914" s="67"/>
      <c r="B914" s="67"/>
      <c r="C914" s="67"/>
      <c r="D914" s="68"/>
      <c r="E914" s="67"/>
      <c r="F914" s="67"/>
      <c r="G914" s="67"/>
      <c r="H914" s="67"/>
      <c r="I914" s="67"/>
      <c r="J914" s="70" t="str">
        <f t="shared" si="3"/>
        <v/>
      </c>
      <c r="K914" s="67"/>
      <c r="L914" s="67"/>
      <c r="M914" s="67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</row>
    <row r="915">
      <c r="A915" s="67"/>
      <c r="B915" s="67"/>
      <c r="C915" s="67"/>
      <c r="D915" s="68"/>
      <c r="E915" s="67"/>
      <c r="F915" s="67"/>
      <c r="G915" s="67"/>
      <c r="H915" s="67"/>
      <c r="I915" s="67"/>
      <c r="J915" s="70" t="str">
        <f t="shared" si="3"/>
        <v/>
      </c>
      <c r="K915" s="67"/>
      <c r="L915" s="67"/>
      <c r="M915" s="67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</row>
    <row r="916">
      <c r="A916" s="67"/>
      <c r="B916" s="67"/>
      <c r="C916" s="67"/>
      <c r="D916" s="68"/>
      <c r="E916" s="67"/>
      <c r="F916" s="67"/>
      <c r="G916" s="67"/>
      <c r="H916" s="67"/>
      <c r="I916" s="67"/>
      <c r="J916" s="70" t="str">
        <f t="shared" si="3"/>
        <v/>
      </c>
      <c r="K916" s="67"/>
      <c r="L916" s="67"/>
      <c r="M916" s="67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</row>
    <row r="917">
      <c r="A917" s="67"/>
      <c r="B917" s="67"/>
      <c r="C917" s="67"/>
      <c r="D917" s="68"/>
      <c r="E917" s="67"/>
      <c r="F917" s="67"/>
      <c r="G917" s="67"/>
      <c r="H917" s="67"/>
      <c r="I917" s="67"/>
      <c r="J917" s="70" t="str">
        <f t="shared" si="3"/>
        <v/>
      </c>
      <c r="K917" s="67"/>
      <c r="L917" s="67"/>
      <c r="M917" s="67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</row>
    <row r="918">
      <c r="A918" s="67"/>
      <c r="B918" s="67"/>
      <c r="C918" s="67"/>
      <c r="D918" s="68"/>
      <c r="E918" s="67"/>
      <c r="F918" s="67"/>
      <c r="G918" s="67"/>
      <c r="H918" s="67"/>
      <c r="I918" s="67"/>
      <c r="J918" s="70" t="str">
        <f t="shared" si="3"/>
        <v/>
      </c>
      <c r="K918" s="67"/>
      <c r="L918" s="67"/>
      <c r="M918" s="67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</row>
    <row r="919">
      <c r="A919" s="67"/>
      <c r="B919" s="67"/>
      <c r="C919" s="67"/>
      <c r="D919" s="68"/>
      <c r="E919" s="67"/>
      <c r="F919" s="67"/>
      <c r="G919" s="67"/>
      <c r="H919" s="67"/>
      <c r="I919" s="67"/>
      <c r="J919" s="70" t="str">
        <f t="shared" si="3"/>
        <v/>
      </c>
      <c r="K919" s="67"/>
      <c r="L919" s="67"/>
      <c r="M919" s="67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</row>
    <row r="920">
      <c r="A920" s="67"/>
      <c r="B920" s="67"/>
      <c r="C920" s="67"/>
      <c r="D920" s="68"/>
      <c r="E920" s="67"/>
      <c r="F920" s="67"/>
      <c r="G920" s="67"/>
      <c r="H920" s="67"/>
      <c r="I920" s="67"/>
      <c r="J920" s="70" t="str">
        <f t="shared" si="3"/>
        <v/>
      </c>
      <c r="K920" s="67"/>
      <c r="L920" s="67"/>
      <c r="M920" s="67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</row>
    <row r="921">
      <c r="A921" s="67"/>
      <c r="B921" s="67"/>
      <c r="C921" s="67"/>
      <c r="D921" s="68"/>
      <c r="E921" s="67"/>
      <c r="F921" s="67"/>
      <c r="G921" s="67"/>
      <c r="H921" s="67"/>
      <c r="I921" s="67"/>
      <c r="J921" s="70" t="str">
        <f t="shared" si="3"/>
        <v/>
      </c>
      <c r="K921" s="67"/>
      <c r="L921" s="67"/>
      <c r="M921" s="67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</row>
    <row r="922">
      <c r="A922" s="67"/>
      <c r="B922" s="67"/>
      <c r="C922" s="67"/>
      <c r="D922" s="68"/>
      <c r="E922" s="67"/>
      <c r="F922" s="67"/>
      <c r="G922" s="67"/>
      <c r="H922" s="67"/>
      <c r="I922" s="67"/>
      <c r="J922" s="70" t="str">
        <f t="shared" si="3"/>
        <v/>
      </c>
      <c r="K922" s="67"/>
      <c r="L922" s="67"/>
      <c r="M922" s="67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</row>
    <row r="923">
      <c r="A923" s="67"/>
      <c r="B923" s="67"/>
      <c r="C923" s="67"/>
      <c r="D923" s="68"/>
      <c r="E923" s="67"/>
      <c r="F923" s="67"/>
      <c r="G923" s="67"/>
      <c r="H923" s="67"/>
      <c r="I923" s="67"/>
      <c r="J923" s="70" t="str">
        <f t="shared" si="3"/>
        <v/>
      </c>
      <c r="K923" s="67"/>
      <c r="L923" s="67"/>
      <c r="M923" s="67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</row>
    <row r="924">
      <c r="A924" s="67"/>
      <c r="B924" s="67"/>
      <c r="C924" s="67"/>
      <c r="D924" s="68"/>
      <c r="E924" s="67"/>
      <c r="F924" s="67"/>
      <c r="G924" s="67"/>
      <c r="H924" s="67"/>
      <c r="I924" s="67"/>
      <c r="J924" s="70" t="str">
        <f t="shared" si="3"/>
        <v/>
      </c>
      <c r="K924" s="67"/>
      <c r="L924" s="67"/>
      <c r="M924" s="67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</row>
    <row r="925">
      <c r="A925" s="67"/>
      <c r="B925" s="67"/>
      <c r="C925" s="67"/>
      <c r="D925" s="68"/>
      <c r="E925" s="67"/>
      <c r="F925" s="67"/>
      <c r="G925" s="67"/>
      <c r="H925" s="67"/>
      <c r="I925" s="67"/>
      <c r="J925" s="70" t="str">
        <f t="shared" si="3"/>
        <v/>
      </c>
      <c r="K925" s="67"/>
      <c r="L925" s="67"/>
      <c r="M925" s="67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</row>
    <row r="926">
      <c r="A926" s="67"/>
      <c r="B926" s="67"/>
      <c r="C926" s="67"/>
      <c r="D926" s="68"/>
      <c r="E926" s="67"/>
      <c r="F926" s="67"/>
      <c r="G926" s="67"/>
      <c r="H926" s="67"/>
      <c r="I926" s="67"/>
      <c r="J926" s="70" t="str">
        <f t="shared" si="3"/>
        <v/>
      </c>
      <c r="K926" s="67"/>
      <c r="L926" s="67"/>
      <c r="M926" s="67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</row>
    <row r="927">
      <c r="A927" s="67"/>
      <c r="B927" s="67"/>
      <c r="C927" s="67"/>
      <c r="D927" s="68"/>
      <c r="E927" s="67"/>
      <c r="F927" s="67"/>
      <c r="G927" s="67"/>
      <c r="H927" s="67"/>
      <c r="I927" s="67"/>
      <c r="J927" s="70" t="str">
        <f t="shared" si="3"/>
        <v/>
      </c>
      <c r="K927" s="67"/>
      <c r="L927" s="67"/>
      <c r="M927" s="67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</row>
    <row r="928">
      <c r="A928" s="67"/>
      <c r="B928" s="67"/>
      <c r="C928" s="67"/>
      <c r="D928" s="68"/>
      <c r="E928" s="67"/>
      <c r="F928" s="67"/>
      <c r="G928" s="67"/>
      <c r="H928" s="67"/>
      <c r="I928" s="67"/>
      <c r="J928" s="70" t="str">
        <f t="shared" si="3"/>
        <v/>
      </c>
      <c r="K928" s="67"/>
      <c r="L928" s="67"/>
      <c r="M928" s="67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</row>
    <row r="929">
      <c r="A929" s="67"/>
      <c r="B929" s="67"/>
      <c r="C929" s="67"/>
      <c r="D929" s="68"/>
      <c r="E929" s="67"/>
      <c r="F929" s="67"/>
      <c r="G929" s="67"/>
      <c r="H929" s="67"/>
      <c r="I929" s="67"/>
      <c r="J929" s="70" t="str">
        <f t="shared" si="3"/>
        <v/>
      </c>
      <c r="K929" s="67"/>
      <c r="L929" s="67"/>
      <c r="M929" s="67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</row>
    <row r="930">
      <c r="A930" s="67"/>
      <c r="B930" s="67"/>
      <c r="C930" s="67"/>
      <c r="D930" s="68"/>
      <c r="E930" s="67"/>
      <c r="F930" s="67"/>
      <c r="G930" s="67"/>
      <c r="H930" s="67"/>
      <c r="I930" s="67"/>
      <c r="J930" s="70" t="str">
        <f t="shared" si="3"/>
        <v/>
      </c>
      <c r="K930" s="67"/>
      <c r="L930" s="67"/>
      <c r="M930" s="67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</row>
    <row r="931">
      <c r="A931" s="67"/>
      <c r="B931" s="67"/>
      <c r="C931" s="67"/>
      <c r="D931" s="68"/>
      <c r="E931" s="67"/>
      <c r="F931" s="67"/>
      <c r="G931" s="67"/>
      <c r="H931" s="67"/>
      <c r="I931" s="67"/>
      <c r="J931" s="70" t="str">
        <f t="shared" si="3"/>
        <v/>
      </c>
      <c r="K931" s="67"/>
      <c r="L931" s="67"/>
      <c r="M931" s="67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</row>
    <row r="932">
      <c r="A932" s="67"/>
      <c r="B932" s="67"/>
      <c r="C932" s="67"/>
      <c r="D932" s="68"/>
      <c r="E932" s="67"/>
      <c r="F932" s="67"/>
      <c r="G932" s="67"/>
      <c r="H932" s="67"/>
      <c r="I932" s="67"/>
      <c r="J932" s="70" t="str">
        <f t="shared" si="3"/>
        <v/>
      </c>
      <c r="K932" s="67"/>
      <c r="L932" s="67"/>
      <c r="M932" s="67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</row>
    <row r="933">
      <c r="A933" s="67"/>
      <c r="B933" s="67"/>
      <c r="C933" s="67"/>
      <c r="D933" s="68"/>
      <c r="E933" s="67"/>
      <c r="F933" s="67"/>
      <c r="G933" s="67"/>
      <c r="H933" s="67"/>
      <c r="I933" s="67"/>
      <c r="J933" s="70" t="str">
        <f t="shared" si="3"/>
        <v/>
      </c>
      <c r="K933" s="67"/>
      <c r="L933" s="67"/>
      <c r="M933" s="67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</row>
    <row r="934">
      <c r="A934" s="67"/>
      <c r="B934" s="67"/>
      <c r="C934" s="67"/>
      <c r="D934" s="68"/>
      <c r="E934" s="67"/>
      <c r="F934" s="67"/>
      <c r="G934" s="67"/>
      <c r="H934" s="67"/>
      <c r="I934" s="67"/>
      <c r="J934" s="70" t="str">
        <f t="shared" si="3"/>
        <v/>
      </c>
      <c r="K934" s="67"/>
      <c r="L934" s="67"/>
      <c r="M934" s="67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</row>
    <row r="935">
      <c r="A935" s="67"/>
      <c r="B935" s="67"/>
      <c r="C935" s="67"/>
      <c r="D935" s="68"/>
      <c r="E935" s="67"/>
      <c r="F935" s="67"/>
      <c r="G935" s="67"/>
      <c r="H935" s="67"/>
      <c r="I935" s="67"/>
      <c r="J935" s="70" t="str">
        <f t="shared" si="3"/>
        <v/>
      </c>
      <c r="K935" s="67"/>
      <c r="L935" s="67"/>
      <c r="M935" s="67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</row>
    <row r="936">
      <c r="A936" s="67"/>
      <c r="B936" s="67"/>
      <c r="C936" s="67"/>
      <c r="D936" s="68"/>
      <c r="E936" s="67"/>
      <c r="F936" s="67"/>
      <c r="G936" s="67"/>
      <c r="H936" s="67"/>
      <c r="I936" s="67"/>
      <c r="J936" s="70" t="str">
        <f t="shared" si="3"/>
        <v/>
      </c>
      <c r="K936" s="67"/>
      <c r="L936" s="67"/>
      <c r="M936" s="67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</row>
    <row r="937">
      <c r="A937" s="67"/>
      <c r="B937" s="67"/>
      <c r="C937" s="67"/>
      <c r="D937" s="68"/>
      <c r="E937" s="67"/>
      <c r="F937" s="67"/>
      <c r="G937" s="67"/>
      <c r="H937" s="67"/>
      <c r="I937" s="67"/>
      <c r="J937" s="70" t="str">
        <f t="shared" si="3"/>
        <v/>
      </c>
      <c r="K937" s="67"/>
      <c r="L937" s="67"/>
      <c r="M937" s="67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</row>
    <row r="938">
      <c r="A938" s="67"/>
      <c r="B938" s="67"/>
      <c r="C938" s="67"/>
      <c r="D938" s="68"/>
      <c r="E938" s="67"/>
      <c r="F938" s="67"/>
      <c r="G938" s="67"/>
      <c r="H938" s="67"/>
      <c r="I938" s="67"/>
      <c r="J938" s="70" t="str">
        <f t="shared" si="3"/>
        <v/>
      </c>
      <c r="K938" s="67"/>
      <c r="L938" s="67"/>
      <c r="M938" s="67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</row>
    <row r="939">
      <c r="A939" s="67"/>
      <c r="B939" s="67"/>
      <c r="C939" s="67"/>
      <c r="D939" s="68"/>
      <c r="E939" s="67"/>
      <c r="F939" s="67"/>
      <c r="G939" s="67"/>
      <c r="H939" s="67"/>
      <c r="I939" s="67"/>
      <c r="J939" s="70" t="str">
        <f t="shared" si="3"/>
        <v/>
      </c>
      <c r="K939" s="67"/>
      <c r="L939" s="67"/>
      <c r="M939" s="67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</row>
    <row r="940">
      <c r="A940" s="67"/>
      <c r="B940" s="67"/>
      <c r="C940" s="67"/>
      <c r="D940" s="68"/>
      <c r="E940" s="67"/>
      <c r="F940" s="67"/>
      <c r="G940" s="67"/>
      <c r="H940" s="67"/>
      <c r="I940" s="67"/>
      <c r="J940" s="70" t="str">
        <f t="shared" si="3"/>
        <v/>
      </c>
      <c r="K940" s="67"/>
      <c r="L940" s="67"/>
      <c r="M940" s="67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</row>
    <row r="941">
      <c r="A941" s="67"/>
      <c r="B941" s="67"/>
      <c r="C941" s="67"/>
      <c r="D941" s="68"/>
      <c r="E941" s="67"/>
      <c r="F941" s="67"/>
      <c r="G941" s="67"/>
      <c r="H941" s="67"/>
      <c r="I941" s="67"/>
      <c r="J941" s="70" t="str">
        <f t="shared" si="3"/>
        <v/>
      </c>
      <c r="K941" s="67"/>
      <c r="L941" s="67"/>
      <c r="M941" s="67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</row>
    <row r="942">
      <c r="A942" s="67"/>
      <c r="B942" s="67"/>
      <c r="C942" s="67"/>
      <c r="D942" s="68"/>
      <c r="E942" s="67"/>
      <c r="F942" s="67"/>
      <c r="G942" s="67"/>
      <c r="H942" s="67"/>
      <c r="I942" s="67"/>
      <c r="J942" s="70" t="str">
        <f t="shared" si="3"/>
        <v/>
      </c>
      <c r="K942" s="67"/>
      <c r="L942" s="67"/>
      <c r="M942" s="67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</row>
    <row r="943">
      <c r="A943" s="67"/>
      <c r="B943" s="67"/>
      <c r="C943" s="67"/>
      <c r="D943" s="68"/>
      <c r="E943" s="67"/>
      <c r="F943" s="67"/>
      <c r="G943" s="67"/>
      <c r="H943" s="67"/>
      <c r="I943" s="67"/>
      <c r="J943" s="70" t="str">
        <f t="shared" si="3"/>
        <v/>
      </c>
      <c r="K943" s="67"/>
      <c r="L943" s="67"/>
      <c r="M943" s="67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</row>
    <row r="944">
      <c r="A944" s="67"/>
      <c r="B944" s="67"/>
      <c r="C944" s="67"/>
      <c r="D944" s="68"/>
      <c r="E944" s="67"/>
      <c r="F944" s="67"/>
      <c r="G944" s="67"/>
      <c r="H944" s="67"/>
      <c r="I944" s="67"/>
      <c r="J944" s="70" t="str">
        <f t="shared" si="3"/>
        <v/>
      </c>
      <c r="K944" s="67"/>
      <c r="L944" s="67"/>
      <c r="M944" s="67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</row>
    <row r="945">
      <c r="A945" s="67"/>
      <c r="B945" s="67"/>
      <c r="C945" s="67"/>
      <c r="D945" s="68"/>
      <c r="E945" s="67"/>
      <c r="F945" s="67"/>
      <c r="G945" s="67"/>
      <c r="H945" s="67"/>
      <c r="I945" s="67"/>
      <c r="J945" s="70" t="str">
        <f t="shared" si="3"/>
        <v/>
      </c>
      <c r="K945" s="67"/>
      <c r="L945" s="67"/>
      <c r="M945" s="67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</row>
    <row r="946">
      <c r="A946" s="67"/>
      <c r="B946" s="67"/>
      <c r="C946" s="67"/>
      <c r="D946" s="68"/>
      <c r="E946" s="67"/>
      <c r="F946" s="67"/>
      <c r="G946" s="67"/>
      <c r="H946" s="67"/>
      <c r="I946" s="67"/>
      <c r="J946" s="70" t="str">
        <f t="shared" si="3"/>
        <v/>
      </c>
      <c r="K946" s="67"/>
      <c r="L946" s="67"/>
      <c r="M946" s="67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</row>
    <row r="947">
      <c r="A947" s="67"/>
      <c r="B947" s="67"/>
      <c r="C947" s="67"/>
      <c r="D947" s="68"/>
      <c r="E947" s="67"/>
      <c r="F947" s="67"/>
      <c r="G947" s="67"/>
      <c r="H947" s="67"/>
      <c r="I947" s="67"/>
      <c r="J947" s="70" t="str">
        <f t="shared" si="3"/>
        <v/>
      </c>
      <c r="K947" s="67"/>
      <c r="L947" s="67"/>
      <c r="M947" s="67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</row>
    <row r="948">
      <c r="A948" s="67"/>
      <c r="B948" s="67"/>
      <c r="C948" s="67"/>
      <c r="D948" s="68"/>
      <c r="E948" s="67"/>
      <c r="F948" s="67"/>
      <c r="G948" s="67"/>
      <c r="H948" s="67"/>
      <c r="I948" s="67"/>
      <c r="J948" s="70" t="str">
        <f t="shared" si="3"/>
        <v/>
      </c>
      <c r="K948" s="67"/>
      <c r="L948" s="67"/>
      <c r="M948" s="67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</row>
    <row r="949">
      <c r="A949" s="67"/>
      <c r="B949" s="67"/>
      <c r="C949" s="67"/>
      <c r="D949" s="68"/>
      <c r="E949" s="67"/>
      <c r="F949" s="67"/>
      <c r="G949" s="67"/>
      <c r="H949" s="67"/>
      <c r="I949" s="67"/>
      <c r="J949" s="70" t="str">
        <f t="shared" si="3"/>
        <v/>
      </c>
      <c r="K949" s="67"/>
      <c r="L949" s="67"/>
      <c r="M949" s="67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</row>
    <row r="950">
      <c r="A950" s="67"/>
      <c r="B950" s="67"/>
      <c r="C950" s="67"/>
      <c r="D950" s="68"/>
      <c r="E950" s="67"/>
      <c r="F950" s="67"/>
      <c r="G950" s="67"/>
      <c r="H950" s="67"/>
      <c r="I950" s="67"/>
      <c r="J950" s="70" t="str">
        <f t="shared" si="3"/>
        <v/>
      </c>
      <c r="K950" s="67"/>
      <c r="L950" s="67"/>
      <c r="M950" s="67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</row>
    <row r="951">
      <c r="A951" s="67"/>
      <c r="B951" s="67"/>
      <c r="C951" s="67"/>
      <c r="D951" s="68"/>
      <c r="E951" s="67"/>
      <c r="F951" s="67"/>
      <c r="G951" s="67"/>
      <c r="H951" s="67"/>
      <c r="I951" s="67"/>
      <c r="J951" s="70" t="str">
        <f t="shared" si="3"/>
        <v/>
      </c>
      <c r="K951" s="67"/>
      <c r="L951" s="67"/>
      <c r="M951" s="67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</row>
    <row r="952">
      <c r="A952" s="67"/>
      <c r="B952" s="67"/>
      <c r="C952" s="67"/>
      <c r="D952" s="68"/>
      <c r="E952" s="67"/>
      <c r="F952" s="67"/>
      <c r="G952" s="67"/>
      <c r="H952" s="67"/>
      <c r="I952" s="67"/>
      <c r="J952" s="70" t="str">
        <f t="shared" si="3"/>
        <v/>
      </c>
      <c r="K952" s="67"/>
      <c r="L952" s="67"/>
      <c r="M952" s="67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</row>
    <row r="953">
      <c r="A953" s="67"/>
      <c r="B953" s="67"/>
      <c r="C953" s="67"/>
      <c r="D953" s="68"/>
      <c r="E953" s="67"/>
      <c r="F953" s="67"/>
      <c r="G953" s="67"/>
      <c r="H953" s="67"/>
      <c r="I953" s="67"/>
      <c r="J953" s="70" t="str">
        <f t="shared" si="3"/>
        <v/>
      </c>
      <c r="K953" s="67"/>
      <c r="L953" s="67"/>
      <c r="M953" s="67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</row>
    <row r="954">
      <c r="A954" s="67"/>
      <c r="B954" s="67"/>
      <c r="C954" s="67"/>
      <c r="D954" s="68"/>
      <c r="E954" s="67"/>
      <c r="F954" s="67"/>
      <c r="G954" s="67"/>
      <c r="H954" s="67"/>
      <c r="I954" s="67"/>
      <c r="J954" s="70" t="str">
        <f t="shared" si="3"/>
        <v/>
      </c>
      <c r="K954" s="67"/>
      <c r="L954" s="67"/>
      <c r="M954" s="67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</row>
    <row r="955">
      <c r="A955" s="67"/>
      <c r="B955" s="67"/>
      <c r="C955" s="67"/>
      <c r="D955" s="68"/>
      <c r="E955" s="67"/>
      <c r="F955" s="67"/>
      <c r="G955" s="67"/>
      <c r="H955" s="67"/>
      <c r="I955" s="67"/>
      <c r="J955" s="70" t="str">
        <f t="shared" si="3"/>
        <v/>
      </c>
      <c r="K955" s="67"/>
      <c r="L955" s="67"/>
      <c r="M955" s="67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</row>
    <row r="956">
      <c r="A956" s="67"/>
      <c r="B956" s="67"/>
      <c r="C956" s="67"/>
      <c r="D956" s="68"/>
      <c r="E956" s="67"/>
      <c r="F956" s="67"/>
      <c r="G956" s="67"/>
      <c r="H956" s="67"/>
      <c r="I956" s="67"/>
      <c r="J956" s="70" t="str">
        <f t="shared" si="3"/>
        <v/>
      </c>
      <c r="K956" s="67"/>
      <c r="L956" s="67"/>
      <c r="M956" s="67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</row>
    <row r="957">
      <c r="A957" s="67"/>
      <c r="B957" s="67"/>
      <c r="C957" s="67"/>
      <c r="D957" s="68"/>
      <c r="E957" s="67"/>
      <c r="F957" s="67"/>
      <c r="G957" s="67"/>
      <c r="H957" s="67"/>
      <c r="I957" s="67"/>
      <c r="J957" s="70" t="str">
        <f t="shared" si="3"/>
        <v/>
      </c>
      <c r="K957" s="67"/>
      <c r="L957" s="67"/>
      <c r="M957" s="67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</row>
    <row r="958">
      <c r="A958" s="67"/>
      <c r="B958" s="67"/>
      <c r="C958" s="67"/>
      <c r="D958" s="68"/>
      <c r="E958" s="67"/>
      <c r="F958" s="67"/>
      <c r="G958" s="67"/>
      <c r="H958" s="67"/>
      <c r="I958" s="67"/>
      <c r="J958" s="70" t="str">
        <f t="shared" si="3"/>
        <v/>
      </c>
      <c r="K958" s="67"/>
      <c r="L958" s="67"/>
      <c r="M958" s="67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</row>
    <row r="959">
      <c r="A959" s="67"/>
      <c r="B959" s="67"/>
      <c r="C959" s="67"/>
      <c r="D959" s="68"/>
      <c r="E959" s="67"/>
      <c r="F959" s="67"/>
      <c r="G959" s="67"/>
      <c r="H959" s="67"/>
      <c r="I959" s="67"/>
      <c r="J959" s="70" t="str">
        <f t="shared" si="3"/>
        <v/>
      </c>
      <c r="K959" s="67"/>
      <c r="L959" s="67"/>
      <c r="M959" s="67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</row>
    <row r="960">
      <c r="A960" s="67"/>
      <c r="B960" s="67"/>
      <c r="C960" s="67"/>
      <c r="D960" s="68"/>
      <c r="E960" s="67"/>
      <c r="F960" s="67"/>
      <c r="G960" s="67"/>
      <c r="H960" s="67"/>
      <c r="I960" s="67"/>
      <c r="J960" s="70" t="str">
        <f t="shared" si="3"/>
        <v/>
      </c>
      <c r="K960" s="67"/>
      <c r="L960" s="67"/>
      <c r="M960" s="67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</row>
    <row r="961">
      <c r="A961" s="67"/>
      <c r="B961" s="67"/>
      <c r="C961" s="67"/>
      <c r="D961" s="68"/>
      <c r="E961" s="67"/>
      <c r="F961" s="67"/>
      <c r="G961" s="67"/>
      <c r="H961" s="67"/>
      <c r="I961" s="67"/>
      <c r="J961" s="70" t="str">
        <f t="shared" si="3"/>
        <v/>
      </c>
      <c r="K961" s="67"/>
      <c r="L961" s="67"/>
      <c r="M961" s="67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</row>
    <row r="962">
      <c r="A962" s="67"/>
      <c r="B962" s="67"/>
      <c r="C962" s="67"/>
      <c r="D962" s="68"/>
      <c r="E962" s="67"/>
      <c r="F962" s="67"/>
      <c r="G962" s="67"/>
      <c r="H962" s="67"/>
      <c r="I962" s="67"/>
      <c r="J962" s="70" t="str">
        <f t="shared" si="3"/>
        <v/>
      </c>
      <c r="K962" s="67"/>
      <c r="L962" s="67"/>
      <c r="M962" s="67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</row>
    <row r="963">
      <c r="A963" s="67"/>
      <c r="B963" s="67"/>
      <c r="C963" s="67"/>
      <c r="D963" s="68"/>
      <c r="E963" s="67"/>
      <c r="F963" s="67"/>
      <c r="G963" s="67"/>
      <c r="H963" s="67"/>
      <c r="I963" s="67"/>
      <c r="J963" s="70" t="str">
        <f t="shared" si="3"/>
        <v/>
      </c>
      <c r="K963" s="67"/>
      <c r="L963" s="67"/>
      <c r="M963" s="67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</row>
    <row r="964">
      <c r="A964" s="67"/>
      <c r="B964" s="67"/>
      <c r="C964" s="67"/>
      <c r="D964" s="68"/>
      <c r="E964" s="67"/>
      <c r="F964" s="67"/>
      <c r="G964" s="67"/>
      <c r="H964" s="67"/>
      <c r="I964" s="67"/>
      <c r="J964" s="70" t="str">
        <f t="shared" si="3"/>
        <v/>
      </c>
      <c r="K964" s="67"/>
      <c r="L964" s="67"/>
      <c r="M964" s="67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</row>
    <row r="965">
      <c r="A965" s="67"/>
      <c r="B965" s="67"/>
      <c r="C965" s="67"/>
      <c r="D965" s="68"/>
      <c r="E965" s="67"/>
      <c r="F965" s="67"/>
      <c r="G965" s="67"/>
      <c r="H965" s="67"/>
      <c r="I965" s="67"/>
      <c r="J965" s="70" t="str">
        <f t="shared" si="3"/>
        <v/>
      </c>
      <c r="K965" s="67"/>
      <c r="L965" s="67"/>
      <c r="M965" s="67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</row>
    <row r="966">
      <c r="A966" s="67"/>
      <c r="B966" s="67"/>
      <c r="C966" s="67"/>
      <c r="D966" s="68"/>
      <c r="E966" s="67"/>
      <c r="F966" s="67"/>
      <c r="G966" s="67"/>
      <c r="H966" s="67"/>
      <c r="I966" s="67"/>
      <c r="J966" s="70" t="str">
        <f t="shared" si="3"/>
        <v/>
      </c>
      <c r="K966" s="67"/>
      <c r="L966" s="67"/>
      <c r="M966" s="67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</row>
    <row r="967">
      <c r="A967" s="67"/>
      <c r="B967" s="67"/>
      <c r="C967" s="67"/>
      <c r="D967" s="68"/>
      <c r="E967" s="67"/>
      <c r="F967" s="67"/>
      <c r="G967" s="67"/>
      <c r="H967" s="67"/>
      <c r="I967" s="67"/>
      <c r="J967" s="70" t="str">
        <f t="shared" si="3"/>
        <v/>
      </c>
      <c r="K967" s="67"/>
      <c r="L967" s="67"/>
      <c r="M967" s="67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</row>
    <row r="968">
      <c r="A968" s="67"/>
      <c r="B968" s="67"/>
      <c r="C968" s="67"/>
      <c r="D968" s="68"/>
      <c r="E968" s="67"/>
      <c r="F968" s="67"/>
      <c r="G968" s="67"/>
      <c r="H968" s="67"/>
      <c r="I968" s="67"/>
      <c r="J968" s="70" t="str">
        <f t="shared" si="3"/>
        <v/>
      </c>
      <c r="K968" s="67"/>
      <c r="L968" s="67"/>
      <c r="M968" s="67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</row>
    <row r="969">
      <c r="A969" s="67"/>
      <c r="B969" s="67"/>
      <c r="C969" s="67"/>
      <c r="D969" s="68"/>
      <c r="E969" s="67"/>
      <c r="F969" s="67"/>
      <c r="G969" s="67"/>
      <c r="H969" s="67"/>
      <c r="I969" s="67"/>
      <c r="J969" s="70" t="str">
        <f t="shared" si="3"/>
        <v/>
      </c>
      <c r="K969" s="67"/>
      <c r="L969" s="67"/>
      <c r="M969" s="67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</row>
    <row r="970">
      <c r="A970" s="67"/>
      <c r="B970" s="67"/>
      <c r="C970" s="67"/>
      <c r="D970" s="68"/>
      <c r="E970" s="67"/>
      <c r="F970" s="67"/>
      <c r="G970" s="67"/>
      <c r="H970" s="67"/>
      <c r="I970" s="67"/>
      <c r="J970" s="70" t="str">
        <f t="shared" si="3"/>
        <v/>
      </c>
      <c r="K970" s="67"/>
      <c r="L970" s="67"/>
      <c r="M970" s="67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</row>
    <row r="971">
      <c r="A971" s="67"/>
      <c r="B971" s="67"/>
      <c r="C971" s="67"/>
      <c r="D971" s="68"/>
      <c r="E971" s="67"/>
      <c r="F971" s="67"/>
      <c r="G971" s="67"/>
      <c r="H971" s="67"/>
      <c r="I971" s="67"/>
      <c r="J971" s="70" t="str">
        <f t="shared" si="3"/>
        <v/>
      </c>
      <c r="K971" s="67"/>
      <c r="L971" s="67"/>
      <c r="M971" s="67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</row>
    <row r="972">
      <c r="A972" s="67"/>
      <c r="B972" s="67"/>
      <c r="C972" s="67"/>
      <c r="D972" s="68"/>
      <c r="E972" s="67"/>
      <c r="F972" s="67"/>
      <c r="G972" s="67"/>
      <c r="H972" s="67"/>
      <c r="I972" s="67"/>
      <c r="J972" s="70" t="str">
        <f t="shared" si="3"/>
        <v/>
      </c>
      <c r="K972" s="67"/>
      <c r="L972" s="67"/>
      <c r="M972" s="67"/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</row>
    <row r="973">
      <c r="A973" s="67"/>
      <c r="B973" s="67"/>
      <c r="C973" s="67"/>
      <c r="D973" s="68"/>
      <c r="E973" s="67"/>
      <c r="F973" s="67"/>
      <c r="G973" s="67"/>
      <c r="H973" s="67"/>
      <c r="I973" s="67"/>
      <c r="J973" s="70" t="str">
        <f t="shared" si="3"/>
        <v/>
      </c>
      <c r="K973" s="67"/>
      <c r="L973" s="67"/>
      <c r="M973" s="67"/>
      <c r="N973" s="67"/>
      <c r="O973" s="67"/>
      <c r="P973" s="67"/>
      <c r="Q973" s="67"/>
      <c r="R973" s="67"/>
      <c r="S973" s="67"/>
      <c r="T973" s="67"/>
      <c r="U973" s="67"/>
      <c r="V973" s="67"/>
      <c r="W973" s="67"/>
      <c r="X973" s="67"/>
      <c r="Y973" s="67"/>
    </row>
    <row r="974">
      <c r="A974" s="67"/>
      <c r="B974" s="67"/>
      <c r="C974" s="67"/>
      <c r="D974" s="68"/>
      <c r="E974" s="67"/>
      <c r="F974" s="67"/>
      <c r="G974" s="67"/>
      <c r="H974" s="67"/>
      <c r="I974" s="67"/>
      <c r="J974" s="70" t="str">
        <f t="shared" si="3"/>
        <v/>
      </c>
      <c r="K974" s="67"/>
      <c r="L974" s="67"/>
      <c r="M974" s="67"/>
      <c r="N974" s="67"/>
      <c r="O974" s="67"/>
      <c r="P974" s="67"/>
      <c r="Q974" s="67"/>
      <c r="R974" s="67"/>
      <c r="S974" s="67"/>
      <c r="T974" s="67"/>
      <c r="U974" s="67"/>
      <c r="V974" s="67"/>
      <c r="W974" s="67"/>
      <c r="X974" s="67"/>
      <c r="Y974" s="67"/>
    </row>
    <row r="975">
      <c r="A975" s="67"/>
      <c r="B975" s="67"/>
      <c r="C975" s="67"/>
      <c r="D975" s="68"/>
      <c r="E975" s="67"/>
      <c r="F975" s="67"/>
      <c r="G975" s="67"/>
      <c r="H975" s="67"/>
      <c r="I975" s="67"/>
      <c r="J975" s="70" t="str">
        <f t="shared" si="3"/>
        <v/>
      </c>
      <c r="K975" s="67"/>
      <c r="L975" s="67"/>
      <c r="M975" s="67"/>
      <c r="N975" s="67"/>
      <c r="O975" s="67"/>
      <c r="P975" s="67"/>
      <c r="Q975" s="67"/>
      <c r="R975" s="67"/>
      <c r="S975" s="67"/>
      <c r="T975" s="67"/>
      <c r="U975" s="67"/>
      <c r="V975" s="67"/>
      <c r="W975" s="67"/>
      <c r="X975" s="67"/>
      <c r="Y975" s="67"/>
    </row>
    <row r="976">
      <c r="A976" s="67"/>
      <c r="B976" s="67"/>
      <c r="C976" s="67"/>
      <c r="D976" s="68"/>
      <c r="E976" s="67"/>
      <c r="F976" s="67"/>
      <c r="G976" s="67"/>
      <c r="H976" s="67"/>
      <c r="I976" s="67"/>
      <c r="J976" s="70" t="str">
        <f t="shared" si="3"/>
        <v/>
      </c>
      <c r="K976" s="67"/>
      <c r="L976" s="67"/>
      <c r="M976" s="67"/>
      <c r="N976" s="67"/>
      <c r="O976" s="67"/>
      <c r="P976" s="67"/>
      <c r="Q976" s="67"/>
      <c r="R976" s="67"/>
      <c r="S976" s="67"/>
      <c r="T976" s="67"/>
      <c r="U976" s="67"/>
      <c r="V976" s="67"/>
      <c r="W976" s="67"/>
      <c r="X976" s="67"/>
      <c r="Y976" s="67"/>
    </row>
    <row r="977">
      <c r="A977" s="67"/>
      <c r="B977" s="67"/>
      <c r="C977" s="67"/>
      <c r="D977" s="68"/>
      <c r="E977" s="67"/>
      <c r="F977" s="67"/>
      <c r="G977" s="67"/>
      <c r="H977" s="67"/>
      <c r="I977" s="67"/>
      <c r="J977" s="70" t="str">
        <f t="shared" si="3"/>
        <v/>
      </c>
      <c r="K977" s="67"/>
      <c r="L977" s="67"/>
      <c r="M977" s="67"/>
      <c r="N977" s="67"/>
      <c r="O977" s="67"/>
      <c r="P977" s="67"/>
      <c r="Q977" s="67"/>
      <c r="R977" s="67"/>
      <c r="S977" s="67"/>
      <c r="T977" s="67"/>
      <c r="U977" s="67"/>
      <c r="V977" s="67"/>
      <c r="W977" s="67"/>
      <c r="X977" s="67"/>
      <c r="Y977" s="67"/>
    </row>
    <row r="978">
      <c r="A978" s="67"/>
      <c r="B978" s="67"/>
      <c r="C978" s="67"/>
      <c r="D978" s="68"/>
      <c r="E978" s="67"/>
      <c r="F978" s="67"/>
      <c r="G978" s="67"/>
      <c r="H978" s="67"/>
      <c r="I978" s="67"/>
      <c r="J978" s="70" t="str">
        <f t="shared" si="3"/>
        <v/>
      </c>
      <c r="K978" s="67"/>
      <c r="L978" s="67"/>
      <c r="M978" s="67"/>
      <c r="N978" s="67"/>
      <c r="O978" s="67"/>
      <c r="P978" s="67"/>
      <c r="Q978" s="67"/>
      <c r="R978" s="67"/>
      <c r="S978" s="67"/>
      <c r="T978" s="67"/>
      <c r="U978" s="67"/>
      <c r="V978" s="67"/>
      <c r="W978" s="67"/>
      <c r="X978" s="67"/>
      <c r="Y978" s="67"/>
    </row>
    <row r="979">
      <c r="A979" s="67"/>
      <c r="B979" s="67"/>
      <c r="C979" s="67"/>
      <c r="D979" s="68"/>
      <c r="E979" s="67"/>
      <c r="F979" s="67"/>
      <c r="G979" s="67"/>
      <c r="H979" s="67"/>
      <c r="I979" s="67"/>
      <c r="J979" s="70" t="str">
        <f t="shared" si="3"/>
        <v/>
      </c>
      <c r="K979" s="67"/>
      <c r="L979" s="67"/>
      <c r="M979" s="67"/>
      <c r="N979" s="67"/>
      <c r="O979" s="67"/>
      <c r="P979" s="67"/>
      <c r="Q979" s="67"/>
      <c r="R979" s="67"/>
      <c r="S979" s="67"/>
      <c r="T979" s="67"/>
      <c r="U979" s="67"/>
      <c r="V979" s="67"/>
      <c r="W979" s="67"/>
      <c r="X979" s="67"/>
      <c r="Y979" s="67"/>
    </row>
    <row r="980">
      <c r="A980" s="67"/>
      <c r="B980" s="67"/>
      <c r="C980" s="67"/>
      <c r="D980" s="68"/>
      <c r="E980" s="67"/>
      <c r="F980" s="67"/>
      <c r="G980" s="67"/>
      <c r="H980" s="67"/>
      <c r="I980" s="67"/>
      <c r="J980" s="70" t="str">
        <f t="shared" si="3"/>
        <v/>
      </c>
      <c r="K980" s="67"/>
      <c r="L980" s="67"/>
      <c r="M980" s="67"/>
      <c r="N980" s="67"/>
      <c r="O980" s="67"/>
      <c r="P980" s="67"/>
      <c r="Q980" s="67"/>
      <c r="R980" s="67"/>
      <c r="S980" s="67"/>
      <c r="T980" s="67"/>
      <c r="U980" s="67"/>
      <c r="V980" s="67"/>
      <c r="W980" s="67"/>
      <c r="X980" s="67"/>
      <c r="Y980" s="67"/>
    </row>
    <row r="981">
      <c r="A981" s="67"/>
      <c r="B981" s="67"/>
      <c r="C981" s="67"/>
      <c r="D981" s="68"/>
      <c r="E981" s="67"/>
      <c r="F981" s="67"/>
      <c r="G981" s="67"/>
      <c r="H981" s="67"/>
      <c r="I981" s="67"/>
      <c r="J981" s="70" t="str">
        <f t="shared" si="3"/>
        <v/>
      </c>
      <c r="K981" s="67"/>
      <c r="L981" s="67"/>
      <c r="M981" s="67"/>
      <c r="N981" s="67"/>
      <c r="O981" s="67"/>
      <c r="P981" s="67"/>
      <c r="Q981" s="67"/>
      <c r="R981" s="67"/>
      <c r="S981" s="67"/>
      <c r="T981" s="67"/>
      <c r="U981" s="67"/>
      <c r="V981" s="67"/>
      <c r="W981" s="67"/>
      <c r="X981" s="67"/>
      <c r="Y981" s="67"/>
    </row>
    <row r="982">
      <c r="A982" s="67"/>
      <c r="B982" s="67"/>
      <c r="C982" s="67"/>
      <c r="D982" s="68"/>
      <c r="E982" s="67"/>
      <c r="F982" s="67"/>
      <c r="G982" s="67"/>
      <c r="H982" s="67"/>
      <c r="I982" s="67"/>
      <c r="J982" s="70" t="str">
        <f t="shared" si="3"/>
        <v/>
      </c>
      <c r="K982" s="67"/>
      <c r="L982" s="67"/>
      <c r="M982" s="67"/>
      <c r="N982" s="67"/>
      <c r="O982" s="67"/>
      <c r="P982" s="67"/>
      <c r="Q982" s="67"/>
      <c r="R982" s="67"/>
      <c r="S982" s="67"/>
      <c r="T982" s="67"/>
      <c r="U982" s="67"/>
      <c r="V982" s="67"/>
      <c r="W982" s="67"/>
      <c r="X982" s="67"/>
      <c r="Y982" s="67"/>
    </row>
    <row r="983">
      <c r="A983" s="67"/>
      <c r="B983" s="67"/>
      <c r="C983" s="67"/>
      <c r="D983" s="68"/>
      <c r="E983" s="67"/>
      <c r="F983" s="67"/>
      <c r="G983" s="67"/>
      <c r="H983" s="67"/>
      <c r="I983" s="67"/>
      <c r="J983" s="70" t="str">
        <f t="shared" si="3"/>
        <v/>
      </c>
      <c r="K983" s="67"/>
      <c r="L983" s="67"/>
      <c r="M983" s="67"/>
      <c r="N983" s="67"/>
      <c r="O983" s="67"/>
      <c r="P983" s="67"/>
      <c r="Q983" s="67"/>
      <c r="R983" s="67"/>
      <c r="S983" s="67"/>
      <c r="T983" s="67"/>
      <c r="U983" s="67"/>
      <c r="V983" s="67"/>
      <c r="W983" s="67"/>
      <c r="X983" s="67"/>
      <c r="Y983" s="67"/>
    </row>
    <row r="984">
      <c r="A984" s="67"/>
      <c r="B984" s="67"/>
      <c r="C984" s="67"/>
      <c r="D984" s="68"/>
      <c r="E984" s="67"/>
      <c r="F984" s="67"/>
      <c r="G984" s="67"/>
      <c r="H984" s="67"/>
      <c r="I984" s="67"/>
      <c r="J984" s="70" t="str">
        <f t="shared" si="3"/>
        <v/>
      </c>
      <c r="K984" s="67"/>
      <c r="L984" s="67"/>
      <c r="M984" s="67"/>
      <c r="N984" s="67"/>
      <c r="O984" s="67"/>
      <c r="P984" s="67"/>
      <c r="Q984" s="67"/>
      <c r="R984" s="67"/>
      <c r="S984" s="67"/>
      <c r="T984" s="67"/>
      <c r="U984" s="67"/>
      <c r="V984" s="67"/>
      <c r="W984" s="67"/>
      <c r="X984" s="67"/>
      <c r="Y984" s="67"/>
    </row>
    <row r="985">
      <c r="A985" s="67"/>
      <c r="B985" s="67"/>
      <c r="C985" s="67"/>
      <c r="D985" s="68"/>
      <c r="E985" s="67"/>
      <c r="F985" s="67"/>
      <c r="G985" s="67"/>
      <c r="H985" s="67"/>
      <c r="I985" s="67"/>
      <c r="J985" s="70" t="str">
        <f t="shared" si="3"/>
        <v/>
      </c>
      <c r="K985" s="67"/>
      <c r="L985" s="67"/>
      <c r="M985" s="67"/>
      <c r="N985" s="67"/>
      <c r="O985" s="67"/>
      <c r="P985" s="67"/>
      <c r="Q985" s="67"/>
      <c r="R985" s="67"/>
      <c r="S985" s="67"/>
      <c r="T985" s="67"/>
      <c r="U985" s="67"/>
      <c r="V985" s="67"/>
      <c r="W985" s="67"/>
      <c r="X985" s="67"/>
      <c r="Y985" s="67"/>
    </row>
    <row r="986">
      <c r="A986" s="67"/>
      <c r="B986" s="67"/>
      <c r="C986" s="67"/>
      <c r="D986" s="68"/>
      <c r="E986" s="67"/>
      <c r="F986" s="67"/>
      <c r="G986" s="67"/>
      <c r="H986" s="67"/>
      <c r="I986" s="67"/>
      <c r="J986" s="70" t="str">
        <f t="shared" si="3"/>
        <v/>
      </c>
      <c r="K986" s="67"/>
      <c r="L986" s="67"/>
      <c r="M986" s="67"/>
      <c r="N986" s="67"/>
      <c r="O986" s="67"/>
      <c r="P986" s="67"/>
      <c r="Q986" s="67"/>
      <c r="R986" s="67"/>
      <c r="S986" s="67"/>
      <c r="T986" s="67"/>
      <c r="U986" s="67"/>
      <c r="V986" s="67"/>
      <c r="W986" s="67"/>
      <c r="X986" s="67"/>
      <c r="Y986" s="67"/>
    </row>
    <row r="987">
      <c r="A987" s="67"/>
      <c r="B987" s="67"/>
      <c r="C987" s="67"/>
      <c r="D987" s="68"/>
      <c r="E987" s="67"/>
      <c r="F987" s="67"/>
      <c r="G987" s="67"/>
      <c r="H987" s="67"/>
      <c r="I987" s="67"/>
      <c r="J987" s="70" t="str">
        <f t="shared" si="3"/>
        <v/>
      </c>
      <c r="K987" s="67"/>
      <c r="L987" s="67"/>
      <c r="M987" s="67"/>
      <c r="N987" s="67"/>
      <c r="O987" s="67"/>
      <c r="P987" s="67"/>
      <c r="Q987" s="67"/>
      <c r="R987" s="67"/>
      <c r="S987" s="67"/>
      <c r="T987" s="67"/>
      <c r="U987" s="67"/>
      <c r="V987" s="67"/>
      <c r="W987" s="67"/>
      <c r="X987" s="67"/>
      <c r="Y987" s="67"/>
    </row>
    <row r="988">
      <c r="A988" s="67"/>
      <c r="B988" s="67"/>
      <c r="C988" s="67"/>
      <c r="D988" s="68"/>
      <c r="E988" s="67"/>
      <c r="F988" s="67"/>
      <c r="G988" s="67"/>
      <c r="H988" s="67"/>
      <c r="I988" s="67"/>
      <c r="J988" s="70" t="str">
        <f t="shared" si="3"/>
        <v/>
      </c>
      <c r="K988" s="67"/>
      <c r="L988" s="67"/>
      <c r="M988" s="67"/>
      <c r="N988" s="67"/>
      <c r="O988" s="67"/>
      <c r="P988" s="67"/>
      <c r="Q988" s="67"/>
      <c r="R988" s="67"/>
      <c r="S988" s="67"/>
      <c r="T988" s="67"/>
      <c r="U988" s="67"/>
      <c r="V988" s="67"/>
      <c r="W988" s="67"/>
      <c r="X988" s="67"/>
      <c r="Y988" s="67"/>
    </row>
    <row r="989">
      <c r="A989" s="67"/>
      <c r="B989" s="67"/>
      <c r="C989" s="67"/>
      <c r="D989" s="68"/>
      <c r="E989" s="67"/>
      <c r="F989" s="67"/>
      <c r="G989" s="67"/>
      <c r="H989" s="67"/>
      <c r="I989" s="67"/>
      <c r="J989" s="70" t="str">
        <f t="shared" si="3"/>
        <v/>
      </c>
      <c r="K989" s="67"/>
      <c r="L989" s="67"/>
      <c r="M989" s="67"/>
      <c r="N989" s="67"/>
      <c r="O989" s="67"/>
      <c r="P989" s="67"/>
      <c r="Q989" s="67"/>
      <c r="R989" s="67"/>
      <c r="S989" s="67"/>
      <c r="T989" s="67"/>
      <c r="U989" s="67"/>
      <c r="V989" s="67"/>
      <c r="W989" s="67"/>
      <c r="X989" s="67"/>
      <c r="Y989" s="67"/>
    </row>
    <row r="990">
      <c r="A990" s="67"/>
      <c r="B990" s="67"/>
      <c r="C990" s="67"/>
      <c r="D990" s="68"/>
      <c r="E990" s="67"/>
      <c r="F990" s="67"/>
      <c r="G990" s="67"/>
      <c r="H990" s="67"/>
      <c r="I990" s="67"/>
      <c r="J990" s="70" t="str">
        <f t="shared" si="3"/>
        <v/>
      </c>
      <c r="K990" s="67"/>
      <c r="L990" s="67"/>
      <c r="M990" s="67"/>
      <c r="N990" s="67"/>
      <c r="O990" s="67"/>
      <c r="P990" s="67"/>
      <c r="Q990" s="67"/>
      <c r="R990" s="67"/>
      <c r="S990" s="67"/>
      <c r="T990" s="67"/>
      <c r="U990" s="67"/>
      <c r="V990" s="67"/>
      <c r="W990" s="67"/>
      <c r="X990" s="67"/>
      <c r="Y990" s="67"/>
    </row>
    <row r="991">
      <c r="A991" s="67"/>
      <c r="B991" s="67"/>
      <c r="C991" s="67"/>
      <c r="D991" s="68"/>
      <c r="E991" s="67"/>
      <c r="F991" s="67"/>
      <c r="G991" s="67"/>
      <c r="H991" s="67"/>
      <c r="I991" s="67"/>
      <c r="J991" s="70" t="str">
        <f t="shared" si="3"/>
        <v/>
      </c>
      <c r="K991" s="67"/>
      <c r="L991" s="67"/>
      <c r="M991" s="67"/>
      <c r="N991" s="67"/>
      <c r="O991" s="67"/>
      <c r="P991" s="67"/>
      <c r="Q991" s="67"/>
      <c r="R991" s="67"/>
      <c r="S991" s="67"/>
      <c r="T991" s="67"/>
      <c r="U991" s="67"/>
      <c r="V991" s="67"/>
      <c r="W991" s="67"/>
      <c r="X991" s="67"/>
      <c r="Y991" s="67"/>
    </row>
    <row r="992">
      <c r="A992" s="67"/>
      <c r="B992" s="67"/>
      <c r="C992" s="67"/>
      <c r="D992" s="68"/>
      <c r="E992" s="67"/>
      <c r="F992" s="67"/>
      <c r="G992" s="67"/>
      <c r="H992" s="67"/>
      <c r="I992" s="67"/>
      <c r="J992" s="70" t="str">
        <f t="shared" si="3"/>
        <v/>
      </c>
      <c r="K992" s="67"/>
      <c r="L992" s="67"/>
      <c r="M992" s="67"/>
      <c r="N992" s="67"/>
      <c r="O992" s="67"/>
      <c r="P992" s="67"/>
      <c r="Q992" s="67"/>
      <c r="R992" s="67"/>
      <c r="S992" s="67"/>
      <c r="T992" s="67"/>
      <c r="U992" s="67"/>
      <c r="V992" s="67"/>
      <c r="W992" s="67"/>
      <c r="X992" s="67"/>
      <c r="Y992" s="67"/>
    </row>
    <row r="993">
      <c r="A993" s="67"/>
      <c r="B993" s="67"/>
      <c r="C993" s="67"/>
      <c r="D993" s="68"/>
      <c r="E993" s="67"/>
      <c r="F993" s="67"/>
      <c r="G993" s="67"/>
      <c r="H993" s="67"/>
      <c r="I993" s="67"/>
      <c r="J993" s="70" t="str">
        <f t="shared" si="3"/>
        <v/>
      </c>
      <c r="K993" s="67"/>
      <c r="L993" s="67"/>
      <c r="M993" s="67"/>
      <c r="N993" s="67"/>
      <c r="O993" s="67"/>
      <c r="P993" s="67"/>
      <c r="Q993" s="67"/>
      <c r="R993" s="67"/>
      <c r="S993" s="67"/>
      <c r="T993" s="67"/>
      <c r="U993" s="67"/>
      <c r="V993" s="67"/>
      <c r="W993" s="67"/>
      <c r="X993" s="67"/>
      <c r="Y993" s="67"/>
    </row>
    <row r="994">
      <c r="A994" s="67"/>
      <c r="B994" s="67"/>
      <c r="C994" s="67"/>
      <c r="D994" s="68"/>
      <c r="E994" s="67"/>
      <c r="F994" s="67"/>
      <c r="G994" s="67"/>
      <c r="H994" s="67"/>
      <c r="I994" s="67"/>
      <c r="J994" s="70" t="str">
        <f t="shared" si="3"/>
        <v/>
      </c>
      <c r="K994" s="67"/>
      <c r="L994" s="67"/>
      <c r="M994" s="67"/>
      <c r="N994" s="67"/>
      <c r="O994" s="67"/>
      <c r="P994" s="67"/>
      <c r="Q994" s="67"/>
      <c r="R994" s="67"/>
      <c r="S994" s="67"/>
      <c r="T994" s="67"/>
      <c r="U994" s="67"/>
      <c r="V994" s="67"/>
      <c r="W994" s="67"/>
      <c r="X994" s="67"/>
      <c r="Y994" s="67"/>
    </row>
    <row r="995">
      <c r="A995" s="67"/>
      <c r="B995" s="67"/>
      <c r="C995" s="67"/>
      <c r="D995" s="68"/>
      <c r="E995" s="67"/>
      <c r="F995" s="67"/>
      <c r="G995" s="67"/>
      <c r="H995" s="67"/>
      <c r="I995" s="67"/>
      <c r="J995" s="70" t="str">
        <f t="shared" si="3"/>
        <v/>
      </c>
      <c r="K995" s="67"/>
      <c r="L995" s="67"/>
      <c r="M995" s="67"/>
      <c r="N995" s="67"/>
      <c r="O995" s="67"/>
      <c r="P995" s="67"/>
      <c r="Q995" s="67"/>
      <c r="R995" s="67"/>
      <c r="S995" s="67"/>
      <c r="T995" s="67"/>
      <c r="U995" s="67"/>
      <c r="V995" s="67"/>
      <c r="W995" s="67"/>
      <c r="X995" s="67"/>
      <c r="Y995" s="67"/>
    </row>
    <row r="996">
      <c r="A996" s="67"/>
      <c r="B996" s="67"/>
      <c r="C996" s="67"/>
      <c r="D996" s="68"/>
      <c r="E996" s="67"/>
      <c r="F996" s="67"/>
      <c r="G996" s="67"/>
      <c r="H996" s="67"/>
      <c r="I996" s="67"/>
      <c r="J996" s="70" t="str">
        <f t="shared" si="3"/>
        <v/>
      </c>
      <c r="K996" s="67"/>
      <c r="L996" s="67"/>
      <c r="M996" s="67"/>
      <c r="N996" s="67"/>
      <c r="O996" s="67"/>
      <c r="P996" s="67"/>
      <c r="Q996" s="67"/>
      <c r="R996" s="67"/>
      <c r="S996" s="67"/>
      <c r="T996" s="67"/>
      <c r="U996" s="67"/>
      <c r="V996" s="67"/>
      <c r="W996" s="67"/>
      <c r="X996" s="67"/>
      <c r="Y996" s="67"/>
    </row>
    <row r="997">
      <c r="A997" s="67"/>
      <c r="B997" s="67"/>
      <c r="C997" s="67"/>
      <c r="D997" s="68"/>
      <c r="E997" s="67"/>
      <c r="F997" s="67"/>
      <c r="G997" s="67"/>
      <c r="H997" s="67"/>
      <c r="I997" s="67"/>
      <c r="J997" s="70" t="str">
        <f t="shared" si="3"/>
        <v/>
      </c>
      <c r="K997" s="67"/>
      <c r="L997" s="67"/>
      <c r="M997" s="67"/>
      <c r="N997" s="67"/>
      <c r="O997" s="67"/>
      <c r="P997" s="67"/>
      <c r="Q997" s="67"/>
      <c r="R997" s="67"/>
      <c r="S997" s="67"/>
      <c r="T997" s="67"/>
      <c r="U997" s="67"/>
      <c r="V997" s="67"/>
      <c r="W997" s="67"/>
      <c r="X997" s="67"/>
      <c r="Y997" s="67"/>
    </row>
    <row r="998">
      <c r="A998" s="67"/>
      <c r="B998" s="67"/>
      <c r="C998" s="67"/>
      <c r="D998" s="68"/>
      <c r="E998" s="67"/>
      <c r="F998" s="67"/>
      <c r="G998" s="67"/>
      <c r="H998" s="67"/>
      <c r="I998" s="67"/>
      <c r="J998" s="70" t="str">
        <f t="shared" si="3"/>
        <v/>
      </c>
      <c r="K998" s="67"/>
      <c r="L998" s="67"/>
      <c r="M998" s="67"/>
      <c r="N998" s="67"/>
      <c r="O998" s="67"/>
      <c r="P998" s="67"/>
      <c r="Q998" s="67"/>
      <c r="R998" s="67"/>
      <c r="S998" s="67"/>
      <c r="T998" s="67"/>
      <c r="U998" s="67"/>
      <c r="V998" s="67"/>
      <c r="W998" s="67"/>
      <c r="X998" s="67"/>
      <c r="Y998" s="67"/>
    </row>
    <row r="999">
      <c r="A999" s="67"/>
      <c r="B999" s="67"/>
      <c r="C999" s="67"/>
      <c r="D999" s="68"/>
      <c r="E999" s="67"/>
      <c r="F999" s="67"/>
      <c r="G999" s="67"/>
      <c r="H999" s="67"/>
      <c r="I999" s="67"/>
      <c r="J999" s="70" t="str">
        <f t="shared" si="3"/>
        <v/>
      </c>
      <c r="K999" s="67"/>
      <c r="L999" s="67"/>
      <c r="M999" s="67"/>
      <c r="N999" s="67"/>
      <c r="O999" s="67"/>
      <c r="P999" s="67"/>
      <c r="Q999" s="67"/>
      <c r="R999" s="67"/>
      <c r="S999" s="67"/>
      <c r="T999" s="67"/>
      <c r="U999" s="67"/>
      <c r="V999" s="67"/>
      <c r="W999" s="67"/>
      <c r="X999" s="67"/>
      <c r="Y999" s="67"/>
    </row>
    <row r="1000">
      <c r="A1000" s="67"/>
      <c r="B1000" s="67"/>
      <c r="C1000" s="67"/>
      <c r="D1000" s="68"/>
      <c r="E1000" s="67"/>
      <c r="F1000" s="67"/>
      <c r="G1000" s="67"/>
      <c r="H1000" s="67"/>
      <c r="I1000" s="67"/>
      <c r="J1000" s="70" t="str">
        <f t="shared" si="3"/>
        <v/>
      </c>
      <c r="K1000" s="67"/>
      <c r="L1000" s="67"/>
      <c r="M1000" s="67"/>
      <c r="N1000" s="67"/>
      <c r="O1000" s="67"/>
      <c r="P1000" s="67"/>
      <c r="Q1000" s="67"/>
      <c r="R1000" s="67"/>
      <c r="S1000" s="67"/>
      <c r="T1000" s="67"/>
      <c r="U1000" s="67"/>
      <c r="V1000" s="67"/>
      <c r="W1000" s="67"/>
      <c r="X1000" s="67"/>
      <c r="Y1000" s="67"/>
    </row>
  </sheetData>
  <drawing r:id="rId1"/>
</worksheet>
</file>